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OCCI_OG\Documents\Olivier\Forest CO2\C6 &amp; C7 - Projets carbone\La Poste\34 - BSCC (Frontignan - La Poste n° 18)\Dossier labellisation\"/>
    </mc:Choice>
  </mc:AlternateContent>
  <bookViews>
    <workbookView xWindow="0" yWindow="0" windowWidth="20490" windowHeight="7740" tabRatio="866" activeTab="1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Paramètres!$A$2:$A$88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9" i="1" l="1"/>
  <c r="B49" i="1"/>
  <c r="D48" i="1"/>
  <c r="B48" i="1"/>
  <c r="D47" i="1"/>
  <c r="B47" i="1"/>
  <c r="D46" i="1"/>
  <c r="B46" i="1"/>
  <c r="D45" i="1"/>
  <c r="B45" i="1"/>
  <c r="D44" i="1"/>
  <c r="B44" i="1"/>
  <c r="D43" i="1"/>
  <c r="B43" i="1"/>
  <c r="D42" i="1"/>
  <c r="B42" i="1"/>
  <c r="D41" i="1"/>
  <c r="B41" i="1"/>
  <c r="D40" i="1"/>
  <c r="B40" i="1"/>
  <c r="D39" i="1"/>
  <c r="B39" i="1"/>
  <c r="D38" i="1"/>
  <c r="B38" i="1"/>
  <c r="B37" i="1"/>
  <c r="B36" i="1"/>
  <c r="R29" i="6" l="1"/>
  <c r="R30" i="6" s="1"/>
  <c r="R31" i="6" s="1"/>
  <c r="R32" i="6" s="1"/>
  <c r="R33" i="6" s="1"/>
  <c r="R34" i="6" l="1"/>
  <c r="S33" i="6"/>
  <c r="F14" i="1" a="1"/>
  <c r="F14" i="1" s="1"/>
  <c r="R35" i="6" l="1"/>
  <c r="S34" i="6"/>
  <c r="GQ4" i="2"/>
  <c r="GQ5" i="2"/>
  <c r="GQ6" i="2"/>
  <c r="GQ7" i="2"/>
  <c r="GQ8" i="2"/>
  <c r="GQ9" i="2"/>
  <c r="GQ10" i="2"/>
  <c r="GQ11" i="2"/>
  <c r="GQ12" i="2"/>
  <c r="GQ13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29" i="2"/>
  <c r="GQ30" i="2"/>
  <c r="GQ31" i="2"/>
  <c r="GQ32" i="2"/>
  <c r="GQ33" i="2"/>
  <c r="GQ34" i="2"/>
  <c r="GQ35" i="2"/>
  <c r="GQ36" i="2"/>
  <c r="GQ37" i="2"/>
  <c r="GQ38" i="2"/>
  <c r="GQ39" i="2"/>
  <c r="GQ40" i="2"/>
  <c r="GQ41" i="2"/>
  <c r="GQ42" i="2"/>
  <c r="GQ43" i="2"/>
  <c r="GQ44" i="2"/>
  <c r="GQ45" i="2"/>
  <c r="GQ46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Q64" i="2"/>
  <c r="GQ65" i="2"/>
  <c r="GQ66" i="2"/>
  <c r="GQ67" i="2"/>
  <c r="GQ68" i="2"/>
  <c r="GQ69" i="2"/>
  <c r="GQ70" i="2"/>
  <c r="GQ71" i="2"/>
  <c r="GQ72" i="2"/>
  <c r="GQ73" i="2"/>
  <c r="GQ74" i="2"/>
  <c r="GQ75" i="2"/>
  <c r="GQ76" i="2"/>
  <c r="GQ77" i="2"/>
  <c r="GQ78" i="2"/>
  <c r="GQ79" i="2"/>
  <c r="GQ80" i="2"/>
  <c r="GQ81" i="2"/>
  <c r="GQ82" i="2"/>
  <c r="GQ83" i="2"/>
  <c r="GQ84" i="2"/>
  <c r="GQ85" i="2"/>
  <c r="GQ86" i="2"/>
  <c r="GQ87" i="2"/>
  <c r="GQ88" i="2"/>
  <c r="GQ89" i="2"/>
  <c r="GQ90" i="2"/>
  <c r="GQ91" i="2"/>
  <c r="GQ92" i="2"/>
  <c r="GQ93" i="2"/>
  <c r="GQ94" i="2"/>
  <c r="GQ95" i="2"/>
  <c r="GQ96" i="2"/>
  <c r="GQ97" i="2"/>
  <c r="GQ98" i="2"/>
  <c r="GQ99" i="2"/>
  <c r="GQ100" i="2"/>
  <c r="GQ101" i="2"/>
  <c r="GQ102" i="2"/>
  <c r="GQ103" i="2"/>
  <c r="GQ104" i="2"/>
  <c r="GQ105" i="2"/>
  <c r="GQ106" i="2"/>
  <c r="GQ107" i="2"/>
  <c r="GQ108" i="2"/>
  <c r="GQ109" i="2"/>
  <c r="GQ110" i="2"/>
  <c r="GQ111" i="2"/>
  <c r="GQ112" i="2"/>
  <c r="GQ113" i="2"/>
  <c r="GQ114" i="2"/>
  <c r="GQ115" i="2"/>
  <c r="GQ116" i="2"/>
  <c r="GQ117" i="2"/>
  <c r="GQ118" i="2"/>
  <c r="GQ119" i="2"/>
  <c r="GQ120" i="2"/>
  <c r="GQ121" i="2"/>
  <c r="GQ122" i="2"/>
  <c r="GQ123" i="2"/>
  <c r="GQ124" i="2"/>
  <c r="GQ125" i="2"/>
  <c r="GQ126" i="2"/>
  <c r="GQ127" i="2"/>
  <c r="GQ128" i="2"/>
  <c r="GQ129" i="2"/>
  <c r="GQ130" i="2"/>
  <c r="GQ131" i="2"/>
  <c r="GQ132" i="2"/>
  <c r="GQ133" i="2"/>
  <c r="GQ134" i="2"/>
  <c r="GQ135" i="2"/>
  <c r="GQ136" i="2"/>
  <c r="GQ137" i="2"/>
  <c r="GQ138" i="2"/>
  <c r="GQ139" i="2"/>
  <c r="GQ140" i="2"/>
  <c r="GQ141" i="2"/>
  <c r="GQ142" i="2"/>
  <c r="GQ143" i="2"/>
  <c r="GQ144" i="2"/>
  <c r="GQ145" i="2"/>
  <c r="GQ146" i="2"/>
  <c r="GQ147" i="2"/>
  <c r="GQ148" i="2"/>
  <c r="GQ149" i="2"/>
  <c r="GQ150" i="2"/>
  <c r="GQ151" i="2"/>
  <c r="GQ152" i="2"/>
  <c r="GQ153" i="2"/>
  <c r="GQ154" i="2"/>
  <c r="GQ155" i="2"/>
  <c r="GQ156" i="2"/>
  <c r="GQ157" i="2"/>
  <c r="GQ158" i="2"/>
  <c r="GQ159" i="2"/>
  <c r="GQ160" i="2"/>
  <c r="GQ161" i="2"/>
  <c r="GQ162" i="2"/>
  <c r="GQ163" i="2"/>
  <c r="GQ164" i="2"/>
  <c r="GQ165" i="2"/>
  <c r="GQ166" i="2"/>
  <c r="GQ167" i="2"/>
  <c r="GQ168" i="2"/>
  <c r="GQ169" i="2"/>
  <c r="GQ170" i="2"/>
  <c r="GQ171" i="2"/>
  <c r="GQ172" i="2"/>
  <c r="GQ173" i="2"/>
  <c r="GQ174" i="2"/>
  <c r="GQ175" i="2"/>
  <c r="GQ176" i="2"/>
  <c r="GQ177" i="2"/>
  <c r="GQ178" i="2"/>
  <c r="GQ179" i="2"/>
  <c r="GQ180" i="2"/>
  <c r="GQ181" i="2"/>
  <c r="GQ182" i="2"/>
  <c r="GQ183" i="2"/>
  <c r="GQ184" i="2"/>
  <c r="GQ185" i="2"/>
  <c r="GQ186" i="2"/>
  <c r="GQ187" i="2"/>
  <c r="GQ188" i="2"/>
  <c r="GQ189" i="2"/>
  <c r="GQ190" i="2"/>
  <c r="GQ191" i="2"/>
  <c r="GQ192" i="2"/>
  <c r="GQ193" i="2"/>
  <c r="GQ194" i="2"/>
  <c r="GQ195" i="2"/>
  <c r="GQ196" i="2"/>
  <c r="GQ197" i="2"/>
  <c r="GQ198" i="2"/>
  <c r="GQ199" i="2"/>
  <c r="GQ200" i="2"/>
  <c r="GQ201" i="2"/>
  <c r="GQ202" i="2"/>
  <c r="GQ203" i="2"/>
  <c r="GP4" i="2"/>
  <c r="GP5" i="2"/>
  <c r="GP6" i="2"/>
  <c r="GP7" i="2"/>
  <c r="GP8" i="2"/>
  <c r="GP9" i="2"/>
  <c r="GP10" i="2"/>
  <c r="GP11" i="2"/>
  <c r="GP12" i="2"/>
  <c r="GP13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29" i="2"/>
  <c r="GP30" i="2"/>
  <c r="GP31" i="2"/>
  <c r="GP32" i="2"/>
  <c r="GP33" i="2"/>
  <c r="GP34" i="2"/>
  <c r="GP35" i="2"/>
  <c r="GP36" i="2"/>
  <c r="GP37" i="2"/>
  <c r="GP38" i="2"/>
  <c r="GP39" i="2"/>
  <c r="GP40" i="2"/>
  <c r="GP41" i="2"/>
  <c r="GP42" i="2"/>
  <c r="GP43" i="2"/>
  <c r="GP44" i="2"/>
  <c r="GP45" i="2"/>
  <c r="GP46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8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4" i="2"/>
  <c r="GP95" i="2"/>
  <c r="GP96" i="2"/>
  <c r="GP97" i="2"/>
  <c r="GP98" i="2"/>
  <c r="GP99" i="2"/>
  <c r="GP100" i="2"/>
  <c r="GP101" i="2"/>
  <c r="GP102" i="2"/>
  <c r="GP103" i="2"/>
  <c r="GP104" i="2"/>
  <c r="GP105" i="2"/>
  <c r="GP106" i="2"/>
  <c r="GP107" i="2"/>
  <c r="GP108" i="2"/>
  <c r="GP109" i="2"/>
  <c r="GP110" i="2"/>
  <c r="GP111" i="2"/>
  <c r="GP112" i="2"/>
  <c r="GP113" i="2"/>
  <c r="GP114" i="2"/>
  <c r="GP115" i="2"/>
  <c r="GP116" i="2"/>
  <c r="GP117" i="2"/>
  <c r="GP118" i="2"/>
  <c r="GP119" i="2"/>
  <c r="GP120" i="2"/>
  <c r="GP121" i="2"/>
  <c r="GP122" i="2"/>
  <c r="GP123" i="2"/>
  <c r="GP124" i="2"/>
  <c r="GP125" i="2"/>
  <c r="GP126" i="2"/>
  <c r="GP127" i="2"/>
  <c r="GP128" i="2"/>
  <c r="GP129" i="2"/>
  <c r="GP130" i="2"/>
  <c r="GP131" i="2"/>
  <c r="GP132" i="2"/>
  <c r="GP133" i="2"/>
  <c r="GP134" i="2"/>
  <c r="GP135" i="2"/>
  <c r="GP136" i="2"/>
  <c r="GP137" i="2"/>
  <c r="GP138" i="2"/>
  <c r="GP139" i="2"/>
  <c r="GP140" i="2"/>
  <c r="GP141" i="2"/>
  <c r="GP142" i="2"/>
  <c r="GP143" i="2"/>
  <c r="GP144" i="2"/>
  <c r="GP145" i="2"/>
  <c r="GP146" i="2"/>
  <c r="GP147" i="2"/>
  <c r="GP148" i="2"/>
  <c r="GP149" i="2"/>
  <c r="GP150" i="2"/>
  <c r="GP151" i="2"/>
  <c r="GP152" i="2"/>
  <c r="GP153" i="2"/>
  <c r="GP154" i="2"/>
  <c r="GP155" i="2"/>
  <c r="GP156" i="2"/>
  <c r="GP157" i="2"/>
  <c r="GP158" i="2"/>
  <c r="GP159" i="2"/>
  <c r="GP160" i="2"/>
  <c r="GP161" i="2"/>
  <c r="GP162" i="2"/>
  <c r="GP163" i="2"/>
  <c r="GP164" i="2"/>
  <c r="GP165" i="2"/>
  <c r="GP166" i="2"/>
  <c r="GP167" i="2"/>
  <c r="GP168" i="2"/>
  <c r="GP169" i="2"/>
  <c r="GP170" i="2"/>
  <c r="GP171" i="2"/>
  <c r="GP172" i="2"/>
  <c r="GP173" i="2"/>
  <c r="GP174" i="2"/>
  <c r="GP175" i="2"/>
  <c r="GP176" i="2"/>
  <c r="GP177" i="2"/>
  <c r="GP178" i="2"/>
  <c r="GP179" i="2"/>
  <c r="GP180" i="2"/>
  <c r="GP181" i="2"/>
  <c r="GP182" i="2"/>
  <c r="GP183" i="2"/>
  <c r="GP184" i="2"/>
  <c r="GP185" i="2"/>
  <c r="GP186" i="2"/>
  <c r="GP187" i="2"/>
  <c r="GP188" i="2"/>
  <c r="GP189" i="2"/>
  <c r="GP190" i="2"/>
  <c r="GP191" i="2"/>
  <c r="GP192" i="2"/>
  <c r="GP193" i="2"/>
  <c r="GP194" i="2"/>
  <c r="GP195" i="2"/>
  <c r="GP196" i="2"/>
  <c r="GP197" i="2"/>
  <c r="GP198" i="2"/>
  <c r="GP199" i="2"/>
  <c r="GP200" i="2"/>
  <c r="GP201" i="2"/>
  <c r="GP202" i="2"/>
  <c r="GP203" i="2"/>
  <c r="FU4" i="2"/>
  <c r="FU5" i="2"/>
  <c r="FU6" i="2"/>
  <c r="FU7" i="2"/>
  <c r="FU8" i="2"/>
  <c r="FU9" i="2"/>
  <c r="FU10" i="2"/>
  <c r="FU11" i="2"/>
  <c r="FU12" i="2"/>
  <c r="FU13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29" i="2"/>
  <c r="FU30" i="2"/>
  <c r="FU31" i="2"/>
  <c r="FU32" i="2"/>
  <c r="FU33" i="2"/>
  <c r="FU34" i="2"/>
  <c r="FU35" i="2"/>
  <c r="FU36" i="2"/>
  <c r="FU37" i="2"/>
  <c r="FU38" i="2"/>
  <c r="FU39" i="2"/>
  <c r="FU40" i="2"/>
  <c r="FU41" i="2"/>
  <c r="FU42" i="2"/>
  <c r="FU43" i="2"/>
  <c r="FU44" i="2"/>
  <c r="FU45" i="2"/>
  <c r="FU46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8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4" i="2"/>
  <c r="FU95" i="2"/>
  <c r="FU96" i="2"/>
  <c r="FU97" i="2"/>
  <c r="FU98" i="2"/>
  <c r="FU99" i="2"/>
  <c r="FU100" i="2"/>
  <c r="FU101" i="2"/>
  <c r="FU102" i="2"/>
  <c r="FU103" i="2"/>
  <c r="FU104" i="2"/>
  <c r="FU105" i="2"/>
  <c r="FU106" i="2"/>
  <c r="FU107" i="2"/>
  <c r="FU108" i="2"/>
  <c r="FU109" i="2"/>
  <c r="FU110" i="2"/>
  <c r="FU111" i="2"/>
  <c r="FU112" i="2"/>
  <c r="FU113" i="2"/>
  <c r="FU114" i="2"/>
  <c r="FU115" i="2"/>
  <c r="FU116" i="2"/>
  <c r="FU117" i="2"/>
  <c r="FU118" i="2"/>
  <c r="FU119" i="2"/>
  <c r="FU120" i="2"/>
  <c r="FU121" i="2"/>
  <c r="FU122" i="2"/>
  <c r="FU123" i="2"/>
  <c r="FU124" i="2"/>
  <c r="FU125" i="2"/>
  <c r="FU126" i="2"/>
  <c r="FU127" i="2"/>
  <c r="FU128" i="2"/>
  <c r="FU129" i="2"/>
  <c r="FU130" i="2"/>
  <c r="FU131" i="2"/>
  <c r="FU132" i="2"/>
  <c r="FU133" i="2"/>
  <c r="FU134" i="2"/>
  <c r="FU135" i="2"/>
  <c r="FU136" i="2"/>
  <c r="FU137" i="2"/>
  <c r="FU138" i="2"/>
  <c r="FU139" i="2"/>
  <c r="FU140" i="2"/>
  <c r="FU141" i="2"/>
  <c r="FU142" i="2"/>
  <c r="FU143" i="2"/>
  <c r="FU144" i="2"/>
  <c r="FU145" i="2"/>
  <c r="FU146" i="2"/>
  <c r="FU147" i="2"/>
  <c r="FU148" i="2"/>
  <c r="FU149" i="2"/>
  <c r="FU150" i="2"/>
  <c r="FU151" i="2"/>
  <c r="FU152" i="2"/>
  <c r="FU153" i="2"/>
  <c r="FU154" i="2"/>
  <c r="FU155" i="2"/>
  <c r="FU156" i="2"/>
  <c r="FU157" i="2"/>
  <c r="FU158" i="2"/>
  <c r="FU159" i="2"/>
  <c r="FU160" i="2"/>
  <c r="FU161" i="2"/>
  <c r="FU162" i="2"/>
  <c r="FU163" i="2"/>
  <c r="FU164" i="2"/>
  <c r="FU165" i="2"/>
  <c r="FU166" i="2"/>
  <c r="FU167" i="2"/>
  <c r="FU168" i="2"/>
  <c r="FU169" i="2"/>
  <c r="FU170" i="2"/>
  <c r="FU171" i="2"/>
  <c r="FU172" i="2"/>
  <c r="FU173" i="2"/>
  <c r="FU174" i="2"/>
  <c r="FU175" i="2"/>
  <c r="FU176" i="2"/>
  <c r="FU177" i="2"/>
  <c r="FU178" i="2"/>
  <c r="FU179" i="2"/>
  <c r="FU180" i="2"/>
  <c r="FU181" i="2"/>
  <c r="FU182" i="2"/>
  <c r="FU183" i="2"/>
  <c r="FU184" i="2"/>
  <c r="FU185" i="2"/>
  <c r="FU186" i="2"/>
  <c r="FU187" i="2"/>
  <c r="FU188" i="2"/>
  <c r="FU189" i="2"/>
  <c r="FU190" i="2"/>
  <c r="FU191" i="2"/>
  <c r="FU192" i="2"/>
  <c r="FU193" i="2"/>
  <c r="FU194" i="2"/>
  <c r="FU195" i="2"/>
  <c r="FU196" i="2"/>
  <c r="FU197" i="2"/>
  <c r="FU198" i="2"/>
  <c r="FU199" i="2"/>
  <c r="FU200" i="2"/>
  <c r="FU201" i="2"/>
  <c r="FU202" i="2"/>
  <c r="FU203" i="2"/>
  <c r="FV4" i="2"/>
  <c r="FV5" i="2"/>
  <c r="FV6" i="2"/>
  <c r="FV7" i="2"/>
  <c r="FV8" i="2"/>
  <c r="FV9" i="2"/>
  <c r="FV10" i="2"/>
  <c r="FV11" i="2"/>
  <c r="FV12" i="2"/>
  <c r="FV13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29" i="2"/>
  <c r="FV30" i="2"/>
  <c r="FV31" i="2"/>
  <c r="FV32" i="2"/>
  <c r="FV33" i="2"/>
  <c r="FV34" i="2"/>
  <c r="FV35" i="2"/>
  <c r="FV36" i="2"/>
  <c r="FV37" i="2"/>
  <c r="FV38" i="2"/>
  <c r="FV39" i="2"/>
  <c r="FV40" i="2"/>
  <c r="FV41" i="2"/>
  <c r="FV42" i="2"/>
  <c r="FV43" i="2"/>
  <c r="FV44" i="2"/>
  <c r="FV45" i="2"/>
  <c r="FV46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8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4" i="2"/>
  <c r="FV95" i="2"/>
  <c r="FV96" i="2"/>
  <c r="FV97" i="2"/>
  <c r="FV98" i="2"/>
  <c r="FV99" i="2"/>
  <c r="FV100" i="2"/>
  <c r="FV101" i="2"/>
  <c r="FV102" i="2"/>
  <c r="FV103" i="2"/>
  <c r="FV104" i="2"/>
  <c r="FV105" i="2"/>
  <c r="FV106" i="2"/>
  <c r="FV107" i="2"/>
  <c r="FV108" i="2"/>
  <c r="FV109" i="2"/>
  <c r="FV110" i="2"/>
  <c r="FV111" i="2"/>
  <c r="FV112" i="2"/>
  <c r="FV113" i="2"/>
  <c r="FV114" i="2"/>
  <c r="FV115" i="2"/>
  <c r="FV116" i="2"/>
  <c r="FV117" i="2"/>
  <c r="FV118" i="2"/>
  <c r="FV119" i="2"/>
  <c r="FV120" i="2"/>
  <c r="FV121" i="2"/>
  <c r="FV122" i="2"/>
  <c r="FV123" i="2"/>
  <c r="FV124" i="2"/>
  <c r="FV125" i="2"/>
  <c r="FV126" i="2"/>
  <c r="FV127" i="2"/>
  <c r="FV128" i="2"/>
  <c r="FV129" i="2"/>
  <c r="FV130" i="2"/>
  <c r="FV131" i="2"/>
  <c r="FV132" i="2"/>
  <c r="FV133" i="2"/>
  <c r="FV134" i="2"/>
  <c r="FV135" i="2"/>
  <c r="FV136" i="2"/>
  <c r="FV137" i="2"/>
  <c r="FV138" i="2"/>
  <c r="FV139" i="2"/>
  <c r="FV140" i="2"/>
  <c r="FV141" i="2"/>
  <c r="FV142" i="2"/>
  <c r="FV143" i="2"/>
  <c r="FV144" i="2"/>
  <c r="FV145" i="2"/>
  <c r="FV146" i="2"/>
  <c r="FV147" i="2"/>
  <c r="FV148" i="2"/>
  <c r="FV149" i="2"/>
  <c r="FV150" i="2"/>
  <c r="FV151" i="2"/>
  <c r="FV152" i="2"/>
  <c r="FV153" i="2"/>
  <c r="FV154" i="2"/>
  <c r="FV155" i="2"/>
  <c r="FV156" i="2"/>
  <c r="FV157" i="2"/>
  <c r="FV158" i="2"/>
  <c r="FV159" i="2"/>
  <c r="FV160" i="2"/>
  <c r="FV161" i="2"/>
  <c r="FV162" i="2"/>
  <c r="FV163" i="2"/>
  <c r="FV164" i="2"/>
  <c r="FV165" i="2"/>
  <c r="FV166" i="2"/>
  <c r="FV167" i="2"/>
  <c r="FV168" i="2"/>
  <c r="FV169" i="2"/>
  <c r="FV170" i="2"/>
  <c r="FV171" i="2"/>
  <c r="FV172" i="2"/>
  <c r="FV173" i="2"/>
  <c r="FV174" i="2"/>
  <c r="FV175" i="2"/>
  <c r="FV176" i="2"/>
  <c r="FV177" i="2"/>
  <c r="FV178" i="2"/>
  <c r="FV179" i="2"/>
  <c r="FV180" i="2"/>
  <c r="FV181" i="2"/>
  <c r="FV182" i="2"/>
  <c r="FV183" i="2"/>
  <c r="FV184" i="2"/>
  <c r="FV185" i="2"/>
  <c r="FV186" i="2"/>
  <c r="FV187" i="2"/>
  <c r="FV188" i="2"/>
  <c r="FV189" i="2"/>
  <c r="FV190" i="2"/>
  <c r="FV191" i="2"/>
  <c r="FV192" i="2"/>
  <c r="FV193" i="2"/>
  <c r="FV194" i="2"/>
  <c r="FV195" i="2"/>
  <c r="FV196" i="2"/>
  <c r="FV197" i="2"/>
  <c r="FV198" i="2"/>
  <c r="FV199" i="2"/>
  <c r="FV200" i="2"/>
  <c r="FV201" i="2"/>
  <c r="FV202" i="2"/>
  <c r="FV203" i="2"/>
  <c r="FA4" i="2"/>
  <c r="FA5" i="2"/>
  <c r="FA6" i="2"/>
  <c r="FA7" i="2"/>
  <c r="FA8" i="2"/>
  <c r="FA9" i="2"/>
  <c r="FA10" i="2"/>
  <c r="FA11" i="2"/>
  <c r="FA12" i="2"/>
  <c r="FA13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29" i="2"/>
  <c r="FA30" i="2"/>
  <c r="FA31" i="2"/>
  <c r="FA32" i="2"/>
  <c r="FA33" i="2"/>
  <c r="FA34" i="2"/>
  <c r="FA35" i="2"/>
  <c r="FA36" i="2"/>
  <c r="FA37" i="2"/>
  <c r="FA38" i="2"/>
  <c r="FA39" i="2"/>
  <c r="FA40" i="2"/>
  <c r="FA41" i="2"/>
  <c r="FA42" i="2"/>
  <c r="FA43" i="2"/>
  <c r="FA44" i="2"/>
  <c r="FA45" i="2"/>
  <c r="FA46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4" i="2"/>
  <c r="FA95" i="2"/>
  <c r="FA96" i="2"/>
  <c r="FA97" i="2"/>
  <c r="FA98" i="2"/>
  <c r="FA99" i="2"/>
  <c r="FA100" i="2"/>
  <c r="FA101" i="2"/>
  <c r="FA102" i="2"/>
  <c r="FA103" i="2"/>
  <c r="FA104" i="2"/>
  <c r="FA105" i="2"/>
  <c r="FA106" i="2"/>
  <c r="FA107" i="2"/>
  <c r="FA108" i="2"/>
  <c r="FA109" i="2"/>
  <c r="FA110" i="2"/>
  <c r="FA111" i="2"/>
  <c r="FA112" i="2"/>
  <c r="FA113" i="2"/>
  <c r="FA114" i="2"/>
  <c r="FA115" i="2"/>
  <c r="FA116" i="2"/>
  <c r="FA117" i="2"/>
  <c r="FA118" i="2"/>
  <c r="FA119" i="2"/>
  <c r="FA120" i="2"/>
  <c r="FA121" i="2"/>
  <c r="FA122" i="2"/>
  <c r="FA123" i="2"/>
  <c r="FA124" i="2"/>
  <c r="FA125" i="2"/>
  <c r="FA126" i="2"/>
  <c r="FA127" i="2"/>
  <c r="FA128" i="2"/>
  <c r="FA129" i="2"/>
  <c r="FA130" i="2"/>
  <c r="FA131" i="2"/>
  <c r="FA132" i="2"/>
  <c r="FA133" i="2"/>
  <c r="FA134" i="2"/>
  <c r="FA135" i="2"/>
  <c r="FA136" i="2"/>
  <c r="FA137" i="2"/>
  <c r="FA138" i="2"/>
  <c r="FA139" i="2"/>
  <c r="FA140" i="2"/>
  <c r="FA141" i="2"/>
  <c r="FA142" i="2"/>
  <c r="FA143" i="2"/>
  <c r="FA144" i="2"/>
  <c r="FA145" i="2"/>
  <c r="FA146" i="2"/>
  <c r="FA147" i="2"/>
  <c r="FA148" i="2"/>
  <c r="FA149" i="2"/>
  <c r="FA150" i="2"/>
  <c r="FA151" i="2"/>
  <c r="FA152" i="2"/>
  <c r="FA153" i="2"/>
  <c r="FA154" i="2"/>
  <c r="FA155" i="2"/>
  <c r="FA156" i="2"/>
  <c r="FA157" i="2"/>
  <c r="FA158" i="2"/>
  <c r="FA159" i="2"/>
  <c r="FA160" i="2"/>
  <c r="FA161" i="2"/>
  <c r="FA162" i="2"/>
  <c r="FA163" i="2"/>
  <c r="FA164" i="2"/>
  <c r="FA165" i="2"/>
  <c r="FA166" i="2"/>
  <c r="FA167" i="2"/>
  <c r="FA168" i="2"/>
  <c r="FA169" i="2"/>
  <c r="FA170" i="2"/>
  <c r="FA171" i="2"/>
  <c r="FA172" i="2"/>
  <c r="FA173" i="2"/>
  <c r="FA174" i="2"/>
  <c r="FA175" i="2"/>
  <c r="FA176" i="2"/>
  <c r="FA177" i="2"/>
  <c r="FA178" i="2"/>
  <c r="FA179" i="2"/>
  <c r="FA180" i="2"/>
  <c r="FA181" i="2"/>
  <c r="FA182" i="2"/>
  <c r="FA183" i="2"/>
  <c r="FA184" i="2"/>
  <c r="FA185" i="2"/>
  <c r="FA186" i="2"/>
  <c r="FA187" i="2"/>
  <c r="FA188" i="2"/>
  <c r="FA189" i="2"/>
  <c r="FA190" i="2"/>
  <c r="FA191" i="2"/>
  <c r="FA192" i="2"/>
  <c r="FA193" i="2"/>
  <c r="FA194" i="2"/>
  <c r="FA195" i="2"/>
  <c r="FA196" i="2"/>
  <c r="FA197" i="2"/>
  <c r="FA198" i="2"/>
  <c r="FA199" i="2"/>
  <c r="FA200" i="2"/>
  <c r="FA201" i="2"/>
  <c r="FA202" i="2"/>
  <c r="FA203" i="2"/>
  <c r="EZ4" i="2"/>
  <c r="EZ5" i="2"/>
  <c r="EZ6" i="2"/>
  <c r="EZ7" i="2"/>
  <c r="EZ8" i="2"/>
  <c r="EZ9" i="2"/>
  <c r="EZ10" i="2"/>
  <c r="EZ11" i="2"/>
  <c r="EZ12" i="2"/>
  <c r="EZ13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29" i="2"/>
  <c r="EZ30" i="2"/>
  <c r="EZ31" i="2"/>
  <c r="EZ32" i="2"/>
  <c r="EZ33" i="2"/>
  <c r="EZ34" i="2"/>
  <c r="EZ35" i="2"/>
  <c r="EZ36" i="2"/>
  <c r="EZ37" i="2"/>
  <c r="EZ38" i="2"/>
  <c r="EZ39" i="2"/>
  <c r="EZ40" i="2"/>
  <c r="EZ41" i="2"/>
  <c r="EZ42" i="2"/>
  <c r="EZ43" i="2"/>
  <c r="EZ44" i="2"/>
  <c r="EZ45" i="2"/>
  <c r="EZ46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8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4" i="2"/>
  <c r="EZ95" i="2"/>
  <c r="EZ96" i="2"/>
  <c r="EZ97" i="2"/>
  <c r="EZ98" i="2"/>
  <c r="EZ99" i="2"/>
  <c r="EZ100" i="2"/>
  <c r="EZ101" i="2"/>
  <c r="EZ102" i="2"/>
  <c r="EZ103" i="2"/>
  <c r="EZ104" i="2"/>
  <c r="EZ105" i="2"/>
  <c r="EZ106" i="2"/>
  <c r="EZ107" i="2"/>
  <c r="EZ108" i="2"/>
  <c r="EZ109" i="2"/>
  <c r="EZ110" i="2"/>
  <c r="EZ111" i="2"/>
  <c r="EZ112" i="2"/>
  <c r="EZ113" i="2"/>
  <c r="EZ114" i="2"/>
  <c r="EZ115" i="2"/>
  <c r="EZ116" i="2"/>
  <c r="EZ117" i="2"/>
  <c r="EZ118" i="2"/>
  <c r="EZ119" i="2"/>
  <c r="EZ120" i="2"/>
  <c r="EZ121" i="2"/>
  <c r="EZ122" i="2"/>
  <c r="EZ123" i="2"/>
  <c r="EZ124" i="2"/>
  <c r="EZ125" i="2"/>
  <c r="EZ126" i="2"/>
  <c r="EZ127" i="2"/>
  <c r="EZ128" i="2"/>
  <c r="EZ129" i="2"/>
  <c r="EZ130" i="2"/>
  <c r="EZ131" i="2"/>
  <c r="EZ132" i="2"/>
  <c r="EZ133" i="2"/>
  <c r="EZ134" i="2"/>
  <c r="EZ135" i="2"/>
  <c r="EZ136" i="2"/>
  <c r="EZ137" i="2"/>
  <c r="EZ138" i="2"/>
  <c r="EZ139" i="2"/>
  <c r="EZ140" i="2"/>
  <c r="EZ141" i="2"/>
  <c r="EZ142" i="2"/>
  <c r="EZ143" i="2"/>
  <c r="EZ144" i="2"/>
  <c r="EZ145" i="2"/>
  <c r="EZ146" i="2"/>
  <c r="EZ147" i="2"/>
  <c r="EZ148" i="2"/>
  <c r="EZ149" i="2"/>
  <c r="EZ150" i="2"/>
  <c r="EZ151" i="2"/>
  <c r="EZ152" i="2"/>
  <c r="EZ153" i="2"/>
  <c r="EZ154" i="2"/>
  <c r="EZ155" i="2"/>
  <c r="EZ156" i="2"/>
  <c r="EZ157" i="2"/>
  <c r="EZ158" i="2"/>
  <c r="EZ159" i="2"/>
  <c r="EZ160" i="2"/>
  <c r="EZ161" i="2"/>
  <c r="EZ162" i="2"/>
  <c r="EZ163" i="2"/>
  <c r="EZ164" i="2"/>
  <c r="EZ165" i="2"/>
  <c r="EZ166" i="2"/>
  <c r="EZ167" i="2"/>
  <c r="EZ168" i="2"/>
  <c r="EZ169" i="2"/>
  <c r="EZ170" i="2"/>
  <c r="EZ171" i="2"/>
  <c r="EZ172" i="2"/>
  <c r="EZ173" i="2"/>
  <c r="EZ174" i="2"/>
  <c r="EZ175" i="2"/>
  <c r="EZ176" i="2"/>
  <c r="EZ177" i="2"/>
  <c r="EZ178" i="2"/>
  <c r="EZ179" i="2"/>
  <c r="EZ180" i="2"/>
  <c r="EZ181" i="2"/>
  <c r="EZ182" i="2"/>
  <c r="EZ183" i="2"/>
  <c r="EZ184" i="2"/>
  <c r="EZ185" i="2"/>
  <c r="EZ186" i="2"/>
  <c r="EZ187" i="2"/>
  <c r="EZ188" i="2"/>
  <c r="EZ189" i="2"/>
  <c r="EZ190" i="2"/>
  <c r="EZ191" i="2"/>
  <c r="EZ192" i="2"/>
  <c r="EZ193" i="2"/>
  <c r="EZ194" i="2"/>
  <c r="EZ195" i="2"/>
  <c r="EZ196" i="2"/>
  <c r="EZ197" i="2"/>
  <c r="EZ198" i="2"/>
  <c r="EZ199" i="2"/>
  <c r="EZ200" i="2"/>
  <c r="EZ201" i="2"/>
  <c r="EZ202" i="2"/>
  <c r="EZ203" i="2"/>
  <c r="EF4" i="2"/>
  <c r="EF5" i="2"/>
  <c r="EF6" i="2"/>
  <c r="EF7" i="2"/>
  <c r="EF8" i="2"/>
  <c r="EF9" i="2"/>
  <c r="EF10" i="2"/>
  <c r="EF11" i="2"/>
  <c r="EF12" i="2"/>
  <c r="EF13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29" i="2"/>
  <c r="EF30" i="2"/>
  <c r="EF31" i="2"/>
  <c r="EF32" i="2"/>
  <c r="EF33" i="2"/>
  <c r="EF34" i="2"/>
  <c r="EF35" i="2"/>
  <c r="EF36" i="2"/>
  <c r="EF37" i="2"/>
  <c r="EF38" i="2"/>
  <c r="EF39" i="2"/>
  <c r="EF40" i="2"/>
  <c r="EF41" i="2"/>
  <c r="EF42" i="2"/>
  <c r="EF43" i="2"/>
  <c r="EF44" i="2"/>
  <c r="EF45" i="2"/>
  <c r="EF46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8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4" i="2"/>
  <c r="EF95" i="2"/>
  <c r="EF96" i="2"/>
  <c r="EF97" i="2"/>
  <c r="EF98" i="2"/>
  <c r="EF99" i="2"/>
  <c r="EF100" i="2"/>
  <c r="EF101" i="2"/>
  <c r="EF102" i="2"/>
  <c r="EF103" i="2"/>
  <c r="EF104" i="2"/>
  <c r="EF105" i="2"/>
  <c r="EF106" i="2"/>
  <c r="EF107" i="2"/>
  <c r="EF108" i="2"/>
  <c r="EF109" i="2"/>
  <c r="EF110" i="2"/>
  <c r="EF111" i="2"/>
  <c r="EF112" i="2"/>
  <c r="EF113" i="2"/>
  <c r="EF114" i="2"/>
  <c r="EF115" i="2"/>
  <c r="EF116" i="2"/>
  <c r="EF117" i="2"/>
  <c r="EF118" i="2"/>
  <c r="EF119" i="2"/>
  <c r="EF120" i="2"/>
  <c r="EF121" i="2"/>
  <c r="EF122" i="2"/>
  <c r="EF123" i="2"/>
  <c r="EF124" i="2"/>
  <c r="EF125" i="2"/>
  <c r="EF126" i="2"/>
  <c r="EF127" i="2"/>
  <c r="EF128" i="2"/>
  <c r="EF129" i="2"/>
  <c r="EF130" i="2"/>
  <c r="EF131" i="2"/>
  <c r="EF132" i="2"/>
  <c r="EF133" i="2"/>
  <c r="EF134" i="2"/>
  <c r="EF135" i="2"/>
  <c r="EF136" i="2"/>
  <c r="EF137" i="2"/>
  <c r="EF138" i="2"/>
  <c r="EF139" i="2"/>
  <c r="EF140" i="2"/>
  <c r="EF141" i="2"/>
  <c r="EF142" i="2"/>
  <c r="EF143" i="2"/>
  <c r="EF144" i="2"/>
  <c r="EF145" i="2"/>
  <c r="EF146" i="2"/>
  <c r="EF147" i="2"/>
  <c r="EF148" i="2"/>
  <c r="EF149" i="2"/>
  <c r="EF150" i="2"/>
  <c r="EF151" i="2"/>
  <c r="EF152" i="2"/>
  <c r="EF153" i="2"/>
  <c r="EF154" i="2"/>
  <c r="EF155" i="2"/>
  <c r="EF156" i="2"/>
  <c r="EF157" i="2"/>
  <c r="EF158" i="2"/>
  <c r="EF159" i="2"/>
  <c r="EF160" i="2"/>
  <c r="EF161" i="2"/>
  <c r="EF162" i="2"/>
  <c r="EF163" i="2"/>
  <c r="EF164" i="2"/>
  <c r="EF165" i="2"/>
  <c r="EF166" i="2"/>
  <c r="EF167" i="2"/>
  <c r="EF168" i="2"/>
  <c r="EF169" i="2"/>
  <c r="EF170" i="2"/>
  <c r="EF171" i="2"/>
  <c r="EF172" i="2"/>
  <c r="EF173" i="2"/>
  <c r="EF174" i="2"/>
  <c r="EF175" i="2"/>
  <c r="EF176" i="2"/>
  <c r="EF177" i="2"/>
  <c r="EF178" i="2"/>
  <c r="EF179" i="2"/>
  <c r="EF180" i="2"/>
  <c r="EF181" i="2"/>
  <c r="EF182" i="2"/>
  <c r="EF183" i="2"/>
  <c r="EF184" i="2"/>
  <c r="EF185" i="2"/>
  <c r="EF186" i="2"/>
  <c r="EF187" i="2"/>
  <c r="EF188" i="2"/>
  <c r="EF189" i="2"/>
  <c r="EF190" i="2"/>
  <c r="EF191" i="2"/>
  <c r="EF192" i="2"/>
  <c r="EF193" i="2"/>
  <c r="EF194" i="2"/>
  <c r="EF195" i="2"/>
  <c r="EF196" i="2"/>
  <c r="EF197" i="2"/>
  <c r="EF198" i="2"/>
  <c r="EF199" i="2"/>
  <c r="EF200" i="2"/>
  <c r="EF201" i="2"/>
  <c r="EF202" i="2"/>
  <c r="EF203" i="2"/>
  <c r="EE4" i="2"/>
  <c r="EE5" i="2"/>
  <c r="EE6" i="2"/>
  <c r="EE7" i="2"/>
  <c r="EE8" i="2"/>
  <c r="EE9" i="2"/>
  <c r="EE10" i="2"/>
  <c r="EE11" i="2"/>
  <c r="EE12" i="2"/>
  <c r="EE13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6" i="2"/>
  <c r="EE37" i="2"/>
  <c r="EE38" i="2"/>
  <c r="EE39" i="2"/>
  <c r="EE40" i="2"/>
  <c r="EE41" i="2"/>
  <c r="EE42" i="2"/>
  <c r="EE43" i="2"/>
  <c r="EE44" i="2"/>
  <c r="EE45" i="2"/>
  <c r="EE46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8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4" i="2"/>
  <c r="EE95" i="2"/>
  <c r="EE96" i="2"/>
  <c r="EE97" i="2"/>
  <c r="EE98" i="2"/>
  <c r="EE99" i="2"/>
  <c r="EE100" i="2"/>
  <c r="EE101" i="2"/>
  <c r="EE102" i="2"/>
  <c r="EE103" i="2"/>
  <c r="EE104" i="2"/>
  <c r="EE105" i="2"/>
  <c r="EE106" i="2"/>
  <c r="EE107" i="2"/>
  <c r="EE108" i="2"/>
  <c r="EE109" i="2"/>
  <c r="EE110" i="2"/>
  <c r="EE111" i="2"/>
  <c r="EE112" i="2"/>
  <c r="EE113" i="2"/>
  <c r="EE114" i="2"/>
  <c r="EE115" i="2"/>
  <c r="EE116" i="2"/>
  <c r="EE117" i="2"/>
  <c r="EE118" i="2"/>
  <c r="EE119" i="2"/>
  <c r="EE120" i="2"/>
  <c r="EE121" i="2"/>
  <c r="EE122" i="2"/>
  <c r="EE123" i="2"/>
  <c r="EE124" i="2"/>
  <c r="EE125" i="2"/>
  <c r="EE126" i="2"/>
  <c r="EE127" i="2"/>
  <c r="EE128" i="2"/>
  <c r="EE129" i="2"/>
  <c r="EE130" i="2"/>
  <c r="EE131" i="2"/>
  <c r="EE132" i="2"/>
  <c r="EE133" i="2"/>
  <c r="EE134" i="2"/>
  <c r="EE135" i="2"/>
  <c r="EE136" i="2"/>
  <c r="EE137" i="2"/>
  <c r="EE138" i="2"/>
  <c r="EE139" i="2"/>
  <c r="EE140" i="2"/>
  <c r="EE141" i="2"/>
  <c r="EE142" i="2"/>
  <c r="EE143" i="2"/>
  <c r="EE144" i="2"/>
  <c r="EE145" i="2"/>
  <c r="EE146" i="2"/>
  <c r="EE147" i="2"/>
  <c r="EE148" i="2"/>
  <c r="EE149" i="2"/>
  <c r="EE150" i="2"/>
  <c r="EE151" i="2"/>
  <c r="EE152" i="2"/>
  <c r="EE153" i="2"/>
  <c r="EE154" i="2"/>
  <c r="EE155" i="2"/>
  <c r="EE156" i="2"/>
  <c r="EE157" i="2"/>
  <c r="EE158" i="2"/>
  <c r="EE159" i="2"/>
  <c r="EE160" i="2"/>
  <c r="EE161" i="2"/>
  <c r="EE162" i="2"/>
  <c r="EE163" i="2"/>
  <c r="EE164" i="2"/>
  <c r="EE165" i="2"/>
  <c r="EE166" i="2"/>
  <c r="EE167" i="2"/>
  <c r="EE168" i="2"/>
  <c r="EE169" i="2"/>
  <c r="EE170" i="2"/>
  <c r="EE171" i="2"/>
  <c r="EE172" i="2"/>
  <c r="EE173" i="2"/>
  <c r="EE174" i="2"/>
  <c r="EE175" i="2"/>
  <c r="EE176" i="2"/>
  <c r="EE177" i="2"/>
  <c r="EE178" i="2"/>
  <c r="EE179" i="2"/>
  <c r="EE180" i="2"/>
  <c r="EE181" i="2"/>
  <c r="EE182" i="2"/>
  <c r="EE183" i="2"/>
  <c r="EE184" i="2"/>
  <c r="EE185" i="2"/>
  <c r="EE186" i="2"/>
  <c r="EE187" i="2"/>
  <c r="EE188" i="2"/>
  <c r="EE189" i="2"/>
  <c r="EE190" i="2"/>
  <c r="EE191" i="2"/>
  <c r="EE192" i="2"/>
  <c r="EE193" i="2"/>
  <c r="EE194" i="2"/>
  <c r="EE195" i="2"/>
  <c r="EE196" i="2"/>
  <c r="EE197" i="2"/>
  <c r="EE198" i="2"/>
  <c r="EE199" i="2"/>
  <c r="EE200" i="2"/>
  <c r="EE201" i="2"/>
  <c r="EE202" i="2"/>
  <c r="EE203" i="2"/>
  <c r="DK4" i="2"/>
  <c r="DK5" i="2"/>
  <c r="DK6" i="2"/>
  <c r="DK7" i="2"/>
  <c r="DK8" i="2"/>
  <c r="DK9" i="2"/>
  <c r="DK10" i="2"/>
  <c r="DK11" i="2"/>
  <c r="DK12" i="2"/>
  <c r="DK13" i="2"/>
  <c r="DK14" i="2"/>
  <c r="DK15" i="2"/>
  <c r="DK16" i="2"/>
  <c r="DK17" i="2"/>
  <c r="DK18" i="2"/>
  <c r="DK19" i="2"/>
  <c r="DK20" i="2"/>
  <c r="DK21" i="2"/>
  <c r="DK22" i="2"/>
  <c r="DK23" i="2"/>
  <c r="DK24" i="2"/>
  <c r="DK25" i="2"/>
  <c r="DK26" i="2"/>
  <c r="DK27" i="2"/>
  <c r="DK28" i="2"/>
  <c r="DK29" i="2"/>
  <c r="DK30" i="2"/>
  <c r="DK31" i="2"/>
  <c r="DK32" i="2"/>
  <c r="DK33" i="2"/>
  <c r="DK34" i="2"/>
  <c r="DK35" i="2"/>
  <c r="DK36" i="2"/>
  <c r="DK37" i="2"/>
  <c r="DK38" i="2"/>
  <c r="DK39" i="2"/>
  <c r="DK40" i="2"/>
  <c r="DK41" i="2"/>
  <c r="DK42" i="2"/>
  <c r="DK43" i="2"/>
  <c r="DK44" i="2"/>
  <c r="DK45" i="2"/>
  <c r="DK46" i="2"/>
  <c r="DK47" i="2"/>
  <c r="DK48" i="2"/>
  <c r="DK49" i="2"/>
  <c r="DK50" i="2"/>
  <c r="DK51" i="2"/>
  <c r="DK52" i="2"/>
  <c r="DK53" i="2"/>
  <c r="DK54" i="2"/>
  <c r="DK55" i="2"/>
  <c r="DK56" i="2"/>
  <c r="DK57" i="2"/>
  <c r="DK58" i="2"/>
  <c r="DK59" i="2"/>
  <c r="DK60" i="2"/>
  <c r="DK61" i="2"/>
  <c r="DK62" i="2"/>
  <c r="DK63" i="2"/>
  <c r="DK64" i="2"/>
  <c r="DK65" i="2"/>
  <c r="DK66" i="2"/>
  <c r="DK67" i="2"/>
  <c r="DK68" i="2"/>
  <c r="DK69" i="2"/>
  <c r="DK70" i="2"/>
  <c r="DK71" i="2"/>
  <c r="DK72" i="2"/>
  <c r="DK73" i="2"/>
  <c r="DK74" i="2"/>
  <c r="DK75" i="2"/>
  <c r="DK76" i="2"/>
  <c r="DK77" i="2"/>
  <c r="DK78" i="2"/>
  <c r="DK79" i="2"/>
  <c r="DK80" i="2"/>
  <c r="DK81" i="2"/>
  <c r="DK82" i="2"/>
  <c r="DK83" i="2"/>
  <c r="DK84" i="2"/>
  <c r="DK85" i="2"/>
  <c r="DK86" i="2"/>
  <c r="DK87" i="2"/>
  <c r="DK88" i="2"/>
  <c r="DK89" i="2"/>
  <c r="DK90" i="2"/>
  <c r="DK91" i="2"/>
  <c r="DK92" i="2"/>
  <c r="DK93" i="2"/>
  <c r="DK94" i="2"/>
  <c r="DK95" i="2"/>
  <c r="DK96" i="2"/>
  <c r="DK97" i="2"/>
  <c r="DK98" i="2"/>
  <c r="DK99" i="2"/>
  <c r="DK100" i="2"/>
  <c r="DK101" i="2"/>
  <c r="DK102" i="2"/>
  <c r="DK103" i="2"/>
  <c r="DK104" i="2"/>
  <c r="DK105" i="2"/>
  <c r="DK106" i="2"/>
  <c r="DK107" i="2"/>
  <c r="DK108" i="2"/>
  <c r="DK109" i="2"/>
  <c r="DK110" i="2"/>
  <c r="DK111" i="2"/>
  <c r="DK112" i="2"/>
  <c r="DK113" i="2"/>
  <c r="DK114" i="2"/>
  <c r="DK115" i="2"/>
  <c r="DK116" i="2"/>
  <c r="DK117" i="2"/>
  <c r="DK118" i="2"/>
  <c r="DK119" i="2"/>
  <c r="DK120" i="2"/>
  <c r="DK121" i="2"/>
  <c r="DK122" i="2"/>
  <c r="DK123" i="2"/>
  <c r="DK124" i="2"/>
  <c r="DK125" i="2"/>
  <c r="DK126" i="2"/>
  <c r="DK127" i="2"/>
  <c r="DK128" i="2"/>
  <c r="DK129" i="2"/>
  <c r="DK130" i="2"/>
  <c r="DK131" i="2"/>
  <c r="DK132" i="2"/>
  <c r="DK133" i="2"/>
  <c r="DK134" i="2"/>
  <c r="DK135" i="2"/>
  <c r="DK136" i="2"/>
  <c r="DK137" i="2"/>
  <c r="DK138" i="2"/>
  <c r="DK139" i="2"/>
  <c r="DK140" i="2"/>
  <c r="DK141" i="2"/>
  <c r="DK142" i="2"/>
  <c r="DK143" i="2"/>
  <c r="DK144" i="2"/>
  <c r="DK145" i="2"/>
  <c r="DK146" i="2"/>
  <c r="DK147" i="2"/>
  <c r="DK148" i="2"/>
  <c r="DK149" i="2"/>
  <c r="DK150" i="2"/>
  <c r="DK151" i="2"/>
  <c r="DK152" i="2"/>
  <c r="DK153" i="2"/>
  <c r="DK154" i="2"/>
  <c r="DK155" i="2"/>
  <c r="DK156" i="2"/>
  <c r="DK157" i="2"/>
  <c r="DK158" i="2"/>
  <c r="DK159" i="2"/>
  <c r="DK160" i="2"/>
  <c r="DK161" i="2"/>
  <c r="DK162" i="2"/>
  <c r="DK163" i="2"/>
  <c r="DK164" i="2"/>
  <c r="DK165" i="2"/>
  <c r="DK166" i="2"/>
  <c r="DK167" i="2"/>
  <c r="DK168" i="2"/>
  <c r="DK169" i="2"/>
  <c r="DK170" i="2"/>
  <c r="DK171" i="2"/>
  <c r="DK172" i="2"/>
  <c r="DK173" i="2"/>
  <c r="DK174" i="2"/>
  <c r="DK175" i="2"/>
  <c r="DK176" i="2"/>
  <c r="DK177" i="2"/>
  <c r="DK178" i="2"/>
  <c r="DK179" i="2"/>
  <c r="DK180" i="2"/>
  <c r="DK181" i="2"/>
  <c r="DK182" i="2"/>
  <c r="DK183" i="2"/>
  <c r="DK184" i="2"/>
  <c r="DK185" i="2"/>
  <c r="DK186" i="2"/>
  <c r="DK187" i="2"/>
  <c r="DK188" i="2"/>
  <c r="DK189" i="2"/>
  <c r="DK190" i="2"/>
  <c r="DK191" i="2"/>
  <c r="DK192" i="2"/>
  <c r="DK193" i="2"/>
  <c r="DK194" i="2"/>
  <c r="DK195" i="2"/>
  <c r="DK196" i="2"/>
  <c r="DK197" i="2"/>
  <c r="DK198" i="2"/>
  <c r="DK199" i="2"/>
  <c r="DK200" i="2"/>
  <c r="DK201" i="2"/>
  <c r="DK202" i="2"/>
  <c r="DK203" i="2"/>
  <c r="DJ4" i="2"/>
  <c r="DJ5" i="2"/>
  <c r="DJ6" i="2"/>
  <c r="DJ7" i="2"/>
  <c r="DJ8" i="2"/>
  <c r="DJ9" i="2"/>
  <c r="DJ10" i="2"/>
  <c r="DJ11" i="2"/>
  <c r="DJ12" i="2"/>
  <c r="DJ13" i="2"/>
  <c r="DJ14" i="2"/>
  <c r="DJ15" i="2"/>
  <c r="DJ16" i="2"/>
  <c r="DJ17" i="2"/>
  <c r="DJ18" i="2"/>
  <c r="DJ19" i="2"/>
  <c r="DJ20" i="2"/>
  <c r="DJ21" i="2"/>
  <c r="DJ22" i="2"/>
  <c r="DJ23" i="2"/>
  <c r="DJ24" i="2"/>
  <c r="DJ25" i="2"/>
  <c r="DJ26" i="2"/>
  <c r="DJ27" i="2"/>
  <c r="DJ28" i="2"/>
  <c r="DJ29" i="2"/>
  <c r="DJ30" i="2"/>
  <c r="DJ31" i="2"/>
  <c r="DJ32" i="2"/>
  <c r="DJ33" i="2"/>
  <c r="DJ34" i="2"/>
  <c r="DJ35" i="2"/>
  <c r="DJ36" i="2"/>
  <c r="DJ37" i="2"/>
  <c r="DJ38" i="2"/>
  <c r="DJ39" i="2"/>
  <c r="DJ40" i="2"/>
  <c r="DJ41" i="2"/>
  <c r="DJ42" i="2"/>
  <c r="DJ43" i="2"/>
  <c r="DJ44" i="2"/>
  <c r="DJ45" i="2"/>
  <c r="DJ46" i="2"/>
  <c r="DJ47" i="2"/>
  <c r="DJ48" i="2"/>
  <c r="DJ49" i="2"/>
  <c r="DJ50" i="2"/>
  <c r="DJ51" i="2"/>
  <c r="DJ52" i="2"/>
  <c r="DJ53" i="2"/>
  <c r="DJ54" i="2"/>
  <c r="DJ55" i="2"/>
  <c r="DJ56" i="2"/>
  <c r="DJ57" i="2"/>
  <c r="DJ58" i="2"/>
  <c r="DJ59" i="2"/>
  <c r="DJ60" i="2"/>
  <c r="DJ61" i="2"/>
  <c r="DJ62" i="2"/>
  <c r="DJ63" i="2"/>
  <c r="DJ64" i="2"/>
  <c r="DJ65" i="2"/>
  <c r="DJ66" i="2"/>
  <c r="DJ67" i="2"/>
  <c r="DJ68" i="2"/>
  <c r="DJ69" i="2"/>
  <c r="DJ70" i="2"/>
  <c r="DJ71" i="2"/>
  <c r="DJ72" i="2"/>
  <c r="DJ73" i="2"/>
  <c r="DJ74" i="2"/>
  <c r="DJ75" i="2"/>
  <c r="DJ76" i="2"/>
  <c r="DJ77" i="2"/>
  <c r="DJ78" i="2"/>
  <c r="DJ79" i="2"/>
  <c r="DJ80" i="2"/>
  <c r="DJ81" i="2"/>
  <c r="DJ82" i="2"/>
  <c r="DJ83" i="2"/>
  <c r="DJ84" i="2"/>
  <c r="DJ85" i="2"/>
  <c r="DJ86" i="2"/>
  <c r="DJ87" i="2"/>
  <c r="DJ88" i="2"/>
  <c r="DJ89" i="2"/>
  <c r="DJ90" i="2"/>
  <c r="DJ91" i="2"/>
  <c r="DJ92" i="2"/>
  <c r="DJ93" i="2"/>
  <c r="DJ94" i="2"/>
  <c r="DJ95" i="2"/>
  <c r="DJ96" i="2"/>
  <c r="DJ97" i="2"/>
  <c r="DJ98" i="2"/>
  <c r="DJ99" i="2"/>
  <c r="DJ100" i="2"/>
  <c r="DJ101" i="2"/>
  <c r="DJ102" i="2"/>
  <c r="DJ103" i="2"/>
  <c r="DJ104" i="2"/>
  <c r="DJ105" i="2"/>
  <c r="DJ106" i="2"/>
  <c r="DJ107" i="2"/>
  <c r="DJ108" i="2"/>
  <c r="DJ109" i="2"/>
  <c r="DJ110" i="2"/>
  <c r="DJ111" i="2"/>
  <c r="DJ112" i="2"/>
  <c r="DJ113" i="2"/>
  <c r="DJ114" i="2"/>
  <c r="DJ115" i="2"/>
  <c r="DJ116" i="2"/>
  <c r="DJ117" i="2"/>
  <c r="DJ118" i="2"/>
  <c r="DJ119" i="2"/>
  <c r="DJ120" i="2"/>
  <c r="DJ121" i="2"/>
  <c r="DJ122" i="2"/>
  <c r="DJ123" i="2"/>
  <c r="DJ124" i="2"/>
  <c r="DJ125" i="2"/>
  <c r="DJ126" i="2"/>
  <c r="DJ127" i="2"/>
  <c r="DJ128" i="2"/>
  <c r="DJ129" i="2"/>
  <c r="DJ130" i="2"/>
  <c r="DJ131" i="2"/>
  <c r="DJ132" i="2"/>
  <c r="DJ133" i="2"/>
  <c r="DJ134" i="2"/>
  <c r="DJ135" i="2"/>
  <c r="DJ136" i="2"/>
  <c r="DJ137" i="2"/>
  <c r="DJ138" i="2"/>
  <c r="DJ139" i="2"/>
  <c r="DJ140" i="2"/>
  <c r="DJ141" i="2"/>
  <c r="DJ142" i="2"/>
  <c r="DJ143" i="2"/>
  <c r="DJ144" i="2"/>
  <c r="DJ145" i="2"/>
  <c r="DJ146" i="2"/>
  <c r="DJ147" i="2"/>
  <c r="DJ148" i="2"/>
  <c r="DJ149" i="2"/>
  <c r="DJ150" i="2"/>
  <c r="DJ151" i="2"/>
  <c r="DJ152" i="2"/>
  <c r="DJ153" i="2"/>
  <c r="DJ154" i="2"/>
  <c r="DJ155" i="2"/>
  <c r="DJ156" i="2"/>
  <c r="DJ157" i="2"/>
  <c r="DJ158" i="2"/>
  <c r="DJ159" i="2"/>
  <c r="DJ160" i="2"/>
  <c r="DJ161" i="2"/>
  <c r="DJ162" i="2"/>
  <c r="DJ163" i="2"/>
  <c r="DJ164" i="2"/>
  <c r="DJ165" i="2"/>
  <c r="DJ166" i="2"/>
  <c r="DJ167" i="2"/>
  <c r="DJ168" i="2"/>
  <c r="DJ169" i="2"/>
  <c r="DJ170" i="2"/>
  <c r="DJ171" i="2"/>
  <c r="DJ172" i="2"/>
  <c r="DJ173" i="2"/>
  <c r="DJ174" i="2"/>
  <c r="DJ175" i="2"/>
  <c r="DJ176" i="2"/>
  <c r="DJ177" i="2"/>
  <c r="DJ178" i="2"/>
  <c r="DJ179" i="2"/>
  <c r="DJ180" i="2"/>
  <c r="DJ181" i="2"/>
  <c r="DJ182" i="2"/>
  <c r="DJ183" i="2"/>
  <c r="DJ184" i="2"/>
  <c r="DJ185" i="2"/>
  <c r="DJ186" i="2"/>
  <c r="DJ187" i="2"/>
  <c r="DJ188" i="2"/>
  <c r="DJ189" i="2"/>
  <c r="DJ190" i="2"/>
  <c r="DJ191" i="2"/>
  <c r="DJ192" i="2"/>
  <c r="DJ193" i="2"/>
  <c r="DJ194" i="2"/>
  <c r="DJ195" i="2"/>
  <c r="DJ196" i="2"/>
  <c r="DJ197" i="2"/>
  <c r="DJ198" i="2"/>
  <c r="DJ199" i="2"/>
  <c r="DJ200" i="2"/>
  <c r="DJ201" i="2"/>
  <c r="DJ202" i="2"/>
  <c r="DJ203" i="2"/>
  <c r="CP4" i="2"/>
  <c r="CP5" i="2"/>
  <c r="CP6" i="2"/>
  <c r="CP7" i="2"/>
  <c r="CP8" i="2"/>
  <c r="CP9" i="2"/>
  <c r="CP10" i="2"/>
  <c r="CP11" i="2"/>
  <c r="CP12" i="2"/>
  <c r="CP13" i="2"/>
  <c r="CP14" i="2"/>
  <c r="CP15" i="2"/>
  <c r="CP16" i="2"/>
  <c r="CP17" i="2"/>
  <c r="CP18" i="2"/>
  <c r="CP19" i="2"/>
  <c r="CP20" i="2"/>
  <c r="CP21" i="2"/>
  <c r="CP22" i="2"/>
  <c r="CP23" i="2"/>
  <c r="CP24" i="2"/>
  <c r="CP25" i="2"/>
  <c r="CP26" i="2"/>
  <c r="CP27" i="2"/>
  <c r="CP28" i="2"/>
  <c r="CP29" i="2"/>
  <c r="CP30" i="2"/>
  <c r="CP31" i="2"/>
  <c r="CP32" i="2"/>
  <c r="CP33" i="2"/>
  <c r="CP34" i="2"/>
  <c r="CP35" i="2"/>
  <c r="CP36" i="2"/>
  <c r="CP37" i="2"/>
  <c r="CP38" i="2"/>
  <c r="CP39" i="2"/>
  <c r="CP40" i="2"/>
  <c r="CP41" i="2"/>
  <c r="CP42" i="2"/>
  <c r="CP43" i="2"/>
  <c r="CP44" i="2"/>
  <c r="CP45" i="2"/>
  <c r="CP46" i="2"/>
  <c r="CP47" i="2"/>
  <c r="CP48" i="2"/>
  <c r="CP49" i="2"/>
  <c r="CP50" i="2"/>
  <c r="CP51" i="2"/>
  <c r="CP52" i="2"/>
  <c r="CP53" i="2"/>
  <c r="CP54" i="2"/>
  <c r="CP55" i="2"/>
  <c r="CP56" i="2"/>
  <c r="CP57" i="2"/>
  <c r="CP58" i="2"/>
  <c r="CP59" i="2"/>
  <c r="CP60" i="2"/>
  <c r="CP61" i="2"/>
  <c r="CP62" i="2"/>
  <c r="CP63" i="2"/>
  <c r="CP64" i="2"/>
  <c r="CP65" i="2"/>
  <c r="CP66" i="2"/>
  <c r="CP67" i="2"/>
  <c r="CP68" i="2"/>
  <c r="CP69" i="2"/>
  <c r="CP70" i="2"/>
  <c r="CP71" i="2"/>
  <c r="CP72" i="2"/>
  <c r="CP73" i="2"/>
  <c r="CP74" i="2"/>
  <c r="CP75" i="2"/>
  <c r="CP76" i="2"/>
  <c r="CP77" i="2"/>
  <c r="CP78" i="2"/>
  <c r="CP79" i="2"/>
  <c r="CP80" i="2"/>
  <c r="CP81" i="2"/>
  <c r="CP82" i="2"/>
  <c r="CP83" i="2"/>
  <c r="CP84" i="2"/>
  <c r="CP85" i="2"/>
  <c r="CP86" i="2"/>
  <c r="CP87" i="2"/>
  <c r="CP88" i="2"/>
  <c r="CP89" i="2"/>
  <c r="CP90" i="2"/>
  <c r="CP91" i="2"/>
  <c r="CP92" i="2"/>
  <c r="CP93" i="2"/>
  <c r="CP94" i="2"/>
  <c r="CP95" i="2"/>
  <c r="CP96" i="2"/>
  <c r="CP97" i="2"/>
  <c r="CP98" i="2"/>
  <c r="CP99" i="2"/>
  <c r="CP100" i="2"/>
  <c r="CP101" i="2"/>
  <c r="CP102" i="2"/>
  <c r="CP103" i="2"/>
  <c r="CP104" i="2"/>
  <c r="CP105" i="2"/>
  <c r="CP106" i="2"/>
  <c r="CP107" i="2"/>
  <c r="CP108" i="2"/>
  <c r="CP109" i="2"/>
  <c r="CP110" i="2"/>
  <c r="CP111" i="2"/>
  <c r="CP112" i="2"/>
  <c r="CP113" i="2"/>
  <c r="CP114" i="2"/>
  <c r="CP115" i="2"/>
  <c r="CP116" i="2"/>
  <c r="CP117" i="2"/>
  <c r="CP118" i="2"/>
  <c r="CP119" i="2"/>
  <c r="CP120" i="2"/>
  <c r="CP121" i="2"/>
  <c r="CP122" i="2"/>
  <c r="CP123" i="2"/>
  <c r="CP124" i="2"/>
  <c r="CP125" i="2"/>
  <c r="CP126" i="2"/>
  <c r="CP127" i="2"/>
  <c r="CP128" i="2"/>
  <c r="CP129" i="2"/>
  <c r="CP130" i="2"/>
  <c r="CP131" i="2"/>
  <c r="CP132" i="2"/>
  <c r="CP133" i="2"/>
  <c r="CP134" i="2"/>
  <c r="CP135" i="2"/>
  <c r="CP136" i="2"/>
  <c r="CP137" i="2"/>
  <c r="CP138" i="2"/>
  <c r="CP139" i="2"/>
  <c r="CP140" i="2"/>
  <c r="CP141" i="2"/>
  <c r="CP142" i="2"/>
  <c r="CP143" i="2"/>
  <c r="CP144" i="2"/>
  <c r="CP145" i="2"/>
  <c r="CP146" i="2"/>
  <c r="CP147" i="2"/>
  <c r="CP148" i="2"/>
  <c r="CP149" i="2"/>
  <c r="CP150" i="2"/>
  <c r="CP151" i="2"/>
  <c r="CP152" i="2"/>
  <c r="CP153" i="2"/>
  <c r="CP154" i="2"/>
  <c r="CP155" i="2"/>
  <c r="CP156" i="2"/>
  <c r="CP157" i="2"/>
  <c r="CP158" i="2"/>
  <c r="CP159" i="2"/>
  <c r="CP160" i="2"/>
  <c r="CP161" i="2"/>
  <c r="CP162" i="2"/>
  <c r="CP163" i="2"/>
  <c r="CP164" i="2"/>
  <c r="CP165" i="2"/>
  <c r="CP166" i="2"/>
  <c r="CP167" i="2"/>
  <c r="CP168" i="2"/>
  <c r="CP169" i="2"/>
  <c r="CP170" i="2"/>
  <c r="CP171" i="2"/>
  <c r="CP172" i="2"/>
  <c r="CP173" i="2"/>
  <c r="CP174" i="2"/>
  <c r="CP175" i="2"/>
  <c r="CP176" i="2"/>
  <c r="CP177" i="2"/>
  <c r="CP178" i="2"/>
  <c r="CP179" i="2"/>
  <c r="CP180" i="2"/>
  <c r="CP181" i="2"/>
  <c r="CP182" i="2"/>
  <c r="CP183" i="2"/>
  <c r="CP184" i="2"/>
  <c r="CP185" i="2"/>
  <c r="CP186" i="2"/>
  <c r="CP187" i="2"/>
  <c r="CP188" i="2"/>
  <c r="CP189" i="2"/>
  <c r="CP190" i="2"/>
  <c r="CP191" i="2"/>
  <c r="CP192" i="2"/>
  <c r="CP193" i="2"/>
  <c r="CP194" i="2"/>
  <c r="CP195" i="2"/>
  <c r="CP196" i="2"/>
  <c r="CP197" i="2"/>
  <c r="CP198" i="2"/>
  <c r="CP199" i="2"/>
  <c r="CP200" i="2"/>
  <c r="CP201" i="2"/>
  <c r="CP202" i="2"/>
  <c r="CP203" i="2"/>
  <c r="CO4" i="2"/>
  <c r="CO5" i="2"/>
  <c r="CO6" i="2"/>
  <c r="CO7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O20" i="2"/>
  <c r="CO21" i="2"/>
  <c r="CO22" i="2"/>
  <c r="CO23" i="2"/>
  <c r="CO24" i="2"/>
  <c r="CO25" i="2"/>
  <c r="CO26" i="2"/>
  <c r="CO27" i="2"/>
  <c r="CO28" i="2"/>
  <c r="CO29" i="2"/>
  <c r="CO30" i="2"/>
  <c r="CO31" i="2"/>
  <c r="CO32" i="2"/>
  <c r="CO33" i="2"/>
  <c r="CO34" i="2"/>
  <c r="CO35" i="2"/>
  <c r="CO36" i="2"/>
  <c r="CO37" i="2"/>
  <c r="CO38" i="2"/>
  <c r="CO39" i="2"/>
  <c r="CO40" i="2"/>
  <c r="CO41" i="2"/>
  <c r="CO42" i="2"/>
  <c r="CO43" i="2"/>
  <c r="CO44" i="2"/>
  <c r="CO45" i="2"/>
  <c r="CO46" i="2"/>
  <c r="CO47" i="2"/>
  <c r="CO48" i="2"/>
  <c r="CO49" i="2"/>
  <c r="CO50" i="2"/>
  <c r="CO51" i="2"/>
  <c r="CO52" i="2"/>
  <c r="CO53" i="2"/>
  <c r="CO54" i="2"/>
  <c r="CO55" i="2"/>
  <c r="CO56" i="2"/>
  <c r="CO57" i="2"/>
  <c r="CO58" i="2"/>
  <c r="CO59" i="2"/>
  <c r="CO60" i="2"/>
  <c r="CO61" i="2"/>
  <c r="CO62" i="2"/>
  <c r="CO63" i="2"/>
  <c r="CO64" i="2"/>
  <c r="CO65" i="2"/>
  <c r="CO66" i="2"/>
  <c r="CO67" i="2"/>
  <c r="CO68" i="2"/>
  <c r="CO69" i="2"/>
  <c r="CO70" i="2"/>
  <c r="CO71" i="2"/>
  <c r="CO72" i="2"/>
  <c r="CO73" i="2"/>
  <c r="CO74" i="2"/>
  <c r="CO75" i="2"/>
  <c r="CO76" i="2"/>
  <c r="CO77" i="2"/>
  <c r="CO78" i="2"/>
  <c r="CO79" i="2"/>
  <c r="CO80" i="2"/>
  <c r="CO81" i="2"/>
  <c r="CO82" i="2"/>
  <c r="CO83" i="2"/>
  <c r="CO84" i="2"/>
  <c r="CO85" i="2"/>
  <c r="CO86" i="2"/>
  <c r="CO87" i="2"/>
  <c r="CO88" i="2"/>
  <c r="CO89" i="2"/>
  <c r="CO90" i="2"/>
  <c r="CO91" i="2"/>
  <c r="CO92" i="2"/>
  <c r="CO93" i="2"/>
  <c r="CO94" i="2"/>
  <c r="CO95" i="2"/>
  <c r="CO96" i="2"/>
  <c r="CO97" i="2"/>
  <c r="CO98" i="2"/>
  <c r="CO99" i="2"/>
  <c r="CO100" i="2"/>
  <c r="CO101" i="2"/>
  <c r="CO102" i="2"/>
  <c r="CO103" i="2"/>
  <c r="CO104" i="2"/>
  <c r="CO105" i="2"/>
  <c r="CO106" i="2"/>
  <c r="CO107" i="2"/>
  <c r="CO108" i="2"/>
  <c r="CO109" i="2"/>
  <c r="CO110" i="2"/>
  <c r="CO111" i="2"/>
  <c r="CO112" i="2"/>
  <c r="CO113" i="2"/>
  <c r="CO114" i="2"/>
  <c r="CO115" i="2"/>
  <c r="CO116" i="2"/>
  <c r="CO117" i="2"/>
  <c r="CO118" i="2"/>
  <c r="CO119" i="2"/>
  <c r="CO120" i="2"/>
  <c r="CO121" i="2"/>
  <c r="CO122" i="2"/>
  <c r="CO123" i="2"/>
  <c r="CO124" i="2"/>
  <c r="CO125" i="2"/>
  <c r="CO126" i="2"/>
  <c r="CO127" i="2"/>
  <c r="CO128" i="2"/>
  <c r="CO129" i="2"/>
  <c r="CO130" i="2"/>
  <c r="CO131" i="2"/>
  <c r="CO132" i="2"/>
  <c r="CO133" i="2"/>
  <c r="CO134" i="2"/>
  <c r="CO135" i="2"/>
  <c r="CO136" i="2"/>
  <c r="CO137" i="2"/>
  <c r="CO138" i="2"/>
  <c r="CO139" i="2"/>
  <c r="CO140" i="2"/>
  <c r="CO141" i="2"/>
  <c r="CO142" i="2"/>
  <c r="CO143" i="2"/>
  <c r="CO144" i="2"/>
  <c r="CO145" i="2"/>
  <c r="CO146" i="2"/>
  <c r="CO147" i="2"/>
  <c r="CO148" i="2"/>
  <c r="CO149" i="2"/>
  <c r="CO150" i="2"/>
  <c r="CO151" i="2"/>
  <c r="CO152" i="2"/>
  <c r="CO153" i="2"/>
  <c r="CO154" i="2"/>
  <c r="CO155" i="2"/>
  <c r="CO156" i="2"/>
  <c r="CO157" i="2"/>
  <c r="CO158" i="2"/>
  <c r="CO159" i="2"/>
  <c r="CO160" i="2"/>
  <c r="CO161" i="2"/>
  <c r="CO162" i="2"/>
  <c r="CO163" i="2"/>
  <c r="CO164" i="2"/>
  <c r="CO165" i="2"/>
  <c r="CO166" i="2"/>
  <c r="CO167" i="2"/>
  <c r="CO168" i="2"/>
  <c r="CO169" i="2"/>
  <c r="CO170" i="2"/>
  <c r="CO171" i="2"/>
  <c r="CO172" i="2"/>
  <c r="CO173" i="2"/>
  <c r="CO174" i="2"/>
  <c r="CO175" i="2"/>
  <c r="CO176" i="2"/>
  <c r="CO177" i="2"/>
  <c r="CO178" i="2"/>
  <c r="CO179" i="2"/>
  <c r="CO180" i="2"/>
  <c r="CO181" i="2"/>
  <c r="CO182" i="2"/>
  <c r="CO183" i="2"/>
  <c r="CO184" i="2"/>
  <c r="CO185" i="2"/>
  <c r="CO186" i="2"/>
  <c r="CO187" i="2"/>
  <c r="CO188" i="2"/>
  <c r="CO189" i="2"/>
  <c r="CO190" i="2"/>
  <c r="CO191" i="2"/>
  <c r="CO192" i="2"/>
  <c r="CO193" i="2"/>
  <c r="CO194" i="2"/>
  <c r="CO195" i="2"/>
  <c r="CO196" i="2"/>
  <c r="CO197" i="2"/>
  <c r="CO198" i="2"/>
  <c r="CO199" i="2"/>
  <c r="CO200" i="2"/>
  <c r="CO201" i="2"/>
  <c r="CO202" i="2"/>
  <c r="CO203" i="2"/>
  <c r="BU4" i="2"/>
  <c r="BU5" i="2"/>
  <c r="BU6" i="2"/>
  <c r="BU7" i="2"/>
  <c r="BU8" i="2"/>
  <c r="BU9" i="2"/>
  <c r="BU10" i="2"/>
  <c r="BU11" i="2"/>
  <c r="BU12" i="2"/>
  <c r="BU13" i="2"/>
  <c r="BU14" i="2"/>
  <c r="BU15" i="2"/>
  <c r="BU16" i="2"/>
  <c r="BU17" i="2"/>
  <c r="BU18" i="2"/>
  <c r="BU19" i="2"/>
  <c r="BU20" i="2"/>
  <c r="BU21" i="2"/>
  <c r="BU22" i="2"/>
  <c r="BU23" i="2"/>
  <c r="BU24" i="2"/>
  <c r="BU25" i="2"/>
  <c r="BU26" i="2"/>
  <c r="BU27" i="2"/>
  <c r="BU28" i="2"/>
  <c r="BU29" i="2"/>
  <c r="BU30" i="2"/>
  <c r="BU31" i="2"/>
  <c r="BU32" i="2"/>
  <c r="BU33" i="2"/>
  <c r="BU34" i="2"/>
  <c r="BU35" i="2"/>
  <c r="BU36" i="2"/>
  <c r="BU37" i="2"/>
  <c r="BU38" i="2"/>
  <c r="BU39" i="2"/>
  <c r="BU40" i="2"/>
  <c r="BU41" i="2"/>
  <c r="BU42" i="2"/>
  <c r="BU43" i="2"/>
  <c r="BU44" i="2"/>
  <c r="BU45" i="2"/>
  <c r="BU46" i="2"/>
  <c r="BU47" i="2"/>
  <c r="BU48" i="2"/>
  <c r="BU49" i="2"/>
  <c r="BU50" i="2"/>
  <c r="BU51" i="2"/>
  <c r="BU52" i="2"/>
  <c r="BU53" i="2"/>
  <c r="BU54" i="2"/>
  <c r="BU55" i="2"/>
  <c r="BU56" i="2"/>
  <c r="BU57" i="2"/>
  <c r="BU58" i="2"/>
  <c r="BU59" i="2"/>
  <c r="BU60" i="2"/>
  <c r="BU61" i="2"/>
  <c r="BU62" i="2"/>
  <c r="BU63" i="2"/>
  <c r="BU64" i="2"/>
  <c r="BU65" i="2"/>
  <c r="BU66" i="2"/>
  <c r="BU67" i="2"/>
  <c r="BU68" i="2"/>
  <c r="BU69" i="2"/>
  <c r="BU70" i="2"/>
  <c r="BU71" i="2"/>
  <c r="BU72" i="2"/>
  <c r="BU73" i="2"/>
  <c r="BU74" i="2"/>
  <c r="BU75" i="2"/>
  <c r="BU76" i="2"/>
  <c r="BU77" i="2"/>
  <c r="BU78" i="2"/>
  <c r="BU79" i="2"/>
  <c r="BU80" i="2"/>
  <c r="BU81" i="2"/>
  <c r="BU82" i="2"/>
  <c r="BU83" i="2"/>
  <c r="BU84" i="2"/>
  <c r="BU85" i="2"/>
  <c r="BU86" i="2"/>
  <c r="BU87" i="2"/>
  <c r="BU88" i="2"/>
  <c r="BU89" i="2"/>
  <c r="BU90" i="2"/>
  <c r="BU91" i="2"/>
  <c r="BU92" i="2"/>
  <c r="BU93" i="2"/>
  <c r="BU94" i="2"/>
  <c r="BU95" i="2"/>
  <c r="BU96" i="2"/>
  <c r="BU97" i="2"/>
  <c r="BU98" i="2"/>
  <c r="BU99" i="2"/>
  <c r="BU100" i="2"/>
  <c r="BU101" i="2"/>
  <c r="BU102" i="2"/>
  <c r="BU103" i="2"/>
  <c r="BU104" i="2"/>
  <c r="BU105" i="2"/>
  <c r="BU106" i="2"/>
  <c r="BU107" i="2"/>
  <c r="BU108" i="2"/>
  <c r="BU109" i="2"/>
  <c r="BU110" i="2"/>
  <c r="BU111" i="2"/>
  <c r="BU112" i="2"/>
  <c r="BU113" i="2"/>
  <c r="BU114" i="2"/>
  <c r="BU115" i="2"/>
  <c r="BU116" i="2"/>
  <c r="BU117" i="2"/>
  <c r="BU118" i="2"/>
  <c r="BU119" i="2"/>
  <c r="BU120" i="2"/>
  <c r="BU121" i="2"/>
  <c r="BU122" i="2"/>
  <c r="BU123" i="2"/>
  <c r="BU124" i="2"/>
  <c r="BU125" i="2"/>
  <c r="BU126" i="2"/>
  <c r="BU127" i="2"/>
  <c r="BU128" i="2"/>
  <c r="BU129" i="2"/>
  <c r="BU130" i="2"/>
  <c r="BU131" i="2"/>
  <c r="BU132" i="2"/>
  <c r="BU133" i="2"/>
  <c r="BU134" i="2"/>
  <c r="BU135" i="2"/>
  <c r="BU136" i="2"/>
  <c r="BU137" i="2"/>
  <c r="BU138" i="2"/>
  <c r="BU139" i="2"/>
  <c r="BU140" i="2"/>
  <c r="BU141" i="2"/>
  <c r="BU142" i="2"/>
  <c r="BU143" i="2"/>
  <c r="BU144" i="2"/>
  <c r="BU145" i="2"/>
  <c r="BU146" i="2"/>
  <c r="BU147" i="2"/>
  <c r="BU148" i="2"/>
  <c r="BU149" i="2"/>
  <c r="BU150" i="2"/>
  <c r="BU151" i="2"/>
  <c r="BU152" i="2"/>
  <c r="BU153" i="2"/>
  <c r="BU154" i="2"/>
  <c r="BU155" i="2"/>
  <c r="BU156" i="2"/>
  <c r="BU157" i="2"/>
  <c r="BU158" i="2"/>
  <c r="BU159" i="2"/>
  <c r="BU160" i="2"/>
  <c r="BU161" i="2"/>
  <c r="BU162" i="2"/>
  <c r="BU163" i="2"/>
  <c r="BU164" i="2"/>
  <c r="BU165" i="2"/>
  <c r="BU166" i="2"/>
  <c r="BU167" i="2"/>
  <c r="BU168" i="2"/>
  <c r="BU169" i="2"/>
  <c r="BU170" i="2"/>
  <c r="BU171" i="2"/>
  <c r="BU172" i="2"/>
  <c r="BU173" i="2"/>
  <c r="BU174" i="2"/>
  <c r="BU175" i="2"/>
  <c r="BU176" i="2"/>
  <c r="BU177" i="2"/>
  <c r="BU178" i="2"/>
  <c r="BU179" i="2"/>
  <c r="BU180" i="2"/>
  <c r="BU181" i="2"/>
  <c r="BU182" i="2"/>
  <c r="BU183" i="2"/>
  <c r="BU184" i="2"/>
  <c r="BU185" i="2"/>
  <c r="BU186" i="2"/>
  <c r="BU187" i="2"/>
  <c r="BU188" i="2"/>
  <c r="BU189" i="2"/>
  <c r="BU190" i="2"/>
  <c r="BU191" i="2"/>
  <c r="BU192" i="2"/>
  <c r="BU193" i="2"/>
  <c r="BU194" i="2"/>
  <c r="BU195" i="2"/>
  <c r="BU196" i="2"/>
  <c r="BU197" i="2"/>
  <c r="BU198" i="2"/>
  <c r="BU199" i="2"/>
  <c r="BU200" i="2"/>
  <c r="BU201" i="2"/>
  <c r="BU202" i="2"/>
  <c r="BU203" i="2"/>
  <c r="BT4" i="2"/>
  <c r="BT5" i="2"/>
  <c r="BT6" i="2"/>
  <c r="BT7" i="2"/>
  <c r="BT8" i="2"/>
  <c r="BT9" i="2"/>
  <c r="BT10" i="2"/>
  <c r="BT11" i="2"/>
  <c r="BT12" i="2"/>
  <c r="BT13" i="2"/>
  <c r="BT14" i="2"/>
  <c r="BT15" i="2"/>
  <c r="BT16" i="2"/>
  <c r="BT17" i="2"/>
  <c r="BT18" i="2"/>
  <c r="BT19" i="2"/>
  <c r="BT20" i="2"/>
  <c r="BT21" i="2"/>
  <c r="BT22" i="2"/>
  <c r="BT23" i="2"/>
  <c r="BT24" i="2"/>
  <c r="BT25" i="2"/>
  <c r="BT26" i="2"/>
  <c r="BT27" i="2"/>
  <c r="BT28" i="2"/>
  <c r="BT29" i="2"/>
  <c r="BT30" i="2"/>
  <c r="BT31" i="2"/>
  <c r="BT32" i="2"/>
  <c r="BT33" i="2"/>
  <c r="BT34" i="2"/>
  <c r="BT35" i="2"/>
  <c r="BT36" i="2"/>
  <c r="BT37" i="2"/>
  <c r="BT38" i="2"/>
  <c r="BT39" i="2"/>
  <c r="BT40" i="2"/>
  <c r="BT41" i="2"/>
  <c r="BT42" i="2"/>
  <c r="BT43" i="2"/>
  <c r="BT44" i="2"/>
  <c r="BT45" i="2"/>
  <c r="BT46" i="2"/>
  <c r="BT47" i="2"/>
  <c r="BT48" i="2"/>
  <c r="BT49" i="2"/>
  <c r="BT50" i="2"/>
  <c r="BT51" i="2"/>
  <c r="BT52" i="2"/>
  <c r="BT53" i="2"/>
  <c r="BT54" i="2"/>
  <c r="BT55" i="2"/>
  <c r="BT56" i="2"/>
  <c r="BT57" i="2"/>
  <c r="BT58" i="2"/>
  <c r="BT59" i="2"/>
  <c r="BT60" i="2"/>
  <c r="BT61" i="2"/>
  <c r="BT62" i="2"/>
  <c r="BT63" i="2"/>
  <c r="BT64" i="2"/>
  <c r="BT65" i="2"/>
  <c r="BT66" i="2"/>
  <c r="BT67" i="2"/>
  <c r="BT68" i="2"/>
  <c r="BT69" i="2"/>
  <c r="BT70" i="2"/>
  <c r="BT71" i="2"/>
  <c r="BT72" i="2"/>
  <c r="BT73" i="2"/>
  <c r="BT74" i="2"/>
  <c r="BT75" i="2"/>
  <c r="BT76" i="2"/>
  <c r="BT77" i="2"/>
  <c r="BT78" i="2"/>
  <c r="BT79" i="2"/>
  <c r="BT80" i="2"/>
  <c r="BT81" i="2"/>
  <c r="BT82" i="2"/>
  <c r="BT83" i="2"/>
  <c r="BT84" i="2"/>
  <c r="BT85" i="2"/>
  <c r="BT86" i="2"/>
  <c r="BT87" i="2"/>
  <c r="BT88" i="2"/>
  <c r="BT89" i="2"/>
  <c r="BT90" i="2"/>
  <c r="BT91" i="2"/>
  <c r="BT92" i="2"/>
  <c r="BT93" i="2"/>
  <c r="BT94" i="2"/>
  <c r="BT95" i="2"/>
  <c r="BT96" i="2"/>
  <c r="BT97" i="2"/>
  <c r="BT98" i="2"/>
  <c r="BT99" i="2"/>
  <c r="BT100" i="2"/>
  <c r="BT101" i="2"/>
  <c r="BT102" i="2"/>
  <c r="BT103" i="2"/>
  <c r="BT104" i="2"/>
  <c r="BT105" i="2"/>
  <c r="BT106" i="2"/>
  <c r="BT107" i="2"/>
  <c r="BT108" i="2"/>
  <c r="BT109" i="2"/>
  <c r="BT110" i="2"/>
  <c r="BT111" i="2"/>
  <c r="BT112" i="2"/>
  <c r="BT113" i="2"/>
  <c r="BT114" i="2"/>
  <c r="BT115" i="2"/>
  <c r="BT116" i="2"/>
  <c r="BT117" i="2"/>
  <c r="BT118" i="2"/>
  <c r="BT119" i="2"/>
  <c r="BT120" i="2"/>
  <c r="BT121" i="2"/>
  <c r="BT122" i="2"/>
  <c r="BT123" i="2"/>
  <c r="BT124" i="2"/>
  <c r="BT125" i="2"/>
  <c r="BT126" i="2"/>
  <c r="BT127" i="2"/>
  <c r="BT128" i="2"/>
  <c r="BT129" i="2"/>
  <c r="BT130" i="2"/>
  <c r="BT131" i="2"/>
  <c r="BT132" i="2"/>
  <c r="BT133" i="2"/>
  <c r="BT134" i="2"/>
  <c r="BT135" i="2"/>
  <c r="BT136" i="2"/>
  <c r="BT137" i="2"/>
  <c r="BT138" i="2"/>
  <c r="BT139" i="2"/>
  <c r="BT140" i="2"/>
  <c r="BT141" i="2"/>
  <c r="BT142" i="2"/>
  <c r="BT143" i="2"/>
  <c r="BT144" i="2"/>
  <c r="BT145" i="2"/>
  <c r="BT146" i="2"/>
  <c r="BT147" i="2"/>
  <c r="BT148" i="2"/>
  <c r="BT149" i="2"/>
  <c r="BT150" i="2"/>
  <c r="BT151" i="2"/>
  <c r="BT152" i="2"/>
  <c r="BT153" i="2"/>
  <c r="BT154" i="2"/>
  <c r="BT155" i="2"/>
  <c r="BT156" i="2"/>
  <c r="BT157" i="2"/>
  <c r="BT158" i="2"/>
  <c r="BT159" i="2"/>
  <c r="BT160" i="2"/>
  <c r="BT161" i="2"/>
  <c r="BT162" i="2"/>
  <c r="BT163" i="2"/>
  <c r="BT164" i="2"/>
  <c r="BT165" i="2"/>
  <c r="BT166" i="2"/>
  <c r="BT167" i="2"/>
  <c r="BT168" i="2"/>
  <c r="BT169" i="2"/>
  <c r="BT170" i="2"/>
  <c r="BT171" i="2"/>
  <c r="BT172" i="2"/>
  <c r="BT173" i="2"/>
  <c r="BT174" i="2"/>
  <c r="BT175" i="2"/>
  <c r="BT176" i="2"/>
  <c r="BT177" i="2"/>
  <c r="BT178" i="2"/>
  <c r="BT179" i="2"/>
  <c r="BT180" i="2"/>
  <c r="BT181" i="2"/>
  <c r="BT182" i="2"/>
  <c r="BT183" i="2"/>
  <c r="BT184" i="2"/>
  <c r="BT185" i="2"/>
  <c r="BT186" i="2"/>
  <c r="BT187" i="2"/>
  <c r="BT188" i="2"/>
  <c r="BT189" i="2"/>
  <c r="BT190" i="2"/>
  <c r="BT191" i="2"/>
  <c r="BT192" i="2"/>
  <c r="BT193" i="2"/>
  <c r="BT194" i="2"/>
  <c r="BT195" i="2"/>
  <c r="BT196" i="2"/>
  <c r="BT197" i="2"/>
  <c r="BT198" i="2"/>
  <c r="BT199" i="2"/>
  <c r="BT200" i="2"/>
  <c r="BT201" i="2"/>
  <c r="BT202" i="2"/>
  <c r="BT203" i="2"/>
  <c r="AZ4" i="2"/>
  <c r="AZ5" i="2"/>
  <c r="AZ6" i="2"/>
  <c r="AZ7" i="2"/>
  <c r="AZ8" i="2"/>
  <c r="AZ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Z90" i="2"/>
  <c r="AZ91" i="2"/>
  <c r="AZ92" i="2"/>
  <c r="AZ93" i="2"/>
  <c r="AZ94" i="2"/>
  <c r="AZ95" i="2"/>
  <c r="AZ96" i="2"/>
  <c r="AZ97" i="2"/>
  <c r="AZ98" i="2"/>
  <c r="AZ99" i="2"/>
  <c r="AZ100" i="2"/>
  <c r="AZ101" i="2"/>
  <c r="AZ102" i="2"/>
  <c r="AZ103" i="2"/>
  <c r="AZ104" i="2"/>
  <c r="AZ105" i="2"/>
  <c r="AZ106" i="2"/>
  <c r="AZ107" i="2"/>
  <c r="AZ108" i="2"/>
  <c r="AZ109" i="2"/>
  <c r="AZ110" i="2"/>
  <c r="AZ111" i="2"/>
  <c r="AZ112" i="2"/>
  <c r="AZ113" i="2"/>
  <c r="AZ114" i="2"/>
  <c r="AZ115" i="2"/>
  <c r="AZ116" i="2"/>
  <c r="AZ117" i="2"/>
  <c r="AZ118" i="2"/>
  <c r="AZ119" i="2"/>
  <c r="AZ120" i="2"/>
  <c r="AZ121" i="2"/>
  <c r="AZ122" i="2"/>
  <c r="AZ123" i="2"/>
  <c r="AZ124" i="2"/>
  <c r="AZ125" i="2"/>
  <c r="AZ126" i="2"/>
  <c r="AZ127" i="2"/>
  <c r="AZ128" i="2"/>
  <c r="AZ129" i="2"/>
  <c r="AZ130" i="2"/>
  <c r="AZ131" i="2"/>
  <c r="AZ132" i="2"/>
  <c r="AZ133" i="2"/>
  <c r="AZ134" i="2"/>
  <c r="AZ135" i="2"/>
  <c r="AZ136" i="2"/>
  <c r="AZ137" i="2"/>
  <c r="AZ138" i="2"/>
  <c r="AZ139" i="2"/>
  <c r="AZ140" i="2"/>
  <c r="AZ141" i="2"/>
  <c r="AZ142" i="2"/>
  <c r="AZ143" i="2"/>
  <c r="AZ144" i="2"/>
  <c r="AZ145" i="2"/>
  <c r="AZ146" i="2"/>
  <c r="AZ147" i="2"/>
  <c r="AZ148" i="2"/>
  <c r="AZ149" i="2"/>
  <c r="AZ150" i="2"/>
  <c r="AZ151" i="2"/>
  <c r="AZ152" i="2"/>
  <c r="AZ153" i="2"/>
  <c r="AZ154" i="2"/>
  <c r="AZ155" i="2"/>
  <c r="AZ156" i="2"/>
  <c r="AZ157" i="2"/>
  <c r="AZ158" i="2"/>
  <c r="AZ159" i="2"/>
  <c r="AZ160" i="2"/>
  <c r="AZ161" i="2"/>
  <c r="AZ162" i="2"/>
  <c r="AZ163" i="2"/>
  <c r="AZ164" i="2"/>
  <c r="AZ165" i="2"/>
  <c r="AZ166" i="2"/>
  <c r="AZ167" i="2"/>
  <c r="AZ168" i="2"/>
  <c r="AZ169" i="2"/>
  <c r="AZ170" i="2"/>
  <c r="AZ171" i="2"/>
  <c r="AZ172" i="2"/>
  <c r="AZ173" i="2"/>
  <c r="AZ174" i="2"/>
  <c r="AZ175" i="2"/>
  <c r="AZ176" i="2"/>
  <c r="AZ177" i="2"/>
  <c r="AZ178" i="2"/>
  <c r="AZ179" i="2"/>
  <c r="AZ180" i="2"/>
  <c r="AZ181" i="2"/>
  <c r="AZ182" i="2"/>
  <c r="AZ183" i="2"/>
  <c r="AZ184" i="2"/>
  <c r="AZ185" i="2"/>
  <c r="AZ186" i="2"/>
  <c r="AZ187" i="2"/>
  <c r="AZ188" i="2"/>
  <c r="AZ189" i="2"/>
  <c r="AZ190" i="2"/>
  <c r="AZ191" i="2"/>
  <c r="AZ192" i="2"/>
  <c r="AZ193" i="2"/>
  <c r="AZ194" i="2"/>
  <c r="AZ195" i="2"/>
  <c r="AZ196" i="2"/>
  <c r="AZ197" i="2"/>
  <c r="AZ198" i="2"/>
  <c r="AZ199" i="2"/>
  <c r="AZ200" i="2"/>
  <c r="AZ201" i="2"/>
  <c r="AZ202" i="2"/>
  <c r="AZ203" i="2"/>
  <c r="AY4" i="2"/>
  <c r="AY5" i="2"/>
  <c r="AY6" i="2"/>
  <c r="AY7" i="2"/>
  <c r="AY8" i="2"/>
  <c r="AY9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AY58" i="2"/>
  <c r="AY59" i="2"/>
  <c r="AY60" i="2"/>
  <c r="AY61" i="2"/>
  <c r="AY62" i="2"/>
  <c r="AY63" i="2"/>
  <c r="AY64" i="2"/>
  <c r="AY65" i="2"/>
  <c r="AY66" i="2"/>
  <c r="AY67" i="2"/>
  <c r="AY68" i="2"/>
  <c r="AY69" i="2"/>
  <c r="AY70" i="2"/>
  <c r="AY71" i="2"/>
  <c r="AY72" i="2"/>
  <c r="AY73" i="2"/>
  <c r="AY74" i="2"/>
  <c r="AY75" i="2"/>
  <c r="AY76" i="2"/>
  <c r="AY77" i="2"/>
  <c r="AY78" i="2"/>
  <c r="AY79" i="2"/>
  <c r="AY80" i="2"/>
  <c r="AY81" i="2"/>
  <c r="AY82" i="2"/>
  <c r="AY83" i="2"/>
  <c r="AY84" i="2"/>
  <c r="AY85" i="2"/>
  <c r="AY86" i="2"/>
  <c r="AY87" i="2"/>
  <c r="AY88" i="2"/>
  <c r="AY89" i="2"/>
  <c r="AY90" i="2"/>
  <c r="AY91" i="2"/>
  <c r="AY92" i="2"/>
  <c r="AY93" i="2"/>
  <c r="AY94" i="2"/>
  <c r="AY95" i="2"/>
  <c r="AY96" i="2"/>
  <c r="AY97" i="2"/>
  <c r="AY98" i="2"/>
  <c r="AY99" i="2"/>
  <c r="AY100" i="2"/>
  <c r="AY101" i="2"/>
  <c r="AY102" i="2"/>
  <c r="AY103" i="2"/>
  <c r="AY104" i="2"/>
  <c r="AY105" i="2"/>
  <c r="AY106" i="2"/>
  <c r="AY107" i="2"/>
  <c r="AY108" i="2"/>
  <c r="AY109" i="2"/>
  <c r="AY110" i="2"/>
  <c r="AY111" i="2"/>
  <c r="AY112" i="2"/>
  <c r="AY113" i="2"/>
  <c r="AY114" i="2"/>
  <c r="AY115" i="2"/>
  <c r="AY116" i="2"/>
  <c r="AY117" i="2"/>
  <c r="AY118" i="2"/>
  <c r="AY119" i="2"/>
  <c r="AY120" i="2"/>
  <c r="AY121" i="2"/>
  <c r="AY122" i="2"/>
  <c r="AY123" i="2"/>
  <c r="AY124" i="2"/>
  <c r="AY125" i="2"/>
  <c r="AY126" i="2"/>
  <c r="AY127" i="2"/>
  <c r="AY128" i="2"/>
  <c r="AY129" i="2"/>
  <c r="AY130" i="2"/>
  <c r="AY131" i="2"/>
  <c r="AY132" i="2"/>
  <c r="AY133" i="2"/>
  <c r="AY134" i="2"/>
  <c r="AY135" i="2"/>
  <c r="AY136" i="2"/>
  <c r="AY137" i="2"/>
  <c r="AY138" i="2"/>
  <c r="AY139" i="2"/>
  <c r="AY140" i="2"/>
  <c r="AY141" i="2"/>
  <c r="AY142" i="2"/>
  <c r="AY143" i="2"/>
  <c r="AY144" i="2"/>
  <c r="AY145" i="2"/>
  <c r="AY146" i="2"/>
  <c r="AY147" i="2"/>
  <c r="AY148" i="2"/>
  <c r="AY149" i="2"/>
  <c r="AY150" i="2"/>
  <c r="AY151" i="2"/>
  <c r="AY152" i="2"/>
  <c r="AY153" i="2"/>
  <c r="AY154" i="2"/>
  <c r="AY155" i="2"/>
  <c r="AY156" i="2"/>
  <c r="AY157" i="2"/>
  <c r="AY158" i="2"/>
  <c r="AY159" i="2"/>
  <c r="AY160" i="2"/>
  <c r="AY161" i="2"/>
  <c r="AY162" i="2"/>
  <c r="AY163" i="2"/>
  <c r="AY164" i="2"/>
  <c r="AY165" i="2"/>
  <c r="AY166" i="2"/>
  <c r="AY167" i="2"/>
  <c r="AY168" i="2"/>
  <c r="AY169" i="2"/>
  <c r="AY170" i="2"/>
  <c r="AY171" i="2"/>
  <c r="AY172" i="2"/>
  <c r="AY173" i="2"/>
  <c r="AY174" i="2"/>
  <c r="AY175" i="2"/>
  <c r="AY176" i="2"/>
  <c r="AY177" i="2"/>
  <c r="AY178" i="2"/>
  <c r="AY179" i="2"/>
  <c r="AY180" i="2"/>
  <c r="AY181" i="2"/>
  <c r="AY182" i="2"/>
  <c r="AY183" i="2"/>
  <c r="AY184" i="2"/>
  <c r="AY185" i="2"/>
  <c r="AY186" i="2"/>
  <c r="AY187" i="2"/>
  <c r="AY188" i="2"/>
  <c r="AY189" i="2"/>
  <c r="AY190" i="2"/>
  <c r="AY191" i="2"/>
  <c r="AY192" i="2"/>
  <c r="AY193" i="2"/>
  <c r="AY194" i="2"/>
  <c r="AY195" i="2"/>
  <c r="AY196" i="2"/>
  <c r="AY197" i="2"/>
  <c r="AY198" i="2"/>
  <c r="AY199" i="2"/>
  <c r="AY200" i="2"/>
  <c r="AY201" i="2"/>
  <c r="AY202" i="2"/>
  <c r="AY203" i="2"/>
  <c r="AE4" i="2"/>
  <c r="AE5" i="2"/>
  <c r="AE6" i="2"/>
  <c r="AE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D4" i="2"/>
  <c r="AD5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3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5" i="2"/>
  <c r="N5" i="2" s="1"/>
  <c r="O5" i="2" s="1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C19" i="7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46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21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196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71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46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21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96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71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46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21" i="6"/>
  <c r="R36" i="6" l="1"/>
  <c r="S35" i="6"/>
  <c r="P5" i="2"/>
  <c r="Q5" i="2" s="1"/>
  <c r="R5" i="2" s="1"/>
  <c r="N12" i="2"/>
  <c r="O12" i="2" s="1"/>
  <c r="N11" i="2"/>
  <c r="O11" i="2" s="1"/>
  <c r="N10" i="2"/>
  <c r="O10" i="2" s="1"/>
  <c r="N9" i="2"/>
  <c r="O9" i="2" s="1"/>
  <c r="N8" i="2"/>
  <c r="O8" i="2" s="1"/>
  <c r="N7" i="2"/>
  <c r="O7" i="2" s="1"/>
  <c r="N6" i="2"/>
  <c r="O6" i="2" s="1"/>
  <c r="N13" i="2"/>
  <c r="O13" i="2" s="1"/>
  <c r="CT28" i="2"/>
  <c r="N4" i="2"/>
  <c r="O4" i="2" s="1"/>
  <c r="F18" i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R37" i="6" l="1"/>
  <c r="S36" i="6"/>
  <c r="P11" i="2"/>
  <c r="Q11" i="2" s="1"/>
  <c r="R11" i="2" s="1"/>
  <c r="P8" i="2"/>
  <c r="Q8" i="2" s="1"/>
  <c r="R8" i="2" s="1"/>
  <c r="P12" i="2"/>
  <c r="Q12" i="2" s="1"/>
  <c r="R12" i="2" s="1"/>
  <c r="P13" i="2"/>
  <c r="Q13" i="2" s="1"/>
  <c r="R13" i="2" s="1"/>
  <c r="P9" i="2"/>
  <c r="Q9" i="2" s="1"/>
  <c r="R9" i="2" s="1"/>
  <c r="P6" i="2"/>
  <c r="Q6" i="2" s="1"/>
  <c r="R6" i="2" s="1"/>
  <c r="P10" i="2"/>
  <c r="Q10" i="2" s="1"/>
  <c r="R10" i="2" s="1"/>
  <c r="P7" i="2"/>
  <c r="Q7" i="2" s="1"/>
  <c r="R7" i="2" s="1"/>
  <c r="GR154" i="2"/>
  <c r="GS154" i="2"/>
  <c r="HB154" i="2"/>
  <c r="HC154" i="2"/>
  <c r="HD154" i="2"/>
  <c r="HE154" i="2"/>
  <c r="HF154" i="2"/>
  <c r="GR155" i="2"/>
  <c r="GS155" i="2"/>
  <c r="HB155" i="2"/>
  <c r="HC155" i="2"/>
  <c r="HD155" i="2"/>
  <c r="HE155" i="2"/>
  <c r="HF155" i="2"/>
  <c r="GR156" i="2"/>
  <c r="GS156" i="2"/>
  <c r="HB156" i="2"/>
  <c r="HC156" i="2"/>
  <c r="HD156" i="2"/>
  <c r="HE156" i="2"/>
  <c r="HF156" i="2"/>
  <c r="GR157" i="2"/>
  <c r="GS157" i="2"/>
  <c r="HB157" i="2"/>
  <c r="HC157" i="2"/>
  <c r="HD157" i="2"/>
  <c r="HE157" i="2"/>
  <c r="HF157" i="2"/>
  <c r="GR158" i="2"/>
  <c r="GS158" i="2"/>
  <c r="HB158" i="2"/>
  <c r="HC158" i="2"/>
  <c r="HD158" i="2"/>
  <c r="HE158" i="2"/>
  <c r="HF158" i="2"/>
  <c r="GR159" i="2"/>
  <c r="GS159" i="2"/>
  <c r="HB159" i="2"/>
  <c r="HC159" i="2"/>
  <c r="HD159" i="2"/>
  <c r="HE159" i="2"/>
  <c r="HF159" i="2"/>
  <c r="GR160" i="2"/>
  <c r="GS160" i="2"/>
  <c r="HB160" i="2"/>
  <c r="HC160" i="2"/>
  <c r="HD160" i="2"/>
  <c r="HE160" i="2"/>
  <c r="HF160" i="2"/>
  <c r="GR161" i="2"/>
  <c r="GS161" i="2"/>
  <c r="HB161" i="2"/>
  <c r="HC161" i="2"/>
  <c r="HD161" i="2"/>
  <c r="HE161" i="2"/>
  <c r="HF161" i="2"/>
  <c r="GR162" i="2"/>
  <c r="GS162" i="2"/>
  <c r="HB162" i="2"/>
  <c r="HC162" i="2"/>
  <c r="HD162" i="2"/>
  <c r="HE162" i="2"/>
  <c r="HF162" i="2"/>
  <c r="GR163" i="2"/>
  <c r="GS163" i="2"/>
  <c r="HB163" i="2"/>
  <c r="HC163" i="2"/>
  <c r="HD163" i="2"/>
  <c r="HE163" i="2"/>
  <c r="HF163" i="2"/>
  <c r="GR164" i="2"/>
  <c r="GS164" i="2"/>
  <c r="HB164" i="2"/>
  <c r="HC164" i="2"/>
  <c r="HD164" i="2"/>
  <c r="HE164" i="2"/>
  <c r="HF164" i="2"/>
  <c r="GR165" i="2"/>
  <c r="GS165" i="2"/>
  <c r="HB165" i="2"/>
  <c r="HC165" i="2"/>
  <c r="HD165" i="2"/>
  <c r="HE165" i="2"/>
  <c r="HF165" i="2"/>
  <c r="GR166" i="2"/>
  <c r="GS166" i="2"/>
  <c r="HB166" i="2"/>
  <c r="HC166" i="2"/>
  <c r="HD166" i="2"/>
  <c r="HE166" i="2"/>
  <c r="HF166" i="2"/>
  <c r="GR167" i="2"/>
  <c r="GS167" i="2"/>
  <c r="HB167" i="2"/>
  <c r="HC167" i="2"/>
  <c r="HD167" i="2"/>
  <c r="HE167" i="2"/>
  <c r="HF167" i="2"/>
  <c r="GR168" i="2"/>
  <c r="GS168" i="2"/>
  <c r="HB168" i="2"/>
  <c r="HC168" i="2"/>
  <c r="HD168" i="2"/>
  <c r="HE168" i="2"/>
  <c r="HF168" i="2"/>
  <c r="GR169" i="2"/>
  <c r="GS169" i="2"/>
  <c r="HB169" i="2"/>
  <c r="HC169" i="2"/>
  <c r="HD169" i="2"/>
  <c r="HE169" i="2"/>
  <c r="HF169" i="2"/>
  <c r="GR170" i="2"/>
  <c r="GS170" i="2"/>
  <c r="HB170" i="2"/>
  <c r="HC170" i="2"/>
  <c r="HD170" i="2"/>
  <c r="HE170" i="2"/>
  <c r="HF170" i="2"/>
  <c r="GR171" i="2"/>
  <c r="GS171" i="2"/>
  <c r="HB171" i="2"/>
  <c r="HC171" i="2"/>
  <c r="HD171" i="2"/>
  <c r="HE171" i="2"/>
  <c r="HF171" i="2"/>
  <c r="GR172" i="2"/>
  <c r="GS172" i="2"/>
  <c r="HB172" i="2"/>
  <c r="HC172" i="2"/>
  <c r="HD172" i="2"/>
  <c r="HE172" i="2"/>
  <c r="HF172" i="2"/>
  <c r="GR173" i="2"/>
  <c r="GS173" i="2"/>
  <c r="HB173" i="2"/>
  <c r="HC173" i="2"/>
  <c r="HD173" i="2"/>
  <c r="HE173" i="2"/>
  <c r="HF173" i="2"/>
  <c r="GR174" i="2"/>
  <c r="GS174" i="2"/>
  <c r="HB174" i="2"/>
  <c r="HC174" i="2"/>
  <c r="HD174" i="2"/>
  <c r="HE174" i="2"/>
  <c r="HF174" i="2"/>
  <c r="GR175" i="2"/>
  <c r="GS175" i="2"/>
  <c r="HB175" i="2"/>
  <c r="HC175" i="2"/>
  <c r="HD175" i="2"/>
  <c r="HE175" i="2"/>
  <c r="HF175" i="2"/>
  <c r="GR176" i="2"/>
  <c r="GS176" i="2"/>
  <c r="HB176" i="2"/>
  <c r="HC176" i="2"/>
  <c r="HD176" i="2"/>
  <c r="HE176" i="2"/>
  <c r="HF176" i="2"/>
  <c r="GR177" i="2"/>
  <c r="GS177" i="2"/>
  <c r="HB177" i="2"/>
  <c r="HC177" i="2"/>
  <c r="HD177" i="2"/>
  <c r="HE177" i="2"/>
  <c r="HF177" i="2"/>
  <c r="GR178" i="2"/>
  <c r="GS178" i="2"/>
  <c r="HB178" i="2"/>
  <c r="HC178" i="2"/>
  <c r="HD178" i="2"/>
  <c r="HE178" i="2"/>
  <c r="HF178" i="2"/>
  <c r="GR179" i="2"/>
  <c r="GS179" i="2"/>
  <c r="HB179" i="2"/>
  <c r="HC179" i="2"/>
  <c r="HD179" i="2"/>
  <c r="HE179" i="2"/>
  <c r="HF179" i="2"/>
  <c r="GR180" i="2"/>
  <c r="GS180" i="2"/>
  <c r="HB180" i="2"/>
  <c r="HC180" i="2"/>
  <c r="HD180" i="2"/>
  <c r="HE180" i="2"/>
  <c r="HF180" i="2"/>
  <c r="GR181" i="2"/>
  <c r="GS181" i="2"/>
  <c r="HB181" i="2"/>
  <c r="HC181" i="2"/>
  <c r="HD181" i="2"/>
  <c r="HE181" i="2"/>
  <c r="HF181" i="2"/>
  <c r="GR182" i="2"/>
  <c r="GS182" i="2"/>
  <c r="HB182" i="2"/>
  <c r="HC182" i="2"/>
  <c r="HD182" i="2"/>
  <c r="HE182" i="2"/>
  <c r="HF182" i="2"/>
  <c r="GR183" i="2"/>
  <c r="GS183" i="2"/>
  <c r="HB183" i="2"/>
  <c r="HC183" i="2"/>
  <c r="HD183" i="2"/>
  <c r="HE183" i="2"/>
  <c r="HF183" i="2"/>
  <c r="GR184" i="2"/>
  <c r="GS184" i="2"/>
  <c r="HB184" i="2"/>
  <c r="HC184" i="2"/>
  <c r="HD184" i="2"/>
  <c r="HE184" i="2"/>
  <c r="HF184" i="2"/>
  <c r="GR185" i="2"/>
  <c r="GS185" i="2"/>
  <c r="HB185" i="2"/>
  <c r="HC185" i="2"/>
  <c r="HD185" i="2"/>
  <c r="HE185" i="2"/>
  <c r="HF185" i="2"/>
  <c r="GR186" i="2"/>
  <c r="GS186" i="2"/>
  <c r="HB186" i="2"/>
  <c r="HC186" i="2"/>
  <c r="HD186" i="2"/>
  <c r="HE186" i="2"/>
  <c r="HF186" i="2"/>
  <c r="GR187" i="2"/>
  <c r="GS187" i="2"/>
  <c r="HB187" i="2"/>
  <c r="HC187" i="2"/>
  <c r="HD187" i="2"/>
  <c r="HE187" i="2"/>
  <c r="HF187" i="2"/>
  <c r="GR188" i="2"/>
  <c r="GS188" i="2"/>
  <c r="HB188" i="2"/>
  <c r="HC188" i="2"/>
  <c r="HD188" i="2"/>
  <c r="HE188" i="2"/>
  <c r="HF188" i="2"/>
  <c r="GR189" i="2"/>
  <c r="GS189" i="2"/>
  <c r="HB189" i="2"/>
  <c r="HC189" i="2"/>
  <c r="HD189" i="2"/>
  <c r="HE189" i="2"/>
  <c r="HF189" i="2"/>
  <c r="GR190" i="2"/>
  <c r="GS190" i="2"/>
  <c r="HB190" i="2"/>
  <c r="HC190" i="2"/>
  <c r="HD190" i="2"/>
  <c r="HE190" i="2"/>
  <c r="HF190" i="2"/>
  <c r="GR191" i="2"/>
  <c r="GS191" i="2"/>
  <c r="HB191" i="2"/>
  <c r="HC191" i="2"/>
  <c r="HD191" i="2"/>
  <c r="HE191" i="2"/>
  <c r="HF191" i="2"/>
  <c r="GR192" i="2"/>
  <c r="GS192" i="2"/>
  <c r="HB192" i="2"/>
  <c r="HC192" i="2"/>
  <c r="HD192" i="2"/>
  <c r="HE192" i="2"/>
  <c r="HF192" i="2"/>
  <c r="GR193" i="2"/>
  <c r="GS193" i="2"/>
  <c r="HB193" i="2"/>
  <c r="HC193" i="2"/>
  <c r="HD193" i="2"/>
  <c r="HE193" i="2"/>
  <c r="HF193" i="2"/>
  <c r="GR194" i="2"/>
  <c r="GS194" i="2"/>
  <c r="HB194" i="2"/>
  <c r="HC194" i="2"/>
  <c r="HD194" i="2"/>
  <c r="HE194" i="2"/>
  <c r="HF194" i="2"/>
  <c r="GR195" i="2"/>
  <c r="GS195" i="2"/>
  <c r="HB195" i="2"/>
  <c r="HC195" i="2"/>
  <c r="HD195" i="2"/>
  <c r="HE195" i="2"/>
  <c r="HF195" i="2"/>
  <c r="GR196" i="2"/>
  <c r="GS196" i="2"/>
  <c r="HB196" i="2"/>
  <c r="HC196" i="2"/>
  <c r="HD196" i="2"/>
  <c r="HE196" i="2"/>
  <c r="HF196" i="2"/>
  <c r="GR197" i="2"/>
  <c r="GS197" i="2"/>
  <c r="HB197" i="2"/>
  <c r="HC197" i="2"/>
  <c r="HD197" i="2"/>
  <c r="HE197" i="2"/>
  <c r="HF197" i="2"/>
  <c r="GR198" i="2"/>
  <c r="GS198" i="2"/>
  <c r="HB198" i="2"/>
  <c r="HC198" i="2"/>
  <c r="HD198" i="2"/>
  <c r="HE198" i="2"/>
  <c r="HF198" i="2"/>
  <c r="GR199" i="2"/>
  <c r="GS199" i="2"/>
  <c r="HB199" i="2"/>
  <c r="HC199" i="2"/>
  <c r="HD199" i="2"/>
  <c r="HE199" i="2"/>
  <c r="HF199" i="2"/>
  <c r="GR200" i="2"/>
  <c r="GS200" i="2"/>
  <c r="HB200" i="2"/>
  <c r="HC200" i="2"/>
  <c r="HD200" i="2"/>
  <c r="HE200" i="2"/>
  <c r="HF200" i="2"/>
  <c r="GR201" i="2"/>
  <c r="GS201" i="2"/>
  <c r="HB201" i="2"/>
  <c r="HC201" i="2"/>
  <c r="HD201" i="2"/>
  <c r="HE201" i="2"/>
  <c r="HF201" i="2"/>
  <c r="GR202" i="2"/>
  <c r="GS202" i="2"/>
  <c r="GT202" i="2" a="1"/>
  <c r="GT202" i="2" s="1"/>
  <c r="HB202" i="2"/>
  <c r="HC202" i="2"/>
  <c r="HD202" i="2"/>
  <c r="HE202" i="2"/>
  <c r="HF202" i="2"/>
  <c r="GR203" i="2"/>
  <c r="GS203" i="2"/>
  <c r="GT203" i="2" s="1" a="1"/>
  <c r="GT203" i="2" s="1"/>
  <c r="HB203" i="2"/>
  <c r="HC203" i="2"/>
  <c r="HD203" i="2"/>
  <c r="HE203" i="2"/>
  <c r="HF203" i="2"/>
  <c r="FW154" i="2"/>
  <c r="FX154" i="2"/>
  <c r="GG154" i="2"/>
  <c r="GH154" i="2"/>
  <c r="GI154" i="2"/>
  <c r="GJ154" i="2"/>
  <c r="GK154" i="2"/>
  <c r="FW155" i="2"/>
  <c r="FX155" i="2"/>
  <c r="GG155" i="2"/>
  <c r="GH155" i="2"/>
  <c r="GI155" i="2"/>
  <c r="GJ155" i="2"/>
  <c r="GK155" i="2"/>
  <c r="FW156" i="2"/>
  <c r="FX156" i="2"/>
  <c r="GG156" i="2"/>
  <c r="GH156" i="2"/>
  <c r="GI156" i="2"/>
  <c r="GJ156" i="2"/>
  <c r="GK156" i="2"/>
  <c r="FW157" i="2"/>
  <c r="FX157" i="2"/>
  <c r="GG157" i="2"/>
  <c r="GH157" i="2"/>
  <c r="GI157" i="2"/>
  <c r="GJ157" i="2"/>
  <c r="GK157" i="2"/>
  <c r="FW158" i="2"/>
  <c r="FX158" i="2"/>
  <c r="GG158" i="2"/>
  <c r="GH158" i="2"/>
  <c r="GI158" i="2"/>
  <c r="GJ158" i="2"/>
  <c r="GK158" i="2"/>
  <c r="FW159" i="2"/>
  <c r="FX159" i="2"/>
  <c r="GG159" i="2"/>
  <c r="GH159" i="2"/>
  <c r="GI159" i="2"/>
  <c r="GJ159" i="2"/>
  <c r="GK159" i="2"/>
  <c r="FW160" i="2"/>
  <c r="FX160" i="2"/>
  <c r="GG160" i="2"/>
  <c r="GH160" i="2"/>
  <c r="GI160" i="2"/>
  <c r="GJ160" i="2"/>
  <c r="GK160" i="2"/>
  <c r="FW161" i="2"/>
  <c r="FX161" i="2"/>
  <c r="GG161" i="2"/>
  <c r="GH161" i="2"/>
  <c r="GI161" i="2"/>
  <c r="GJ161" i="2"/>
  <c r="GK161" i="2"/>
  <c r="FW162" i="2"/>
  <c r="FX162" i="2"/>
  <c r="GG162" i="2"/>
  <c r="GH162" i="2"/>
  <c r="GI162" i="2"/>
  <c r="GJ162" i="2"/>
  <c r="GK162" i="2"/>
  <c r="FW163" i="2"/>
  <c r="FX163" i="2"/>
  <c r="GG163" i="2"/>
  <c r="GH163" i="2"/>
  <c r="GI163" i="2"/>
  <c r="GJ163" i="2"/>
  <c r="GK163" i="2"/>
  <c r="FW164" i="2"/>
  <c r="FX164" i="2"/>
  <c r="GG164" i="2"/>
  <c r="GH164" i="2"/>
  <c r="GI164" i="2"/>
  <c r="GJ164" i="2"/>
  <c r="GK164" i="2"/>
  <c r="FW165" i="2"/>
  <c r="FX165" i="2"/>
  <c r="GG165" i="2"/>
  <c r="GH165" i="2"/>
  <c r="GI165" i="2"/>
  <c r="GJ165" i="2"/>
  <c r="GK165" i="2"/>
  <c r="FW166" i="2"/>
  <c r="FX166" i="2"/>
  <c r="GG166" i="2"/>
  <c r="GH166" i="2"/>
  <c r="GI166" i="2"/>
  <c r="GJ166" i="2"/>
  <c r="GK166" i="2"/>
  <c r="FW167" i="2"/>
  <c r="FX167" i="2"/>
  <c r="GG167" i="2"/>
  <c r="GH167" i="2"/>
  <c r="GI167" i="2"/>
  <c r="GJ167" i="2"/>
  <c r="GK167" i="2"/>
  <c r="FW168" i="2"/>
  <c r="FX168" i="2"/>
  <c r="GG168" i="2"/>
  <c r="GH168" i="2"/>
  <c r="GI168" i="2"/>
  <c r="GJ168" i="2"/>
  <c r="GK168" i="2"/>
  <c r="FW169" i="2"/>
  <c r="FX169" i="2"/>
  <c r="GG169" i="2"/>
  <c r="GH169" i="2"/>
  <c r="GI169" i="2"/>
  <c r="GJ169" i="2"/>
  <c r="GK169" i="2"/>
  <c r="FW170" i="2"/>
  <c r="FX170" i="2"/>
  <c r="GG170" i="2"/>
  <c r="GH170" i="2"/>
  <c r="GI170" i="2"/>
  <c r="GJ170" i="2"/>
  <c r="GK170" i="2"/>
  <c r="FW171" i="2"/>
  <c r="FX171" i="2"/>
  <c r="GG171" i="2"/>
  <c r="GH171" i="2"/>
  <c r="GI171" i="2"/>
  <c r="GJ171" i="2"/>
  <c r="GK171" i="2"/>
  <c r="FW172" i="2"/>
  <c r="FX172" i="2"/>
  <c r="GG172" i="2"/>
  <c r="GH172" i="2"/>
  <c r="GI172" i="2"/>
  <c r="GJ172" i="2"/>
  <c r="GK172" i="2"/>
  <c r="FW173" i="2"/>
  <c r="FX173" i="2"/>
  <c r="GG173" i="2"/>
  <c r="GH173" i="2"/>
  <c r="GI173" i="2"/>
  <c r="GJ173" i="2"/>
  <c r="GK173" i="2"/>
  <c r="FW174" i="2"/>
  <c r="FX174" i="2"/>
  <c r="GG174" i="2"/>
  <c r="GH174" i="2"/>
  <c r="GI174" i="2"/>
  <c r="GJ174" i="2"/>
  <c r="GK174" i="2"/>
  <c r="FW175" i="2"/>
  <c r="FX175" i="2"/>
  <c r="GG175" i="2"/>
  <c r="GH175" i="2"/>
  <c r="GI175" i="2"/>
  <c r="GJ175" i="2"/>
  <c r="GK175" i="2"/>
  <c r="FW176" i="2"/>
  <c r="FX176" i="2"/>
  <c r="GG176" i="2"/>
  <c r="GH176" i="2"/>
  <c r="GI176" i="2"/>
  <c r="GJ176" i="2"/>
  <c r="GK176" i="2"/>
  <c r="FW177" i="2"/>
  <c r="FX177" i="2"/>
  <c r="GG177" i="2"/>
  <c r="GH177" i="2"/>
  <c r="GI177" i="2"/>
  <c r="GJ177" i="2"/>
  <c r="GK177" i="2"/>
  <c r="FW178" i="2"/>
  <c r="FX178" i="2"/>
  <c r="GG178" i="2"/>
  <c r="GH178" i="2"/>
  <c r="GI178" i="2"/>
  <c r="GJ178" i="2"/>
  <c r="GK178" i="2"/>
  <c r="FW179" i="2"/>
  <c r="FX179" i="2"/>
  <c r="GG179" i="2"/>
  <c r="GH179" i="2"/>
  <c r="GI179" i="2"/>
  <c r="GJ179" i="2"/>
  <c r="GK179" i="2"/>
  <c r="FW180" i="2"/>
  <c r="FX180" i="2"/>
  <c r="GG180" i="2"/>
  <c r="GH180" i="2"/>
  <c r="GI180" i="2"/>
  <c r="GJ180" i="2"/>
  <c r="GK180" i="2"/>
  <c r="FW181" i="2"/>
  <c r="FX181" i="2"/>
  <c r="GG181" i="2"/>
  <c r="GH181" i="2"/>
  <c r="GI181" i="2"/>
  <c r="GJ181" i="2"/>
  <c r="GK181" i="2"/>
  <c r="FW182" i="2"/>
  <c r="FX182" i="2"/>
  <c r="GG182" i="2"/>
  <c r="GH182" i="2"/>
  <c r="GI182" i="2"/>
  <c r="GJ182" i="2"/>
  <c r="GK182" i="2"/>
  <c r="FW183" i="2"/>
  <c r="FX183" i="2"/>
  <c r="GG183" i="2"/>
  <c r="GH183" i="2"/>
  <c r="GI183" i="2"/>
  <c r="GJ183" i="2"/>
  <c r="GK183" i="2"/>
  <c r="FW184" i="2"/>
  <c r="FX184" i="2"/>
  <c r="GG184" i="2"/>
  <c r="GH184" i="2"/>
  <c r="GI184" i="2"/>
  <c r="GJ184" i="2"/>
  <c r="GK184" i="2"/>
  <c r="FW185" i="2"/>
  <c r="FX185" i="2"/>
  <c r="GG185" i="2"/>
  <c r="GH185" i="2"/>
  <c r="GI185" i="2"/>
  <c r="GJ185" i="2"/>
  <c r="GK185" i="2"/>
  <c r="FW186" i="2"/>
  <c r="FX186" i="2"/>
  <c r="GG186" i="2"/>
  <c r="GH186" i="2"/>
  <c r="GI186" i="2"/>
  <c r="GJ186" i="2"/>
  <c r="GK186" i="2"/>
  <c r="FW187" i="2"/>
  <c r="FX187" i="2"/>
  <c r="GG187" i="2"/>
  <c r="GH187" i="2"/>
  <c r="GI187" i="2"/>
  <c r="GJ187" i="2"/>
  <c r="GK187" i="2"/>
  <c r="FW188" i="2"/>
  <c r="FX188" i="2"/>
  <c r="GG188" i="2"/>
  <c r="GH188" i="2"/>
  <c r="GI188" i="2"/>
  <c r="GJ188" i="2"/>
  <c r="GK188" i="2"/>
  <c r="FW189" i="2"/>
  <c r="FX189" i="2"/>
  <c r="GG189" i="2"/>
  <c r="GH189" i="2"/>
  <c r="GI189" i="2"/>
  <c r="GJ189" i="2"/>
  <c r="GK189" i="2"/>
  <c r="FW190" i="2"/>
  <c r="FX190" i="2"/>
  <c r="GG190" i="2"/>
  <c r="GH190" i="2"/>
  <c r="GI190" i="2"/>
  <c r="GJ190" i="2"/>
  <c r="GK190" i="2"/>
  <c r="FW191" i="2"/>
  <c r="FX191" i="2"/>
  <c r="GG191" i="2"/>
  <c r="GH191" i="2"/>
  <c r="GI191" i="2"/>
  <c r="GJ191" i="2"/>
  <c r="GK191" i="2"/>
  <c r="FW192" i="2"/>
  <c r="FX192" i="2"/>
  <c r="GG192" i="2"/>
  <c r="GH192" i="2"/>
  <c r="GI192" i="2"/>
  <c r="GJ192" i="2"/>
  <c r="GK192" i="2"/>
  <c r="FW193" i="2"/>
  <c r="FX193" i="2"/>
  <c r="GG193" i="2"/>
  <c r="GH193" i="2"/>
  <c r="GI193" i="2"/>
  <c r="GJ193" i="2"/>
  <c r="GK193" i="2"/>
  <c r="FW194" i="2"/>
  <c r="FX194" i="2"/>
  <c r="GG194" i="2"/>
  <c r="GH194" i="2"/>
  <c r="GI194" i="2"/>
  <c r="GJ194" i="2"/>
  <c r="GK194" i="2"/>
  <c r="FW195" i="2"/>
  <c r="FX195" i="2"/>
  <c r="GG195" i="2"/>
  <c r="GH195" i="2"/>
  <c r="GI195" i="2"/>
  <c r="GJ195" i="2"/>
  <c r="GK195" i="2"/>
  <c r="FW196" i="2"/>
  <c r="FX196" i="2"/>
  <c r="GG196" i="2"/>
  <c r="GH196" i="2"/>
  <c r="GI196" i="2"/>
  <c r="GJ196" i="2"/>
  <c r="GK196" i="2"/>
  <c r="FW197" i="2"/>
  <c r="FX197" i="2"/>
  <c r="GG197" i="2"/>
  <c r="GH197" i="2"/>
  <c r="GI197" i="2"/>
  <c r="GJ197" i="2"/>
  <c r="GK197" i="2"/>
  <c r="FW198" i="2"/>
  <c r="FX198" i="2"/>
  <c r="GG198" i="2"/>
  <c r="GH198" i="2"/>
  <c r="GI198" i="2"/>
  <c r="GJ198" i="2"/>
  <c r="GK198" i="2"/>
  <c r="FW199" i="2"/>
  <c r="FX199" i="2"/>
  <c r="GG199" i="2"/>
  <c r="GH199" i="2"/>
  <c r="GI199" i="2"/>
  <c r="GJ199" i="2"/>
  <c r="GK199" i="2"/>
  <c r="FW200" i="2"/>
  <c r="FX200" i="2"/>
  <c r="GG200" i="2"/>
  <c r="GH200" i="2"/>
  <c r="GI200" i="2"/>
  <c r="GJ200" i="2"/>
  <c r="GK200" i="2"/>
  <c r="FW201" i="2"/>
  <c r="FX201" i="2"/>
  <c r="GG201" i="2"/>
  <c r="GH201" i="2"/>
  <c r="GI201" i="2"/>
  <c r="GJ201" i="2"/>
  <c r="GK201" i="2"/>
  <c r="FW202" i="2"/>
  <c r="FX202" i="2"/>
  <c r="FY202" i="2" s="1" a="1"/>
  <c r="FY202" i="2" s="1"/>
  <c r="GG202" i="2"/>
  <c r="GH202" i="2"/>
  <c r="GI202" i="2"/>
  <c r="GJ202" i="2"/>
  <c r="GK202" i="2"/>
  <c r="FW203" i="2"/>
  <c r="FX203" i="2"/>
  <c r="FY203" i="2" s="1" a="1"/>
  <c r="FY203" i="2" s="1"/>
  <c r="GG203" i="2"/>
  <c r="GH203" i="2"/>
  <c r="GI203" i="2"/>
  <c r="GJ203" i="2"/>
  <c r="GK203" i="2"/>
  <c r="FB154" i="2"/>
  <c r="FC154" i="2"/>
  <c r="FL154" i="2"/>
  <c r="FM154" i="2"/>
  <c r="FN154" i="2"/>
  <c r="FO154" i="2"/>
  <c r="FP154" i="2"/>
  <c r="FB155" i="2"/>
  <c r="FC155" i="2"/>
  <c r="FL155" i="2"/>
  <c r="FM155" i="2"/>
  <c r="FN155" i="2"/>
  <c r="FO155" i="2"/>
  <c r="FP155" i="2"/>
  <c r="FB156" i="2"/>
  <c r="FC156" i="2"/>
  <c r="FL156" i="2"/>
  <c r="FM156" i="2"/>
  <c r="FN156" i="2"/>
  <c r="FO156" i="2"/>
  <c r="FP156" i="2"/>
  <c r="FB157" i="2"/>
  <c r="FC157" i="2"/>
  <c r="FL157" i="2"/>
  <c r="FM157" i="2"/>
  <c r="FN157" i="2"/>
  <c r="FO157" i="2"/>
  <c r="FP157" i="2"/>
  <c r="FB158" i="2"/>
  <c r="FC158" i="2"/>
  <c r="FL158" i="2"/>
  <c r="FM158" i="2"/>
  <c r="FN158" i="2"/>
  <c r="FO158" i="2"/>
  <c r="FP158" i="2"/>
  <c r="FB159" i="2"/>
  <c r="FC159" i="2"/>
  <c r="FL159" i="2"/>
  <c r="FM159" i="2"/>
  <c r="FN159" i="2"/>
  <c r="FO159" i="2"/>
  <c r="FP159" i="2"/>
  <c r="FB160" i="2"/>
  <c r="FC160" i="2"/>
  <c r="FL160" i="2"/>
  <c r="FM160" i="2"/>
  <c r="FN160" i="2"/>
  <c r="FO160" i="2"/>
  <c r="FP160" i="2"/>
  <c r="FB161" i="2"/>
  <c r="FC161" i="2"/>
  <c r="FL161" i="2"/>
  <c r="FM161" i="2"/>
  <c r="FN161" i="2"/>
  <c r="FO161" i="2"/>
  <c r="FP161" i="2"/>
  <c r="FB162" i="2"/>
  <c r="FC162" i="2"/>
  <c r="FL162" i="2"/>
  <c r="FM162" i="2"/>
  <c r="FN162" i="2"/>
  <c r="FO162" i="2"/>
  <c r="FP162" i="2"/>
  <c r="FB163" i="2"/>
  <c r="FC163" i="2"/>
  <c r="FL163" i="2"/>
  <c r="FM163" i="2"/>
  <c r="FN163" i="2"/>
  <c r="FO163" i="2"/>
  <c r="FP163" i="2"/>
  <c r="FB164" i="2"/>
  <c r="FC164" i="2"/>
  <c r="FL164" i="2"/>
  <c r="FM164" i="2"/>
  <c r="FN164" i="2"/>
  <c r="FO164" i="2"/>
  <c r="FP164" i="2"/>
  <c r="FB165" i="2"/>
  <c r="FC165" i="2"/>
  <c r="FL165" i="2"/>
  <c r="FM165" i="2"/>
  <c r="FN165" i="2"/>
  <c r="FO165" i="2"/>
  <c r="FP165" i="2"/>
  <c r="FB166" i="2"/>
  <c r="FC166" i="2"/>
  <c r="FL166" i="2"/>
  <c r="FM166" i="2"/>
  <c r="FN166" i="2"/>
  <c r="FO166" i="2"/>
  <c r="FP166" i="2"/>
  <c r="FB167" i="2"/>
  <c r="FC167" i="2"/>
  <c r="FL167" i="2"/>
  <c r="FM167" i="2"/>
  <c r="FN167" i="2"/>
  <c r="FO167" i="2"/>
  <c r="FP167" i="2"/>
  <c r="FB168" i="2"/>
  <c r="FC168" i="2"/>
  <c r="FL168" i="2"/>
  <c r="FM168" i="2"/>
  <c r="FN168" i="2"/>
  <c r="FO168" i="2"/>
  <c r="FP168" i="2"/>
  <c r="FB169" i="2"/>
  <c r="FC169" i="2"/>
  <c r="FL169" i="2"/>
  <c r="FM169" i="2"/>
  <c r="FN169" i="2"/>
  <c r="FO169" i="2"/>
  <c r="FP169" i="2"/>
  <c r="FB170" i="2"/>
  <c r="FC170" i="2"/>
  <c r="FL170" i="2"/>
  <c r="FM170" i="2"/>
  <c r="FN170" i="2"/>
  <c r="FO170" i="2"/>
  <c r="FP170" i="2"/>
  <c r="FB171" i="2"/>
  <c r="FC171" i="2"/>
  <c r="FL171" i="2"/>
  <c r="FM171" i="2"/>
  <c r="FN171" i="2"/>
  <c r="FO171" i="2"/>
  <c r="FP171" i="2"/>
  <c r="FB172" i="2"/>
  <c r="FC172" i="2"/>
  <c r="FL172" i="2"/>
  <c r="FM172" i="2"/>
  <c r="FN172" i="2"/>
  <c r="FO172" i="2"/>
  <c r="FP172" i="2"/>
  <c r="FB173" i="2"/>
  <c r="FC173" i="2"/>
  <c r="FL173" i="2"/>
  <c r="FM173" i="2"/>
  <c r="FN173" i="2"/>
  <c r="FO173" i="2"/>
  <c r="FP173" i="2"/>
  <c r="FB174" i="2"/>
  <c r="FC174" i="2"/>
  <c r="FL174" i="2"/>
  <c r="FM174" i="2"/>
  <c r="FN174" i="2"/>
  <c r="FO174" i="2"/>
  <c r="FP174" i="2"/>
  <c r="FB175" i="2"/>
  <c r="FC175" i="2"/>
  <c r="FL175" i="2"/>
  <c r="FM175" i="2"/>
  <c r="FN175" i="2"/>
  <c r="FO175" i="2"/>
  <c r="FP175" i="2"/>
  <c r="FB176" i="2"/>
  <c r="FC176" i="2"/>
  <c r="FL176" i="2"/>
  <c r="FM176" i="2"/>
  <c r="FN176" i="2"/>
  <c r="FO176" i="2"/>
  <c r="FP176" i="2"/>
  <c r="FB177" i="2"/>
  <c r="FC177" i="2"/>
  <c r="FL177" i="2"/>
  <c r="FM177" i="2"/>
  <c r="FN177" i="2"/>
  <c r="FO177" i="2"/>
  <c r="FP177" i="2"/>
  <c r="FB178" i="2"/>
  <c r="FC178" i="2"/>
  <c r="FL178" i="2"/>
  <c r="FM178" i="2"/>
  <c r="FN178" i="2"/>
  <c r="FO178" i="2"/>
  <c r="FP178" i="2"/>
  <c r="FB179" i="2"/>
  <c r="FC179" i="2"/>
  <c r="FL179" i="2"/>
  <c r="FM179" i="2"/>
  <c r="FN179" i="2"/>
  <c r="FO179" i="2"/>
  <c r="FP179" i="2"/>
  <c r="FB180" i="2"/>
  <c r="FC180" i="2"/>
  <c r="FL180" i="2"/>
  <c r="FM180" i="2"/>
  <c r="FN180" i="2"/>
  <c r="FO180" i="2"/>
  <c r="FP180" i="2"/>
  <c r="FB181" i="2"/>
  <c r="FC181" i="2"/>
  <c r="FL181" i="2"/>
  <c r="FM181" i="2"/>
  <c r="FN181" i="2"/>
  <c r="FO181" i="2"/>
  <c r="FP181" i="2"/>
  <c r="FB182" i="2"/>
  <c r="FC182" i="2"/>
  <c r="FL182" i="2"/>
  <c r="FM182" i="2"/>
  <c r="FN182" i="2"/>
  <c r="FO182" i="2"/>
  <c r="FP182" i="2"/>
  <c r="FB183" i="2"/>
  <c r="FC183" i="2"/>
  <c r="FL183" i="2"/>
  <c r="FM183" i="2"/>
  <c r="FN183" i="2"/>
  <c r="FO183" i="2"/>
  <c r="FP183" i="2"/>
  <c r="FB184" i="2"/>
  <c r="FC184" i="2"/>
  <c r="FL184" i="2"/>
  <c r="FM184" i="2"/>
  <c r="FN184" i="2"/>
  <c r="FO184" i="2"/>
  <c r="FP184" i="2"/>
  <c r="FB185" i="2"/>
  <c r="FC185" i="2"/>
  <c r="FL185" i="2"/>
  <c r="FM185" i="2"/>
  <c r="FN185" i="2"/>
  <c r="FO185" i="2"/>
  <c r="FP185" i="2"/>
  <c r="FB186" i="2"/>
  <c r="FC186" i="2"/>
  <c r="FL186" i="2"/>
  <c r="FM186" i="2"/>
  <c r="FN186" i="2"/>
  <c r="FO186" i="2"/>
  <c r="FP186" i="2"/>
  <c r="FB187" i="2"/>
  <c r="FC187" i="2"/>
  <c r="FL187" i="2"/>
  <c r="FM187" i="2"/>
  <c r="FN187" i="2"/>
  <c r="FO187" i="2"/>
  <c r="FP187" i="2"/>
  <c r="FB188" i="2"/>
  <c r="FC188" i="2"/>
  <c r="FL188" i="2"/>
  <c r="FM188" i="2"/>
  <c r="FN188" i="2"/>
  <c r="FO188" i="2"/>
  <c r="FP188" i="2"/>
  <c r="FB189" i="2"/>
  <c r="FC189" i="2"/>
  <c r="FL189" i="2"/>
  <c r="FM189" i="2"/>
  <c r="FN189" i="2"/>
  <c r="FO189" i="2"/>
  <c r="FP189" i="2"/>
  <c r="FB190" i="2"/>
  <c r="FC190" i="2"/>
  <c r="FL190" i="2"/>
  <c r="FM190" i="2"/>
  <c r="FN190" i="2"/>
  <c r="FO190" i="2"/>
  <c r="FP190" i="2"/>
  <c r="FB191" i="2"/>
  <c r="FC191" i="2"/>
  <c r="FL191" i="2"/>
  <c r="FM191" i="2"/>
  <c r="FN191" i="2"/>
  <c r="FO191" i="2"/>
  <c r="FP191" i="2"/>
  <c r="FB192" i="2"/>
  <c r="FC192" i="2"/>
  <c r="FL192" i="2"/>
  <c r="FM192" i="2"/>
  <c r="FN192" i="2"/>
  <c r="FO192" i="2"/>
  <c r="FP192" i="2"/>
  <c r="FB193" i="2"/>
  <c r="FC193" i="2"/>
  <c r="FL193" i="2"/>
  <c r="FM193" i="2"/>
  <c r="FN193" i="2"/>
  <c r="FO193" i="2"/>
  <c r="FP193" i="2"/>
  <c r="FB194" i="2"/>
  <c r="FC194" i="2"/>
  <c r="FL194" i="2"/>
  <c r="FM194" i="2"/>
  <c r="FN194" i="2"/>
  <c r="FO194" i="2"/>
  <c r="FP194" i="2"/>
  <c r="FB195" i="2"/>
  <c r="FC195" i="2"/>
  <c r="FL195" i="2"/>
  <c r="FM195" i="2"/>
  <c r="FN195" i="2"/>
  <c r="FO195" i="2"/>
  <c r="FP195" i="2"/>
  <c r="FB196" i="2"/>
  <c r="FC196" i="2"/>
  <c r="FL196" i="2"/>
  <c r="FM196" i="2"/>
  <c r="FN196" i="2"/>
  <c r="FO196" i="2"/>
  <c r="FP196" i="2"/>
  <c r="FB197" i="2"/>
  <c r="FC197" i="2"/>
  <c r="FL197" i="2"/>
  <c r="FM197" i="2"/>
  <c r="FN197" i="2"/>
  <c r="FO197" i="2"/>
  <c r="FP197" i="2"/>
  <c r="FB198" i="2"/>
  <c r="FC198" i="2"/>
  <c r="FL198" i="2"/>
  <c r="FM198" i="2"/>
  <c r="FN198" i="2"/>
  <c r="FO198" i="2"/>
  <c r="FP198" i="2"/>
  <c r="FB199" i="2"/>
  <c r="FC199" i="2"/>
  <c r="FL199" i="2"/>
  <c r="FM199" i="2"/>
  <c r="FN199" i="2"/>
  <c r="FO199" i="2"/>
  <c r="FP199" i="2"/>
  <c r="FB200" i="2"/>
  <c r="FC200" i="2"/>
  <c r="FL200" i="2"/>
  <c r="FM200" i="2"/>
  <c r="FN200" i="2"/>
  <c r="FO200" i="2"/>
  <c r="FP200" i="2"/>
  <c r="FB201" i="2"/>
  <c r="FC201" i="2"/>
  <c r="FL201" i="2"/>
  <c r="FM201" i="2"/>
  <c r="FN201" i="2"/>
  <c r="FO201" i="2"/>
  <c r="FP201" i="2"/>
  <c r="FB202" i="2"/>
  <c r="FC202" i="2"/>
  <c r="FL202" i="2"/>
  <c r="FM202" i="2"/>
  <c r="FN202" i="2"/>
  <c r="FO202" i="2"/>
  <c r="FP202" i="2"/>
  <c r="FB203" i="2"/>
  <c r="FC203" i="2"/>
  <c r="FL203" i="2"/>
  <c r="FM203" i="2"/>
  <c r="FN203" i="2"/>
  <c r="FO203" i="2"/>
  <c r="FP203" i="2"/>
  <c r="EG154" i="2"/>
  <c r="EH154" i="2"/>
  <c r="EQ154" i="2"/>
  <c r="ER154" i="2"/>
  <c r="ES154" i="2"/>
  <c r="ET154" i="2"/>
  <c r="EU154" i="2"/>
  <c r="EG155" i="2"/>
  <c r="EH155" i="2"/>
  <c r="EQ155" i="2"/>
  <c r="ER155" i="2"/>
  <c r="ES155" i="2"/>
  <c r="ET155" i="2"/>
  <c r="EU155" i="2"/>
  <c r="EG156" i="2"/>
  <c r="EH156" i="2"/>
  <c r="EQ156" i="2"/>
  <c r="ER156" i="2"/>
  <c r="ES156" i="2"/>
  <c r="ET156" i="2"/>
  <c r="EU156" i="2"/>
  <c r="EG157" i="2"/>
  <c r="EH157" i="2"/>
  <c r="EQ157" i="2"/>
  <c r="ER157" i="2"/>
  <c r="ES157" i="2"/>
  <c r="ET157" i="2"/>
  <c r="EU157" i="2"/>
  <c r="EG158" i="2"/>
  <c r="EH158" i="2"/>
  <c r="EQ158" i="2"/>
  <c r="ER158" i="2"/>
  <c r="ES158" i="2"/>
  <c r="ET158" i="2"/>
  <c r="EU158" i="2"/>
  <c r="EG159" i="2"/>
  <c r="EH159" i="2"/>
  <c r="EQ159" i="2"/>
  <c r="ER159" i="2"/>
  <c r="ES159" i="2"/>
  <c r="ET159" i="2"/>
  <c r="EU159" i="2"/>
  <c r="EG160" i="2"/>
  <c r="EH160" i="2"/>
  <c r="EQ160" i="2"/>
  <c r="ER160" i="2"/>
  <c r="ES160" i="2"/>
  <c r="ET160" i="2"/>
  <c r="EU160" i="2"/>
  <c r="EG161" i="2"/>
  <c r="EH161" i="2"/>
  <c r="EQ161" i="2"/>
  <c r="ER161" i="2"/>
  <c r="ES161" i="2"/>
  <c r="ET161" i="2"/>
  <c r="EU161" i="2"/>
  <c r="EG162" i="2"/>
  <c r="EH162" i="2"/>
  <c r="EQ162" i="2"/>
  <c r="ER162" i="2"/>
  <c r="ES162" i="2"/>
  <c r="ET162" i="2"/>
  <c r="EU162" i="2"/>
  <c r="EG163" i="2"/>
  <c r="EH163" i="2"/>
  <c r="EQ163" i="2"/>
  <c r="ER163" i="2"/>
  <c r="ES163" i="2"/>
  <c r="ET163" i="2"/>
  <c r="EU163" i="2"/>
  <c r="EG164" i="2"/>
  <c r="EH164" i="2"/>
  <c r="EQ164" i="2"/>
  <c r="ER164" i="2"/>
  <c r="ES164" i="2"/>
  <c r="ET164" i="2"/>
  <c r="EU164" i="2"/>
  <c r="EG165" i="2"/>
  <c r="EH165" i="2"/>
  <c r="EQ165" i="2"/>
  <c r="ER165" i="2"/>
  <c r="ES165" i="2"/>
  <c r="ET165" i="2"/>
  <c r="EU165" i="2"/>
  <c r="EG166" i="2"/>
  <c r="EH166" i="2"/>
  <c r="EQ166" i="2"/>
  <c r="ER166" i="2"/>
  <c r="ES166" i="2"/>
  <c r="ET166" i="2"/>
  <c r="EU166" i="2"/>
  <c r="EG167" i="2"/>
  <c r="EH167" i="2"/>
  <c r="EQ167" i="2"/>
  <c r="ER167" i="2"/>
  <c r="ES167" i="2"/>
  <c r="ET167" i="2"/>
  <c r="EU167" i="2"/>
  <c r="EG168" i="2"/>
  <c r="EH168" i="2"/>
  <c r="EQ168" i="2"/>
  <c r="ER168" i="2"/>
  <c r="ES168" i="2"/>
  <c r="ET168" i="2"/>
  <c r="EU168" i="2"/>
  <c r="EG169" i="2"/>
  <c r="EH169" i="2"/>
  <c r="EQ169" i="2"/>
  <c r="ER169" i="2"/>
  <c r="ES169" i="2"/>
  <c r="ET169" i="2"/>
  <c r="EU169" i="2"/>
  <c r="EG170" i="2"/>
  <c r="EH170" i="2"/>
  <c r="EQ170" i="2"/>
  <c r="ER170" i="2"/>
  <c r="ES170" i="2"/>
  <c r="ET170" i="2"/>
  <c r="EU170" i="2"/>
  <c r="EG171" i="2"/>
  <c r="EH171" i="2"/>
  <c r="EQ171" i="2"/>
  <c r="ER171" i="2"/>
  <c r="ES171" i="2"/>
  <c r="ET171" i="2"/>
  <c r="EU171" i="2"/>
  <c r="EG172" i="2"/>
  <c r="EH172" i="2"/>
  <c r="EQ172" i="2"/>
  <c r="ER172" i="2"/>
  <c r="ES172" i="2"/>
  <c r="ET172" i="2"/>
  <c r="EU172" i="2"/>
  <c r="EG173" i="2"/>
  <c r="EH173" i="2"/>
  <c r="EQ173" i="2"/>
  <c r="ER173" i="2"/>
  <c r="ES173" i="2"/>
  <c r="ET173" i="2"/>
  <c r="EU173" i="2"/>
  <c r="EG174" i="2"/>
  <c r="EH174" i="2"/>
  <c r="EQ174" i="2"/>
  <c r="ER174" i="2"/>
  <c r="ES174" i="2"/>
  <c r="ET174" i="2"/>
  <c r="EU174" i="2"/>
  <c r="EG175" i="2"/>
  <c r="EH175" i="2"/>
  <c r="EQ175" i="2"/>
  <c r="ER175" i="2"/>
  <c r="ES175" i="2"/>
  <c r="ET175" i="2"/>
  <c r="EU175" i="2"/>
  <c r="EG176" i="2"/>
  <c r="EH176" i="2"/>
  <c r="EQ176" i="2"/>
  <c r="ER176" i="2"/>
  <c r="ES176" i="2"/>
  <c r="ET176" i="2"/>
  <c r="EU176" i="2"/>
  <c r="EG177" i="2"/>
  <c r="EH177" i="2"/>
  <c r="EQ177" i="2"/>
  <c r="ER177" i="2"/>
  <c r="ES177" i="2"/>
  <c r="ET177" i="2"/>
  <c r="EU177" i="2"/>
  <c r="EG178" i="2"/>
  <c r="EH178" i="2"/>
  <c r="EQ178" i="2"/>
  <c r="ER178" i="2"/>
  <c r="ES178" i="2"/>
  <c r="ET178" i="2"/>
  <c r="EU178" i="2"/>
  <c r="EG179" i="2"/>
  <c r="EH179" i="2"/>
  <c r="EQ179" i="2"/>
  <c r="ER179" i="2"/>
  <c r="ES179" i="2"/>
  <c r="ET179" i="2"/>
  <c r="EU179" i="2"/>
  <c r="EG180" i="2"/>
  <c r="EH180" i="2"/>
  <c r="EQ180" i="2"/>
  <c r="ER180" i="2"/>
  <c r="ES180" i="2"/>
  <c r="ET180" i="2"/>
  <c r="EU180" i="2"/>
  <c r="EG181" i="2"/>
  <c r="EH181" i="2"/>
  <c r="EQ181" i="2"/>
  <c r="ER181" i="2"/>
  <c r="ES181" i="2"/>
  <c r="ET181" i="2"/>
  <c r="EU181" i="2"/>
  <c r="EG182" i="2"/>
  <c r="EH182" i="2"/>
  <c r="EQ182" i="2"/>
  <c r="ER182" i="2"/>
  <c r="ES182" i="2"/>
  <c r="ET182" i="2"/>
  <c r="EU182" i="2"/>
  <c r="EG183" i="2"/>
  <c r="EH183" i="2"/>
  <c r="EQ183" i="2"/>
  <c r="ER183" i="2"/>
  <c r="ES183" i="2"/>
  <c r="ET183" i="2"/>
  <c r="EU183" i="2"/>
  <c r="EG184" i="2"/>
  <c r="EH184" i="2"/>
  <c r="EQ184" i="2"/>
  <c r="ER184" i="2"/>
  <c r="ES184" i="2"/>
  <c r="ET184" i="2"/>
  <c r="EU184" i="2"/>
  <c r="EG185" i="2"/>
  <c r="EH185" i="2"/>
  <c r="EQ185" i="2"/>
  <c r="ER185" i="2"/>
  <c r="ES185" i="2"/>
  <c r="ET185" i="2"/>
  <c r="EU185" i="2"/>
  <c r="EG186" i="2"/>
  <c r="EH186" i="2"/>
  <c r="EQ186" i="2"/>
  <c r="ER186" i="2"/>
  <c r="ES186" i="2"/>
  <c r="ET186" i="2"/>
  <c r="EU186" i="2"/>
  <c r="EG187" i="2"/>
  <c r="EH187" i="2"/>
  <c r="EQ187" i="2"/>
  <c r="ER187" i="2"/>
  <c r="ES187" i="2"/>
  <c r="ET187" i="2"/>
  <c r="EU187" i="2"/>
  <c r="EG188" i="2"/>
  <c r="EH188" i="2"/>
  <c r="EQ188" i="2"/>
  <c r="ER188" i="2"/>
  <c r="ES188" i="2"/>
  <c r="ET188" i="2"/>
  <c r="EU188" i="2"/>
  <c r="EG189" i="2"/>
  <c r="EH189" i="2"/>
  <c r="EQ189" i="2"/>
  <c r="ER189" i="2"/>
  <c r="ES189" i="2"/>
  <c r="ET189" i="2"/>
  <c r="EU189" i="2"/>
  <c r="EG190" i="2"/>
  <c r="EH190" i="2"/>
  <c r="EQ190" i="2"/>
  <c r="ER190" i="2"/>
  <c r="ES190" i="2"/>
  <c r="ET190" i="2"/>
  <c r="EU190" i="2"/>
  <c r="EG191" i="2"/>
  <c r="EH191" i="2"/>
  <c r="EQ191" i="2"/>
  <c r="ER191" i="2"/>
  <c r="ES191" i="2"/>
  <c r="ET191" i="2"/>
  <c r="EU191" i="2"/>
  <c r="EG192" i="2"/>
  <c r="EH192" i="2"/>
  <c r="EQ192" i="2"/>
  <c r="ER192" i="2"/>
  <c r="ES192" i="2"/>
  <c r="ET192" i="2"/>
  <c r="EU192" i="2"/>
  <c r="EG193" i="2"/>
  <c r="EH193" i="2"/>
  <c r="EQ193" i="2"/>
  <c r="ER193" i="2"/>
  <c r="ES193" i="2"/>
  <c r="ET193" i="2"/>
  <c r="EU193" i="2"/>
  <c r="EG194" i="2"/>
  <c r="EH194" i="2"/>
  <c r="EQ194" i="2"/>
  <c r="ER194" i="2"/>
  <c r="ES194" i="2"/>
  <c r="ET194" i="2"/>
  <c r="EU194" i="2"/>
  <c r="EG195" i="2"/>
  <c r="EH195" i="2"/>
  <c r="EQ195" i="2"/>
  <c r="ER195" i="2"/>
  <c r="ES195" i="2"/>
  <c r="ET195" i="2"/>
  <c r="EU195" i="2"/>
  <c r="EG196" i="2"/>
  <c r="EH196" i="2"/>
  <c r="EQ196" i="2"/>
  <c r="ER196" i="2"/>
  <c r="ES196" i="2"/>
  <c r="ET196" i="2"/>
  <c r="EU196" i="2"/>
  <c r="EG197" i="2"/>
  <c r="EH197" i="2"/>
  <c r="EQ197" i="2"/>
  <c r="ER197" i="2"/>
  <c r="ES197" i="2"/>
  <c r="ET197" i="2"/>
  <c r="EU197" i="2"/>
  <c r="EG198" i="2"/>
  <c r="EH198" i="2"/>
  <c r="EQ198" i="2"/>
  <c r="ER198" i="2"/>
  <c r="ES198" i="2"/>
  <c r="ET198" i="2"/>
  <c r="EU198" i="2"/>
  <c r="EG199" i="2"/>
  <c r="EH199" i="2"/>
  <c r="EQ199" i="2"/>
  <c r="ER199" i="2"/>
  <c r="ES199" i="2"/>
  <c r="ET199" i="2"/>
  <c r="EU199" i="2"/>
  <c r="EG200" i="2"/>
  <c r="EH200" i="2"/>
  <c r="EQ200" i="2"/>
  <c r="ER200" i="2"/>
  <c r="ES200" i="2"/>
  <c r="ET200" i="2"/>
  <c r="EU200" i="2"/>
  <c r="EG201" i="2"/>
  <c r="EH201" i="2"/>
  <c r="EQ201" i="2"/>
  <c r="ER201" i="2"/>
  <c r="ES201" i="2"/>
  <c r="ET201" i="2"/>
  <c r="EU201" i="2"/>
  <c r="EG202" i="2"/>
  <c r="EH202" i="2"/>
  <c r="EQ202" i="2"/>
  <c r="ER202" i="2"/>
  <c r="ES202" i="2"/>
  <c r="ET202" i="2"/>
  <c r="EU202" i="2"/>
  <c r="EG203" i="2"/>
  <c r="EH203" i="2"/>
  <c r="EI203" i="2" s="1" a="1"/>
  <c r="EI203" i="2" s="1"/>
  <c r="EQ203" i="2"/>
  <c r="ER203" i="2"/>
  <c r="ES203" i="2"/>
  <c r="ET203" i="2"/>
  <c r="EU203" i="2"/>
  <c r="DL154" i="2"/>
  <c r="DM154" i="2"/>
  <c r="DV154" i="2"/>
  <c r="DW154" i="2"/>
  <c r="DX154" i="2"/>
  <c r="DY154" i="2"/>
  <c r="DZ154" i="2"/>
  <c r="DL155" i="2"/>
  <c r="DM155" i="2"/>
  <c r="DV155" i="2"/>
  <c r="DW155" i="2"/>
  <c r="DX155" i="2"/>
  <c r="DY155" i="2"/>
  <c r="DZ155" i="2"/>
  <c r="DL156" i="2"/>
  <c r="DM156" i="2"/>
  <c r="DV156" i="2"/>
  <c r="DW156" i="2"/>
  <c r="DX156" i="2"/>
  <c r="DY156" i="2"/>
  <c r="DZ156" i="2"/>
  <c r="DL157" i="2"/>
  <c r="DM157" i="2"/>
  <c r="DV157" i="2"/>
  <c r="DW157" i="2"/>
  <c r="DX157" i="2"/>
  <c r="DY157" i="2"/>
  <c r="DZ157" i="2"/>
  <c r="DL158" i="2"/>
  <c r="DM158" i="2"/>
  <c r="DV158" i="2"/>
  <c r="DW158" i="2"/>
  <c r="DX158" i="2"/>
  <c r="DY158" i="2"/>
  <c r="DZ158" i="2"/>
  <c r="DL159" i="2"/>
  <c r="DM159" i="2"/>
  <c r="DV159" i="2"/>
  <c r="DW159" i="2"/>
  <c r="DX159" i="2"/>
  <c r="DY159" i="2"/>
  <c r="DZ159" i="2"/>
  <c r="DL160" i="2"/>
  <c r="DM160" i="2"/>
  <c r="DV160" i="2"/>
  <c r="DW160" i="2"/>
  <c r="DX160" i="2"/>
  <c r="DY160" i="2"/>
  <c r="DZ160" i="2"/>
  <c r="DL161" i="2"/>
  <c r="DM161" i="2"/>
  <c r="DV161" i="2"/>
  <c r="DW161" i="2"/>
  <c r="DX161" i="2"/>
  <c r="DY161" i="2"/>
  <c r="DZ161" i="2"/>
  <c r="DL162" i="2"/>
  <c r="DM162" i="2"/>
  <c r="DV162" i="2"/>
  <c r="DW162" i="2"/>
  <c r="DX162" i="2"/>
  <c r="DY162" i="2"/>
  <c r="DZ162" i="2"/>
  <c r="DL163" i="2"/>
  <c r="DM163" i="2"/>
  <c r="DV163" i="2"/>
  <c r="DW163" i="2"/>
  <c r="DX163" i="2"/>
  <c r="DY163" i="2"/>
  <c r="DZ163" i="2"/>
  <c r="DL164" i="2"/>
  <c r="DM164" i="2"/>
  <c r="DV164" i="2"/>
  <c r="DW164" i="2"/>
  <c r="DX164" i="2"/>
  <c r="DY164" i="2"/>
  <c r="DZ164" i="2"/>
  <c r="DL165" i="2"/>
  <c r="DM165" i="2"/>
  <c r="DV165" i="2"/>
  <c r="DW165" i="2"/>
  <c r="DX165" i="2"/>
  <c r="DY165" i="2"/>
  <c r="DZ165" i="2"/>
  <c r="DL166" i="2"/>
  <c r="DM166" i="2"/>
  <c r="DV166" i="2"/>
  <c r="DW166" i="2"/>
  <c r="DX166" i="2"/>
  <c r="DY166" i="2"/>
  <c r="DZ166" i="2"/>
  <c r="DL167" i="2"/>
  <c r="DM167" i="2"/>
  <c r="DV167" i="2"/>
  <c r="DW167" i="2"/>
  <c r="DX167" i="2"/>
  <c r="DY167" i="2"/>
  <c r="DZ167" i="2"/>
  <c r="DL168" i="2"/>
  <c r="DM168" i="2"/>
  <c r="DV168" i="2"/>
  <c r="DW168" i="2"/>
  <c r="DX168" i="2"/>
  <c r="DY168" i="2"/>
  <c r="DZ168" i="2"/>
  <c r="DL169" i="2"/>
  <c r="DM169" i="2"/>
  <c r="DV169" i="2"/>
  <c r="DW169" i="2"/>
  <c r="DX169" i="2"/>
  <c r="DY169" i="2"/>
  <c r="DZ169" i="2"/>
  <c r="DL170" i="2"/>
  <c r="DM170" i="2"/>
  <c r="DV170" i="2"/>
  <c r="DW170" i="2"/>
  <c r="DX170" i="2"/>
  <c r="DY170" i="2"/>
  <c r="DZ170" i="2"/>
  <c r="DL171" i="2"/>
  <c r="DM171" i="2"/>
  <c r="DV171" i="2"/>
  <c r="DW171" i="2"/>
  <c r="DX171" i="2"/>
  <c r="DY171" i="2"/>
  <c r="DZ171" i="2"/>
  <c r="DL172" i="2"/>
  <c r="DM172" i="2"/>
  <c r="DV172" i="2"/>
  <c r="DW172" i="2"/>
  <c r="DX172" i="2"/>
  <c r="DY172" i="2"/>
  <c r="DZ172" i="2"/>
  <c r="DL173" i="2"/>
  <c r="DM173" i="2"/>
  <c r="DV173" i="2"/>
  <c r="DW173" i="2"/>
  <c r="DX173" i="2"/>
  <c r="DY173" i="2"/>
  <c r="DZ173" i="2"/>
  <c r="DL174" i="2"/>
  <c r="DM174" i="2"/>
  <c r="DV174" i="2"/>
  <c r="DW174" i="2"/>
  <c r="DX174" i="2"/>
  <c r="DY174" i="2"/>
  <c r="DZ174" i="2"/>
  <c r="DL175" i="2"/>
  <c r="DM175" i="2"/>
  <c r="DV175" i="2"/>
  <c r="DW175" i="2"/>
  <c r="DX175" i="2"/>
  <c r="DY175" i="2"/>
  <c r="DZ175" i="2"/>
  <c r="DL176" i="2"/>
  <c r="DM176" i="2"/>
  <c r="DV176" i="2"/>
  <c r="DW176" i="2"/>
  <c r="DX176" i="2"/>
  <c r="DY176" i="2"/>
  <c r="DZ176" i="2"/>
  <c r="DL177" i="2"/>
  <c r="DM177" i="2"/>
  <c r="DV177" i="2"/>
  <c r="DW177" i="2"/>
  <c r="DX177" i="2"/>
  <c r="DY177" i="2"/>
  <c r="DZ177" i="2"/>
  <c r="DL178" i="2"/>
  <c r="DM178" i="2"/>
  <c r="DV178" i="2"/>
  <c r="DW178" i="2"/>
  <c r="DX178" i="2"/>
  <c r="DY178" i="2"/>
  <c r="DZ178" i="2"/>
  <c r="DL179" i="2"/>
  <c r="DM179" i="2"/>
  <c r="DV179" i="2"/>
  <c r="DW179" i="2"/>
  <c r="DX179" i="2"/>
  <c r="DY179" i="2"/>
  <c r="DZ179" i="2"/>
  <c r="DL180" i="2"/>
  <c r="DM180" i="2"/>
  <c r="DV180" i="2"/>
  <c r="DW180" i="2"/>
  <c r="DX180" i="2"/>
  <c r="DY180" i="2"/>
  <c r="DZ180" i="2"/>
  <c r="DL181" i="2"/>
  <c r="DM181" i="2"/>
  <c r="DV181" i="2"/>
  <c r="DW181" i="2"/>
  <c r="DX181" i="2"/>
  <c r="DY181" i="2"/>
  <c r="DZ181" i="2"/>
  <c r="DL182" i="2"/>
  <c r="DM182" i="2"/>
  <c r="DV182" i="2"/>
  <c r="DW182" i="2"/>
  <c r="DX182" i="2"/>
  <c r="DY182" i="2"/>
  <c r="DZ182" i="2"/>
  <c r="DL183" i="2"/>
  <c r="DM183" i="2"/>
  <c r="DV183" i="2"/>
  <c r="DW183" i="2"/>
  <c r="DX183" i="2"/>
  <c r="DY183" i="2"/>
  <c r="DZ183" i="2"/>
  <c r="DL184" i="2"/>
  <c r="DM184" i="2"/>
  <c r="DV184" i="2"/>
  <c r="DW184" i="2"/>
  <c r="DX184" i="2"/>
  <c r="DY184" i="2"/>
  <c r="DZ184" i="2"/>
  <c r="DL185" i="2"/>
  <c r="DM185" i="2"/>
  <c r="DV185" i="2"/>
  <c r="DW185" i="2"/>
  <c r="DX185" i="2"/>
  <c r="DY185" i="2"/>
  <c r="DZ185" i="2"/>
  <c r="DL186" i="2"/>
  <c r="DM186" i="2"/>
  <c r="DV186" i="2"/>
  <c r="DW186" i="2"/>
  <c r="DX186" i="2"/>
  <c r="DY186" i="2"/>
  <c r="DZ186" i="2"/>
  <c r="DL187" i="2"/>
  <c r="DM187" i="2"/>
  <c r="DV187" i="2"/>
  <c r="DW187" i="2"/>
  <c r="DX187" i="2"/>
  <c r="DY187" i="2"/>
  <c r="DZ187" i="2"/>
  <c r="DL188" i="2"/>
  <c r="DM188" i="2"/>
  <c r="DV188" i="2"/>
  <c r="DW188" i="2"/>
  <c r="DX188" i="2"/>
  <c r="DY188" i="2"/>
  <c r="DZ188" i="2"/>
  <c r="DL189" i="2"/>
  <c r="DM189" i="2"/>
  <c r="DV189" i="2"/>
  <c r="DW189" i="2"/>
  <c r="DX189" i="2"/>
  <c r="DY189" i="2"/>
  <c r="DZ189" i="2"/>
  <c r="DL190" i="2"/>
  <c r="DM190" i="2"/>
  <c r="DV190" i="2"/>
  <c r="DW190" i="2"/>
  <c r="DX190" i="2"/>
  <c r="DY190" i="2"/>
  <c r="DZ190" i="2"/>
  <c r="DL191" i="2"/>
  <c r="DM191" i="2"/>
  <c r="DV191" i="2"/>
  <c r="DW191" i="2"/>
  <c r="DX191" i="2"/>
  <c r="DY191" i="2"/>
  <c r="DZ191" i="2"/>
  <c r="DL192" i="2"/>
  <c r="DM192" i="2"/>
  <c r="DV192" i="2"/>
  <c r="DW192" i="2"/>
  <c r="DX192" i="2"/>
  <c r="DY192" i="2"/>
  <c r="DZ192" i="2"/>
  <c r="DL193" i="2"/>
  <c r="DM193" i="2"/>
  <c r="DV193" i="2"/>
  <c r="DW193" i="2"/>
  <c r="DX193" i="2"/>
  <c r="DY193" i="2"/>
  <c r="DZ193" i="2"/>
  <c r="DL194" i="2"/>
  <c r="DM194" i="2"/>
  <c r="DV194" i="2"/>
  <c r="DW194" i="2"/>
  <c r="DX194" i="2"/>
  <c r="DY194" i="2"/>
  <c r="DZ194" i="2"/>
  <c r="DL195" i="2"/>
  <c r="DM195" i="2"/>
  <c r="DV195" i="2"/>
  <c r="DW195" i="2"/>
  <c r="DX195" i="2"/>
  <c r="DY195" i="2"/>
  <c r="DZ195" i="2"/>
  <c r="DL196" i="2"/>
  <c r="DM196" i="2"/>
  <c r="DV196" i="2"/>
  <c r="DW196" i="2"/>
  <c r="DX196" i="2"/>
  <c r="DY196" i="2"/>
  <c r="DZ196" i="2"/>
  <c r="DL197" i="2"/>
  <c r="DM197" i="2"/>
  <c r="DV197" i="2"/>
  <c r="DW197" i="2"/>
  <c r="DX197" i="2"/>
  <c r="DY197" i="2"/>
  <c r="DZ197" i="2"/>
  <c r="DL198" i="2"/>
  <c r="DM198" i="2"/>
  <c r="DV198" i="2"/>
  <c r="DW198" i="2"/>
  <c r="DX198" i="2"/>
  <c r="DY198" i="2"/>
  <c r="DZ198" i="2"/>
  <c r="DL199" i="2"/>
  <c r="DM199" i="2"/>
  <c r="DV199" i="2"/>
  <c r="DW199" i="2"/>
  <c r="DX199" i="2"/>
  <c r="DY199" i="2"/>
  <c r="DZ199" i="2"/>
  <c r="DL200" i="2"/>
  <c r="DM200" i="2"/>
  <c r="DV200" i="2"/>
  <c r="DW200" i="2"/>
  <c r="DX200" i="2"/>
  <c r="DY200" i="2"/>
  <c r="DZ200" i="2"/>
  <c r="DL201" i="2"/>
  <c r="DM201" i="2"/>
  <c r="DV201" i="2"/>
  <c r="DW201" i="2"/>
  <c r="DX201" i="2"/>
  <c r="DY201" i="2"/>
  <c r="DZ201" i="2"/>
  <c r="DL202" i="2"/>
  <c r="DM202" i="2"/>
  <c r="DN198" i="2" s="1" a="1"/>
  <c r="DN198" i="2" s="1"/>
  <c r="DV202" i="2"/>
  <c r="DW202" i="2"/>
  <c r="DX202" i="2"/>
  <c r="DY202" i="2"/>
  <c r="DZ202" i="2"/>
  <c r="DL203" i="2"/>
  <c r="DM203" i="2"/>
  <c r="DN203" i="2" a="1"/>
  <c r="DN203" i="2" s="1"/>
  <c r="DV203" i="2"/>
  <c r="DW203" i="2"/>
  <c r="DX203" i="2"/>
  <c r="DY203" i="2"/>
  <c r="DZ203" i="2"/>
  <c r="CQ154" i="2"/>
  <c r="CR154" i="2"/>
  <c r="DA154" i="2"/>
  <c r="DB154" i="2"/>
  <c r="DC154" i="2"/>
  <c r="DD154" i="2"/>
  <c r="DE154" i="2"/>
  <c r="CQ155" i="2"/>
  <c r="CR155" i="2"/>
  <c r="DA155" i="2"/>
  <c r="DB155" i="2"/>
  <c r="DC155" i="2"/>
  <c r="DD155" i="2"/>
  <c r="DE155" i="2"/>
  <c r="CQ156" i="2"/>
  <c r="CR156" i="2"/>
  <c r="DA156" i="2"/>
  <c r="DB156" i="2"/>
  <c r="DC156" i="2"/>
  <c r="DD156" i="2"/>
  <c r="DE156" i="2"/>
  <c r="CQ157" i="2"/>
  <c r="CR157" i="2"/>
  <c r="DA157" i="2"/>
  <c r="DB157" i="2"/>
  <c r="DC157" i="2"/>
  <c r="DD157" i="2"/>
  <c r="DE157" i="2"/>
  <c r="CQ158" i="2"/>
  <c r="CR158" i="2"/>
  <c r="DA158" i="2"/>
  <c r="DB158" i="2"/>
  <c r="DC158" i="2"/>
  <c r="DD158" i="2"/>
  <c r="DE158" i="2"/>
  <c r="CQ159" i="2"/>
  <c r="CR159" i="2"/>
  <c r="DA159" i="2"/>
  <c r="DB159" i="2"/>
  <c r="DC159" i="2"/>
  <c r="DD159" i="2"/>
  <c r="DE159" i="2"/>
  <c r="CQ160" i="2"/>
  <c r="CR160" i="2"/>
  <c r="DA160" i="2"/>
  <c r="DB160" i="2"/>
  <c r="DC160" i="2"/>
  <c r="DD160" i="2"/>
  <c r="DE160" i="2"/>
  <c r="CQ161" i="2"/>
  <c r="CR161" i="2"/>
  <c r="DA161" i="2"/>
  <c r="DB161" i="2"/>
  <c r="DC161" i="2"/>
  <c r="DD161" i="2"/>
  <c r="DE161" i="2"/>
  <c r="CQ162" i="2"/>
  <c r="CR162" i="2"/>
  <c r="DA162" i="2"/>
  <c r="DB162" i="2"/>
  <c r="DC162" i="2"/>
  <c r="DD162" i="2"/>
  <c r="DE162" i="2"/>
  <c r="CQ163" i="2"/>
  <c r="CR163" i="2"/>
  <c r="DA163" i="2"/>
  <c r="DB163" i="2"/>
  <c r="DC163" i="2"/>
  <c r="DD163" i="2"/>
  <c r="DE163" i="2"/>
  <c r="CQ164" i="2"/>
  <c r="CR164" i="2"/>
  <c r="DA164" i="2"/>
  <c r="DB164" i="2"/>
  <c r="DC164" i="2"/>
  <c r="DD164" i="2"/>
  <c r="DE164" i="2"/>
  <c r="CQ165" i="2"/>
  <c r="CR165" i="2"/>
  <c r="DA165" i="2"/>
  <c r="DB165" i="2"/>
  <c r="DC165" i="2"/>
  <c r="DD165" i="2"/>
  <c r="DE165" i="2"/>
  <c r="CQ166" i="2"/>
  <c r="CR166" i="2"/>
  <c r="DA166" i="2"/>
  <c r="DB166" i="2"/>
  <c r="DC166" i="2"/>
  <c r="DD166" i="2"/>
  <c r="DE166" i="2"/>
  <c r="CQ167" i="2"/>
  <c r="CR167" i="2"/>
  <c r="DA167" i="2"/>
  <c r="DB167" i="2"/>
  <c r="DC167" i="2"/>
  <c r="DD167" i="2"/>
  <c r="DE167" i="2"/>
  <c r="CQ168" i="2"/>
  <c r="CR168" i="2"/>
  <c r="DA168" i="2"/>
  <c r="DB168" i="2"/>
  <c r="DC168" i="2"/>
  <c r="DD168" i="2"/>
  <c r="DE168" i="2"/>
  <c r="CQ169" i="2"/>
  <c r="CR169" i="2"/>
  <c r="DA169" i="2"/>
  <c r="DB169" i="2"/>
  <c r="DC169" i="2"/>
  <c r="DD169" i="2"/>
  <c r="DE169" i="2"/>
  <c r="CQ170" i="2"/>
  <c r="CR170" i="2"/>
  <c r="DA170" i="2"/>
  <c r="DB170" i="2"/>
  <c r="DC170" i="2"/>
  <c r="DD170" i="2"/>
  <c r="DE170" i="2"/>
  <c r="CQ171" i="2"/>
  <c r="CR171" i="2"/>
  <c r="DA171" i="2"/>
  <c r="DB171" i="2"/>
  <c r="DC171" i="2"/>
  <c r="DD171" i="2"/>
  <c r="DE171" i="2"/>
  <c r="CQ172" i="2"/>
  <c r="CR172" i="2"/>
  <c r="DA172" i="2"/>
  <c r="DB172" i="2"/>
  <c r="DC172" i="2"/>
  <c r="DD172" i="2"/>
  <c r="DE172" i="2"/>
  <c r="CQ173" i="2"/>
  <c r="CR173" i="2"/>
  <c r="DA173" i="2"/>
  <c r="DB173" i="2"/>
  <c r="DC173" i="2"/>
  <c r="DD173" i="2"/>
  <c r="DE173" i="2"/>
  <c r="CQ174" i="2"/>
  <c r="CR174" i="2"/>
  <c r="DA174" i="2"/>
  <c r="DB174" i="2"/>
  <c r="DC174" i="2"/>
  <c r="DD174" i="2"/>
  <c r="DE174" i="2"/>
  <c r="CQ175" i="2"/>
  <c r="CR175" i="2"/>
  <c r="DA175" i="2"/>
  <c r="DB175" i="2"/>
  <c r="DC175" i="2"/>
  <c r="DD175" i="2"/>
  <c r="DE175" i="2"/>
  <c r="CQ176" i="2"/>
  <c r="CR176" i="2"/>
  <c r="DA176" i="2"/>
  <c r="DB176" i="2"/>
  <c r="DC176" i="2"/>
  <c r="DD176" i="2"/>
  <c r="DE176" i="2"/>
  <c r="CQ177" i="2"/>
  <c r="CR177" i="2"/>
  <c r="DA177" i="2"/>
  <c r="DB177" i="2"/>
  <c r="DC177" i="2"/>
  <c r="DD177" i="2"/>
  <c r="DE177" i="2"/>
  <c r="CQ178" i="2"/>
  <c r="CR178" i="2"/>
  <c r="DA178" i="2"/>
  <c r="DB178" i="2"/>
  <c r="DC178" i="2"/>
  <c r="DD178" i="2"/>
  <c r="DE178" i="2"/>
  <c r="CQ179" i="2"/>
  <c r="CR179" i="2"/>
  <c r="DA179" i="2"/>
  <c r="DB179" i="2"/>
  <c r="DC179" i="2"/>
  <c r="DD179" i="2"/>
  <c r="DE179" i="2"/>
  <c r="CQ180" i="2"/>
  <c r="CR180" i="2"/>
  <c r="DA180" i="2"/>
  <c r="DB180" i="2"/>
  <c r="DC180" i="2"/>
  <c r="DD180" i="2"/>
  <c r="DE180" i="2"/>
  <c r="CQ181" i="2"/>
  <c r="CR181" i="2"/>
  <c r="DA181" i="2"/>
  <c r="DB181" i="2"/>
  <c r="DC181" i="2"/>
  <c r="DD181" i="2"/>
  <c r="DE181" i="2"/>
  <c r="CQ182" i="2"/>
  <c r="CR182" i="2"/>
  <c r="DA182" i="2"/>
  <c r="DB182" i="2"/>
  <c r="DC182" i="2"/>
  <c r="DD182" i="2"/>
  <c r="DE182" i="2"/>
  <c r="CQ183" i="2"/>
  <c r="CR183" i="2"/>
  <c r="DA183" i="2"/>
  <c r="DB183" i="2"/>
  <c r="DC183" i="2"/>
  <c r="DD183" i="2"/>
  <c r="DE183" i="2"/>
  <c r="CQ184" i="2"/>
  <c r="CR184" i="2"/>
  <c r="DA184" i="2"/>
  <c r="DB184" i="2"/>
  <c r="DC184" i="2"/>
  <c r="DD184" i="2"/>
  <c r="DE184" i="2"/>
  <c r="CQ185" i="2"/>
  <c r="CR185" i="2"/>
  <c r="DA185" i="2"/>
  <c r="DB185" i="2"/>
  <c r="DC185" i="2"/>
  <c r="DD185" i="2"/>
  <c r="DE185" i="2"/>
  <c r="CQ186" i="2"/>
  <c r="CR186" i="2"/>
  <c r="DA186" i="2"/>
  <c r="DB186" i="2"/>
  <c r="DC186" i="2"/>
  <c r="DD186" i="2"/>
  <c r="DE186" i="2"/>
  <c r="CQ187" i="2"/>
  <c r="CR187" i="2"/>
  <c r="DA187" i="2"/>
  <c r="DB187" i="2"/>
  <c r="DC187" i="2"/>
  <c r="DD187" i="2"/>
  <c r="DE187" i="2"/>
  <c r="CQ188" i="2"/>
  <c r="CR188" i="2"/>
  <c r="DA188" i="2"/>
  <c r="DB188" i="2"/>
  <c r="DC188" i="2"/>
  <c r="DD188" i="2"/>
  <c r="DE188" i="2"/>
  <c r="CQ189" i="2"/>
  <c r="CR189" i="2"/>
  <c r="DA189" i="2"/>
  <c r="DB189" i="2"/>
  <c r="DC189" i="2"/>
  <c r="DD189" i="2"/>
  <c r="DE189" i="2"/>
  <c r="CQ190" i="2"/>
  <c r="CR190" i="2"/>
  <c r="DA190" i="2"/>
  <c r="DB190" i="2"/>
  <c r="DC190" i="2"/>
  <c r="DD190" i="2"/>
  <c r="DE190" i="2"/>
  <c r="CQ191" i="2"/>
  <c r="CR191" i="2"/>
  <c r="DA191" i="2"/>
  <c r="DB191" i="2"/>
  <c r="DC191" i="2"/>
  <c r="DD191" i="2"/>
  <c r="DE191" i="2"/>
  <c r="CQ192" i="2"/>
  <c r="CR192" i="2"/>
  <c r="DA192" i="2"/>
  <c r="DB192" i="2"/>
  <c r="DC192" i="2"/>
  <c r="DD192" i="2"/>
  <c r="DE192" i="2"/>
  <c r="CQ193" i="2"/>
  <c r="CR193" i="2"/>
  <c r="DA193" i="2"/>
  <c r="DB193" i="2"/>
  <c r="DC193" i="2"/>
  <c r="DD193" i="2"/>
  <c r="DE193" i="2"/>
  <c r="CQ194" i="2"/>
  <c r="CR194" i="2"/>
  <c r="DA194" i="2"/>
  <c r="DB194" i="2"/>
  <c r="DC194" i="2"/>
  <c r="DD194" i="2"/>
  <c r="DE194" i="2"/>
  <c r="CQ195" i="2"/>
  <c r="CR195" i="2"/>
  <c r="DA195" i="2"/>
  <c r="DB195" i="2"/>
  <c r="DC195" i="2"/>
  <c r="DD195" i="2"/>
  <c r="DE195" i="2"/>
  <c r="CQ196" i="2"/>
  <c r="CR196" i="2"/>
  <c r="DA196" i="2"/>
  <c r="DB196" i="2"/>
  <c r="DC196" i="2"/>
  <c r="DD196" i="2"/>
  <c r="DE196" i="2"/>
  <c r="CQ197" i="2"/>
  <c r="CR197" i="2"/>
  <c r="DA197" i="2"/>
  <c r="DB197" i="2"/>
  <c r="DC197" i="2"/>
  <c r="DD197" i="2"/>
  <c r="DE197" i="2"/>
  <c r="CQ198" i="2"/>
  <c r="CR198" i="2"/>
  <c r="DA198" i="2"/>
  <c r="DB198" i="2"/>
  <c r="DC198" i="2"/>
  <c r="DD198" i="2"/>
  <c r="DE198" i="2"/>
  <c r="CQ199" i="2"/>
  <c r="CR199" i="2"/>
  <c r="DA199" i="2"/>
  <c r="DB199" i="2"/>
  <c r="DC199" i="2"/>
  <c r="DD199" i="2"/>
  <c r="DE199" i="2"/>
  <c r="CQ200" i="2"/>
  <c r="CR200" i="2"/>
  <c r="DA200" i="2"/>
  <c r="DB200" i="2"/>
  <c r="DC200" i="2"/>
  <c r="DD200" i="2"/>
  <c r="DE200" i="2"/>
  <c r="CQ201" i="2"/>
  <c r="CR201" i="2"/>
  <c r="DA201" i="2"/>
  <c r="DB201" i="2"/>
  <c r="DC201" i="2"/>
  <c r="DD201" i="2"/>
  <c r="DE201" i="2"/>
  <c r="CQ202" i="2"/>
  <c r="CR202" i="2"/>
  <c r="DA202" i="2"/>
  <c r="DB202" i="2"/>
  <c r="DC202" i="2"/>
  <c r="DD202" i="2"/>
  <c r="DE202" i="2"/>
  <c r="CQ203" i="2"/>
  <c r="CR203" i="2"/>
  <c r="CS203" i="2" a="1"/>
  <c r="CS203" i="2" s="1"/>
  <c r="DA203" i="2"/>
  <c r="DB203" i="2"/>
  <c r="DC203" i="2"/>
  <c r="DD203" i="2"/>
  <c r="DE203" i="2"/>
  <c r="BV154" i="2"/>
  <c r="BW154" i="2"/>
  <c r="CF154" i="2"/>
  <c r="CG154" i="2"/>
  <c r="CH154" i="2"/>
  <c r="CI154" i="2"/>
  <c r="CJ154" i="2"/>
  <c r="BV155" i="2"/>
  <c r="BW155" i="2"/>
  <c r="CF155" i="2"/>
  <c r="CG155" i="2"/>
  <c r="CH155" i="2"/>
  <c r="CI155" i="2"/>
  <c r="CJ155" i="2"/>
  <c r="BV156" i="2"/>
  <c r="BW156" i="2"/>
  <c r="CF156" i="2"/>
  <c r="CG156" i="2"/>
  <c r="CH156" i="2"/>
  <c r="CI156" i="2"/>
  <c r="CJ156" i="2"/>
  <c r="BV157" i="2"/>
  <c r="BW157" i="2"/>
  <c r="CF157" i="2"/>
  <c r="CG157" i="2"/>
  <c r="CH157" i="2"/>
  <c r="CI157" i="2"/>
  <c r="CJ157" i="2"/>
  <c r="BV158" i="2"/>
  <c r="BW158" i="2"/>
  <c r="CF158" i="2"/>
  <c r="CG158" i="2"/>
  <c r="CH158" i="2"/>
  <c r="CI158" i="2"/>
  <c r="CJ158" i="2"/>
  <c r="BV159" i="2"/>
  <c r="BW159" i="2"/>
  <c r="CF159" i="2"/>
  <c r="CG159" i="2"/>
  <c r="CH159" i="2"/>
  <c r="CI159" i="2"/>
  <c r="CJ159" i="2"/>
  <c r="BV160" i="2"/>
  <c r="BW160" i="2"/>
  <c r="CF160" i="2"/>
  <c r="CG160" i="2"/>
  <c r="CH160" i="2"/>
  <c r="CI160" i="2"/>
  <c r="CJ160" i="2"/>
  <c r="BV161" i="2"/>
  <c r="BW161" i="2"/>
  <c r="CF161" i="2"/>
  <c r="CG161" i="2"/>
  <c r="CH161" i="2"/>
  <c r="CI161" i="2"/>
  <c r="CJ161" i="2"/>
  <c r="BV162" i="2"/>
  <c r="BW162" i="2"/>
  <c r="CF162" i="2"/>
  <c r="CG162" i="2"/>
  <c r="CH162" i="2"/>
  <c r="CI162" i="2"/>
  <c r="CJ162" i="2"/>
  <c r="BV163" i="2"/>
  <c r="BW163" i="2"/>
  <c r="CF163" i="2"/>
  <c r="CG163" i="2"/>
  <c r="CH163" i="2"/>
  <c r="CI163" i="2"/>
  <c r="CJ163" i="2"/>
  <c r="BV164" i="2"/>
  <c r="BW164" i="2"/>
  <c r="CF164" i="2"/>
  <c r="CG164" i="2"/>
  <c r="CH164" i="2"/>
  <c r="CI164" i="2"/>
  <c r="CJ164" i="2"/>
  <c r="BV165" i="2"/>
  <c r="BW165" i="2"/>
  <c r="CF165" i="2"/>
  <c r="CG165" i="2"/>
  <c r="CH165" i="2"/>
  <c r="CI165" i="2"/>
  <c r="CJ165" i="2"/>
  <c r="BV166" i="2"/>
  <c r="BW166" i="2"/>
  <c r="CF166" i="2"/>
  <c r="CG166" i="2"/>
  <c r="CH166" i="2"/>
  <c r="CI166" i="2"/>
  <c r="CJ166" i="2"/>
  <c r="BV167" i="2"/>
  <c r="BW167" i="2"/>
  <c r="CF167" i="2"/>
  <c r="CG167" i="2"/>
  <c r="CH167" i="2"/>
  <c r="CI167" i="2"/>
  <c r="CJ167" i="2"/>
  <c r="BV168" i="2"/>
  <c r="BW168" i="2"/>
  <c r="CF168" i="2"/>
  <c r="CG168" i="2"/>
  <c r="CH168" i="2"/>
  <c r="CI168" i="2"/>
  <c r="CJ168" i="2"/>
  <c r="BV169" i="2"/>
  <c r="BW169" i="2"/>
  <c r="CF169" i="2"/>
  <c r="CG169" i="2"/>
  <c r="CH169" i="2"/>
  <c r="CI169" i="2"/>
  <c r="CJ169" i="2"/>
  <c r="BV170" i="2"/>
  <c r="BW170" i="2"/>
  <c r="CF170" i="2"/>
  <c r="CG170" i="2"/>
  <c r="CH170" i="2"/>
  <c r="CI170" i="2"/>
  <c r="CJ170" i="2"/>
  <c r="BV171" i="2"/>
  <c r="BW171" i="2"/>
  <c r="CF171" i="2"/>
  <c r="CG171" i="2"/>
  <c r="CH171" i="2"/>
  <c r="CI171" i="2"/>
  <c r="CJ171" i="2"/>
  <c r="BV172" i="2"/>
  <c r="BW172" i="2"/>
  <c r="CF172" i="2"/>
  <c r="CG172" i="2"/>
  <c r="CH172" i="2"/>
  <c r="CI172" i="2"/>
  <c r="CJ172" i="2"/>
  <c r="BV173" i="2"/>
  <c r="BW173" i="2"/>
  <c r="CF173" i="2"/>
  <c r="CG173" i="2"/>
  <c r="CH173" i="2"/>
  <c r="CI173" i="2"/>
  <c r="CJ173" i="2"/>
  <c r="BV174" i="2"/>
  <c r="BW174" i="2"/>
  <c r="CF174" i="2"/>
  <c r="CG174" i="2"/>
  <c r="CH174" i="2"/>
  <c r="CI174" i="2"/>
  <c r="CJ174" i="2"/>
  <c r="BV175" i="2"/>
  <c r="BW175" i="2"/>
  <c r="CF175" i="2"/>
  <c r="CG175" i="2"/>
  <c r="CH175" i="2"/>
  <c r="CI175" i="2"/>
  <c r="CJ175" i="2"/>
  <c r="BV176" i="2"/>
  <c r="BW176" i="2"/>
  <c r="CF176" i="2"/>
  <c r="CG176" i="2"/>
  <c r="CH176" i="2"/>
  <c r="CI176" i="2"/>
  <c r="CJ176" i="2"/>
  <c r="BV177" i="2"/>
  <c r="BW177" i="2"/>
  <c r="CF177" i="2"/>
  <c r="CG177" i="2"/>
  <c r="CH177" i="2"/>
  <c r="CI177" i="2"/>
  <c r="CJ177" i="2"/>
  <c r="BV178" i="2"/>
  <c r="BW178" i="2"/>
  <c r="CF178" i="2"/>
  <c r="CG178" i="2"/>
  <c r="CH178" i="2"/>
  <c r="CI178" i="2"/>
  <c r="CJ178" i="2"/>
  <c r="BV179" i="2"/>
  <c r="BW179" i="2"/>
  <c r="CF179" i="2"/>
  <c r="CG179" i="2"/>
  <c r="CH179" i="2"/>
  <c r="CI179" i="2"/>
  <c r="CJ179" i="2"/>
  <c r="BV180" i="2"/>
  <c r="BW180" i="2"/>
  <c r="CF180" i="2"/>
  <c r="CG180" i="2"/>
  <c r="CH180" i="2"/>
  <c r="CI180" i="2"/>
  <c r="CJ180" i="2"/>
  <c r="BV181" i="2"/>
  <c r="BW181" i="2"/>
  <c r="CF181" i="2"/>
  <c r="CG181" i="2"/>
  <c r="CH181" i="2"/>
  <c r="CI181" i="2"/>
  <c r="CJ181" i="2"/>
  <c r="BV182" i="2"/>
  <c r="BW182" i="2"/>
  <c r="CF182" i="2"/>
  <c r="CG182" i="2"/>
  <c r="CH182" i="2"/>
  <c r="CI182" i="2"/>
  <c r="CJ182" i="2"/>
  <c r="BV183" i="2"/>
  <c r="BW183" i="2"/>
  <c r="CF183" i="2"/>
  <c r="CG183" i="2"/>
  <c r="CH183" i="2"/>
  <c r="CI183" i="2"/>
  <c r="CJ183" i="2"/>
  <c r="BV184" i="2"/>
  <c r="BW184" i="2"/>
  <c r="CF184" i="2"/>
  <c r="CG184" i="2"/>
  <c r="CH184" i="2"/>
  <c r="CI184" i="2"/>
  <c r="CJ184" i="2"/>
  <c r="BV185" i="2"/>
  <c r="BW185" i="2"/>
  <c r="CF185" i="2"/>
  <c r="CG185" i="2"/>
  <c r="CH185" i="2"/>
  <c r="CI185" i="2"/>
  <c r="CJ185" i="2"/>
  <c r="BV186" i="2"/>
  <c r="BW186" i="2"/>
  <c r="CF186" i="2"/>
  <c r="CG186" i="2"/>
  <c r="CH186" i="2"/>
  <c r="CI186" i="2"/>
  <c r="CJ186" i="2"/>
  <c r="BV187" i="2"/>
  <c r="BW187" i="2"/>
  <c r="CF187" i="2"/>
  <c r="CG187" i="2"/>
  <c r="CH187" i="2"/>
  <c r="CI187" i="2"/>
  <c r="CJ187" i="2"/>
  <c r="BV188" i="2"/>
  <c r="BW188" i="2"/>
  <c r="CF188" i="2"/>
  <c r="CG188" i="2"/>
  <c r="CH188" i="2"/>
  <c r="CI188" i="2"/>
  <c r="CJ188" i="2"/>
  <c r="BV189" i="2"/>
  <c r="BW189" i="2"/>
  <c r="CF189" i="2"/>
  <c r="CG189" i="2"/>
  <c r="CH189" i="2"/>
  <c r="CI189" i="2"/>
  <c r="CJ189" i="2"/>
  <c r="BV190" i="2"/>
  <c r="BW190" i="2"/>
  <c r="CF190" i="2"/>
  <c r="CG190" i="2"/>
  <c r="CH190" i="2"/>
  <c r="CI190" i="2"/>
  <c r="CJ190" i="2"/>
  <c r="BV191" i="2"/>
  <c r="BW191" i="2"/>
  <c r="CF191" i="2"/>
  <c r="CG191" i="2"/>
  <c r="CH191" i="2"/>
  <c r="CI191" i="2"/>
  <c r="CJ191" i="2"/>
  <c r="BV192" i="2"/>
  <c r="BW192" i="2"/>
  <c r="CF192" i="2"/>
  <c r="CG192" i="2"/>
  <c r="CH192" i="2"/>
  <c r="CI192" i="2"/>
  <c r="CJ192" i="2"/>
  <c r="BV193" i="2"/>
  <c r="BW193" i="2"/>
  <c r="CF193" i="2"/>
  <c r="CG193" i="2"/>
  <c r="CH193" i="2"/>
  <c r="CI193" i="2"/>
  <c r="CJ193" i="2"/>
  <c r="BV194" i="2"/>
  <c r="BW194" i="2"/>
  <c r="CF194" i="2"/>
  <c r="CG194" i="2"/>
  <c r="CH194" i="2"/>
  <c r="CI194" i="2"/>
  <c r="CJ194" i="2"/>
  <c r="BV195" i="2"/>
  <c r="BW195" i="2"/>
  <c r="CF195" i="2"/>
  <c r="CG195" i="2"/>
  <c r="CH195" i="2"/>
  <c r="CI195" i="2"/>
  <c r="CJ195" i="2"/>
  <c r="BV196" i="2"/>
  <c r="BW196" i="2"/>
  <c r="CF196" i="2"/>
  <c r="CG196" i="2"/>
  <c r="CH196" i="2"/>
  <c r="CI196" i="2"/>
  <c r="CJ196" i="2"/>
  <c r="BV197" i="2"/>
  <c r="BW197" i="2"/>
  <c r="CF197" i="2"/>
  <c r="CG197" i="2"/>
  <c r="CH197" i="2"/>
  <c r="CI197" i="2"/>
  <c r="CJ197" i="2"/>
  <c r="BV198" i="2"/>
  <c r="BW198" i="2"/>
  <c r="CF198" i="2"/>
  <c r="CG198" i="2"/>
  <c r="CH198" i="2"/>
  <c r="CI198" i="2"/>
  <c r="CJ198" i="2"/>
  <c r="BV199" i="2"/>
  <c r="BW199" i="2"/>
  <c r="CF199" i="2"/>
  <c r="CG199" i="2"/>
  <c r="CH199" i="2"/>
  <c r="CI199" i="2"/>
  <c r="CJ199" i="2"/>
  <c r="BV200" i="2"/>
  <c r="BW200" i="2"/>
  <c r="CF200" i="2"/>
  <c r="CG200" i="2"/>
  <c r="CH200" i="2"/>
  <c r="CI200" i="2"/>
  <c r="CJ200" i="2"/>
  <c r="BV201" i="2"/>
  <c r="BW201" i="2"/>
  <c r="CF201" i="2"/>
  <c r="CG201" i="2"/>
  <c r="CH201" i="2"/>
  <c r="CI201" i="2"/>
  <c r="CJ201" i="2"/>
  <c r="BV202" i="2"/>
  <c r="BW202" i="2"/>
  <c r="CF202" i="2"/>
  <c r="CG202" i="2"/>
  <c r="CH202" i="2"/>
  <c r="CI202" i="2"/>
  <c r="CJ202" i="2"/>
  <c r="BV203" i="2"/>
  <c r="BW203" i="2"/>
  <c r="BX203" i="2" s="1" a="1"/>
  <c r="BX203" i="2" s="1"/>
  <c r="CF203" i="2"/>
  <c r="CG203" i="2"/>
  <c r="CH203" i="2"/>
  <c r="CI203" i="2"/>
  <c r="CJ203" i="2"/>
  <c r="BK154" i="2"/>
  <c r="BL154" i="2"/>
  <c r="BM154" i="2"/>
  <c r="BN154" i="2"/>
  <c r="BO154" i="2"/>
  <c r="BK155" i="2"/>
  <c r="BL155" i="2"/>
  <c r="BM155" i="2"/>
  <c r="BN155" i="2"/>
  <c r="BO155" i="2"/>
  <c r="BK156" i="2"/>
  <c r="BL156" i="2"/>
  <c r="BM156" i="2"/>
  <c r="BN156" i="2"/>
  <c r="BO156" i="2"/>
  <c r="BK157" i="2"/>
  <c r="BL157" i="2"/>
  <c r="BM157" i="2"/>
  <c r="BN157" i="2"/>
  <c r="BO157" i="2"/>
  <c r="BK158" i="2"/>
  <c r="BL158" i="2"/>
  <c r="BM158" i="2"/>
  <c r="BN158" i="2"/>
  <c r="BO158" i="2"/>
  <c r="BK159" i="2"/>
  <c r="BL159" i="2"/>
  <c r="BM159" i="2"/>
  <c r="BN159" i="2"/>
  <c r="BO159" i="2"/>
  <c r="BK160" i="2"/>
  <c r="BL160" i="2"/>
  <c r="BM160" i="2"/>
  <c r="BN160" i="2"/>
  <c r="BO160" i="2"/>
  <c r="BK161" i="2"/>
  <c r="BL161" i="2"/>
  <c r="BM161" i="2"/>
  <c r="BN161" i="2"/>
  <c r="BO161" i="2"/>
  <c r="BK162" i="2"/>
  <c r="BL162" i="2"/>
  <c r="BM162" i="2"/>
  <c r="BN162" i="2"/>
  <c r="BO162" i="2"/>
  <c r="BK163" i="2"/>
  <c r="BL163" i="2"/>
  <c r="BM163" i="2"/>
  <c r="BN163" i="2"/>
  <c r="BO163" i="2"/>
  <c r="BK164" i="2"/>
  <c r="BL164" i="2"/>
  <c r="BM164" i="2"/>
  <c r="BN164" i="2"/>
  <c r="BO164" i="2"/>
  <c r="BK165" i="2"/>
  <c r="BL165" i="2"/>
  <c r="BM165" i="2"/>
  <c r="BN165" i="2"/>
  <c r="BO165" i="2"/>
  <c r="BK166" i="2"/>
  <c r="BL166" i="2"/>
  <c r="BM166" i="2"/>
  <c r="BN166" i="2"/>
  <c r="BO166" i="2"/>
  <c r="BK167" i="2"/>
  <c r="BL167" i="2"/>
  <c r="BM167" i="2"/>
  <c r="BN167" i="2"/>
  <c r="BO167" i="2"/>
  <c r="BK168" i="2"/>
  <c r="BL168" i="2"/>
  <c r="BM168" i="2"/>
  <c r="BN168" i="2"/>
  <c r="BO168" i="2"/>
  <c r="BK169" i="2"/>
  <c r="BL169" i="2"/>
  <c r="BM169" i="2"/>
  <c r="BN169" i="2"/>
  <c r="BO169" i="2"/>
  <c r="BK170" i="2"/>
  <c r="BL170" i="2"/>
  <c r="BM170" i="2"/>
  <c r="BN170" i="2"/>
  <c r="BO170" i="2"/>
  <c r="BK171" i="2"/>
  <c r="BL171" i="2"/>
  <c r="BM171" i="2"/>
  <c r="BN171" i="2"/>
  <c r="BO171" i="2"/>
  <c r="BK172" i="2"/>
  <c r="BL172" i="2"/>
  <c r="BM172" i="2"/>
  <c r="BN172" i="2"/>
  <c r="BO172" i="2"/>
  <c r="BK173" i="2"/>
  <c r="BL173" i="2"/>
  <c r="BM173" i="2"/>
  <c r="BN173" i="2"/>
  <c r="BO173" i="2"/>
  <c r="BK174" i="2"/>
  <c r="BL174" i="2"/>
  <c r="BM174" i="2"/>
  <c r="BN174" i="2"/>
  <c r="BO174" i="2"/>
  <c r="BK175" i="2"/>
  <c r="BL175" i="2"/>
  <c r="BM175" i="2"/>
  <c r="BN175" i="2"/>
  <c r="BO175" i="2"/>
  <c r="BK176" i="2"/>
  <c r="BL176" i="2"/>
  <c r="BM176" i="2"/>
  <c r="BN176" i="2"/>
  <c r="BO176" i="2"/>
  <c r="BK177" i="2"/>
  <c r="BL177" i="2"/>
  <c r="BM177" i="2"/>
  <c r="BN177" i="2"/>
  <c r="BO177" i="2"/>
  <c r="BK178" i="2"/>
  <c r="BL178" i="2"/>
  <c r="BM178" i="2"/>
  <c r="BN178" i="2"/>
  <c r="BO178" i="2"/>
  <c r="BK179" i="2"/>
  <c r="BL179" i="2"/>
  <c r="BM179" i="2"/>
  <c r="BN179" i="2"/>
  <c r="BO179" i="2"/>
  <c r="BK180" i="2"/>
  <c r="BL180" i="2"/>
  <c r="BM180" i="2"/>
  <c r="BN180" i="2"/>
  <c r="BO180" i="2"/>
  <c r="BK181" i="2"/>
  <c r="BL181" i="2"/>
  <c r="BM181" i="2"/>
  <c r="BN181" i="2"/>
  <c r="BO181" i="2"/>
  <c r="BK182" i="2"/>
  <c r="BL182" i="2"/>
  <c r="BM182" i="2"/>
  <c r="BN182" i="2"/>
  <c r="BO182" i="2"/>
  <c r="BK183" i="2"/>
  <c r="BL183" i="2"/>
  <c r="BM183" i="2"/>
  <c r="BN183" i="2"/>
  <c r="BO183" i="2"/>
  <c r="BK184" i="2"/>
  <c r="BL184" i="2"/>
  <c r="BM184" i="2"/>
  <c r="BN184" i="2"/>
  <c r="BO184" i="2"/>
  <c r="BK185" i="2"/>
  <c r="BL185" i="2"/>
  <c r="BM185" i="2"/>
  <c r="BN185" i="2"/>
  <c r="BO185" i="2"/>
  <c r="BK186" i="2"/>
  <c r="BL186" i="2"/>
  <c r="BM186" i="2"/>
  <c r="BN186" i="2"/>
  <c r="BO186" i="2"/>
  <c r="BK187" i="2"/>
  <c r="BL187" i="2"/>
  <c r="BM187" i="2"/>
  <c r="BN187" i="2"/>
  <c r="BO187" i="2"/>
  <c r="BK188" i="2"/>
  <c r="BL188" i="2"/>
  <c r="BM188" i="2"/>
  <c r="BN188" i="2"/>
  <c r="BO188" i="2"/>
  <c r="BK189" i="2"/>
  <c r="BL189" i="2"/>
  <c r="BM189" i="2"/>
  <c r="BN189" i="2"/>
  <c r="BO189" i="2"/>
  <c r="BK190" i="2"/>
  <c r="BL190" i="2"/>
  <c r="BM190" i="2"/>
  <c r="BN190" i="2"/>
  <c r="BO190" i="2"/>
  <c r="BK191" i="2"/>
  <c r="BL191" i="2"/>
  <c r="BM191" i="2"/>
  <c r="BN191" i="2"/>
  <c r="BO191" i="2"/>
  <c r="BK192" i="2"/>
  <c r="BL192" i="2"/>
  <c r="BM192" i="2"/>
  <c r="BN192" i="2"/>
  <c r="BO192" i="2"/>
  <c r="BK193" i="2"/>
  <c r="BL193" i="2"/>
  <c r="BM193" i="2"/>
  <c r="BN193" i="2"/>
  <c r="BO193" i="2"/>
  <c r="BK194" i="2"/>
  <c r="BL194" i="2"/>
  <c r="BM194" i="2"/>
  <c r="BN194" i="2"/>
  <c r="BO194" i="2"/>
  <c r="BK195" i="2"/>
  <c r="BL195" i="2"/>
  <c r="BM195" i="2"/>
  <c r="BN195" i="2"/>
  <c r="BO195" i="2"/>
  <c r="BK196" i="2"/>
  <c r="BL196" i="2"/>
  <c r="BM196" i="2"/>
  <c r="BN196" i="2"/>
  <c r="BO196" i="2"/>
  <c r="BK197" i="2"/>
  <c r="BL197" i="2"/>
  <c r="BM197" i="2"/>
  <c r="BN197" i="2"/>
  <c r="BO197" i="2"/>
  <c r="BK198" i="2"/>
  <c r="BL198" i="2"/>
  <c r="BM198" i="2"/>
  <c r="BN198" i="2"/>
  <c r="BO198" i="2"/>
  <c r="BK199" i="2"/>
  <c r="BL199" i="2"/>
  <c r="BM199" i="2"/>
  <c r="BN199" i="2"/>
  <c r="BO199" i="2"/>
  <c r="BK200" i="2"/>
  <c r="BL200" i="2"/>
  <c r="BM200" i="2"/>
  <c r="BN200" i="2"/>
  <c r="BO200" i="2"/>
  <c r="BK201" i="2"/>
  <c r="BL201" i="2"/>
  <c r="BM201" i="2"/>
  <c r="BN201" i="2"/>
  <c r="BO201" i="2"/>
  <c r="BK202" i="2"/>
  <c r="BL202" i="2"/>
  <c r="BM202" i="2"/>
  <c r="BN202" i="2"/>
  <c r="BO202" i="2"/>
  <c r="BK203" i="2"/>
  <c r="BL203" i="2"/>
  <c r="BM203" i="2"/>
  <c r="BN203" i="2"/>
  <c r="BO203" i="2"/>
  <c r="BA154" i="2"/>
  <c r="BB154" i="2"/>
  <c r="BA155" i="2"/>
  <c r="BB155" i="2"/>
  <c r="BA156" i="2"/>
  <c r="BB156" i="2"/>
  <c r="BA157" i="2"/>
  <c r="BB157" i="2"/>
  <c r="BA158" i="2"/>
  <c r="BB158" i="2"/>
  <c r="BA159" i="2"/>
  <c r="BB159" i="2"/>
  <c r="BA160" i="2"/>
  <c r="BB160" i="2"/>
  <c r="BA161" i="2"/>
  <c r="BB161" i="2"/>
  <c r="BA162" i="2"/>
  <c r="BB162" i="2"/>
  <c r="BA163" i="2"/>
  <c r="BB163" i="2"/>
  <c r="BA164" i="2"/>
  <c r="BB164" i="2"/>
  <c r="BA165" i="2"/>
  <c r="BB165" i="2"/>
  <c r="BA166" i="2"/>
  <c r="BB166" i="2"/>
  <c r="BA167" i="2"/>
  <c r="BB167" i="2"/>
  <c r="BA168" i="2"/>
  <c r="BB168" i="2"/>
  <c r="BA169" i="2"/>
  <c r="BB169" i="2"/>
  <c r="BA170" i="2"/>
  <c r="BB170" i="2"/>
  <c r="BA171" i="2"/>
  <c r="BB171" i="2"/>
  <c r="BA172" i="2"/>
  <c r="BB172" i="2"/>
  <c r="BA173" i="2"/>
  <c r="BB173" i="2"/>
  <c r="BA174" i="2"/>
  <c r="BB174" i="2"/>
  <c r="BA175" i="2"/>
  <c r="BB175" i="2"/>
  <c r="BA176" i="2"/>
  <c r="BB176" i="2"/>
  <c r="BA177" i="2"/>
  <c r="BB177" i="2"/>
  <c r="BA178" i="2"/>
  <c r="BB178" i="2"/>
  <c r="BA179" i="2"/>
  <c r="BB179" i="2"/>
  <c r="BA180" i="2"/>
  <c r="BB180" i="2"/>
  <c r="BA181" i="2"/>
  <c r="BB181" i="2"/>
  <c r="BA182" i="2"/>
  <c r="BB182" i="2"/>
  <c r="BA183" i="2"/>
  <c r="BB183" i="2"/>
  <c r="BA184" i="2"/>
  <c r="BB184" i="2"/>
  <c r="BA185" i="2"/>
  <c r="BB185" i="2"/>
  <c r="BA186" i="2"/>
  <c r="BB186" i="2"/>
  <c r="BA187" i="2"/>
  <c r="BB187" i="2"/>
  <c r="BA188" i="2"/>
  <c r="BB188" i="2"/>
  <c r="BA189" i="2"/>
  <c r="BB189" i="2"/>
  <c r="BA190" i="2"/>
  <c r="BB190" i="2"/>
  <c r="BA191" i="2"/>
  <c r="BB191" i="2"/>
  <c r="BA192" i="2"/>
  <c r="BB192" i="2"/>
  <c r="BA193" i="2"/>
  <c r="BB193" i="2"/>
  <c r="BA194" i="2"/>
  <c r="BB194" i="2"/>
  <c r="BA195" i="2"/>
  <c r="BB195" i="2"/>
  <c r="BA196" i="2"/>
  <c r="BB196" i="2"/>
  <c r="BA197" i="2"/>
  <c r="BB197" i="2"/>
  <c r="BA198" i="2"/>
  <c r="BB198" i="2"/>
  <c r="BA199" i="2"/>
  <c r="BB199" i="2"/>
  <c r="BA200" i="2"/>
  <c r="BB200" i="2"/>
  <c r="BA201" i="2"/>
  <c r="BB201" i="2"/>
  <c r="BA202" i="2"/>
  <c r="BB202" i="2"/>
  <c r="BA203" i="2"/>
  <c r="BB203" i="2"/>
  <c r="BC203" i="2" s="1" a="1"/>
  <c r="BC203" i="2" s="1"/>
  <c r="AP154" i="2"/>
  <c r="AQ154" i="2"/>
  <c r="AR154" i="2"/>
  <c r="AS154" i="2"/>
  <c r="AT154" i="2"/>
  <c r="AP155" i="2"/>
  <c r="AQ155" i="2"/>
  <c r="AR155" i="2"/>
  <c r="AS155" i="2"/>
  <c r="AT155" i="2"/>
  <c r="AP156" i="2"/>
  <c r="AQ156" i="2"/>
  <c r="AR156" i="2"/>
  <c r="AS156" i="2"/>
  <c r="AT156" i="2"/>
  <c r="AP157" i="2"/>
  <c r="AQ157" i="2"/>
  <c r="AR157" i="2"/>
  <c r="AS157" i="2"/>
  <c r="AT157" i="2"/>
  <c r="AP158" i="2"/>
  <c r="AQ158" i="2"/>
  <c r="AR158" i="2"/>
  <c r="AS158" i="2"/>
  <c r="AT158" i="2"/>
  <c r="AP159" i="2"/>
  <c r="AQ159" i="2"/>
  <c r="AR159" i="2"/>
  <c r="AS159" i="2"/>
  <c r="AT159" i="2"/>
  <c r="AP160" i="2"/>
  <c r="AQ160" i="2"/>
  <c r="AR160" i="2"/>
  <c r="AS160" i="2"/>
  <c r="AT160" i="2"/>
  <c r="AP161" i="2"/>
  <c r="AQ161" i="2"/>
  <c r="AR161" i="2"/>
  <c r="AS161" i="2"/>
  <c r="AT161" i="2"/>
  <c r="AP162" i="2"/>
  <c r="AQ162" i="2"/>
  <c r="AR162" i="2"/>
  <c r="AS162" i="2"/>
  <c r="AT162" i="2"/>
  <c r="AP163" i="2"/>
  <c r="AQ163" i="2"/>
  <c r="AR163" i="2"/>
  <c r="AS163" i="2"/>
  <c r="AT163" i="2"/>
  <c r="AP164" i="2"/>
  <c r="AQ164" i="2"/>
  <c r="AR164" i="2"/>
  <c r="AS164" i="2"/>
  <c r="AT164" i="2"/>
  <c r="AP165" i="2"/>
  <c r="AQ165" i="2"/>
  <c r="AR165" i="2"/>
  <c r="AS165" i="2"/>
  <c r="AT165" i="2"/>
  <c r="AP166" i="2"/>
  <c r="AQ166" i="2"/>
  <c r="AR166" i="2"/>
  <c r="AS166" i="2"/>
  <c r="AT166" i="2"/>
  <c r="AP167" i="2"/>
  <c r="AQ167" i="2"/>
  <c r="AR167" i="2"/>
  <c r="AS167" i="2"/>
  <c r="AT167" i="2"/>
  <c r="AP168" i="2"/>
  <c r="AQ168" i="2"/>
  <c r="AR168" i="2"/>
  <c r="AS168" i="2"/>
  <c r="AT168" i="2"/>
  <c r="AP169" i="2"/>
  <c r="AQ169" i="2"/>
  <c r="AR169" i="2"/>
  <c r="AS169" i="2"/>
  <c r="AT169" i="2"/>
  <c r="AP170" i="2"/>
  <c r="AQ170" i="2"/>
  <c r="AR170" i="2"/>
  <c r="AS170" i="2"/>
  <c r="AT170" i="2"/>
  <c r="AP171" i="2"/>
  <c r="AQ171" i="2"/>
  <c r="AR171" i="2"/>
  <c r="AS171" i="2"/>
  <c r="AT171" i="2"/>
  <c r="AP172" i="2"/>
  <c r="AQ172" i="2"/>
  <c r="AR172" i="2"/>
  <c r="AS172" i="2"/>
  <c r="AT172" i="2"/>
  <c r="AP173" i="2"/>
  <c r="AQ173" i="2"/>
  <c r="AR173" i="2"/>
  <c r="AS173" i="2"/>
  <c r="AT173" i="2"/>
  <c r="AP174" i="2"/>
  <c r="AQ174" i="2"/>
  <c r="AR174" i="2"/>
  <c r="AS174" i="2"/>
  <c r="AT174" i="2"/>
  <c r="AP175" i="2"/>
  <c r="AQ175" i="2"/>
  <c r="AR175" i="2"/>
  <c r="AS175" i="2"/>
  <c r="AT175" i="2"/>
  <c r="AP176" i="2"/>
  <c r="AQ176" i="2"/>
  <c r="AR176" i="2"/>
  <c r="AS176" i="2"/>
  <c r="AT176" i="2"/>
  <c r="AP177" i="2"/>
  <c r="AQ177" i="2"/>
  <c r="AR177" i="2"/>
  <c r="AS177" i="2"/>
  <c r="AT177" i="2"/>
  <c r="AP178" i="2"/>
  <c r="AQ178" i="2"/>
  <c r="AR178" i="2"/>
  <c r="AS178" i="2"/>
  <c r="AT178" i="2"/>
  <c r="AP179" i="2"/>
  <c r="AQ179" i="2"/>
  <c r="AR179" i="2"/>
  <c r="AS179" i="2"/>
  <c r="AT179" i="2"/>
  <c r="AP180" i="2"/>
  <c r="AQ180" i="2"/>
  <c r="AR180" i="2"/>
  <c r="AS180" i="2"/>
  <c r="AT180" i="2"/>
  <c r="AP181" i="2"/>
  <c r="AQ181" i="2"/>
  <c r="AR181" i="2"/>
  <c r="AS181" i="2"/>
  <c r="AT181" i="2"/>
  <c r="AP182" i="2"/>
  <c r="AQ182" i="2"/>
  <c r="AR182" i="2"/>
  <c r="AS182" i="2"/>
  <c r="AT182" i="2"/>
  <c r="AP183" i="2"/>
  <c r="AQ183" i="2"/>
  <c r="AR183" i="2"/>
  <c r="AS183" i="2"/>
  <c r="AT183" i="2"/>
  <c r="AP184" i="2"/>
  <c r="AQ184" i="2"/>
  <c r="AR184" i="2"/>
  <c r="AS184" i="2"/>
  <c r="AT184" i="2"/>
  <c r="AP185" i="2"/>
  <c r="AQ185" i="2"/>
  <c r="AR185" i="2"/>
  <c r="AS185" i="2"/>
  <c r="AT185" i="2"/>
  <c r="AP186" i="2"/>
  <c r="AQ186" i="2"/>
  <c r="AR186" i="2"/>
  <c r="AS186" i="2"/>
  <c r="AT186" i="2"/>
  <c r="AP187" i="2"/>
  <c r="AQ187" i="2"/>
  <c r="AR187" i="2"/>
  <c r="AS187" i="2"/>
  <c r="AT187" i="2"/>
  <c r="AP188" i="2"/>
  <c r="AQ188" i="2"/>
  <c r="AR188" i="2"/>
  <c r="AS188" i="2"/>
  <c r="AT188" i="2"/>
  <c r="AP189" i="2"/>
  <c r="AQ189" i="2"/>
  <c r="AR189" i="2"/>
  <c r="AS189" i="2"/>
  <c r="AT189" i="2"/>
  <c r="AP190" i="2"/>
  <c r="AQ190" i="2"/>
  <c r="AR190" i="2"/>
  <c r="AS190" i="2"/>
  <c r="AT190" i="2"/>
  <c r="AP191" i="2"/>
  <c r="AQ191" i="2"/>
  <c r="AR191" i="2"/>
  <c r="AS191" i="2"/>
  <c r="AT191" i="2"/>
  <c r="AP192" i="2"/>
  <c r="AQ192" i="2"/>
  <c r="AR192" i="2"/>
  <c r="AS192" i="2"/>
  <c r="AT192" i="2"/>
  <c r="AP193" i="2"/>
  <c r="AQ193" i="2"/>
  <c r="AR193" i="2"/>
  <c r="AS193" i="2"/>
  <c r="AT193" i="2"/>
  <c r="AP194" i="2"/>
  <c r="AQ194" i="2"/>
  <c r="AR194" i="2"/>
  <c r="AS194" i="2"/>
  <c r="AT194" i="2"/>
  <c r="AP195" i="2"/>
  <c r="AQ195" i="2"/>
  <c r="AR195" i="2"/>
  <c r="AS195" i="2"/>
  <c r="AT195" i="2"/>
  <c r="AP196" i="2"/>
  <c r="AQ196" i="2"/>
  <c r="AR196" i="2"/>
  <c r="AS196" i="2"/>
  <c r="AT196" i="2"/>
  <c r="AP197" i="2"/>
  <c r="AQ197" i="2"/>
  <c r="AR197" i="2"/>
  <c r="AS197" i="2"/>
  <c r="AT197" i="2"/>
  <c r="AP198" i="2"/>
  <c r="AQ198" i="2"/>
  <c r="AR198" i="2"/>
  <c r="AS198" i="2"/>
  <c r="AT198" i="2"/>
  <c r="AP199" i="2"/>
  <c r="AQ199" i="2"/>
  <c r="AR199" i="2"/>
  <c r="AS199" i="2"/>
  <c r="AT199" i="2"/>
  <c r="AP200" i="2"/>
  <c r="AQ200" i="2"/>
  <c r="AR200" i="2"/>
  <c r="AS200" i="2"/>
  <c r="AT200" i="2"/>
  <c r="AP201" i="2"/>
  <c r="AQ201" i="2"/>
  <c r="AR201" i="2"/>
  <c r="AS201" i="2"/>
  <c r="AT201" i="2"/>
  <c r="AP202" i="2"/>
  <c r="AQ202" i="2"/>
  <c r="AR202" i="2"/>
  <c r="AS202" i="2"/>
  <c r="AT202" i="2"/>
  <c r="AP203" i="2"/>
  <c r="AQ203" i="2"/>
  <c r="AR203" i="2"/>
  <c r="AS203" i="2"/>
  <c r="AT203" i="2"/>
  <c r="AF154" i="2"/>
  <c r="AG154" i="2"/>
  <c r="AF155" i="2"/>
  <c r="AG155" i="2"/>
  <c r="AF156" i="2"/>
  <c r="AG156" i="2"/>
  <c r="AF157" i="2"/>
  <c r="AG157" i="2"/>
  <c r="AF158" i="2"/>
  <c r="AG158" i="2"/>
  <c r="AF159" i="2"/>
  <c r="AG159" i="2"/>
  <c r="AF160" i="2"/>
  <c r="AG160" i="2"/>
  <c r="AF161" i="2"/>
  <c r="AG161" i="2"/>
  <c r="AF162" i="2"/>
  <c r="AG162" i="2"/>
  <c r="AF163" i="2"/>
  <c r="AG163" i="2"/>
  <c r="AF164" i="2"/>
  <c r="AG164" i="2"/>
  <c r="AF165" i="2"/>
  <c r="AG165" i="2"/>
  <c r="AF166" i="2"/>
  <c r="AG166" i="2"/>
  <c r="AF167" i="2"/>
  <c r="AG167" i="2"/>
  <c r="AF168" i="2"/>
  <c r="AG168" i="2"/>
  <c r="AF169" i="2"/>
  <c r="AG169" i="2"/>
  <c r="AF170" i="2"/>
  <c r="AG170" i="2"/>
  <c r="AF171" i="2"/>
  <c r="AG171" i="2"/>
  <c r="AF172" i="2"/>
  <c r="AG172" i="2"/>
  <c r="AF173" i="2"/>
  <c r="AG173" i="2"/>
  <c r="AF174" i="2"/>
  <c r="AG174" i="2"/>
  <c r="AF175" i="2"/>
  <c r="AG175" i="2"/>
  <c r="AF176" i="2"/>
  <c r="AG176" i="2"/>
  <c r="AF177" i="2"/>
  <c r="AG177" i="2"/>
  <c r="AF178" i="2"/>
  <c r="AG178" i="2"/>
  <c r="AF179" i="2"/>
  <c r="AG179" i="2"/>
  <c r="AF180" i="2"/>
  <c r="AG180" i="2"/>
  <c r="AF181" i="2"/>
  <c r="AG181" i="2"/>
  <c r="AF182" i="2"/>
  <c r="AG182" i="2"/>
  <c r="AF183" i="2"/>
  <c r="AG183" i="2"/>
  <c r="AF184" i="2"/>
  <c r="AG184" i="2"/>
  <c r="AF185" i="2"/>
  <c r="AG185" i="2"/>
  <c r="AF186" i="2"/>
  <c r="AG186" i="2"/>
  <c r="AF187" i="2"/>
  <c r="AG187" i="2"/>
  <c r="AF188" i="2"/>
  <c r="AG188" i="2"/>
  <c r="AF189" i="2"/>
  <c r="AG189" i="2"/>
  <c r="AF190" i="2"/>
  <c r="AG190" i="2"/>
  <c r="AF191" i="2"/>
  <c r="AG191" i="2"/>
  <c r="AF192" i="2"/>
  <c r="AG192" i="2"/>
  <c r="AF193" i="2"/>
  <c r="AG193" i="2"/>
  <c r="AF194" i="2"/>
  <c r="AG194" i="2"/>
  <c r="AF195" i="2"/>
  <c r="AG195" i="2"/>
  <c r="AF196" i="2"/>
  <c r="AG196" i="2"/>
  <c r="AF197" i="2"/>
  <c r="AG197" i="2"/>
  <c r="AF198" i="2"/>
  <c r="AG198" i="2"/>
  <c r="AF199" i="2"/>
  <c r="AG199" i="2"/>
  <c r="AF200" i="2"/>
  <c r="AG200" i="2"/>
  <c r="AF201" i="2"/>
  <c r="AG201" i="2"/>
  <c r="AF202" i="2"/>
  <c r="AG202" i="2"/>
  <c r="AF203" i="2"/>
  <c r="AG203" i="2"/>
  <c r="AH203" i="2" a="1"/>
  <c r="AH203" i="2" s="1"/>
  <c r="U154" i="2"/>
  <c r="V154" i="2"/>
  <c r="W154" i="2"/>
  <c r="X154" i="2"/>
  <c r="Y154" i="2"/>
  <c r="U155" i="2"/>
  <c r="V155" i="2"/>
  <c r="W155" i="2"/>
  <c r="X155" i="2"/>
  <c r="Y155" i="2"/>
  <c r="U156" i="2"/>
  <c r="V156" i="2"/>
  <c r="W156" i="2"/>
  <c r="X156" i="2"/>
  <c r="Y156" i="2"/>
  <c r="U157" i="2"/>
  <c r="V157" i="2"/>
  <c r="W157" i="2"/>
  <c r="X157" i="2"/>
  <c r="Y157" i="2"/>
  <c r="U158" i="2"/>
  <c r="V158" i="2"/>
  <c r="W158" i="2"/>
  <c r="X158" i="2"/>
  <c r="Y158" i="2"/>
  <c r="U159" i="2"/>
  <c r="V159" i="2"/>
  <c r="W159" i="2"/>
  <c r="X159" i="2"/>
  <c r="Y159" i="2"/>
  <c r="U160" i="2"/>
  <c r="V160" i="2"/>
  <c r="W160" i="2"/>
  <c r="X160" i="2"/>
  <c r="Y160" i="2"/>
  <c r="U161" i="2"/>
  <c r="V161" i="2"/>
  <c r="W161" i="2"/>
  <c r="X161" i="2"/>
  <c r="Y161" i="2"/>
  <c r="U162" i="2"/>
  <c r="V162" i="2"/>
  <c r="W162" i="2"/>
  <c r="X162" i="2"/>
  <c r="Y162" i="2"/>
  <c r="U163" i="2"/>
  <c r="V163" i="2"/>
  <c r="W163" i="2"/>
  <c r="X163" i="2"/>
  <c r="Y163" i="2"/>
  <c r="U164" i="2"/>
  <c r="V164" i="2"/>
  <c r="W164" i="2"/>
  <c r="X164" i="2"/>
  <c r="Y164" i="2"/>
  <c r="U165" i="2"/>
  <c r="V165" i="2"/>
  <c r="W165" i="2"/>
  <c r="X165" i="2"/>
  <c r="Y165" i="2"/>
  <c r="U166" i="2"/>
  <c r="V166" i="2"/>
  <c r="W166" i="2"/>
  <c r="X166" i="2"/>
  <c r="Y166" i="2"/>
  <c r="U167" i="2"/>
  <c r="V167" i="2"/>
  <c r="W167" i="2"/>
  <c r="X167" i="2"/>
  <c r="Y167" i="2"/>
  <c r="U168" i="2"/>
  <c r="V168" i="2"/>
  <c r="W168" i="2"/>
  <c r="X168" i="2"/>
  <c r="Y168" i="2"/>
  <c r="U169" i="2"/>
  <c r="V169" i="2"/>
  <c r="W169" i="2"/>
  <c r="X169" i="2"/>
  <c r="Y169" i="2"/>
  <c r="U170" i="2"/>
  <c r="V170" i="2"/>
  <c r="W170" i="2"/>
  <c r="X170" i="2"/>
  <c r="Y170" i="2"/>
  <c r="U171" i="2"/>
  <c r="V171" i="2"/>
  <c r="W171" i="2"/>
  <c r="X171" i="2"/>
  <c r="Y171" i="2"/>
  <c r="U172" i="2"/>
  <c r="V172" i="2"/>
  <c r="W172" i="2"/>
  <c r="X172" i="2"/>
  <c r="Y172" i="2"/>
  <c r="U173" i="2"/>
  <c r="V173" i="2"/>
  <c r="W173" i="2"/>
  <c r="X173" i="2"/>
  <c r="Y173" i="2"/>
  <c r="U174" i="2"/>
  <c r="V174" i="2"/>
  <c r="W174" i="2"/>
  <c r="X174" i="2"/>
  <c r="Y174" i="2"/>
  <c r="U175" i="2"/>
  <c r="V175" i="2"/>
  <c r="W175" i="2"/>
  <c r="X175" i="2"/>
  <c r="Y175" i="2"/>
  <c r="U176" i="2"/>
  <c r="V176" i="2"/>
  <c r="W176" i="2"/>
  <c r="X176" i="2"/>
  <c r="Y176" i="2"/>
  <c r="U177" i="2"/>
  <c r="V177" i="2"/>
  <c r="W177" i="2"/>
  <c r="X177" i="2"/>
  <c r="Y177" i="2"/>
  <c r="U178" i="2"/>
  <c r="V178" i="2"/>
  <c r="W178" i="2"/>
  <c r="X178" i="2"/>
  <c r="Y178" i="2"/>
  <c r="U179" i="2"/>
  <c r="V179" i="2"/>
  <c r="W179" i="2"/>
  <c r="X179" i="2"/>
  <c r="Y179" i="2"/>
  <c r="U180" i="2"/>
  <c r="V180" i="2"/>
  <c r="W180" i="2"/>
  <c r="X180" i="2"/>
  <c r="Y180" i="2"/>
  <c r="U181" i="2"/>
  <c r="V181" i="2"/>
  <c r="W181" i="2"/>
  <c r="X181" i="2"/>
  <c r="Y181" i="2"/>
  <c r="U182" i="2"/>
  <c r="V182" i="2"/>
  <c r="W182" i="2"/>
  <c r="X182" i="2"/>
  <c r="Y182" i="2"/>
  <c r="U183" i="2"/>
  <c r="V183" i="2"/>
  <c r="W183" i="2"/>
  <c r="X183" i="2"/>
  <c r="Y183" i="2"/>
  <c r="U184" i="2"/>
  <c r="V184" i="2"/>
  <c r="W184" i="2"/>
  <c r="X184" i="2"/>
  <c r="Y184" i="2"/>
  <c r="U185" i="2"/>
  <c r="V185" i="2"/>
  <c r="W185" i="2"/>
  <c r="X185" i="2"/>
  <c r="Y185" i="2"/>
  <c r="U186" i="2"/>
  <c r="V186" i="2"/>
  <c r="W186" i="2"/>
  <c r="X186" i="2"/>
  <c r="Y186" i="2"/>
  <c r="U187" i="2"/>
  <c r="V187" i="2"/>
  <c r="W187" i="2"/>
  <c r="X187" i="2"/>
  <c r="Y187" i="2"/>
  <c r="U188" i="2"/>
  <c r="V188" i="2"/>
  <c r="W188" i="2"/>
  <c r="X188" i="2"/>
  <c r="Y188" i="2"/>
  <c r="U189" i="2"/>
  <c r="V189" i="2"/>
  <c r="W189" i="2"/>
  <c r="X189" i="2"/>
  <c r="Y189" i="2"/>
  <c r="U190" i="2"/>
  <c r="V190" i="2"/>
  <c r="W190" i="2"/>
  <c r="X190" i="2"/>
  <c r="Y190" i="2"/>
  <c r="U191" i="2"/>
  <c r="V191" i="2"/>
  <c r="W191" i="2"/>
  <c r="X191" i="2"/>
  <c r="Y191" i="2"/>
  <c r="U192" i="2"/>
  <c r="V192" i="2"/>
  <c r="W192" i="2"/>
  <c r="X192" i="2"/>
  <c r="Y192" i="2"/>
  <c r="U193" i="2"/>
  <c r="V193" i="2"/>
  <c r="W193" i="2"/>
  <c r="X193" i="2"/>
  <c r="Y193" i="2"/>
  <c r="U194" i="2"/>
  <c r="V194" i="2"/>
  <c r="W194" i="2"/>
  <c r="X194" i="2"/>
  <c r="Y194" i="2"/>
  <c r="U195" i="2"/>
  <c r="V195" i="2"/>
  <c r="W195" i="2"/>
  <c r="X195" i="2"/>
  <c r="Y195" i="2"/>
  <c r="U196" i="2"/>
  <c r="V196" i="2"/>
  <c r="W196" i="2"/>
  <c r="X196" i="2"/>
  <c r="Y196" i="2"/>
  <c r="U197" i="2"/>
  <c r="V197" i="2"/>
  <c r="W197" i="2"/>
  <c r="X197" i="2"/>
  <c r="Y197" i="2"/>
  <c r="U198" i="2"/>
  <c r="V198" i="2"/>
  <c r="W198" i="2"/>
  <c r="X198" i="2"/>
  <c r="Y198" i="2"/>
  <c r="U199" i="2"/>
  <c r="V199" i="2"/>
  <c r="W199" i="2"/>
  <c r="X199" i="2"/>
  <c r="Y199" i="2"/>
  <c r="U200" i="2"/>
  <c r="V200" i="2"/>
  <c r="W200" i="2"/>
  <c r="X200" i="2"/>
  <c r="Y200" i="2"/>
  <c r="U201" i="2"/>
  <c r="V201" i="2"/>
  <c r="W201" i="2"/>
  <c r="X201" i="2"/>
  <c r="Y201" i="2"/>
  <c r="U202" i="2"/>
  <c r="V202" i="2"/>
  <c r="W202" i="2"/>
  <c r="X202" i="2"/>
  <c r="Y202" i="2"/>
  <c r="U203" i="2"/>
  <c r="V203" i="2"/>
  <c r="W203" i="2"/>
  <c r="X203" i="2"/>
  <c r="Y20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M203" i="2" s="1" a="1"/>
  <c r="M203" i="2" s="1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A203" i="2"/>
  <c r="A201" i="2"/>
  <c r="A202" i="2" s="1"/>
  <c r="A154" i="2"/>
  <c r="A155" i="2" s="1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M197" i="2" l="1" a="1"/>
  <c r="M197" i="2" s="1"/>
  <c r="DN199" i="2" a="1"/>
  <c r="DN199" i="2" s="1"/>
  <c r="EI198" i="2" a="1"/>
  <c r="EI198" i="2" s="1"/>
  <c r="EI201" i="2" a="1"/>
  <c r="EI201" i="2" s="1"/>
  <c r="EI202" i="2" a="1"/>
  <c r="EI202" i="2" s="1"/>
  <c r="EI196" i="2" a="1"/>
  <c r="EI196" i="2" s="1"/>
  <c r="EI186" i="2" a="1"/>
  <c r="EI186" i="2" s="1"/>
  <c r="EI197" i="2" a="1"/>
  <c r="EI197" i="2" s="1"/>
  <c r="EI164" i="2" a="1"/>
  <c r="EI164" i="2" s="1"/>
  <c r="EI199" i="2" a="1"/>
  <c r="EI199" i="2" s="1"/>
  <c r="EI200" i="2" a="1"/>
  <c r="EI200" i="2" s="1"/>
  <c r="DN196" i="2" a="1"/>
  <c r="DN196" i="2" s="1"/>
  <c r="DN202" i="2" a="1"/>
  <c r="DN202" i="2" s="1"/>
  <c r="DN201" i="2" a="1"/>
  <c r="DN201" i="2" s="1"/>
  <c r="DN182" i="2" a="1"/>
  <c r="DN182" i="2" s="1"/>
  <c r="DN194" i="2" a="1"/>
  <c r="DN194" i="2" s="1"/>
  <c r="DN176" i="2" a="1"/>
  <c r="DN176" i="2" s="1"/>
  <c r="DN186" i="2" a="1"/>
  <c r="DN186" i="2" s="1"/>
  <c r="DN170" i="2" a="1"/>
  <c r="DN170" i="2" s="1"/>
  <c r="DN189" i="2" a="1"/>
  <c r="DN189" i="2" s="1"/>
  <c r="CS202" i="2" a="1"/>
  <c r="CS202" i="2" s="1"/>
  <c r="BX185" i="2" a="1"/>
  <c r="BX185" i="2" s="1"/>
  <c r="BX176" i="2" a="1"/>
  <c r="BX176" i="2" s="1"/>
  <c r="BX170" i="2" a="1"/>
  <c r="BX170" i="2" s="1"/>
  <c r="BX184" i="2" a="1"/>
  <c r="BX184" i="2" s="1"/>
  <c r="S37" i="6"/>
  <c r="R38" i="6"/>
  <c r="AH202" i="2" a="1"/>
  <c r="AH202" i="2" s="1"/>
  <c r="M200" i="2" a="1"/>
  <c r="M200" i="2" s="1"/>
  <c r="M158" i="2" a="1"/>
  <c r="M158" i="2" s="1"/>
  <c r="M194" i="2" a="1"/>
  <c r="M194" i="2" s="1"/>
  <c r="M185" i="2" a="1"/>
  <c r="M185" i="2" s="1"/>
  <c r="M154" i="2" a="1"/>
  <c r="M154" i="2" s="1"/>
  <c r="M192" i="2" a="1"/>
  <c r="M192" i="2" s="1"/>
  <c r="M184" i="2" a="1"/>
  <c r="M184" i="2" s="1"/>
  <c r="M176" i="2" a="1"/>
  <c r="M176" i="2" s="1"/>
  <c r="M168" i="2" a="1"/>
  <c r="M168" i="2" s="1"/>
  <c r="M160" i="2" a="1"/>
  <c r="M160" i="2" s="1"/>
  <c r="M199" i="2" a="1"/>
  <c r="M199" i="2" s="1"/>
  <c r="M175" i="2" a="1"/>
  <c r="M175" i="2" s="1"/>
  <c r="M167" i="2" a="1"/>
  <c r="M167" i="2" s="1"/>
  <c r="M159" i="2" a="1"/>
  <c r="M159" i="2" s="1"/>
  <c r="M166" i="2" a="1"/>
  <c r="M166" i="2" s="1"/>
  <c r="M190" i="2" a="1"/>
  <c r="M190" i="2" s="1"/>
  <c r="M196" i="2" a="1"/>
  <c r="M196" i="2" s="1"/>
  <c r="M172" i="2" a="1"/>
  <c r="M172" i="2" s="1"/>
  <c r="M162" i="2" a="1"/>
  <c r="M162" i="2" s="1"/>
  <c r="M181" i="2" a="1"/>
  <c r="M181" i="2" s="1"/>
  <c r="M155" i="2" a="1"/>
  <c r="M155" i="2" s="1"/>
  <c r="FD182" i="2" a="1"/>
  <c r="FD182" i="2" s="1"/>
  <c r="GT187" i="2" a="1"/>
  <c r="GT187" i="2" s="1"/>
  <c r="FD193" i="2" a="1"/>
  <c r="FD193" i="2" s="1"/>
  <c r="FY196" i="2" a="1"/>
  <c r="FY196" i="2" s="1"/>
  <c r="GT201" i="2" a="1"/>
  <c r="GT201" i="2" s="1"/>
  <c r="GT200" i="2" a="1"/>
  <c r="GT200" i="2" s="1"/>
  <c r="GT199" i="2" a="1"/>
  <c r="GT199" i="2" s="1"/>
  <c r="GT197" i="2" a="1"/>
  <c r="GT197" i="2" s="1"/>
  <c r="GT194" i="2" a="1"/>
  <c r="GT194" i="2" s="1"/>
  <c r="GT195" i="2" a="1"/>
  <c r="GT195" i="2" s="1"/>
  <c r="GT167" i="2" a="1"/>
  <c r="GT167" i="2" s="1"/>
  <c r="FY163" i="2" a="1"/>
  <c r="FY163" i="2" s="1"/>
  <c r="FY191" i="2" a="1"/>
  <c r="FY191" i="2" s="1"/>
  <c r="FY190" i="2" a="1"/>
  <c r="FY190" i="2" s="1"/>
  <c r="FY157" i="2" a="1"/>
  <c r="FY157" i="2" s="1"/>
  <c r="FY182" i="2" a="1"/>
  <c r="FY182" i="2" s="1"/>
  <c r="FY186" i="2" a="1"/>
  <c r="FY186" i="2" s="1"/>
  <c r="M191" i="2" a="1"/>
  <c r="M191" i="2" s="1"/>
  <c r="M183" i="2" a="1"/>
  <c r="M183" i="2" s="1"/>
  <c r="M189" i="2" a="1"/>
  <c r="M189" i="2" s="1"/>
  <c r="BX192" i="2" a="1"/>
  <c r="BX192" i="2" s="1"/>
  <c r="BX186" i="2" a="1"/>
  <c r="BX186" i="2" s="1"/>
  <c r="BX183" i="2" a="1"/>
  <c r="BX183" i="2" s="1"/>
  <c r="BX182" i="2" a="1"/>
  <c r="BX182" i="2" s="1"/>
  <c r="BX180" i="2" a="1"/>
  <c r="BX180" i="2" s="1"/>
  <c r="M174" i="2" a="1"/>
  <c r="M174" i="2" s="1"/>
  <c r="M198" i="2" a="1"/>
  <c r="M198" i="2" s="1"/>
  <c r="M173" i="2" a="1"/>
  <c r="M173" i="2" s="1"/>
  <c r="BX195" i="2" a="1"/>
  <c r="BX195" i="2" s="1"/>
  <c r="BX187" i="2" a="1"/>
  <c r="BX187" i="2" s="1"/>
  <c r="M165" i="2" a="1"/>
  <c r="M165" i="2" s="1"/>
  <c r="M157" i="2" a="1"/>
  <c r="M157" i="2" s="1"/>
  <c r="BX188" i="2" a="1"/>
  <c r="BX188" i="2" s="1"/>
  <c r="BX171" i="2" a="1"/>
  <c r="BX171" i="2" s="1"/>
  <c r="BX168" i="2" a="1"/>
  <c r="BX168" i="2" s="1"/>
  <c r="BX166" i="2" a="1"/>
  <c r="BX166" i="2" s="1"/>
  <c r="BX167" i="2" a="1"/>
  <c r="BX167" i="2" s="1"/>
  <c r="M188" i="2" a="1"/>
  <c r="M188" i="2" s="1"/>
  <c r="M180" i="2" a="1"/>
  <c r="M180" i="2" s="1"/>
  <c r="M156" i="2" a="1"/>
  <c r="M156" i="2" s="1"/>
  <c r="AH200" i="2" a="1"/>
  <c r="AH200" i="2" s="1"/>
  <c r="BX189" i="2" a="1"/>
  <c r="BX189" i="2" s="1"/>
  <c r="BX172" i="2" a="1"/>
  <c r="BX172" i="2" s="1"/>
  <c r="M195" i="2" a="1"/>
  <c r="M195" i="2" s="1"/>
  <c r="M187" i="2" a="1"/>
  <c r="M187" i="2" s="1"/>
  <c r="M179" i="2" a="1"/>
  <c r="M179" i="2" s="1"/>
  <c r="M171" i="2" a="1"/>
  <c r="M171" i="2" s="1"/>
  <c r="M163" i="2" a="1"/>
  <c r="M163" i="2" s="1"/>
  <c r="M182" i="2" a="1"/>
  <c r="M182" i="2" s="1"/>
  <c r="BX196" i="2" a="1"/>
  <c r="BX196" i="2" s="1"/>
  <c r="BX173" i="2" a="1"/>
  <c r="BX173" i="2" s="1"/>
  <c r="M186" i="2" a="1"/>
  <c r="M186" i="2" s="1"/>
  <c r="M178" i="2" a="1"/>
  <c r="M178" i="2" s="1"/>
  <c r="M170" i="2" a="1"/>
  <c r="M170" i="2" s="1"/>
  <c r="BX191" i="2" a="1"/>
  <c r="BX191" i="2" s="1"/>
  <c r="BX177" i="2" a="1"/>
  <c r="BX177" i="2" s="1"/>
  <c r="BX174" i="2" a="1"/>
  <c r="BX174" i="2" s="1"/>
  <c r="M169" i="2" a="1"/>
  <c r="M169" i="2" s="1"/>
  <c r="M161" i="2" a="1"/>
  <c r="M161" i="2" s="1"/>
  <c r="M202" i="2" a="1"/>
  <c r="M202" i="2" s="1"/>
  <c r="M177" i="2" a="1"/>
  <c r="M177" i="2" s="1"/>
  <c r="M164" i="2" a="1"/>
  <c r="M164" i="2" s="1"/>
  <c r="BX201" i="2" a="1"/>
  <c r="BX201" i="2" s="1"/>
  <c r="BX198" i="2" a="1"/>
  <c r="BX198" i="2" s="1"/>
  <c r="BX178" i="2" a="1"/>
  <c r="BX178" i="2" s="1"/>
  <c r="M201" i="2" a="1"/>
  <c r="M201" i="2" s="1"/>
  <c r="AH198" i="2" a="1"/>
  <c r="AH198" i="2" s="1"/>
  <c r="BX200" i="2" a="1"/>
  <c r="BX200" i="2" s="1"/>
  <c r="BX202" i="2" a="1"/>
  <c r="BX202" i="2" s="1"/>
  <c r="BX179" i="2" a="1"/>
  <c r="BX179" i="2" s="1"/>
  <c r="DN191" i="2" a="1"/>
  <c r="DN191" i="2" s="1"/>
  <c r="DN185" i="2" a="1"/>
  <c r="DN185" i="2" s="1"/>
  <c r="DN162" i="2" a="1"/>
  <c r="DN162" i="2" s="1"/>
  <c r="DN154" i="2" a="1"/>
  <c r="DN154" i="2" s="1"/>
  <c r="EI195" i="2" a="1"/>
  <c r="EI195" i="2" s="1"/>
  <c r="EI194" i="2" a="1"/>
  <c r="EI194" i="2" s="1"/>
  <c r="EI193" i="2" a="1"/>
  <c r="EI193" i="2" s="1"/>
  <c r="EI192" i="2" a="1"/>
  <c r="EI192" i="2" s="1"/>
  <c r="EI158" i="2" a="1"/>
  <c r="EI158" i="2" s="1"/>
  <c r="EI190" i="2" a="1"/>
  <c r="EI190" i="2" s="1"/>
  <c r="EI176" i="2" a="1"/>
  <c r="EI176" i="2" s="1"/>
  <c r="EI173" i="2" a="1"/>
  <c r="EI173" i="2" s="1"/>
  <c r="FD179" i="2" a="1"/>
  <c r="FD179" i="2" s="1"/>
  <c r="FD171" i="2" a="1"/>
  <c r="FD171" i="2" s="1"/>
  <c r="FD170" i="2" a="1"/>
  <c r="FD170" i="2" s="1"/>
  <c r="FD168" i="2" a="1"/>
  <c r="FD168" i="2" s="1"/>
  <c r="FD165" i="2" a="1"/>
  <c r="FD165" i="2" s="1"/>
  <c r="FY180" i="2" a="1"/>
  <c r="FY180" i="2" s="1"/>
  <c r="FY175" i="2" a="1"/>
  <c r="FY175" i="2" s="1"/>
  <c r="FY174" i="2" a="1"/>
  <c r="FY174" i="2" s="1"/>
  <c r="FY167" i="2" a="1"/>
  <c r="FY167" i="2" s="1"/>
  <c r="FY165" i="2" a="1"/>
  <c r="FY165" i="2" s="1"/>
  <c r="GT179" i="2" a="1"/>
  <c r="GT179" i="2" s="1"/>
  <c r="GT171" i="2" a="1"/>
  <c r="GT171" i="2" s="1"/>
  <c r="GT164" i="2" a="1"/>
  <c r="GT164" i="2" s="1"/>
  <c r="GT161" i="2" a="1"/>
  <c r="GT161" i="2" s="1"/>
  <c r="GT159" i="2" a="1"/>
  <c r="GT159" i="2" s="1"/>
  <c r="AH201" i="2" a="1"/>
  <c r="AH201" i="2" s="1"/>
  <c r="AH197" i="2" a="1"/>
  <c r="AH197" i="2" s="1"/>
  <c r="BX181" i="2" a="1"/>
  <c r="BX181" i="2" s="1"/>
  <c r="BX162" i="2" a="1"/>
  <c r="BX162" i="2" s="1"/>
  <c r="BX175" i="2" a="1"/>
  <c r="BX175" i="2" s="1"/>
  <c r="BX169" i="2" a="1"/>
  <c r="BX169" i="2" s="1"/>
  <c r="BX158" i="2" a="1"/>
  <c r="BX158" i="2" s="1"/>
  <c r="DN195" i="2" a="1"/>
  <c r="DN195" i="2" s="1"/>
  <c r="DN163" i="2" a="1"/>
  <c r="DN163" i="2" s="1"/>
  <c r="DN155" i="2" a="1"/>
  <c r="DN155" i="2" s="1"/>
  <c r="EI191" i="2" a="1"/>
  <c r="EI191" i="2" s="1"/>
  <c r="EI177" i="2" a="1"/>
  <c r="EI177" i="2" s="1"/>
  <c r="EI160" i="2" a="1"/>
  <c r="EI160" i="2" s="1"/>
  <c r="FD198" i="2" a="1"/>
  <c r="FD198" i="2" s="1"/>
  <c r="FD199" i="2" a="1"/>
  <c r="FD199" i="2" s="1"/>
  <c r="FD200" i="2" a="1"/>
  <c r="FD200" i="2" s="1"/>
  <c r="FD201" i="2" a="1"/>
  <c r="FD201" i="2" s="1"/>
  <c r="FD202" i="2" a="1"/>
  <c r="FD202" i="2" s="1"/>
  <c r="FD194" i="2" a="1"/>
  <c r="FD194" i="2" s="1"/>
  <c r="FD183" i="2" a="1"/>
  <c r="FD183" i="2" s="1"/>
  <c r="FD180" i="2" a="1"/>
  <c r="FD180" i="2" s="1"/>
  <c r="FD172" i="2" a="1"/>
  <c r="FD172" i="2" s="1"/>
  <c r="FD169" i="2" a="1"/>
  <c r="FD169" i="2" s="1"/>
  <c r="FY197" i="2" a="1"/>
  <c r="FY197" i="2" s="1"/>
  <c r="FY201" i="2" a="1"/>
  <c r="FY201" i="2" s="1"/>
  <c r="FY181" i="2" a="1"/>
  <c r="FY181" i="2" s="1"/>
  <c r="FY185" i="2" a="1"/>
  <c r="FY185" i="2" s="1"/>
  <c r="DN173" i="2" a="1"/>
  <c r="DN173" i="2" s="1"/>
  <c r="DN172" i="2" a="1"/>
  <c r="DN172" i="2" s="1"/>
  <c r="DN167" i="2" a="1"/>
  <c r="DN167" i="2" s="1"/>
  <c r="DN166" i="2" a="1"/>
  <c r="DN166" i="2" s="1"/>
  <c r="DN164" i="2" a="1"/>
  <c r="DN164" i="2" s="1"/>
  <c r="EI181" i="2" a="1"/>
  <c r="EI181" i="2" s="1"/>
  <c r="EI180" i="2" a="1"/>
  <c r="EI180" i="2" s="1"/>
  <c r="EI178" i="2" a="1"/>
  <c r="EI178" i="2" s="1"/>
  <c r="EI161" i="2" a="1"/>
  <c r="EI161" i="2" s="1"/>
  <c r="FD159" i="2" a="1"/>
  <c r="FD159" i="2" s="1"/>
  <c r="FD203" i="2" a="1"/>
  <c r="FD203" i="2" s="1"/>
  <c r="FD195" i="2" a="1"/>
  <c r="FD195" i="2" s="1"/>
  <c r="FD187" i="2" a="1"/>
  <c r="FD187" i="2" s="1"/>
  <c r="FD186" i="2" a="1"/>
  <c r="FD186" i="2" s="1"/>
  <c r="FD184" i="2" a="1"/>
  <c r="FD184" i="2" s="1"/>
  <c r="FD181" i="2" a="1"/>
  <c r="FD181" i="2" s="1"/>
  <c r="FD173" i="2" a="1"/>
  <c r="FD173" i="2" s="1"/>
  <c r="FY200" i="2" a="1"/>
  <c r="FY200" i="2" s="1"/>
  <c r="FY195" i="2" a="1"/>
  <c r="FY195" i="2" s="1"/>
  <c r="FY184" i="2" a="1"/>
  <c r="FY184" i="2" s="1"/>
  <c r="FY179" i="2" a="1"/>
  <c r="FY179" i="2" s="1"/>
  <c r="FY155" i="2" a="1"/>
  <c r="FY155" i="2" s="1"/>
  <c r="GT185" i="2" a="1"/>
  <c r="GT185" i="2" s="1"/>
  <c r="GT177" i="2" a="1"/>
  <c r="GT177" i="2" s="1"/>
  <c r="GT169" i="2" a="1"/>
  <c r="GT169" i="2" s="1"/>
  <c r="GT157" i="2" a="1"/>
  <c r="GT157" i="2" s="1"/>
  <c r="GT155" i="2" a="1"/>
  <c r="GT155" i="2" s="1"/>
  <c r="AH184" i="2" a="1"/>
  <c r="AH184" i="2" s="1"/>
  <c r="BX165" i="2" a="1"/>
  <c r="BX165" i="2" s="1"/>
  <c r="BX199" i="2" a="1"/>
  <c r="BX199" i="2" s="1"/>
  <c r="DN161" i="2" a="1"/>
  <c r="DN161" i="2" s="1"/>
  <c r="DN200" i="2" a="1"/>
  <c r="DN200" i="2" s="1"/>
  <c r="DN197" i="2" a="1"/>
  <c r="DN197" i="2" s="1"/>
  <c r="DN177" i="2" a="1"/>
  <c r="DN177" i="2" s="1"/>
  <c r="DN174" i="2" a="1"/>
  <c r="DN174" i="2" s="1"/>
  <c r="DN171" i="2" a="1"/>
  <c r="DN171" i="2" s="1"/>
  <c r="DN168" i="2" a="1"/>
  <c r="DN168" i="2" s="1"/>
  <c r="DN165" i="2" a="1"/>
  <c r="DN165" i="2" s="1"/>
  <c r="EI182" i="2" a="1"/>
  <c r="EI182" i="2" s="1"/>
  <c r="EI179" i="2" a="1"/>
  <c r="EI179" i="2" s="1"/>
  <c r="EI165" i="2" a="1"/>
  <c r="EI165" i="2" s="1"/>
  <c r="EI162" i="2" a="1"/>
  <c r="EI162" i="2" s="1"/>
  <c r="FD196" i="2" a="1"/>
  <c r="FD196" i="2" s="1"/>
  <c r="FD188" i="2" a="1"/>
  <c r="FD188" i="2" s="1"/>
  <c r="FD185" i="2" a="1"/>
  <c r="FD185" i="2" s="1"/>
  <c r="FD174" i="2" a="1"/>
  <c r="FD174" i="2" s="1"/>
  <c r="FY172" i="2" a="1"/>
  <c r="FY172" i="2" s="1"/>
  <c r="GT193" i="2" a="1"/>
  <c r="GT193" i="2" s="1"/>
  <c r="BX197" i="2" a="1"/>
  <c r="BX197" i="2" s="1"/>
  <c r="DN159" i="2" a="1"/>
  <c r="DN159" i="2" s="1"/>
  <c r="DN178" i="2" a="1"/>
  <c r="DN178" i="2" s="1"/>
  <c r="DN175" i="2" a="1"/>
  <c r="DN175" i="2" s="1"/>
  <c r="DN169" i="2" a="1"/>
  <c r="DN169" i="2" s="1"/>
  <c r="DN157" i="2" a="1"/>
  <c r="DN157" i="2" s="1"/>
  <c r="EI183" i="2" a="1"/>
  <c r="EI183" i="2" s="1"/>
  <c r="EI166" i="2" a="1"/>
  <c r="EI166" i="2" s="1"/>
  <c r="EI163" i="2" a="1"/>
  <c r="EI163" i="2" s="1"/>
  <c r="FD197" i="2" a="1"/>
  <c r="FD197" i="2" s="1"/>
  <c r="FD189" i="2" a="1"/>
  <c r="FD189" i="2" s="1"/>
  <c r="FD175" i="2" a="1"/>
  <c r="FD175" i="2" s="1"/>
  <c r="FY199" i="2" a="1"/>
  <c r="FY199" i="2" s="1"/>
  <c r="FY198" i="2" a="1"/>
  <c r="FY198" i="2" s="1"/>
  <c r="FY194" i="2" a="1"/>
  <c r="FY194" i="2" s="1"/>
  <c r="FY188" i="2" a="1"/>
  <c r="FY188" i="2" s="1"/>
  <c r="FY183" i="2" a="1"/>
  <c r="FY183" i="2" s="1"/>
  <c r="FY178" i="2" a="1"/>
  <c r="FY178" i="2" s="1"/>
  <c r="FY171" i="2" a="1"/>
  <c r="FY171" i="2" s="1"/>
  <c r="FY154" i="2" a="1"/>
  <c r="FY154" i="2" s="1"/>
  <c r="GT183" i="2" a="1"/>
  <c r="GT183" i="2" s="1"/>
  <c r="GT175" i="2" a="1"/>
  <c r="GT175" i="2" s="1"/>
  <c r="M193" i="2" a="1"/>
  <c r="M193" i="2" s="1"/>
  <c r="AH199" i="2" a="1"/>
  <c r="AH199" i="2" s="1"/>
  <c r="BX194" i="2" a="1"/>
  <c r="BX194" i="2" s="1"/>
  <c r="DN179" i="2" a="1"/>
  <c r="DN179" i="2" s="1"/>
  <c r="EI187" i="2" a="1"/>
  <c r="EI187" i="2" s="1"/>
  <c r="EI184" i="2" a="1"/>
  <c r="EI184" i="2" s="1"/>
  <c r="EI167" i="2" a="1"/>
  <c r="EI167" i="2" s="1"/>
  <c r="EI155" i="2" a="1"/>
  <c r="EI155" i="2" s="1"/>
  <c r="FD190" i="2" a="1"/>
  <c r="FD190" i="2" s="1"/>
  <c r="FD158" i="2" a="1"/>
  <c r="FD158" i="2" s="1"/>
  <c r="FY189" i="2" a="1"/>
  <c r="FY189" i="2" s="1"/>
  <c r="FY193" i="2" a="1"/>
  <c r="FY193" i="2" s="1"/>
  <c r="FY173" i="2" a="1"/>
  <c r="FY173" i="2" s="1"/>
  <c r="FY177" i="2" a="1"/>
  <c r="FY177" i="2" s="1"/>
  <c r="FY170" i="2" a="1"/>
  <c r="FY170" i="2" s="1"/>
  <c r="GT198" i="2" a="1"/>
  <c r="GT198" i="2" s="1"/>
  <c r="BX164" i="2" a="1"/>
  <c r="BX164" i="2" s="1"/>
  <c r="BX193" i="2" a="1"/>
  <c r="BX193" i="2" s="1"/>
  <c r="BX190" i="2" a="1"/>
  <c r="BX190" i="2" s="1"/>
  <c r="DN188" i="2" a="1"/>
  <c r="DN188" i="2" s="1"/>
  <c r="DN183" i="2" a="1"/>
  <c r="DN183" i="2" s="1"/>
  <c r="DN180" i="2" a="1"/>
  <c r="DN180" i="2" s="1"/>
  <c r="DN160" i="2" a="1"/>
  <c r="DN160" i="2" s="1"/>
  <c r="EI188" i="2" a="1"/>
  <c r="EI188" i="2" s="1"/>
  <c r="EI185" i="2" a="1"/>
  <c r="EI185" i="2" s="1"/>
  <c r="EI171" i="2" a="1"/>
  <c r="EI171" i="2" s="1"/>
  <c r="EI170" i="2" a="1"/>
  <c r="EI170" i="2" s="1"/>
  <c r="EI168" i="2" a="1"/>
  <c r="EI168" i="2" s="1"/>
  <c r="FD191" i="2" a="1"/>
  <c r="FD191" i="2" s="1"/>
  <c r="FD163" i="2" a="1"/>
  <c r="FD163" i="2" s="1"/>
  <c r="FY192" i="2" a="1"/>
  <c r="FY192" i="2" s="1"/>
  <c r="FY187" i="2" a="1"/>
  <c r="FY187" i="2" s="1"/>
  <c r="FY176" i="2" a="1"/>
  <c r="FY176" i="2" s="1"/>
  <c r="FY166" i="2" a="1"/>
  <c r="FY166" i="2" s="1"/>
  <c r="FY168" i="2" a="1"/>
  <c r="FY168" i="2" s="1"/>
  <c r="FY161" i="2" a="1"/>
  <c r="FY161" i="2" s="1"/>
  <c r="GT163" i="2" a="1"/>
  <c r="GT163" i="2" s="1"/>
  <c r="GT192" i="2" a="1"/>
  <c r="GT192" i="2" s="1"/>
  <c r="GT190" i="2" a="1"/>
  <c r="GT190" i="2" s="1"/>
  <c r="GT168" i="2" a="1"/>
  <c r="GT168" i="2" s="1"/>
  <c r="GT170" i="2" a="1"/>
  <c r="GT170" i="2" s="1"/>
  <c r="GT172" i="2" a="1"/>
  <c r="GT172" i="2" s="1"/>
  <c r="GT174" i="2" a="1"/>
  <c r="GT174" i="2" s="1"/>
  <c r="GT176" i="2" a="1"/>
  <c r="GT176" i="2" s="1"/>
  <c r="GT178" i="2" a="1"/>
  <c r="GT178" i="2" s="1"/>
  <c r="GT180" i="2" a="1"/>
  <c r="GT180" i="2" s="1"/>
  <c r="GT182" i="2" a="1"/>
  <c r="GT182" i="2" s="1"/>
  <c r="GT184" i="2" a="1"/>
  <c r="GT184" i="2" s="1"/>
  <c r="GT186" i="2" a="1"/>
  <c r="GT186" i="2" s="1"/>
  <c r="GT188" i="2" a="1"/>
  <c r="GT188" i="2" s="1"/>
  <c r="GT191" i="2" a="1"/>
  <c r="GT191" i="2" s="1"/>
  <c r="GT189" i="2" a="1"/>
  <c r="GT189" i="2" s="1"/>
  <c r="GT181" i="2" a="1"/>
  <c r="GT181" i="2" s="1"/>
  <c r="GT166" i="2" a="1"/>
  <c r="GT166" i="2" s="1"/>
  <c r="GT173" i="2" a="1"/>
  <c r="GT173" i="2" s="1"/>
  <c r="GT165" i="2" a="1"/>
  <c r="GT165" i="2" s="1"/>
  <c r="BX156" i="2" a="1"/>
  <c r="BX156" i="2" s="1"/>
  <c r="DN193" i="2" a="1"/>
  <c r="DN193" i="2" s="1"/>
  <c r="DN192" i="2" a="1"/>
  <c r="DN192" i="2" s="1"/>
  <c r="DN158" i="2" a="1"/>
  <c r="DN158" i="2" s="1"/>
  <c r="DN190" i="2" a="1"/>
  <c r="DN190" i="2" s="1"/>
  <c r="DN187" i="2" a="1"/>
  <c r="DN187" i="2" s="1"/>
  <c r="DN184" i="2" a="1"/>
  <c r="DN184" i="2" s="1"/>
  <c r="DN181" i="2" a="1"/>
  <c r="DN181" i="2" s="1"/>
  <c r="EI189" i="2" a="1"/>
  <c r="EI189" i="2" s="1"/>
  <c r="EI175" i="2" a="1"/>
  <c r="EI175" i="2" s="1"/>
  <c r="EI174" i="2" a="1"/>
  <c r="EI174" i="2" s="1"/>
  <c r="EI172" i="2" a="1"/>
  <c r="EI172" i="2" s="1"/>
  <c r="EI169" i="2" a="1"/>
  <c r="EI169" i="2" s="1"/>
  <c r="FD192" i="2" a="1"/>
  <c r="FD192" i="2" s="1"/>
  <c r="FD176" i="2" a="1"/>
  <c r="FD176" i="2" s="1"/>
  <c r="FD167" i="2" a="1"/>
  <c r="FD167" i="2" s="1"/>
  <c r="FD166" i="2" a="1"/>
  <c r="FD166" i="2" s="1"/>
  <c r="FD164" i="2" a="1"/>
  <c r="FD164" i="2" s="1"/>
  <c r="FY159" i="2" a="1"/>
  <c r="FY159" i="2" s="1"/>
  <c r="BX155" i="2" a="1"/>
  <c r="BX155" i="2" s="1"/>
  <c r="BX154" i="2" a="1"/>
  <c r="BX154" i="2" s="1"/>
  <c r="GT158" i="2" a="1"/>
  <c r="GT158" i="2" s="1"/>
  <c r="GT156" i="2" a="1"/>
  <c r="GT156" i="2" s="1"/>
  <c r="GT160" i="2" a="1"/>
  <c r="GT160" i="2" s="1"/>
  <c r="DN156" i="2" a="1"/>
  <c r="DN156" i="2" s="1"/>
  <c r="EI159" i="2" a="1"/>
  <c r="EI159" i="2" s="1"/>
  <c r="FD157" i="2" a="1"/>
  <c r="FD157" i="2" s="1"/>
  <c r="FD154" i="2" a="1"/>
  <c r="FD154" i="2" s="1"/>
  <c r="EI156" i="2" a="1"/>
  <c r="EI156" i="2" s="1"/>
  <c r="EI154" i="2" a="1"/>
  <c r="EI154" i="2" s="1"/>
  <c r="FD156" i="2" a="1"/>
  <c r="FD156" i="2" s="1"/>
  <c r="FD178" i="2" a="1"/>
  <c r="FD178" i="2" s="1"/>
  <c r="FD162" i="2" a="1"/>
  <c r="FD162" i="2" s="1"/>
  <c r="FY169" i="2" a="1"/>
  <c r="FY169" i="2" s="1"/>
  <c r="GT196" i="2" a="1"/>
  <c r="GT196" i="2" s="1"/>
  <c r="GT154" i="2" a="1"/>
  <c r="GT154" i="2" s="1"/>
  <c r="FD177" i="2" a="1"/>
  <c r="FD177" i="2" s="1"/>
  <c r="FD161" i="2" a="1"/>
  <c r="FD161" i="2" s="1"/>
  <c r="FD160" i="2" a="1"/>
  <c r="FD160" i="2" s="1"/>
  <c r="FY164" i="2" a="1"/>
  <c r="FY164" i="2" s="1"/>
  <c r="BC202" i="2" a="1"/>
  <c r="BC202" i="2" s="1"/>
  <c r="BX163" i="2" a="1"/>
  <c r="BX163" i="2" s="1"/>
  <c r="BX160" i="2" a="1"/>
  <c r="BX160" i="2" s="1"/>
  <c r="FD155" i="2" a="1"/>
  <c r="FD155" i="2" s="1"/>
  <c r="FY156" i="2" a="1"/>
  <c r="FY156" i="2" s="1"/>
  <c r="EI157" i="2" a="1"/>
  <c r="EI157" i="2" s="1"/>
  <c r="FY162" i="2" a="1"/>
  <c r="FY162" i="2" s="1"/>
  <c r="FY160" i="2" a="1"/>
  <c r="FY160" i="2" s="1"/>
  <c r="FY158" i="2" a="1"/>
  <c r="FY158" i="2" s="1"/>
  <c r="GT162" i="2" a="1"/>
  <c r="GT162" i="2" s="1"/>
  <c r="BC201" i="2" a="1"/>
  <c r="BC201" i="2" s="1"/>
  <c r="BC193" i="2" a="1"/>
  <c r="BC193" i="2" s="1"/>
  <c r="BC185" i="2" a="1"/>
  <c r="BC185" i="2" s="1"/>
  <c r="BC177" i="2" a="1"/>
  <c r="BC177" i="2" s="1"/>
  <c r="BC169" i="2" a="1"/>
  <c r="BC169" i="2" s="1"/>
  <c r="BC161" i="2" a="1"/>
  <c r="BC161" i="2" s="1"/>
  <c r="BC196" i="2" a="1"/>
  <c r="BC196" i="2" s="1"/>
  <c r="BC188" i="2" a="1"/>
  <c r="BC188" i="2" s="1"/>
  <c r="BC184" i="2" a="1"/>
  <c r="BC184" i="2" s="1"/>
  <c r="BC180" i="2" a="1"/>
  <c r="BC180" i="2" s="1"/>
  <c r="BC172" i="2" a="1"/>
  <c r="BC172" i="2" s="1"/>
  <c r="BC168" i="2" a="1"/>
  <c r="BC168" i="2" s="1"/>
  <c r="BC164" i="2" a="1"/>
  <c r="BC164" i="2" s="1"/>
  <c r="BC160" i="2" a="1"/>
  <c r="BC160" i="2" s="1"/>
  <c r="BC156" i="2" a="1"/>
  <c r="BC156" i="2" s="1"/>
  <c r="BC200" i="2" a="1"/>
  <c r="BC200" i="2" s="1"/>
  <c r="BC192" i="2" a="1"/>
  <c r="BC192" i="2" s="1"/>
  <c r="BC176" i="2" a="1"/>
  <c r="BC176" i="2" s="1"/>
  <c r="BC195" i="2" a="1"/>
  <c r="BC195" i="2" s="1"/>
  <c r="BC187" i="2" a="1"/>
  <c r="BC187" i="2" s="1"/>
  <c r="BC183" i="2" a="1"/>
  <c r="BC183" i="2" s="1"/>
  <c r="BC175" i="2" a="1"/>
  <c r="BC175" i="2" s="1"/>
  <c r="BC171" i="2" a="1"/>
  <c r="BC171" i="2" s="1"/>
  <c r="BC167" i="2" a="1"/>
  <c r="BC167" i="2" s="1"/>
  <c r="BC163" i="2" a="1"/>
  <c r="BC163" i="2" s="1"/>
  <c r="BC159" i="2" a="1"/>
  <c r="BC159" i="2" s="1"/>
  <c r="BC155" i="2" a="1"/>
  <c r="BC155" i="2" s="1"/>
  <c r="BC199" i="2" a="1"/>
  <c r="BC199" i="2" s="1"/>
  <c r="BC191" i="2" a="1"/>
  <c r="BC191" i="2" s="1"/>
  <c r="BC179" i="2" a="1"/>
  <c r="BC179" i="2" s="1"/>
  <c r="BC197" i="2" a="1"/>
  <c r="BC197" i="2" s="1"/>
  <c r="BC194" i="2" a="1"/>
  <c r="BC194" i="2" s="1"/>
  <c r="BC189" i="2" a="1"/>
  <c r="BC189" i="2" s="1"/>
  <c r="BC186" i="2" a="1"/>
  <c r="BC186" i="2" s="1"/>
  <c r="BC181" i="2" a="1"/>
  <c r="BC181" i="2" s="1"/>
  <c r="BC178" i="2" a="1"/>
  <c r="BC178" i="2" s="1"/>
  <c r="BC173" i="2" a="1"/>
  <c r="BC173" i="2" s="1"/>
  <c r="BC170" i="2" a="1"/>
  <c r="BC170" i="2" s="1"/>
  <c r="BC165" i="2" a="1"/>
  <c r="BC165" i="2" s="1"/>
  <c r="BC162" i="2" a="1"/>
  <c r="BC162" i="2" s="1"/>
  <c r="BC157" i="2" a="1"/>
  <c r="BC157" i="2" s="1"/>
  <c r="BC154" i="2" a="1"/>
  <c r="BC154" i="2" s="1"/>
  <c r="CS198" i="2" a="1"/>
  <c r="CS198" i="2" s="1"/>
  <c r="CS200" i="2" a="1"/>
  <c r="CS200" i="2" s="1"/>
  <c r="CS199" i="2" a="1"/>
  <c r="CS199" i="2" s="1"/>
  <c r="CS196" i="2" a="1"/>
  <c r="CS196" i="2" s="1"/>
  <c r="CS195" i="2" a="1"/>
  <c r="CS195" i="2" s="1"/>
  <c r="CS192" i="2" a="1"/>
  <c r="CS192" i="2" s="1"/>
  <c r="CS191" i="2" a="1"/>
  <c r="CS191" i="2" s="1"/>
  <c r="CS188" i="2" a="1"/>
  <c r="CS188" i="2" s="1"/>
  <c r="CS187" i="2" a="1"/>
  <c r="CS187" i="2" s="1"/>
  <c r="CS184" i="2" a="1"/>
  <c r="CS184" i="2" s="1"/>
  <c r="CS183" i="2" a="1"/>
  <c r="CS183" i="2" s="1"/>
  <c r="CS180" i="2" a="1"/>
  <c r="CS180" i="2" s="1"/>
  <c r="CS179" i="2" a="1"/>
  <c r="CS179" i="2" s="1"/>
  <c r="CS176" i="2" a="1"/>
  <c r="CS176" i="2" s="1"/>
  <c r="CS175" i="2" a="1"/>
  <c r="CS175" i="2" s="1"/>
  <c r="CS172" i="2" a="1"/>
  <c r="CS172" i="2" s="1"/>
  <c r="CS171" i="2" a="1"/>
  <c r="CS171" i="2" s="1"/>
  <c r="CS168" i="2" a="1"/>
  <c r="CS168" i="2" s="1"/>
  <c r="CS167" i="2" a="1"/>
  <c r="CS167" i="2" s="1"/>
  <c r="CS164" i="2" a="1"/>
  <c r="CS164" i="2" s="1"/>
  <c r="CS163" i="2" a="1"/>
  <c r="CS163" i="2" s="1"/>
  <c r="CS160" i="2" a="1"/>
  <c r="CS160" i="2" s="1"/>
  <c r="CS159" i="2" a="1"/>
  <c r="CS159" i="2" s="1"/>
  <c r="CS156" i="2" a="1"/>
  <c r="CS156" i="2" s="1"/>
  <c r="CS155" i="2" a="1"/>
  <c r="CS155" i="2" s="1"/>
  <c r="CS201" i="2" a="1"/>
  <c r="CS201" i="2" s="1"/>
  <c r="CS197" i="2" a="1"/>
  <c r="CS197" i="2" s="1"/>
  <c r="CS194" i="2" a="1"/>
  <c r="CS194" i="2" s="1"/>
  <c r="CS193" i="2" a="1"/>
  <c r="CS193" i="2" s="1"/>
  <c r="CS190" i="2" a="1"/>
  <c r="CS190" i="2" s="1"/>
  <c r="CS189" i="2" a="1"/>
  <c r="CS189" i="2" s="1"/>
  <c r="CS186" i="2" a="1"/>
  <c r="CS186" i="2" s="1"/>
  <c r="CS185" i="2" a="1"/>
  <c r="CS185" i="2" s="1"/>
  <c r="CS182" i="2" a="1"/>
  <c r="CS182" i="2" s="1"/>
  <c r="CS181" i="2" a="1"/>
  <c r="CS181" i="2" s="1"/>
  <c r="CS178" i="2" a="1"/>
  <c r="CS178" i="2" s="1"/>
  <c r="CS177" i="2" a="1"/>
  <c r="CS177" i="2" s="1"/>
  <c r="CS174" i="2" a="1"/>
  <c r="CS174" i="2" s="1"/>
  <c r="CS173" i="2" a="1"/>
  <c r="CS173" i="2" s="1"/>
  <c r="CS170" i="2" a="1"/>
  <c r="CS170" i="2" s="1"/>
  <c r="CS169" i="2" a="1"/>
  <c r="CS169" i="2" s="1"/>
  <c r="CS166" i="2" a="1"/>
  <c r="CS166" i="2" s="1"/>
  <c r="CS165" i="2" a="1"/>
  <c r="CS165" i="2" s="1"/>
  <c r="CS162" i="2" a="1"/>
  <c r="CS162" i="2" s="1"/>
  <c r="CS161" i="2" a="1"/>
  <c r="CS161" i="2" s="1"/>
  <c r="CS158" i="2" a="1"/>
  <c r="CS158" i="2" s="1"/>
  <c r="CS157" i="2" a="1"/>
  <c r="CS157" i="2" s="1"/>
  <c r="CS154" i="2" a="1"/>
  <c r="CS154" i="2" s="1"/>
  <c r="BX161" i="2" a="1"/>
  <c r="BX161" i="2" s="1"/>
  <c r="BX159" i="2" a="1"/>
  <c r="BX159" i="2" s="1"/>
  <c r="BX157" i="2" a="1"/>
  <c r="BX157" i="2" s="1"/>
  <c r="BC198" i="2" a="1"/>
  <c r="BC198" i="2" s="1"/>
  <c r="BC190" i="2" a="1"/>
  <c r="BC190" i="2" s="1"/>
  <c r="BC182" i="2" a="1"/>
  <c r="BC182" i="2" s="1"/>
  <c r="BC174" i="2" a="1"/>
  <c r="BC174" i="2" s="1"/>
  <c r="BC166" i="2" a="1"/>
  <c r="BC166" i="2" s="1"/>
  <c r="BC158" i="2" a="1"/>
  <c r="BC158" i="2" s="1"/>
  <c r="AH196" i="2" a="1"/>
  <c r="AH196" i="2" s="1"/>
  <c r="AH195" i="2" a="1"/>
  <c r="AH195" i="2" s="1"/>
  <c r="AH191" i="2" a="1"/>
  <c r="AH191" i="2" s="1"/>
  <c r="AH181" i="2" a="1"/>
  <c r="AH181" i="2" s="1"/>
  <c r="AH173" i="2" a="1"/>
  <c r="AH173" i="2" s="1"/>
  <c r="AH165" i="2" a="1"/>
  <c r="AH165" i="2" s="1"/>
  <c r="AH157" i="2" a="1"/>
  <c r="AH157" i="2" s="1"/>
  <c r="AH193" i="2" a="1"/>
  <c r="AH193" i="2" s="1"/>
  <c r="AH188" i="2" a="1"/>
  <c r="AH188" i="2" s="1"/>
  <c r="AH187" i="2" a="1"/>
  <c r="AH187" i="2" s="1"/>
  <c r="AH185" i="2" a="1"/>
  <c r="AH185" i="2" s="1"/>
  <c r="AH180" i="2" a="1"/>
  <c r="AH180" i="2" s="1"/>
  <c r="AH176" i="2" a="1"/>
  <c r="AH176" i="2" s="1"/>
  <c r="AH172" i="2" a="1"/>
  <c r="AH172" i="2" s="1"/>
  <c r="AH168" i="2" a="1"/>
  <c r="AH168" i="2" s="1"/>
  <c r="AH164" i="2" a="1"/>
  <c r="AH164" i="2" s="1"/>
  <c r="AH160" i="2" a="1"/>
  <c r="AH160" i="2" s="1"/>
  <c r="AH156" i="2" a="1"/>
  <c r="AH156" i="2" s="1"/>
  <c r="AH194" i="2" a="1"/>
  <c r="AH194" i="2" s="1"/>
  <c r="AH190" i="2" a="1"/>
  <c r="AH190" i="2" s="1"/>
  <c r="AH186" i="2" a="1"/>
  <c r="AH186" i="2" s="1"/>
  <c r="AH183" i="2" a="1"/>
  <c r="AH183" i="2" s="1"/>
  <c r="AH175" i="2" a="1"/>
  <c r="AH175" i="2" s="1"/>
  <c r="AH167" i="2" a="1"/>
  <c r="AH167" i="2" s="1"/>
  <c r="AH159" i="2" a="1"/>
  <c r="AH159" i="2" s="1"/>
  <c r="AH192" i="2" a="1"/>
  <c r="AH192" i="2" s="1"/>
  <c r="AH189" i="2" a="1"/>
  <c r="AH189" i="2" s="1"/>
  <c r="AH182" i="2" a="1"/>
  <c r="AH182" i="2" s="1"/>
  <c r="AH174" i="2" a="1"/>
  <c r="AH174" i="2" s="1"/>
  <c r="AH166" i="2" a="1"/>
  <c r="AH166" i="2" s="1"/>
  <c r="AH158" i="2" a="1"/>
  <c r="AH158" i="2" s="1"/>
  <c r="AH154" i="2" a="1"/>
  <c r="AH154" i="2" s="1"/>
  <c r="AH177" i="2" a="1"/>
  <c r="AH177" i="2" s="1"/>
  <c r="AH169" i="2" a="1"/>
  <c r="AH169" i="2" s="1"/>
  <c r="AH161" i="2" a="1"/>
  <c r="AH161" i="2" s="1"/>
  <c r="AH155" i="2" a="1"/>
  <c r="AH155" i="2" s="1"/>
  <c r="AH179" i="2" a="1"/>
  <c r="AH179" i="2" s="1"/>
  <c r="AH178" i="2" a="1"/>
  <c r="AH178" i="2" s="1"/>
  <c r="AH170" i="2" a="1"/>
  <c r="AH170" i="2" s="1"/>
  <c r="AH162" i="2" a="1"/>
  <c r="AH162" i="2" s="1"/>
  <c r="AH163" i="2" a="1"/>
  <c r="AH163" i="2" s="1"/>
  <c r="AH171" i="2" a="1"/>
  <c r="AH171" i="2" s="1"/>
  <c r="A156" i="2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C11" i="7"/>
  <c r="R39" i="6" l="1"/>
  <c r="S38" i="6"/>
  <c r="R40" i="6" l="1"/>
  <c r="S39" i="6"/>
  <c r="R41" i="6" l="1"/>
  <c r="S40" i="6"/>
  <c r="BD28" i="2"/>
  <c r="R42" i="6" l="1"/>
  <c r="S41" i="6"/>
  <c r="R43" i="6" l="1"/>
  <c r="S42" i="6"/>
  <c r="R44" i="6" l="1"/>
  <c r="S43" i="6"/>
  <c r="R45" i="6" l="1"/>
  <c r="S44" i="6"/>
  <c r="R46" i="6" l="1"/>
  <c r="S45" i="6"/>
  <c r="R47" i="6" l="1"/>
  <c r="S46" i="6"/>
  <c r="R48" i="6" l="1"/>
  <c r="S47" i="6"/>
  <c r="R49" i="6" l="1"/>
  <c r="S48" i="6"/>
  <c r="R50" i="6" l="1"/>
  <c r="S49" i="6"/>
  <c r="R51" i="6" l="1"/>
  <c r="S50" i="6"/>
  <c r="R52" i="6" l="1"/>
  <c r="S51" i="6"/>
  <c r="R53" i="6" l="1"/>
  <c r="S52" i="6"/>
  <c r="R54" i="6" l="1"/>
  <c r="S53" i="6"/>
  <c r="R55" i="6" l="1"/>
  <c r="S54" i="6"/>
  <c r="R56" i="6" l="1"/>
  <c r="S55" i="6"/>
  <c r="R57" i="6" l="1"/>
  <c r="S56" i="6"/>
  <c r="R58" i="6" l="1"/>
  <c r="S57" i="6"/>
  <c r="R59" i="6" l="1"/>
  <c r="S58" i="6"/>
  <c r="R60" i="6" l="1"/>
  <c r="S59" i="6"/>
  <c r="R61" i="6" l="1"/>
  <c r="R62" i="6" s="1"/>
  <c r="R63" i="6" s="1"/>
  <c r="R64" i="6" s="1"/>
  <c r="R65" i="6" s="1"/>
  <c r="R66" i="6" s="1"/>
  <c r="R67" i="6" s="1"/>
  <c r="R68" i="6" s="1"/>
  <c r="R69" i="6" s="1"/>
  <c r="R70" i="6" s="1"/>
  <c r="R71" i="6" s="1"/>
  <c r="R72" i="6" s="1"/>
  <c r="R73" i="6" s="1"/>
  <c r="R74" i="6" s="1"/>
  <c r="R75" i="6" s="1"/>
  <c r="R76" i="6" s="1"/>
  <c r="R77" i="6" s="1"/>
  <c r="R78" i="6" s="1"/>
  <c r="R79" i="6" s="1"/>
  <c r="R80" i="6" s="1"/>
  <c r="R81" i="6" s="1"/>
  <c r="R82" i="6" s="1"/>
  <c r="R83" i="6" s="1"/>
  <c r="R84" i="6" s="1"/>
  <c r="R85" i="6" s="1"/>
  <c r="R86" i="6" s="1"/>
  <c r="R87" i="6" s="1"/>
  <c r="R88" i="6" s="1"/>
  <c r="R89" i="6" s="1"/>
  <c r="R90" i="6" s="1"/>
  <c r="R91" i="6" s="1"/>
  <c r="R92" i="6" s="1"/>
  <c r="R93" i="6" s="1"/>
  <c r="R94" i="6" s="1"/>
  <c r="R95" i="6" s="1"/>
  <c r="R96" i="6" s="1"/>
  <c r="R97" i="6" s="1"/>
  <c r="R98" i="6" s="1"/>
  <c r="R99" i="6" s="1"/>
  <c r="R100" i="6" s="1"/>
  <c r="R101" i="6" s="1"/>
  <c r="R102" i="6" s="1"/>
  <c r="R103" i="6" s="1"/>
  <c r="R104" i="6" s="1"/>
  <c r="R105" i="6" s="1"/>
  <c r="R106" i="6" s="1"/>
  <c r="R107" i="6" s="1"/>
  <c r="R108" i="6" s="1"/>
  <c r="R109" i="6" s="1"/>
  <c r="R110" i="6" s="1"/>
  <c r="R111" i="6" s="1"/>
  <c r="S60" i="6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F10" i="1" a="1"/>
  <c r="F10" i="1" s="1"/>
  <c r="F9" i="1" a="1"/>
  <c r="F9" i="1" s="1"/>
  <c r="I147" i="1"/>
  <c r="F4" i="2" l="1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EJ12" i="2" l="1"/>
  <c r="EJ20" i="2"/>
  <c r="EJ6" i="2"/>
  <c r="EJ14" i="2"/>
  <c r="EJ22" i="2"/>
  <c r="EJ8" i="2"/>
  <c r="EJ16" i="2"/>
  <c r="EJ4" i="2"/>
  <c r="EJ21" i="2"/>
  <c r="EJ7" i="2"/>
  <c r="EJ15" i="2"/>
  <c r="EJ23" i="2"/>
  <c r="EJ24" i="2" s="1"/>
  <c r="EJ25" i="2" s="1"/>
  <c r="EJ26" i="2" s="1"/>
  <c r="EJ27" i="2" s="1"/>
  <c r="EJ28" i="2" s="1"/>
  <c r="EJ29" i="2" s="1"/>
  <c r="EJ30" i="2" s="1"/>
  <c r="EJ31" i="2" s="1"/>
  <c r="EJ32" i="2" s="1"/>
  <c r="EJ33" i="2" s="1"/>
  <c r="EJ34" i="2" s="1"/>
  <c r="EJ35" i="2" s="1"/>
  <c r="EJ36" i="2" s="1"/>
  <c r="EJ37" i="2" s="1"/>
  <c r="EJ38" i="2" s="1"/>
  <c r="EJ39" i="2" s="1"/>
  <c r="EJ40" i="2" s="1"/>
  <c r="EJ41" i="2" s="1"/>
  <c r="EJ42" i="2" s="1"/>
  <c r="EJ43" i="2" s="1"/>
  <c r="EJ44" i="2" s="1"/>
  <c r="EJ45" i="2" s="1"/>
  <c r="EJ46" i="2" s="1"/>
  <c r="EJ47" i="2" s="1"/>
  <c r="EJ48" i="2" s="1"/>
  <c r="EJ49" i="2" s="1"/>
  <c r="EJ50" i="2" s="1"/>
  <c r="EJ51" i="2" s="1"/>
  <c r="EJ52" i="2" s="1"/>
  <c r="EJ53" i="2" s="1"/>
  <c r="EJ54" i="2" s="1"/>
  <c r="EJ55" i="2" s="1"/>
  <c r="EJ56" i="2" s="1"/>
  <c r="EJ57" i="2" s="1"/>
  <c r="EJ58" i="2" s="1"/>
  <c r="EJ59" i="2" s="1"/>
  <c r="EJ60" i="2" s="1"/>
  <c r="EJ61" i="2" s="1"/>
  <c r="EJ62" i="2" s="1"/>
  <c r="EJ63" i="2" s="1"/>
  <c r="EJ9" i="2"/>
  <c r="EJ17" i="2"/>
  <c r="EJ19" i="2"/>
  <c r="EJ5" i="2"/>
  <c r="EJ13" i="2"/>
  <c r="EJ10" i="2"/>
  <c r="EJ18" i="2"/>
  <c r="EJ11" i="2"/>
  <c r="DO8" i="2"/>
  <c r="DO16" i="2"/>
  <c r="DO24" i="2"/>
  <c r="DO25" i="2" s="1"/>
  <c r="DO26" i="2" s="1"/>
  <c r="DO27" i="2" s="1"/>
  <c r="DO28" i="2" s="1"/>
  <c r="DO29" i="2" s="1"/>
  <c r="DO30" i="2" s="1"/>
  <c r="DO31" i="2" s="1"/>
  <c r="DO32" i="2" s="1"/>
  <c r="DO33" i="2" s="1"/>
  <c r="DO34" i="2" s="1"/>
  <c r="DO35" i="2" s="1"/>
  <c r="DO36" i="2" s="1"/>
  <c r="DO37" i="2" s="1"/>
  <c r="DO38" i="2" s="1"/>
  <c r="DO39" i="2" s="1"/>
  <c r="DO40" i="2" s="1"/>
  <c r="DO41" i="2" s="1"/>
  <c r="DO42" i="2" s="1"/>
  <c r="DO43" i="2" s="1"/>
  <c r="DO10" i="2"/>
  <c r="DO18" i="2"/>
  <c r="DO11" i="2"/>
  <c r="DO19" i="2"/>
  <c r="DO12" i="2"/>
  <c r="DO20" i="2"/>
  <c r="DO5" i="2"/>
  <c r="DO13" i="2"/>
  <c r="DO21" i="2"/>
  <c r="DO6" i="2"/>
  <c r="DO14" i="2"/>
  <c r="DO22" i="2"/>
  <c r="DO7" i="2"/>
  <c r="DO15" i="2"/>
  <c r="DO23" i="2"/>
  <c r="DO9" i="2"/>
  <c r="DO17" i="2"/>
  <c r="DO4" i="2"/>
  <c r="CQ205" i="2"/>
  <c r="BV205" i="2"/>
  <c r="BA205" i="2"/>
  <c r="AF205" i="2"/>
  <c r="CT8" i="2" l="1"/>
  <c r="CT16" i="2"/>
  <c r="CT24" i="2"/>
  <c r="CT10" i="2"/>
  <c r="CT18" i="2"/>
  <c r="CT26" i="2"/>
  <c r="CT27" i="2"/>
  <c r="CT12" i="2"/>
  <c r="CT20" i="2"/>
  <c r="CT19" i="2"/>
  <c r="CT5" i="2"/>
  <c r="CT13" i="2"/>
  <c r="CT21" i="2"/>
  <c r="CT6" i="2"/>
  <c r="CT14" i="2"/>
  <c r="CT22" i="2"/>
  <c r="CT7" i="2"/>
  <c r="CT15" i="2"/>
  <c r="CT23" i="2"/>
  <c r="CT4" i="2"/>
  <c r="CT9" i="2"/>
  <c r="CT17" i="2"/>
  <c r="CT25" i="2"/>
  <c r="CT11" i="2"/>
  <c r="BY5" i="2"/>
  <c r="BY13" i="2"/>
  <c r="BY6" i="2"/>
  <c r="BY14" i="2"/>
  <c r="BY15" i="2"/>
  <c r="BY8" i="2"/>
  <c r="BY16" i="2"/>
  <c r="BY9" i="2"/>
  <c r="BY17" i="2"/>
  <c r="BY10" i="2"/>
  <c r="BY18" i="2"/>
  <c r="BY19" i="2" s="1"/>
  <c r="BY20" i="2" s="1"/>
  <c r="BY21" i="2" s="1"/>
  <c r="BY22" i="2" s="1"/>
  <c r="BY23" i="2" s="1"/>
  <c r="BY24" i="2" s="1"/>
  <c r="BY25" i="2" s="1"/>
  <c r="BY26" i="2" s="1"/>
  <c r="BY27" i="2" s="1"/>
  <c r="BY28" i="2" s="1"/>
  <c r="BY11" i="2"/>
  <c r="BY4" i="2"/>
  <c r="BY12" i="2"/>
  <c r="BY7" i="2"/>
  <c r="BD4" i="2"/>
  <c r="BD12" i="2"/>
  <c r="BD10" i="2"/>
  <c r="BD5" i="2"/>
  <c r="BD13" i="2"/>
  <c r="BD6" i="2"/>
  <c r="BD8" i="2"/>
  <c r="BD16" i="2"/>
  <c r="BD18" i="2"/>
  <c r="BD19" i="2" s="1"/>
  <c r="BD20" i="2" s="1"/>
  <c r="BD21" i="2" s="1"/>
  <c r="BD22" i="2" s="1"/>
  <c r="BD23" i="2" s="1"/>
  <c r="BD14" i="2"/>
  <c r="BD9" i="2"/>
  <c r="BD11" i="2"/>
  <c r="BD7" i="2"/>
  <c r="BD15" i="2"/>
  <c r="BD17" i="2"/>
  <c r="BD24" i="2"/>
  <c r="BD25" i="2"/>
  <c r="BD26" i="2"/>
  <c r="BD27" i="2"/>
  <c r="AI11" i="2"/>
  <c r="AI19" i="2"/>
  <c r="AI20" i="2"/>
  <c r="AI12" i="2"/>
  <c r="AI14" i="2"/>
  <c r="AI4" i="2"/>
  <c r="AI5" i="2"/>
  <c r="AI13" i="2"/>
  <c r="AI21" i="2"/>
  <c r="AI22" i="2"/>
  <c r="AI10" i="2"/>
  <c r="AI6" i="2"/>
  <c r="AI7" i="2"/>
  <c r="AI15" i="2"/>
  <c r="AI23" i="2"/>
  <c r="AI16" i="2"/>
  <c r="AI24" i="2"/>
  <c r="AI17" i="2"/>
  <c r="AI25" i="2"/>
  <c r="AI26" i="2" s="1"/>
  <c r="AI27" i="2" s="1"/>
  <c r="AI28" i="2" s="1"/>
  <c r="AI8" i="2"/>
  <c r="AI9" i="2"/>
  <c r="AI18" i="2"/>
  <c r="A6" i="4"/>
  <c r="A7" i="4"/>
  <c r="L3" i="2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247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46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21" i="6"/>
  <c r="D197" i="6"/>
  <c r="D198" i="6"/>
  <c r="D199" i="6"/>
  <c r="D200" i="6"/>
  <c r="D201" i="6"/>
  <c r="D202" i="6"/>
  <c r="D203" i="6"/>
  <c r="D204" i="6"/>
  <c r="D205" i="6"/>
  <c r="D207" i="6"/>
  <c r="D208" i="6"/>
  <c r="D209" i="6"/>
  <c r="D210" i="6"/>
  <c r="D211" i="6"/>
  <c r="D212" i="6"/>
  <c r="D213" i="6"/>
  <c r="D214" i="6"/>
  <c r="D215" i="6"/>
  <c r="D196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71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46" i="6"/>
  <c r="D122" i="6"/>
  <c r="D123" i="6"/>
  <c r="D124" i="6"/>
  <c r="D125" i="6"/>
  <c r="D126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21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96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71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46" i="6"/>
  <c r="B43" i="6"/>
  <c r="B18" i="6"/>
  <c r="A8" i="4"/>
  <c r="A9" i="4"/>
  <c r="A10" i="4"/>
  <c r="A11" i="4"/>
  <c r="A12" i="4"/>
  <c r="B168" i="6"/>
  <c r="A13" i="4"/>
  <c r="B193" i="6"/>
  <c r="A14" i="4"/>
  <c r="B218" i="6"/>
  <c r="B243" i="6"/>
  <c r="A15" i="4"/>
  <c r="B143" i="6"/>
  <c r="B118" i="6"/>
  <c r="B93" i="6"/>
  <c r="B68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21" i="6"/>
  <c r="D248" i="6"/>
  <c r="D206" i="6"/>
  <c r="D127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46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21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196" i="6"/>
  <c r="A183" i="6"/>
  <c r="A184" i="6"/>
  <c r="A185" i="6"/>
  <c r="A186" i="6"/>
  <c r="A187" i="6"/>
  <c r="A188" i="6"/>
  <c r="A189" i="6"/>
  <c r="A190" i="6"/>
  <c r="A172" i="6"/>
  <c r="A173" i="6"/>
  <c r="A174" i="6"/>
  <c r="A175" i="6"/>
  <c r="A176" i="6"/>
  <c r="A177" i="6"/>
  <c r="A178" i="6"/>
  <c r="A179" i="6"/>
  <c r="A180" i="6"/>
  <c r="A181" i="6"/>
  <c r="A182" i="6"/>
  <c r="A171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46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21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96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71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46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21" i="6"/>
  <c r="H13" i="2" l="1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I25" i="6"/>
  <c r="J25" i="6"/>
  <c r="I26" i="6"/>
  <c r="J26" i="6"/>
  <c r="I28" i="6"/>
  <c r="J28" i="6"/>
  <c r="J22" i="6"/>
  <c r="I27" i="6"/>
  <c r="J27" i="6"/>
  <c r="I24" i="6"/>
  <c r="J24" i="6"/>
  <c r="I29" i="6"/>
  <c r="J29" i="6"/>
  <c r="I23" i="6"/>
  <c r="J23" i="6"/>
  <c r="J20" i="6"/>
  <c r="J21" i="6"/>
  <c r="I21" i="6"/>
  <c r="I22" i="6"/>
  <c r="I20" i="6"/>
  <c r="H14" i="2" l="1"/>
  <c r="D15" i="2"/>
  <c r="G15" i="2" s="1"/>
  <c r="I141" i="1"/>
  <c r="I167" i="1"/>
  <c r="H15" i="2" l="1"/>
  <c r="D16" i="2"/>
  <c r="G16" i="2" s="1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H16" i="2" l="1"/>
  <c r="D17" i="2"/>
  <c r="G17" i="2" s="1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O3" i="2"/>
  <c r="Q3" i="2" s="1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GE5" i="2" l="1"/>
  <c r="GE13" i="2"/>
  <c r="GE21" i="2"/>
  <c r="GE29" i="2"/>
  <c r="GE37" i="2"/>
  <c r="GE45" i="2"/>
  <c r="GE53" i="2"/>
  <c r="GE61" i="2"/>
  <c r="GE69" i="2"/>
  <c r="GE77" i="2"/>
  <c r="GE85" i="2"/>
  <c r="GE93" i="2"/>
  <c r="GE101" i="2"/>
  <c r="GE109" i="2"/>
  <c r="GE117" i="2"/>
  <c r="GE125" i="2"/>
  <c r="GE133" i="2"/>
  <c r="GE141" i="2"/>
  <c r="GE149" i="2"/>
  <c r="GE157" i="2"/>
  <c r="GE165" i="2"/>
  <c r="GE173" i="2"/>
  <c r="GE181" i="2"/>
  <c r="GE189" i="2"/>
  <c r="GE197" i="2"/>
  <c r="GE6" i="2"/>
  <c r="GE14" i="2"/>
  <c r="GE22" i="2"/>
  <c r="GE30" i="2"/>
  <c r="GE38" i="2"/>
  <c r="GE46" i="2"/>
  <c r="GE54" i="2"/>
  <c r="GE62" i="2"/>
  <c r="GE70" i="2"/>
  <c r="GE78" i="2"/>
  <c r="GE86" i="2"/>
  <c r="GE94" i="2"/>
  <c r="GE102" i="2"/>
  <c r="GE110" i="2"/>
  <c r="GE118" i="2"/>
  <c r="GE126" i="2"/>
  <c r="GE134" i="2"/>
  <c r="GE142" i="2"/>
  <c r="GE150" i="2"/>
  <c r="GE158" i="2"/>
  <c r="GE166" i="2"/>
  <c r="GE174" i="2"/>
  <c r="GE182" i="2"/>
  <c r="GE190" i="2"/>
  <c r="GE198" i="2"/>
  <c r="GE7" i="2"/>
  <c r="GE15" i="2"/>
  <c r="GE23" i="2"/>
  <c r="GE31" i="2"/>
  <c r="GE39" i="2"/>
  <c r="GE47" i="2"/>
  <c r="GE55" i="2"/>
  <c r="GE63" i="2"/>
  <c r="GE71" i="2"/>
  <c r="GE79" i="2"/>
  <c r="GE87" i="2"/>
  <c r="GE95" i="2"/>
  <c r="GE103" i="2"/>
  <c r="GE111" i="2"/>
  <c r="GE119" i="2"/>
  <c r="GE127" i="2"/>
  <c r="GE135" i="2"/>
  <c r="GE143" i="2"/>
  <c r="GE151" i="2"/>
  <c r="GE159" i="2"/>
  <c r="GE167" i="2"/>
  <c r="GE175" i="2"/>
  <c r="GE183" i="2"/>
  <c r="GE191" i="2"/>
  <c r="GE199" i="2"/>
  <c r="GE8" i="2"/>
  <c r="GE16" i="2"/>
  <c r="GE24" i="2"/>
  <c r="GE32" i="2"/>
  <c r="GE40" i="2"/>
  <c r="GE48" i="2"/>
  <c r="GE56" i="2"/>
  <c r="GE64" i="2"/>
  <c r="GE72" i="2"/>
  <c r="GE80" i="2"/>
  <c r="GE88" i="2"/>
  <c r="GE96" i="2"/>
  <c r="GE104" i="2"/>
  <c r="GE112" i="2"/>
  <c r="GE120" i="2"/>
  <c r="GE128" i="2"/>
  <c r="GE136" i="2"/>
  <c r="GE144" i="2"/>
  <c r="GE152" i="2"/>
  <c r="GE160" i="2"/>
  <c r="GE168" i="2"/>
  <c r="GE176" i="2"/>
  <c r="GE184" i="2"/>
  <c r="GE192" i="2"/>
  <c r="GE200" i="2"/>
  <c r="GE11" i="2"/>
  <c r="GE19" i="2"/>
  <c r="GE27" i="2"/>
  <c r="GE35" i="2"/>
  <c r="GE43" i="2"/>
  <c r="GE51" i="2"/>
  <c r="GE59" i="2"/>
  <c r="GE67" i="2"/>
  <c r="GE75" i="2"/>
  <c r="GE83" i="2"/>
  <c r="GE91" i="2"/>
  <c r="GE99" i="2"/>
  <c r="GE107" i="2"/>
  <c r="GE115" i="2"/>
  <c r="GE123" i="2"/>
  <c r="GE131" i="2"/>
  <c r="GE139" i="2"/>
  <c r="GE147" i="2"/>
  <c r="GE155" i="2"/>
  <c r="GE163" i="2"/>
  <c r="GE171" i="2"/>
  <c r="GE179" i="2"/>
  <c r="GE187" i="2"/>
  <c r="GE195" i="2"/>
  <c r="GE203" i="2"/>
  <c r="GE9" i="2"/>
  <c r="GE28" i="2"/>
  <c r="GE50" i="2"/>
  <c r="GE73" i="2"/>
  <c r="GE92" i="2"/>
  <c r="GE114" i="2"/>
  <c r="GE137" i="2"/>
  <c r="GE156" i="2"/>
  <c r="GE178" i="2"/>
  <c r="GE201" i="2"/>
  <c r="GE10" i="2"/>
  <c r="GE33" i="2"/>
  <c r="GE52" i="2"/>
  <c r="GE74" i="2"/>
  <c r="GE97" i="2"/>
  <c r="GE116" i="2"/>
  <c r="GE138" i="2"/>
  <c r="GE161" i="2"/>
  <c r="GE180" i="2"/>
  <c r="GE202" i="2"/>
  <c r="GE12" i="2"/>
  <c r="GE34" i="2"/>
  <c r="GE57" i="2"/>
  <c r="GE76" i="2"/>
  <c r="GE98" i="2"/>
  <c r="GE121" i="2"/>
  <c r="GE140" i="2"/>
  <c r="GE162" i="2"/>
  <c r="GE185" i="2"/>
  <c r="GE17" i="2"/>
  <c r="GE36" i="2"/>
  <c r="GE58" i="2"/>
  <c r="GE81" i="2"/>
  <c r="GE100" i="2"/>
  <c r="GE122" i="2"/>
  <c r="GE145" i="2"/>
  <c r="GE164" i="2"/>
  <c r="GE186" i="2"/>
  <c r="GE18" i="2"/>
  <c r="GE41" i="2"/>
  <c r="GE60" i="2"/>
  <c r="GE82" i="2"/>
  <c r="GE105" i="2"/>
  <c r="GE124" i="2"/>
  <c r="GE146" i="2"/>
  <c r="GE169" i="2"/>
  <c r="GE188" i="2"/>
  <c r="GE20" i="2"/>
  <c r="GE68" i="2"/>
  <c r="GE130" i="2"/>
  <c r="GE193" i="2"/>
  <c r="GE25" i="2"/>
  <c r="GE84" i="2"/>
  <c r="GE132" i="2"/>
  <c r="GE194" i="2"/>
  <c r="GE26" i="2"/>
  <c r="GE89" i="2"/>
  <c r="GE148" i="2"/>
  <c r="GE196" i="2"/>
  <c r="GE42" i="2"/>
  <c r="GE90" i="2"/>
  <c r="GE153" i="2"/>
  <c r="GE44" i="2"/>
  <c r="GE106" i="2"/>
  <c r="GE154" i="2"/>
  <c r="GE65" i="2"/>
  <c r="GE113" i="2"/>
  <c r="GE172" i="2"/>
  <c r="GE4" i="2"/>
  <c r="GE49" i="2"/>
  <c r="GE66" i="2"/>
  <c r="GE108" i="2"/>
  <c r="GE129" i="2"/>
  <c r="GE170" i="2"/>
  <c r="GE177" i="2"/>
  <c r="GZ4" i="2"/>
  <c r="GZ12" i="2"/>
  <c r="GZ20" i="2"/>
  <c r="GZ28" i="2"/>
  <c r="GZ36" i="2"/>
  <c r="GZ44" i="2"/>
  <c r="GZ52" i="2"/>
  <c r="GZ60" i="2"/>
  <c r="GZ68" i="2"/>
  <c r="GZ76" i="2"/>
  <c r="GZ84" i="2"/>
  <c r="GZ92" i="2"/>
  <c r="GZ100" i="2"/>
  <c r="GZ108" i="2"/>
  <c r="GZ116" i="2"/>
  <c r="GZ124" i="2"/>
  <c r="GZ132" i="2"/>
  <c r="GZ140" i="2"/>
  <c r="GZ148" i="2"/>
  <c r="GZ156" i="2"/>
  <c r="GZ164" i="2"/>
  <c r="GZ172" i="2"/>
  <c r="GZ180" i="2"/>
  <c r="GZ188" i="2"/>
  <c r="GZ196" i="2"/>
  <c r="GZ5" i="2"/>
  <c r="GZ13" i="2"/>
  <c r="GZ21" i="2"/>
  <c r="GZ29" i="2"/>
  <c r="GZ37" i="2"/>
  <c r="GZ45" i="2"/>
  <c r="GZ53" i="2"/>
  <c r="GZ61" i="2"/>
  <c r="GZ69" i="2"/>
  <c r="GZ77" i="2"/>
  <c r="GZ85" i="2"/>
  <c r="GZ93" i="2"/>
  <c r="GZ101" i="2"/>
  <c r="GZ109" i="2"/>
  <c r="GZ117" i="2"/>
  <c r="GZ125" i="2"/>
  <c r="GZ133" i="2"/>
  <c r="GZ141" i="2"/>
  <c r="GZ149" i="2"/>
  <c r="GZ157" i="2"/>
  <c r="GZ165" i="2"/>
  <c r="GZ173" i="2"/>
  <c r="GZ181" i="2"/>
  <c r="GZ189" i="2"/>
  <c r="GZ197" i="2"/>
  <c r="GZ6" i="2"/>
  <c r="GZ14" i="2"/>
  <c r="GZ22" i="2"/>
  <c r="GZ30" i="2"/>
  <c r="GZ38" i="2"/>
  <c r="GZ46" i="2"/>
  <c r="GZ54" i="2"/>
  <c r="GZ62" i="2"/>
  <c r="GZ70" i="2"/>
  <c r="GZ78" i="2"/>
  <c r="GZ86" i="2"/>
  <c r="GZ94" i="2"/>
  <c r="GZ102" i="2"/>
  <c r="GZ110" i="2"/>
  <c r="GZ118" i="2"/>
  <c r="GZ126" i="2"/>
  <c r="GZ134" i="2"/>
  <c r="GZ142" i="2"/>
  <c r="GZ150" i="2"/>
  <c r="GZ158" i="2"/>
  <c r="GZ166" i="2"/>
  <c r="GZ174" i="2"/>
  <c r="GZ182" i="2"/>
  <c r="GZ190" i="2"/>
  <c r="GZ198" i="2"/>
  <c r="GZ7" i="2"/>
  <c r="GZ15" i="2"/>
  <c r="GZ23" i="2"/>
  <c r="GZ31" i="2"/>
  <c r="GZ39" i="2"/>
  <c r="GZ47" i="2"/>
  <c r="GZ55" i="2"/>
  <c r="GZ63" i="2"/>
  <c r="GZ71" i="2"/>
  <c r="GZ79" i="2"/>
  <c r="GZ87" i="2"/>
  <c r="GZ95" i="2"/>
  <c r="GZ103" i="2"/>
  <c r="GZ111" i="2"/>
  <c r="GZ119" i="2"/>
  <c r="GZ127" i="2"/>
  <c r="GZ135" i="2"/>
  <c r="GZ143" i="2"/>
  <c r="GZ151" i="2"/>
  <c r="GZ159" i="2"/>
  <c r="GZ167" i="2"/>
  <c r="GZ175" i="2"/>
  <c r="GZ183" i="2"/>
  <c r="GZ191" i="2"/>
  <c r="GZ199" i="2"/>
  <c r="GZ8" i="2"/>
  <c r="GZ16" i="2"/>
  <c r="GZ24" i="2"/>
  <c r="GZ32" i="2"/>
  <c r="GZ40" i="2"/>
  <c r="GZ48" i="2"/>
  <c r="GZ56" i="2"/>
  <c r="GZ64" i="2"/>
  <c r="GZ72" i="2"/>
  <c r="GZ80" i="2"/>
  <c r="GZ88" i="2"/>
  <c r="GZ96" i="2"/>
  <c r="GZ104" i="2"/>
  <c r="GZ112" i="2"/>
  <c r="GZ120" i="2"/>
  <c r="GZ128" i="2"/>
  <c r="GZ136" i="2"/>
  <c r="GZ144" i="2"/>
  <c r="GZ152" i="2"/>
  <c r="GZ160" i="2"/>
  <c r="GZ168" i="2"/>
  <c r="GZ176" i="2"/>
  <c r="GZ184" i="2"/>
  <c r="GZ192" i="2"/>
  <c r="GZ200" i="2"/>
  <c r="GZ9" i="2"/>
  <c r="GZ17" i="2"/>
  <c r="GZ25" i="2"/>
  <c r="GZ33" i="2"/>
  <c r="GZ41" i="2"/>
  <c r="GZ49" i="2"/>
  <c r="GZ57" i="2"/>
  <c r="GZ65" i="2"/>
  <c r="GZ73" i="2"/>
  <c r="GZ81" i="2"/>
  <c r="GZ89" i="2"/>
  <c r="GZ97" i="2"/>
  <c r="GZ105" i="2"/>
  <c r="GZ113" i="2"/>
  <c r="GZ121" i="2"/>
  <c r="GZ129" i="2"/>
  <c r="GZ137" i="2"/>
  <c r="GZ145" i="2"/>
  <c r="GZ153" i="2"/>
  <c r="GZ161" i="2"/>
  <c r="GZ169" i="2"/>
  <c r="GZ177" i="2"/>
  <c r="GZ185" i="2"/>
  <c r="GZ193" i="2"/>
  <c r="GZ201" i="2"/>
  <c r="GZ10" i="2"/>
  <c r="GZ18" i="2"/>
  <c r="GZ26" i="2"/>
  <c r="GZ34" i="2"/>
  <c r="GZ42" i="2"/>
  <c r="GZ50" i="2"/>
  <c r="GZ58" i="2"/>
  <c r="GZ66" i="2"/>
  <c r="GZ74" i="2"/>
  <c r="GZ82" i="2"/>
  <c r="GZ90" i="2"/>
  <c r="GZ98" i="2"/>
  <c r="GZ106" i="2"/>
  <c r="GZ114" i="2"/>
  <c r="GZ122" i="2"/>
  <c r="GZ130" i="2"/>
  <c r="GZ138" i="2"/>
  <c r="GZ146" i="2"/>
  <c r="GZ154" i="2"/>
  <c r="GZ162" i="2"/>
  <c r="GZ170" i="2"/>
  <c r="GZ178" i="2"/>
  <c r="GZ186" i="2"/>
  <c r="GZ194" i="2"/>
  <c r="GZ202" i="2"/>
  <c r="GZ67" i="2"/>
  <c r="GZ131" i="2"/>
  <c r="GZ195" i="2"/>
  <c r="GZ11" i="2"/>
  <c r="GZ75" i="2"/>
  <c r="GZ139" i="2"/>
  <c r="GZ203" i="2"/>
  <c r="GZ19" i="2"/>
  <c r="GZ83" i="2"/>
  <c r="GZ147" i="2"/>
  <c r="GZ27" i="2"/>
  <c r="GZ91" i="2"/>
  <c r="GZ155" i="2"/>
  <c r="GZ51" i="2"/>
  <c r="GZ115" i="2"/>
  <c r="GZ179" i="2"/>
  <c r="GZ171" i="2"/>
  <c r="GZ35" i="2"/>
  <c r="GZ187" i="2"/>
  <c r="GZ43" i="2"/>
  <c r="GZ59" i="2"/>
  <c r="GZ99" i="2"/>
  <c r="GZ107" i="2"/>
  <c r="GZ123" i="2"/>
  <c r="GZ163" i="2"/>
  <c r="H17" i="2"/>
  <c r="D18" i="2"/>
  <c r="G18" i="2" s="1"/>
  <c r="D12" i="1"/>
  <c r="D13" i="1"/>
  <c r="D14" i="1"/>
  <c r="K25" i="6" s="1"/>
  <c r="L25" i="6" s="1"/>
  <c r="D15" i="1"/>
  <c r="K26" i="6" s="1"/>
  <c r="L26" i="6" s="1"/>
  <c r="D16" i="1"/>
  <c r="K27" i="6" s="1"/>
  <c r="L27" i="6" s="1"/>
  <c r="D17" i="1"/>
  <c r="K28" i="6" s="1"/>
  <c r="L28" i="6" s="1"/>
  <c r="D18" i="1"/>
  <c r="S61" i="6" l="1"/>
  <c r="H18" i="2"/>
  <c r="D19" i="2"/>
  <c r="G19" i="2" s="1"/>
  <c r="B13" i="4"/>
  <c r="B15" i="4"/>
  <c r="K29" i="6"/>
  <c r="L29" i="6" s="1"/>
  <c r="B6" i="4"/>
  <c r="K20" i="6"/>
  <c r="L20" i="6" s="1"/>
  <c r="B8" i="4"/>
  <c r="K22" i="6"/>
  <c r="L22" i="6" s="1"/>
  <c r="B12" i="4"/>
  <c r="B7" i="4"/>
  <c r="K21" i="6"/>
  <c r="L21" i="6" s="1"/>
  <c r="B11" i="4"/>
  <c r="B10" i="4"/>
  <c r="K24" i="6"/>
  <c r="L24" i="6" s="1"/>
  <c r="B9" i="4"/>
  <c r="K23" i="6"/>
  <c r="L23" i="6" s="1"/>
  <c r="D19" i="1"/>
  <c r="B14" i="4"/>
  <c r="S62" i="6" l="1"/>
  <c r="H19" i="2"/>
  <c r="D20" i="2"/>
  <c r="G20" i="2" s="1"/>
  <c r="J32" i="6"/>
  <c r="S63" i="6" l="1"/>
  <c r="H20" i="2"/>
  <c r="D21" i="2"/>
  <c r="G21" i="2" s="1"/>
  <c r="S64" i="6" l="1"/>
  <c r="H21" i="2"/>
  <c r="D22" i="2"/>
  <c r="G22" i="2" s="1"/>
  <c r="S65" i="6" l="1"/>
  <c r="H22" i="2"/>
  <c r="D23" i="2"/>
  <c r="G23" i="2" s="1"/>
  <c r="S66" i="6" l="1"/>
  <c r="H23" i="2"/>
  <c r="D24" i="2"/>
  <c r="G24" i="2" s="1"/>
  <c r="S67" i="6" l="1"/>
  <c r="H24" i="2"/>
  <c r="D25" i="2"/>
  <c r="G25" i="2" s="1"/>
  <c r="S68" i="6" l="1"/>
  <c r="H25" i="2"/>
  <c r="D26" i="2"/>
  <c r="G26" i="2" s="1"/>
  <c r="S69" i="6" l="1"/>
  <c r="H26" i="2"/>
  <c r="D27" i="2"/>
  <c r="G27" i="2" s="1"/>
  <c r="S70" i="6" l="1"/>
  <c r="H27" i="2"/>
  <c r="D28" i="2"/>
  <c r="G28" i="2" s="1"/>
  <c r="S71" i="6" l="1"/>
  <c r="H28" i="2"/>
  <c r="D29" i="2"/>
  <c r="G29" i="2" s="1"/>
  <c r="S72" i="6" l="1"/>
  <c r="H29" i="2"/>
  <c r="D30" i="2"/>
  <c r="G30" i="2" s="1"/>
  <c r="S73" i="6" l="1"/>
  <c r="H30" i="2"/>
  <c r="D31" i="2"/>
  <c r="G31" i="2" s="1"/>
  <c r="S74" i="6" l="1"/>
  <c r="H31" i="2"/>
  <c r="D32" i="2"/>
  <c r="G32" i="2" s="1"/>
  <c r="S75" i="6" l="1"/>
  <c r="H32" i="2"/>
  <c r="D33" i="2"/>
  <c r="G33" i="2" s="1"/>
  <c r="S76" i="6" l="1"/>
  <c r="H33" i="2"/>
  <c r="D34" i="2"/>
  <c r="G34" i="2" s="1"/>
  <c r="S77" i="6" l="1"/>
  <c r="H34" i="2"/>
  <c r="D35" i="2"/>
  <c r="G35" i="2" s="1"/>
  <c r="S78" i="6" l="1"/>
  <c r="H35" i="2"/>
  <c r="D36" i="2"/>
  <c r="G36" i="2" s="1"/>
  <c r="S79" i="6" l="1"/>
  <c r="H36" i="2"/>
  <c r="D37" i="2"/>
  <c r="G37" i="2" s="1"/>
  <c r="Y3" i="2"/>
  <c r="AC3" i="2"/>
  <c r="S80" i="6" l="1"/>
  <c r="H37" i="2"/>
  <c r="D38" i="2"/>
  <c r="G38" i="2" s="1"/>
  <c r="V3" i="2"/>
  <c r="U3" i="2"/>
  <c r="S81" i="6" l="1"/>
  <c r="H38" i="2"/>
  <c r="D39" i="2"/>
  <c r="G39" i="2" s="1"/>
  <c r="I39" i="1"/>
  <c r="I38" i="1"/>
  <c r="S83" i="6" l="1"/>
  <c r="S82" i="6"/>
  <c r="H39" i="2"/>
  <c r="D40" i="2"/>
  <c r="G40" i="2" s="1"/>
  <c r="H40" i="2" l="1"/>
  <c r="D41" i="2"/>
  <c r="G41" i="2" s="1"/>
  <c r="P27" i="6"/>
  <c r="A4" i="2"/>
  <c r="C19" i="1"/>
  <c r="C20" i="1" s="1"/>
  <c r="H41" i="2" l="1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H42" i="2" l="1"/>
  <c r="D43" i="2"/>
  <c r="G43" i="2" s="1"/>
  <c r="Y5" i="2"/>
  <c r="L5" i="2"/>
  <c r="CK4" i="2"/>
  <c r="CL4" i="2"/>
  <c r="CM4" i="2"/>
  <c r="GM4" i="2"/>
  <c r="GN4" i="2"/>
  <c r="GL4" i="2"/>
  <c r="DG4" i="2"/>
  <c r="DH4" i="2"/>
  <c r="DF4" i="2"/>
  <c r="FR4" i="2"/>
  <c r="FS4" i="2"/>
  <c r="FQ4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BP4" i="2"/>
  <c r="BQ4" i="2"/>
  <c r="BR4" i="2"/>
  <c r="EA4" i="2"/>
  <c r="EB4" i="2"/>
  <c r="EC4" i="2"/>
  <c r="V5" i="2"/>
  <c r="U5" i="2"/>
  <c r="EW4" i="2"/>
  <c r="EV4" i="2"/>
  <c r="EX4" i="2"/>
  <c r="HG4" i="2"/>
  <c r="HI4" i="2"/>
  <c r="HH4" i="2"/>
  <c r="AU4" i="2"/>
  <c r="A6" i="2"/>
  <c r="AQ5" i="2"/>
  <c r="AG5" i="2"/>
  <c r="AP5" i="2"/>
  <c r="AF5" i="2"/>
  <c r="AB4" i="2"/>
  <c r="Z4" i="2"/>
  <c r="AA4" i="2"/>
  <c r="H43" i="2" l="1"/>
  <c r="L6" i="2"/>
  <c r="D44" i="2"/>
  <c r="G44" i="2" s="1"/>
  <c r="HH5" i="2"/>
  <c r="DF5" i="2"/>
  <c r="DI4" i="2"/>
  <c r="GO4" i="2"/>
  <c r="GL5" i="2"/>
  <c r="AB5" i="2"/>
  <c r="HI5" i="2"/>
  <c r="EW5" i="2"/>
  <c r="BR5" i="2"/>
  <c r="FQ5" i="2"/>
  <c r="FT4" i="2"/>
  <c r="DH5" i="2"/>
  <c r="GN5" i="2"/>
  <c r="CM5" i="2"/>
  <c r="EY4" i="2"/>
  <c r="EV5" i="2"/>
  <c r="EA5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G5" i="2"/>
  <c r="HJ4" i="2"/>
  <c r="EC5" i="2"/>
  <c r="BQ5" i="2"/>
  <c r="FS5" i="2"/>
  <c r="DG5" i="2"/>
  <c r="GM5" i="2"/>
  <c r="CL5" i="2"/>
  <c r="AA5" i="2"/>
  <c r="EX5" i="2"/>
  <c r="EB5" i="2"/>
  <c r="BP5" i="2"/>
  <c r="BS4" i="2"/>
  <c r="FR5" i="2"/>
  <c r="CK5" i="2"/>
  <c r="CN4" i="2"/>
  <c r="AP6" i="2"/>
  <c r="AF6" i="2"/>
  <c r="AQ6" i="2"/>
  <c r="AG6" i="2"/>
  <c r="Y6" i="2"/>
  <c r="U6" i="2"/>
  <c r="V6" i="2"/>
  <c r="A7" i="2"/>
  <c r="Z5" i="2"/>
  <c r="AC4" i="2"/>
  <c r="H44" i="2" l="1"/>
  <c r="L7" i="2"/>
  <c r="D45" i="2"/>
  <c r="G45" i="2" s="1"/>
  <c r="EB6" i="2"/>
  <c r="GM6" i="2"/>
  <c r="FR6" i="2"/>
  <c r="BQ6" i="2"/>
  <c r="EC6" i="2"/>
  <c r="CL6" i="2"/>
  <c r="HH6" i="2"/>
  <c r="HI6" i="2"/>
  <c r="EX6" i="2"/>
  <c r="CM6" i="2"/>
  <c r="HG6" i="2"/>
  <c r="HJ5" i="2"/>
  <c r="ED5" i="2"/>
  <c r="EA6" i="2"/>
  <c r="FT5" i="2"/>
  <c r="FQ6" i="2"/>
  <c r="EY5" i="2"/>
  <c r="EV6" i="2"/>
  <c r="GN6" i="2"/>
  <c r="DI5" i="2"/>
  <c r="DF6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BP6" i="2"/>
  <c r="DG6" i="2"/>
  <c r="DH6" i="2"/>
  <c r="BR6" i="2"/>
  <c r="GL6" i="2"/>
  <c r="GO5" i="2"/>
  <c r="CN5" i="2"/>
  <c r="CK6" i="2"/>
  <c r="FS6" i="2"/>
  <c r="EW6" i="2"/>
  <c r="AB6" i="2"/>
  <c r="AQ7" i="2"/>
  <c r="AP7" i="2"/>
  <c r="AF7" i="2"/>
  <c r="AG7" i="2"/>
  <c r="Y7" i="2"/>
  <c r="U7" i="2"/>
  <c r="V7" i="2"/>
  <c r="A8" i="2"/>
  <c r="AA6" i="2"/>
  <c r="AV4" i="2"/>
  <c r="AU5" i="2"/>
  <c r="AW4" i="2"/>
  <c r="AW5" i="2" s="1"/>
  <c r="Z6" i="2"/>
  <c r="AC5" i="2"/>
  <c r="H45" i="2" l="1"/>
  <c r="L8" i="2"/>
  <c r="D46" i="2"/>
  <c r="G46" i="2" s="1"/>
  <c r="HH7" i="2"/>
  <c r="BQ7" i="2"/>
  <c r="CL7" i="2"/>
  <c r="EX7" i="2"/>
  <c r="CM7" i="2"/>
  <c r="FR7" i="2"/>
  <c r="EB7" i="2"/>
  <c r="DG7" i="2"/>
  <c r="EC7" i="2"/>
  <c r="EW7" i="2"/>
  <c r="GM7" i="2"/>
  <c r="GO6" i="2"/>
  <c r="GL7" i="2"/>
  <c r="CN6" i="2"/>
  <c r="CK7" i="2"/>
  <c r="BR7" i="2"/>
  <c r="BP7" i="2"/>
  <c r="BS6" i="2"/>
  <c r="HI7" i="2"/>
  <c r="GN7" i="2"/>
  <c r="EA7" i="2"/>
  <c r="ED6" i="2"/>
  <c r="HG7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DH7" i="2"/>
  <c r="EY6" i="2"/>
  <c r="EV7" i="2"/>
  <c r="FS7" i="2"/>
  <c r="DF7" i="2"/>
  <c r="DI6" i="2"/>
  <c r="FT6" i="2"/>
  <c r="FQ7" i="2"/>
  <c r="AB7" i="2"/>
  <c r="AA7" i="2"/>
  <c r="AP8" i="2"/>
  <c r="AQ8" i="2"/>
  <c r="AG8" i="2"/>
  <c r="AF8" i="2"/>
  <c r="Y8" i="2"/>
  <c r="U8" i="2"/>
  <c r="V8" i="2"/>
  <c r="A9" i="2"/>
  <c r="AX4" i="2"/>
  <c r="AV5" i="2"/>
  <c r="AX5" i="2" s="1"/>
  <c r="Z7" i="2"/>
  <c r="AC6" i="2"/>
  <c r="H46" i="2" l="1"/>
  <c r="L9" i="2"/>
  <c r="EW8" i="2"/>
  <c r="D47" i="2"/>
  <c r="G47" i="2" s="1"/>
  <c r="FS8" i="2"/>
  <c r="EX8" i="2"/>
  <c r="EB8" i="2"/>
  <c r="DH8" i="2"/>
  <c r="DG8" i="2"/>
  <c r="FR8" i="2"/>
  <c r="HH8" i="2"/>
  <c r="EC8" i="2"/>
  <c r="GM8" i="2"/>
  <c r="CL8" i="2"/>
  <c r="CM8" i="2"/>
  <c r="BQ8" i="2"/>
  <c r="BS7" i="2"/>
  <c r="BP8" i="2"/>
  <c r="GO7" i="2"/>
  <c r="GL8" i="2"/>
  <c r="EY7" i="2"/>
  <c r="EV8" i="2"/>
  <c r="EA8" i="2"/>
  <c r="ED7" i="2"/>
  <c r="BR8" i="2"/>
  <c r="DI7" i="2"/>
  <c r="DF8" i="2"/>
  <c r="FT7" i="2"/>
  <c r="FQ8" i="2"/>
  <c r="HG8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GN8" i="2"/>
  <c r="CN7" i="2"/>
  <c r="CK8" i="2"/>
  <c r="HI8" i="2"/>
  <c r="AB8" i="2"/>
  <c r="AA8" i="2"/>
  <c r="AP9" i="2"/>
  <c r="AF9" i="2"/>
  <c r="AQ9" i="2"/>
  <c r="AG9" i="2"/>
  <c r="A10" i="2"/>
  <c r="Y9" i="2"/>
  <c r="U9" i="2"/>
  <c r="V9" i="2"/>
  <c r="AW6" i="2"/>
  <c r="AU6" i="2"/>
  <c r="AV6" i="2"/>
  <c r="Z8" i="2"/>
  <c r="AC7" i="2"/>
  <c r="H47" i="2" l="1"/>
  <c r="L10" i="2"/>
  <c r="D48" i="2"/>
  <c r="G48" i="2" s="1"/>
  <c r="FR9" i="2"/>
  <c r="EB9" i="2"/>
  <c r="GM9" i="2"/>
  <c r="HI9" i="2"/>
  <c r="DG9" i="2"/>
  <c r="EW9" i="2"/>
  <c r="EC9" i="2"/>
  <c r="FS9" i="2"/>
  <c r="CM9" i="2"/>
  <c r="HH9" i="2"/>
  <c r="DH9" i="2"/>
  <c r="BR9" i="2"/>
  <c r="BQ9" i="2"/>
  <c r="CN8" i="2"/>
  <c r="CK9" i="2"/>
  <c r="DI8" i="2"/>
  <c r="DF9" i="2"/>
  <c r="BS8" i="2"/>
  <c r="BP9" i="2"/>
  <c r="HG9" i="2"/>
  <c r="HJ8" i="2"/>
  <c r="GO8" i="2"/>
  <c r="GL9" i="2"/>
  <c r="EX9" i="2"/>
  <c r="CL9" i="2"/>
  <c r="EY8" i="2"/>
  <c r="EV9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GN9" i="2"/>
  <c r="FT8" i="2"/>
  <c r="FQ9" i="2"/>
  <c r="ED8" i="2"/>
  <c r="EA9" i="2"/>
  <c r="AB9" i="2"/>
  <c r="AV7" i="2"/>
  <c r="AG10" i="2"/>
  <c r="AP10" i="2"/>
  <c r="AF10" i="2"/>
  <c r="AQ10" i="2"/>
  <c r="Y10" i="2"/>
  <c r="V10" i="2"/>
  <c r="A11" i="2"/>
  <c r="AA9" i="2"/>
  <c r="AW7" i="2"/>
  <c r="AX6" i="2"/>
  <c r="AU7" i="2"/>
  <c r="Z9" i="2"/>
  <c r="AC8" i="2"/>
  <c r="H48" i="2" l="1"/>
  <c r="FR10" i="2"/>
  <c r="L11" i="2"/>
  <c r="D49" i="2"/>
  <c r="G49" i="2" s="1"/>
  <c r="EW10" i="2"/>
  <c r="HI10" i="2"/>
  <c r="EC10" i="2"/>
  <c r="CM10" i="2"/>
  <c r="BR10" i="2"/>
  <c r="FS10" i="2"/>
  <c r="GM10" i="2"/>
  <c r="DG10" i="2"/>
  <c r="HH10" i="2"/>
  <c r="DH10" i="2"/>
  <c r="EB10" i="2"/>
  <c r="BQ10" i="2"/>
  <c r="GO9" i="2"/>
  <c r="GL10" i="2"/>
  <c r="HG10" i="2"/>
  <c r="HJ9" i="2"/>
  <c r="GN10" i="2"/>
  <c r="CL10" i="2"/>
  <c r="BS9" i="2"/>
  <c r="BP10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A10" i="2"/>
  <c r="ED9" i="2"/>
  <c r="FT9" i="2"/>
  <c r="FQ10" i="2"/>
  <c r="EY9" i="2"/>
  <c r="EV10" i="2"/>
  <c r="EX10" i="2"/>
  <c r="DI9" i="2"/>
  <c r="DF10" i="2"/>
  <c r="CN9" i="2"/>
  <c r="CK10" i="2"/>
  <c r="AA10" i="2"/>
  <c r="AB10" i="2"/>
  <c r="AQ11" i="2"/>
  <c r="AP11" i="2"/>
  <c r="AG11" i="2"/>
  <c r="AF11" i="2"/>
  <c r="U11" i="2"/>
  <c r="A12" i="2"/>
  <c r="V11" i="2"/>
  <c r="Y11" i="2"/>
  <c r="AW8" i="2"/>
  <c r="AU8" i="2"/>
  <c r="AX7" i="2"/>
  <c r="AV8" i="2"/>
  <c r="Z10" i="2"/>
  <c r="AC9" i="2"/>
  <c r="H49" i="2" l="1"/>
  <c r="L12" i="2"/>
  <c r="D50" i="2"/>
  <c r="G50" i="2" s="1"/>
  <c r="FS11" i="2"/>
  <c r="EX11" i="2"/>
  <c r="EB11" i="2"/>
  <c r="FR11" i="2"/>
  <c r="CM11" i="2"/>
  <c r="EW11" i="2"/>
  <c r="HH11" i="2"/>
  <c r="DG11" i="2"/>
  <c r="GM11" i="2"/>
  <c r="GN11" i="2"/>
  <c r="DH11" i="2"/>
  <c r="BQ11" i="2"/>
  <c r="BS10" i="2"/>
  <c r="BP11" i="2"/>
  <c r="CL11" i="2"/>
  <c r="GL11" i="2"/>
  <c r="GO10" i="2"/>
  <c r="HI11" i="2"/>
  <c r="BR11" i="2"/>
  <c r="FT10" i="2"/>
  <c r="FQ11" i="2"/>
  <c r="EA11" i="2"/>
  <c r="ED10" i="2"/>
  <c r="HG11" i="2"/>
  <c r="HJ10" i="2"/>
  <c r="DI10" i="2"/>
  <c r="DF11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K11" i="2"/>
  <c r="CN10" i="2"/>
  <c r="EV11" i="2"/>
  <c r="EY10" i="2"/>
  <c r="EC11" i="2"/>
  <c r="AA11" i="2"/>
  <c r="AB11" i="2"/>
  <c r="AQ12" i="2"/>
  <c r="AG12" i="2"/>
  <c r="AP12" i="2"/>
  <c r="AF12" i="2"/>
  <c r="Y12" i="2"/>
  <c r="U12" i="2"/>
  <c r="V12" i="2"/>
  <c r="A13" i="2"/>
  <c r="AW9" i="2"/>
  <c r="AV9" i="2"/>
  <c r="AU9" i="2"/>
  <c r="AX8" i="2"/>
  <c r="Z11" i="2"/>
  <c r="AC10" i="2"/>
  <c r="H50" i="2" l="1"/>
  <c r="L13" i="2"/>
  <c r="D51" i="2"/>
  <c r="G51" i="2" s="1"/>
  <c r="EB12" i="2"/>
  <c r="HH12" i="2"/>
  <c r="GM12" i="2"/>
  <c r="DG12" i="2"/>
  <c r="CM12" i="2"/>
  <c r="FS12" i="2"/>
  <c r="EX12" i="2"/>
  <c r="EC12" i="2"/>
  <c r="BQ12" i="2"/>
  <c r="DH12" i="2"/>
  <c r="GN12" i="2"/>
  <c r="DI11" i="2"/>
  <c r="DF12" i="2"/>
  <c r="HG12" i="2"/>
  <c r="HJ11" i="2"/>
  <c r="FR12" i="2"/>
  <c r="EW12" i="2"/>
  <c r="EV12" i="2"/>
  <c r="EY11" i="2"/>
  <c r="CL12" i="2"/>
  <c r="FT11" i="2"/>
  <c r="FQ12" i="2"/>
  <c r="CN11" i="2"/>
  <c r="CK12" i="2"/>
  <c r="GO11" i="2"/>
  <c r="GL12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A12" i="2"/>
  <c r="ED11" i="2"/>
  <c r="BR12" i="2"/>
  <c r="HI12" i="2"/>
  <c r="BS11" i="2"/>
  <c r="BP12" i="2"/>
  <c r="AA12" i="2"/>
  <c r="AB12" i="2"/>
  <c r="AQ13" i="2"/>
  <c r="AG13" i="2"/>
  <c r="AP13" i="2"/>
  <c r="AF13" i="2"/>
  <c r="V13" i="2"/>
  <c r="A14" i="2"/>
  <c r="Y13" i="2"/>
  <c r="U13" i="2"/>
  <c r="AW10" i="2"/>
  <c r="AX9" i="2"/>
  <c r="AU10" i="2"/>
  <c r="AV10" i="2"/>
  <c r="Z12" i="2"/>
  <c r="AC11" i="2"/>
  <c r="H51" i="2" l="1"/>
  <c r="L14" i="2"/>
  <c r="D52" i="2"/>
  <c r="G52" i="2" s="1"/>
  <c r="EC13" i="2"/>
  <c r="CM13" i="2"/>
  <c r="EB13" i="2"/>
  <c r="EX13" i="2"/>
  <c r="HI13" i="2"/>
  <c r="GN13" i="2"/>
  <c r="HH13" i="2"/>
  <c r="FS13" i="2"/>
  <c r="BQ13" i="2"/>
  <c r="DG13" i="2"/>
  <c r="FR13" i="2"/>
  <c r="FT12" i="2"/>
  <c r="FQ13" i="2"/>
  <c r="CN12" i="2"/>
  <c r="CK13" i="2"/>
  <c r="BP13" i="2"/>
  <c r="BS12" i="2"/>
  <c r="BR13" i="2"/>
  <c r="GO12" i="2"/>
  <c r="GL13" i="2"/>
  <c r="EY12" i="2"/>
  <c r="EV13" i="2"/>
  <c r="HG13" i="2"/>
  <c r="HJ12" i="2"/>
  <c r="DH13" i="2"/>
  <c r="EA13" i="2"/>
  <c r="ED12" i="2"/>
  <c r="GM13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CL13" i="2"/>
  <c r="EW13" i="2"/>
  <c r="DF13" i="2"/>
  <c r="DI12" i="2"/>
  <c r="AA13" i="2"/>
  <c r="AP14" i="2"/>
  <c r="AF14" i="2"/>
  <c r="AQ14" i="2"/>
  <c r="AG14" i="2"/>
  <c r="Y14" i="2"/>
  <c r="U14" i="2"/>
  <c r="V14" i="2"/>
  <c r="A15" i="2"/>
  <c r="AB13" i="2"/>
  <c r="AW11" i="2"/>
  <c r="AX10" i="2"/>
  <c r="AU11" i="2"/>
  <c r="AV11" i="2"/>
  <c r="Z13" i="2"/>
  <c r="AC12" i="2"/>
  <c r="H52" i="2" l="1"/>
  <c r="L15" i="2"/>
  <c r="D53" i="2"/>
  <c r="G53" i="2" s="1"/>
  <c r="EC14" i="2"/>
  <c r="CM14" i="2"/>
  <c r="DG14" i="2"/>
  <c r="EX14" i="2"/>
  <c r="GN14" i="2"/>
  <c r="HI14" i="2"/>
  <c r="BQ14" i="2"/>
  <c r="CL14" i="2"/>
  <c r="FR14" i="2"/>
  <c r="EV14" i="2"/>
  <c r="EY13" i="2"/>
  <c r="BP14" i="2"/>
  <c r="BS13" i="2"/>
  <c r="FT13" i="2"/>
  <c r="FQ14" i="2"/>
  <c r="FS14" i="2"/>
  <c r="DI13" i="2"/>
  <c r="DF14" i="2"/>
  <c r="CN13" i="2"/>
  <c r="CK14" i="2"/>
  <c r="EB14" i="2"/>
  <c r="GM14" i="2"/>
  <c r="ED13" i="2"/>
  <c r="EA14" i="2"/>
  <c r="HG14" i="2"/>
  <c r="HJ13" i="2"/>
  <c r="BR14" i="2"/>
  <c r="HH14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EW14" i="2"/>
  <c r="DH14" i="2"/>
  <c r="GO13" i="2"/>
  <c r="GL14" i="2"/>
  <c r="AA14" i="2"/>
  <c r="AB14" i="2"/>
  <c r="AQ15" i="2"/>
  <c r="AG15" i="2"/>
  <c r="AP15" i="2"/>
  <c r="AF15" i="2"/>
  <c r="A16" i="2"/>
  <c r="Y15" i="2"/>
  <c r="V15" i="2"/>
  <c r="U15" i="2"/>
  <c r="AW12" i="2"/>
  <c r="AU12" i="2"/>
  <c r="AX11" i="2"/>
  <c r="AV12" i="2"/>
  <c r="Z14" i="2"/>
  <c r="AC13" i="2"/>
  <c r="H53" i="2" l="1"/>
  <c r="L16" i="2"/>
  <c r="D54" i="2"/>
  <c r="G54" i="2" s="1"/>
  <c r="EW15" i="2"/>
  <c r="CM15" i="2"/>
  <c r="EX15" i="2"/>
  <c r="EC15" i="2"/>
  <c r="GN15" i="2"/>
  <c r="BQ15" i="2"/>
  <c r="FR15" i="2"/>
  <c r="DH15" i="2"/>
  <c r="DG15" i="2"/>
  <c r="HI15" i="2"/>
  <c r="GL15" i="2"/>
  <c r="GO14" i="2"/>
  <c r="BR15" i="2"/>
  <c r="HG15" i="2"/>
  <c r="HJ14" i="2"/>
  <c r="FS15" i="2"/>
  <c r="CL15" i="2"/>
  <c r="ED14" i="2"/>
  <c r="EA15" i="2"/>
  <c r="GM15" i="2"/>
  <c r="CN14" i="2"/>
  <c r="CK15" i="2"/>
  <c r="FT14" i="2"/>
  <c r="FQ15" i="2"/>
  <c r="BS14" i="2"/>
  <c r="BP15" i="2"/>
  <c r="EV15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HH15" i="2"/>
  <c r="EB15" i="2"/>
  <c r="DI14" i="2"/>
  <c r="DF15" i="2"/>
  <c r="AQ16" i="2"/>
  <c r="AG16" i="2"/>
  <c r="AP16" i="2"/>
  <c r="AF16" i="2"/>
  <c r="A17" i="2"/>
  <c r="Y16" i="2"/>
  <c r="U16" i="2"/>
  <c r="V16" i="2"/>
  <c r="AA15" i="2"/>
  <c r="AB15" i="2"/>
  <c r="AV13" i="2"/>
  <c r="AW13" i="2"/>
  <c r="AU13" i="2"/>
  <c r="AX12" i="2"/>
  <c r="Z15" i="2"/>
  <c r="AC14" i="2"/>
  <c r="H54" i="2" l="1"/>
  <c r="L17" i="2"/>
  <c r="D55" i="2"/>
  <c r="G55" i="2" s="1"/>
  <c r="EW16" i="2"/>
  <c r="GN16" i="2"/>
  <c r="EB16" i="2"/>
  <c r="CM16" i="2"/>
  <c r="EC16" i="2"/>
  <c r="DH16" i="2"/>
  <c r="FS16" i="2"/>
  <c r="HI16" i="2"/>
  <c r="DG16" i="2"/>
  <c r="BQ16" i="2"/>
  <c r="FR16" i="2"/>
  <c r="ED15" i="2"/>
  <c r="EA16" i="2"/>
  <c r="EY15" i="2"/>
  <c r="EV16" i="2"/>
  <c r="FQ16" i="2"/>
  <c r="FT15" i="2"/>
  <c r="EX16" i="2"/>
  <c r="CN15" i="2"/>
  <c r="CK16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G16" i="2"/>
  <c r="HJ15" i="2"/>
  <c r="GO15" i="2"/>
  <c r="GL16" i="2"/>
  <c r="DI15" i="2"/>
  <c r="DF16" i="2"/>
  <c r="HH16" i="2"/>
  <c r="BS15" i="2"/>
  <c r="BP16" i="2"/>
  <c r="GM16" i="2"/>
  <c r="CL16" i="2"/>
  <c r="BR16" i="2"/>
  <c r="AP17" i="2"/>
  <c r="AF17" i="2"/>
  <c r="AQ17" i="2"/>
  <c r="AG17" i="2"/>
  <c r="Y17" i="2"/>
  <c r="U17" i="2"/>
  <c r="V17" i="2"/>
  <c r="A18" i="2"/>
  <c r="AA16" i="2"/>
  <c r="AB16" i="2"/>
  <c r="AW14" i="2"/>
  <c r="AV14" i="2"/>
  <c r="AX13" i="2"/>
  <c r="AU14" i="2"/>
  <c r="Z16" i="2"/>
  <c r="AC15" i="2"/>
  <c r="H55" i="2" l="1"/>
  <c r="L18" i="2"/>
  <c r="D56" i="2"/>
  <c r="G56" i="2" s="1"/>
  <c r="EW17" i="2"/>
  <c r="BR17" i="2"/>
  <c r="HH17" i="2"/>
  <c r="DG17" i="2"/>
  <c r="CM17" i="2"/>
  <c r="GN17" i="2"/>
  <c r="CL17" i="2"/>
  <c r="FS17" i="2"/>
  <c r="EB17" i="2"/>
  <c r="GM17" i="2"/>
  <c r="DH17" i="2"/>
  <c r="HI17" i="2"/>
  <c r="EC17" i="2"/>
  <c r="BQ17" i="2"/>
  <c r="FT16" i="2"/>
  <c r="FQ17" i="2"/>
  <c r="FR17" i="2"/>
  <c r="BS16" i="2"/>
  <c r="BP17" i="2"/>
  <c r="DF17" i="2"/>
  <c r="DI16" i="2"/>
  <c r="EV17" i="2"/>
  <c r="EY16" i="2"/>
  <c r="HG17" i="2"/>
  <c r="HJ16" i="2"/>
  <c r="CK17" i="2"/>
  <c r="CN16" i="2"/>
  <c r="EX17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L17" i="2"/>
  <c r="GO16" i="2"/>
  <c r="EA17" i="2"/>
  <c r="ED16" i="2"/>
  <c r="AB17" i="2"/>
  <c r="AP18" i="2"/>
  <c r="AF18" i="2"/>
  <c r="AG18" i="2"/>
  <c r="AQ18" i="2"/>
  <c r="V18" i="2"/>
  <c r="A19" i="2"/>
  <c r="Y18" i="2"/>
  <c r="U18" i="2"/>
  <c r="AA17" i="2"/>
  <c r="AW15" i="2"/>
  <c r="AX14" i="2"/>
  <c r="AU15" i="2"/>
  <c r="AV15" i="2"/>
  <c r="Z17" i="2"/>
  <c r="AC16" i="2"/>
  <c r="H56" i="2" l="1"/>
  <c r="L19" i="2"/>
  <c r="D57" i="2"/>
  <c r="G57" i="2" s="1"/>
  <c r="HH18" i="2"/>
  <c r="EW18" i="2"/>
  <c r="CL18" i="2"/>
  <c r="FR18" i="2"/>
  <c r="BQ18" i="2"/>
  <c r="GM18" i="2"/>
  <c r="EC18" i="2"/>
  <c r="BR18" i="2"/>
  <c r="EB18" i="2"/>
  <c r="DH18" i="2"/>
  <c r="FS18" i="2"/>
  <c r="GN18" i="2"/>
  <c r="CM18" i="2"/>
  <c r="HI18" i="2"/>
  <c r="DG18" i="2"/>
  <c r="FQ18" i="2"/>
  <c r="FT17" i="2"/>
  <c r="HG18" i="2"/>
  <c r="HJ17" i="2"/>
  <c r="EV18" i="2"/>
  <c r="EY17" i="2"/>
  <c r="DI17" i="2"/>
  <c r="DF18" i="2"/>
  <c r="EA18" i="2"/>
  <c r="ED17" i="2"/>
  <c r="CN17" i="2"/>
  <c r="CK18" i="2"/>
  <c r="BS17" i="2"/>
  <c r="BP18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L18" i="2"/>
  <c r="GO17" i="2"/>
  <c r="EX18" i="2"/>
  <c r="AB18" i="2"/>
  <c r="AA18" i="2"/>
  <c r="AQ19" i="2"/>
  <c r="AP19" i="2"/>
  <c r="AG19" i="2"/>
  <c r="AF19" i="2"/>
  <c r="A20" i="2"/>
  <c r="Y19" i="2"/>
  <c r="V19" i="2"/>
  <c r="U19" i="2"/>
  <c r="AW16" i="2"/>
  <c r="AV16" i="2"/>
  <c r="AU16" i="2"/>
  <c r="AX15" i="2"/>
  <c r="Z18" i="2"/>
  <c r="AC17" i="2"/>
  <c r="H57" i="2" l="1"/>
  <c r="L20" i="2"/>
  <c r="D58" i="2"/>
  <c r="G58" i="2" s="1"/>
  <c r="FR19" i="2"/>
  <c r="EW19" i="2"/>
  <c r="EX19" i="2"/>
  <c r="CL19" i="2"/>
  <c r="EB19" i="2"/>
  <c r="BS18" i="2"/>
  <c r="DG19" i="2"/>
  <c r="FS19" i="2"/>
  <c r="HI19" i="2"/>
  <c r="DH19" i="2"/>
  <c r="GN19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A19" i="2"/>
  <c r="EY18" i="2"/>
  <c r="EV19" i="2"/>
  <c r="FQ19" i="2"/>
  <c r="FT18" i="2"/>
  <c r="DF19" i="2"/>
  <c r="DI18" i="2"/>
  <c r="GM19" i="2"/>
  <c r="HH19" i="2"/>
  <c r="GO18" i="2"/>
  <c r="GL19" i="2"/>
  <c r="CM19" i="2"/>
  <c r="EC19" i="2"/>
  <c r="CK19" i="2"/>
  <c r="CN18" i="2"/>
  <c r="HG19" i="2"/>
  <c r="HJ18" i="2"/>
  <c r="AA19" i="2"/>
  <c r="AF20" i="2"/>
  <c r="AQ20" i="2"/>
  <c r="AG20" i="2"/>
  <c r="AP20" i="2"/>
  <c r="U20" i="2"/>
  <c r="V20" i="2"/>
  <c r="A21" i="2"/>
  <c r="Y20" i="2"/>
  <c r="AB19" i="2"/>
  <c r="AW17" i="2"/>
  <c r="AU17" i="2"/>
  <c r="AX16" i="2"/>
  <c r="AV17" i="2"/>
  <c r="Z19" i="2"/>
  <c r="AC18" i="2"/>
  <c r="H58" i="2" l="1"/>
  <c r="L21" i="2"/>
  <c r="D59" i="2"/>
  <c r="G59" i="2" s="1"/>
  <c r="DG20" i="2"/>
  <c r="CL20" i="2"/>
  <c r="EW20" i="2"/>
  <c r="EB20" i="2"/>
  <c r="EX20" i="2"/>
  <c r="FS20" i="2"/>
  <c r="EC20" i="2"/>
  <c r="HI20" i="2"/>
  <c r="FR20" i="2"/>
  <c r="HH20" i="2"/>
  <c r="GM20" i="2"/>
  <c r="CM20" i="2"/>
  <c r="GN20" i="2"/>
  <c r="DH20" i="2"/>
  <c r="EA20" i="2"/>
  <c r="ED19" i="2"/>
  <c r="CK20" i="2"/>
  <c r="CN19" i="2"/>
  <c r="GL20" i="2"/>
  <c r="GO19" i="2"/>
  <c r="DI19" i="2"/>
  <c r="DF20" i="2"/>
  <c r="HG20" i="2"/>
  <c r="HJ19" i="2"/>
  <c r="EY19" i="2"/>
  <c r="EV20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FQ20" i="2"/>
  <c r="AA20" i="2"/>
  <c r="AV18" i="2"/>
  <c r="AQ21" i="2"/>
  <c r="AG21" i="2"/>
  <c r="AF21" i="2"/>
  <c r="AP21" i="2"/>
  <c r="A22" i="2"/>
  <c r="Y21" i="2"/>
  <c r="V21" i="2"/>
  <c r="U21" i="2"/>
  <c r="AB20" i="2"/>
  <c r="AW18" i="2"/>
  <c r="AU18" i="2"/>
  <c r="AX17" i="2"/>
  <c r="Z20" i="2"/>
  <c r="AC19" i="2"/>
  <c r="H59" i="2" l="1"/>
  <c r="L22" i="2"/>
  <c r="D60" i="2"/>
  <c r="G60" i="2" s="1"/>
  <c r="HI21" i="2"/>
  <c r="EB21" i="2"/>
  <c r="CL21" i="2"/>
  <c r="EW21" i="2"/>
  <c r="FR21" i="2"/>
  <c r="GN21" i="2"/>
  <c r="EC21" i="2"/>
  <c r="DH21" i="2"/>
  <c r="GM21" i="2"/>
  <c r="EV21" i="2"/>
  <c r="EY20" i="2"/>
  <c r="CM21" i="2"/>
  <c r="HG21" i="2"/>
  <c r="HJ20" i="2"/>
  <c r="DG21" i="2"/>
  <c r="HH21" i="2"/>
  <c r="CN20" i="2"/>
  <c r="CK21" i="2"/>
  <c r="FS21" i="2"/>
  <c r="FT20" i="2"/>
  <c r="FQ21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EX21" i="2"/>
  <c r="DI20" i="2"/>
  <c r="DF21" i="2"/>
  <c r="GO20" i="2"/>
  <c r="GL21" i="2"/>
  <c r="EA21" i="2"/>
  <c r="ED20" i="2"/>
  <c r="AA21" i="2"/>
  <c r="AB21" i="2"/>
  <c r="AP22" i="2"/>
  <c r="AF22" i="2"/>
  <c r="AQ22" i="2"/>
  <c r="AG22" i="2"/>
  <c r="A23" i="2"/>
  <c r="Y22" i="2"/>
  <c r="U22" i="2"/>
  <c r="V22" i="2"/>
  <c r="AW19" i="2"/>
  <c r="AV19" i="2"/>
  <c r="AU19" i="2"/>
  <c r="AX18" i="2"/>
  <c r="Z21" i="2"/>
  <c r="AC20" i="2"/>
  <c r="H60" i="2" l="1"/>
  <c r="L23" i="2"/>
  <c r="EX22" i="2"/>
  <c r="D61" i="2"/>
  <c r="G61" i="2" s="1"/>
  <c r="EB22" i="2"/>
  <c r="EW22" i="2"/>
  <c r="FR22" i="2"/>
  <c r="HI22" i="2"/>
  <c r="GN22" i="2"/>
  <c r="CL22" i="2"/>
  <c r="DH22" i="2"/>
  <c r="DI21" i="2"/>
  <c r="DF22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EA22" i="2"/>
  <c r="FT21" i="2"/>
  <c r="FQ22" i="2"/>
  <c r="HH22" i="2"/>
  <c r="EV22" i="2"/>
  <c r="EY21" i="2"/>
  <c r="FS22" i="2"/>
  <c r="DG22" i="2"/>
  <c r="EC22" i="2"/>
  <c r="GL22" i="2"/>
  <c r="GO21" i="2"/>
  <c r="CN21" i="2"/>
  <c r="CK22" i="2"/>
  <c r="CM22" i="2"/>
  <c r="HG22" i="2"/>
  <c r="HJ21" i="2"/>
  <c r="GM22" i="2"/>
  <c r="AA22" i="2"/>
  <c r="AB22" i="2"/>
  <c r="AQ23" i="2"/>
  <c r="AP23" i="2"/>
  <c r="AF23" i="2"/>
  <c r="AG23" i="2"/>
  <c r="A24" i="2"/>
  <c r="U23" i="2"/>
  <c r="V23" i="2"/>
  <c r="Y23" i="2"/>
  <c r="AW20" i="2"/>
  <c r="AV20" i="2"/>
  <c r="AU20" i="2"/>
  <c r="AX19" i="2"/>
  <c r="Z22" i="2"/>
  <c r="AC21" i="2"/>
  <c r="H61" i="2" l="1"/>
  <c r="L24" i="2"/>
  <c r="FS23" i="2"/>
  <c r="D62" i="2"/>
  <c r="G62" i="2" s="1"/>
  <c r="DG23" i="2"/>
  <c r="GM23" i="2"/>
  <c r="EC23" i="2"/>
  <c r="EB23" i="2"/>
  <c r="CL23" i="2"/>
  <c r="EW23" i="2"/>
  <c r="GN23" i="2"/>
  <c r="DH23" i="2"/>
  <c r="HH23" i="2"/>
  <c r="HI23" i="2"/>
  <c r="FR23" i="2"/>
  <c r="CM23" i="2"/>
  <c r="CN22" i="2"/>
  <c r="CK23" i="2"/>
  <c r="FQ23" i="2"/>
  <c r="FT22" i="2"/>
  <c r="DI22" i="2"/>
  <c r="DF23" i="2"/>
  <c r="GO22" i="2"/>
  <c r="GL23" i="2"/>
  <c r="EY22" i="2"/>
  <c r="EV23" i="2"/>
  <c r="EA23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G23" i="2"/>
  <c r="HJ22" i="2"/>
  <c r="EX23" i="2"/>
  <c r="AB23" i="2"/>
  <c r="AA23" i="2"/>
  <c r="AQ24" i="2"/>
  <c r="AG24" i="2"/>
  <c r="AP24" i="2"/>
  <c r="AF24" i="2"/>
  <c r="A25" i="2"/>
  <c r="Y24" i="2"/>
  <c r="V24" i="2"/>
  <c r="U24" i="2"/>
  <c r="AW21" i="2"/>
  <c r="AV21" i="2"/>
  <c r="AV22" i="2" s="1"/>
  <c r="AU21" i="2"/>
  <c r="AX20" i="2"/>
  <c r="Z23" i="2"/>
  <c r="AC22" i="2"/>
  <c r="H62" i="2" l="1"/>
  <c r="L25" i="2"/>
  <c r="D63" i="2"/>
  <c r="G63" i="2" s="1"/>
  <c r="EB24" i="2"/>
  <c r="CM24" i="2"/>
  <c r="EC24" i="2"/>
  <c r="EW24" i="2"/>
  <c r="DH24" i="2"/>
  <c r="EX24" i="2"/>
  <c r="HI24" i="2"/>
  <c r="FR24" i="2"/>
  <c r="HH24" i="2"/>
  <c r="CL24" i="2"/>
  <c r="GM24" i="2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FS24" i="2"/>
  <c r="DI23" i="2"/>
  <c r="DF24" i="2"/>
  <c r="DG24" i="2"/>
  <c r="EA24" i="2"/>
  <c r="ED23" i="2"/>
  <c r="GO23" i="2"/>
  <c r="GL24" i="2"/>
  <c r="CK24" i="2"/>
  <c r="CN23" i="2"/>
  <c r="GN24" i="2"/>
  <c r="EY23" i="2"/>
  <c r="EV24" i="2"/>
  <c r="HG24" i="2"/>
  <c r="HJ23" i="2"/>
  <c r="FQ24" i="2"/>
  <c r="FT23" i="2"/>
  <c r="AA24" i="2"/>
  <c r="AB24" i="2"/>
  <c r="AP25" i="2"/>
  <c r="AF25" i="2"/>
  <c r="AQ25" i="2"/>
  <c r="AG25" i="2"/>
  <c r="V25" i="2"/>
  <c r="U25" i="2"/>
  <c r="Y25" i="2"/>
  <c r="A26" i="2"/>
  <c r="AW22" i="2"/>
  <c r="AX21" i="2"/>
  <c r="AU22" i="2"/>
  <c r="Z24" i="2"/>
  <c r="AC23" i="2"/>
  <c r="H63" i="2" l="1"/>
  <c r="L26" i="2"/>
  <c r="D64" i="2"/>
  <c r="G64" i="2" s="1"/>
  <c r="EB25" i="2"/>
  <c r="CM25" i="2"/>
  <c r="EW25" i="2"/>
  <c r="EX25" i="2"/>
  <c r="FR25" i="2"/>
  <c r="HH25" i="2"/>
  <c r="HI25" i="2"/>
  <c r="FS25" i="2"/>
  <c r="DH25" i="2"/>
  <c r="CL25" i="2"/>
  <c r="GN25" i="2"/>
  <c r="GM25" i="2"/>
  <c r="EC25" i="2"/>
  <c r="DG25" i="2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Q25" i="2"/>
  <c r="FT24" i="2"/>
  <c r="EY24" i="2"/>
  <c r="EV25" i="2"/>
  <c r="CK25" i="2"/>
  <c r="CN24" i="2"/>
  <c r="EA25" i="2"/>
  <c r="ED24" i="2"/>
  <c r="DF25" i="2"/>
  <c r="DI24" i="2"/>
  <c r="GO24" i="2"/>
  <c r="GL25" i="2"/>
  <c r="HG25" i="2"/>
  <c r="HJ24" i="2"/>
  <c r="AA25" i="2"/>
  <c r="AG26" i="2"/>
  <c r="AP26" i="2"/>
  <c r="AF26" i="2"/>
  <c r="AQ26" i="2"/>
  <c r="V26" i="2"/>
  <c r="A27" i="2"/>
  <c r="U26" i="2"/>
  <c r="Y26" i="2"/>
  <c r="AB25" i="2"/>
  <c r="AW23" i="2"/>
  <c r="AX22" i="2"/>
  <c r="AU23" i="2"/>
  <c r="AV23" i="2"/>
  <c r="Z25" i="2"/>
  <c r="AC24" i="2"/>
  <c r="H64" i="2" l="1"/>
  <c r="L27" i="2"/>
  <c r="D65" i="2"/>
  <c r="G65" i="2" s="1"/>
  <c r="FR26" i="2"/>
  <c r="CM26" i="2"/>
  <c r="EC26" i="2"/>
  <c r="FS26" i="2"/>
  <c r="CL26" i="2"/>
  <c r="GM26" i="2"/>
  <c r="EX26" i="2"/>
  <c r="GN26" i="2"/>
  <c r="HH26" i="2"/>
  <c r="EW26" i="2"/>
  <c r="DH26" i="2"/>
  <c r="EB26" i="2"/>
  <c r="HI26" i="2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DF26" i="2"/>
  <c r="EY25" i="2"/>
  <c r="EV26" i="2"/>
  <c r="DG26" i="2"/>
  <c r="HG26" i="2"/>
  <c r="HJ25" i="2"/>
  <c r="EA26" i="2"/>
  <c r="ED25" i="2"/>
  <c r="GL26" i="2"/>
  <c r="GO25" i="2"/>
  <c r="CK26" i="2"/>
  <c r="CN25" i="2"/>
  <c r="FQ26" i="2"/>
  <c r="FT25" i="2"/>
  <c r="AB26" i="2"/>
  <c r="AA26" i="2"/>
  <c r="AQ27" i="2"/>
  <c r="AP27" i="2"/>
  <c r="AG27" i="2"/>
  <c r="AF27" i="2"/>
  <c r="V27" i="2"/>
  <c r="U27" i="2"/>
  <c r="A28" i="2"/>
  <c r="Y27" i="2"/>
  <c r="AW24" i="2"/>
  <c r="AV24" i="2"/>
  <c r="AX23" i="2"/>
  <c r="AU24" i="2"/>
  <c r="Z26" i="2"/>
  <c r="AC25" i="2"/>
  <c r="H65" i="2" l="1"/>
  <c r="L28" i="2"/>
  <c r="D66" i="2"/>
  <c r="G66" i="2" s="1"/>
  <c r="GM27" i="2"/>
  <c r="DG27" i="2"/>
  <c r="EC27" i="2"/>
  <c r="EX27" i="2"/>
  <c r="CM27" i="2"/>
  <c r="EW27" i="2"/>
  <c r="FS27" i="2"/>
  <c r="CL27" i="2"/>
  <c r="FR27" i="2"/>
  <c r="HI27" i="2"/>
  <c r="EB27" i="2"/>
  <c r="DH27" i="2"/>
  <c r="HH27" i="2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DF27" i="2"/>
  <c r="GN27" i="2"/>
  <c r="CK27" i="2"/>
  <c r="CN26" i="2"/>
  <c r="FQ27" i="2"/>
  <c r="FT26" i="2"/>
  <c r="GO26" i="2"/>
  <c r="GL27" i="2"/>
  <c r="EA27" i="2"/>
  <c r="ED26" i="2"/>
  <c r="EV27" i="2"/>
  <c r="EY26" i="2"/>
  <c r="HG27" i="2"/>
  <c r="HJ26" i="2"/>
  <c r="AB27" i="2"/>
  <c r="AP28" i="2"/>
  <c r="AQ28" i="2"/>
  <c r="AG28" i="2"/>
  <c r="AF28" i="2"/>
  <c r="Y28" i="2"/>
  <c r="U28" i="2"/>
  <c r="V28" i="2"/>
  <c r="A29" i="2"/>
  <c r="AA27" i="2"/>
  <c r="AW25" i="2"/>
  <c r="AW26" i="2" s="1"/>
  <c r="AV25" i="2"/>
  <c r="AU25" i="2"/>
  <c r="AX24" i="2"/>
  <c r="Z27" i="2"/>
  <c r="AC26" i="2"/>
  <c r="H66" i="2" l="1"/>
  <c r="L29" i="2"/>
  <c r="D67" i="2"/>
  <c r="G67" i="2" s="1"/>
  <c r="GM28" i="2"/>
  <c r="EX28" i="2"/>
  <c r="FR28" i="2"/>
  <c r="DG28" i="2"/>
  <c r="CL28" i="2"/>
  <c r="EB28" i="2"/>
  <c r="EC28" i="2"/>
  <c r="EW28" i="2"/>
  <c r="HH28" i="2"/>
  <c r="HI28" i="2"/>
  <c r="CM28" i="2"/>
  <c r="FS28" i="2"/>
  <c r="DH28" i="2"/>
  <c r="GO27" i="2"/>
  <c r="GL28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V28" i="2"/>
  <c r="EY27" i="2"/>
  <c r="CK28" i="2"/>
  <c r="CN27" i="2"/>
  <c r="GN28" i="2"/>
  <c r="HG28" i="2"/>
  <c r="HJ27" i="2"/>
  <c r="EA28" i="2"/>
  <c r="ED27" i="2"/>
  <c r="DI27" i="2"/>
  <c r="DF28" i="2"/>
  <c r="FT27" i="2"/>
  <c r="FQ28" i="2"/>
  <c r="AA28" i="2"/>
  <c r="AB28" i="2"/>
  <c r="AQ29" i="2"/>
  <c r="AG29" i="2"/>
  <c r="AP29" i="2"/>
  <c r="AF29" i="2"/>
  <c r="Y29" i="2"/>
  <c r="V29" i="2"/>
  <c r="A30" i="2"/>
  <c r="U29" i="2"/>
  <c r="AU26" i="2"/>
  <c r="AX25" i="2"/>
  <c r="AV26" i="2"/>
  <c r="Z28" i="2"/>
  <c r="AC27" i="2"/>
  <c r="H67" i="2" l="1"/>
  <c r="L30" i="2"/>
  <c r="D68" i="2"/>
  <c r="G68" i="2" s="1"/>
  <c r="FR29" i="2"/>
  <c r="CM29" i="2"/>
  <c r="EW29" i="2"/>
  <c r="GN29" i="2"/>
  <c r="GM29" i="2"/>
  <c r="HH29" i="2"/>
  <c r="CL29" i="2"/>
  <c r="DH29" i="2"/>
  <c r="EX29" i="2"/>
  <c r="EB29" i="2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G29" i="2"/>
  <c r="HJ28" i="2"/>
  <c r="DG29" i="2"/>
  <c r="HI29" i="2"/>
  <c r="ED28" i="2"/>
  <c r="EA29" i="2"/>
  <c r="CK29" i="2"/>
  <c r="CN28" i="2"/>
  <c r="EC29" i="2"/>
  <c r="FT28" i="2"/>
  <c r="FQ29" i="2"/>
  <c r="DF29" i="2"/>
  <c r="DI28" i="2"/>
  <c r="GO28" i="2"/>
  <c r="GL29" i="2"/>
  <c r="FS29" i="2"/>
  <c r="EV29" i="2"/>
  <c r="EY28" i="2"/>
  <c r="AB29" i="2"/>
  <c r="AV27" i="2"/>
  <c r="AP30" i="2"/>
  <c r="AF30" i="2"/>
  <c r="AG30" i="2"/>
  <c r="AQ30" i="2"/>
  <c r="Y30" i="2"/>
  <c r="U30" i="2"/>
  <c r="V30" i="2"/>
  <c r="A31" i="2"/>
  <c r="AA29" i="2"/>
  <c r="AW27" i="2"/>
  <c r="AX26" i="2"/>
  <c r="AU27" i="2"/>
  <c r="Z29" i="2"/>
  <c r="AC28" i="2"/>
  <c r="H68" i="2" l="1"/>
  <c r="L31" i="2"/>
  <c r="D69" i="2"/>
  <c r="G69" i="2" s="1"/>
  <c r="EC30" i="2"/>
  <c r="EW30" i="2"/>
  <c r="DH30" i="2"/>
  <c r="FS30" i="2"/>
  <c r="GN30" i="2"/>
  <c r="CL30" i="2"/>
  <c r="EX30" i="2"/>
  <c r="HI30" i="2"/>
  <c r="HH30" i="2"/>
  <c r="CM30" i="2"/>
  <c r="EB30" i="2"/>
  <c r="FR30" i="2"/>
  <c r="DG30" i="2"/>
  <c r="GM30" i="2"/>
  <c r="DI29" i="2"/>
  <c r="DF30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L30" i="2"/>
  <c r="GO29" i="2"/>
  <c r="FQ30" i="2"/>
  <c r="FT29" i="2"/>
  <c r="HG30" i="2"/>
  <c r="HJ29" i="2"/>
  <c r="EY29" i="2"/>
  <c r="EV30" i="2"/>
  <c r="CN29" i="2"/>
  <c r="CK30" i="2"/>
  <c r="ED29" i="2"/>
  <c r="EA30" i="2"/>
  <c r="AA30" i="2"/>
  <c r="AB30" i="2"/>
  <c r="AQ31" i="2"/>
  <c r="AF31" i="2"/>
  <c r="AG31" i="2"/>
  <c r="AP31" i="2"/>
  <c r="A32" i="2"/>
  <c r="Y31" i="2"/>
  <c r="U31" i="2"/>
  <c r="V31" i="2"/>
  <c r="AV28" i="2"/>
  <c r="AW28" i="2"/>
  <c r="AU28" i="2"/>
  <c r="AX27" i="2"/>
  <c r="Z30" i="2"/>
  <c r="AC29" i="2"/>
  <c r="H69" i="2" l="1"/>
  <c r="L32" i="2"/>
  <c r="D70" i="2"/>
  <c r="G70" i="2" s="1"/>
  <c r="FR31" i="2"/>
  <c r="DG31" i="2"/>
  <c r="EW31" i="2"/>
  <c r="EC31" i="2"/>
  <c r="EX31" i="2"/>
  <c r="CL31" i="2"/>
  <c r="GM31" i="2"/>
  <c r="HH31" i="2"/>
  <c r="EB31" i="2"/>
  <c r="FS31" i="2"/>
  <c r="GN31" i="2"/>
  <c r="CM31" i="2"/>
  <c r="DH31" i="2"/>
  <c r="CK31" i="2"/>
  <c r="CN30" i="2"/>
  <c r="HG31" i="2"/>
  <c r="HJ30" i="2"/>
  <c r="HI31" i="2"/>
  <c r="GO30" i="2"/>
  <c r="GL31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A31" i="2"/>
  <c r="EV31" i="2"/>
  <c r="EY30" i="2"/>
  <c r="FT30" i="2"/>
  <c r="FQ31" i="2"/>
  <c r="DF31" i="2"/>
  <c r="DI30" i="2"/>
  <c r="AB31" i="2"/>
  <c r="AQ32" i="2"/>
  <c r="AG32" i="2"/>
  <c r="AF32" i="2"/>
  <c r="AP32" i="2"/>
  <c r="Y32" i="2"/>
  <c r="U32" i="2"/>
  <c r="V32" i="2"/>
  <c r="A33" i="2"/>
  <c r="AA31" i="2"/>
  <c r="AW29" i="2"/>
  <c r="AU29" i="2"/>
  <c r="AX28" i="2"/>
  <c r="AV29" i="2"/>
  <c r="Z31" i="2"/>
  <c r="AC30" i="2"/>
  <c r="H70" i="2" l="1"/>
  <c r="L33" i="2"/>
  <c r="D71" i="2"/>
  <c r="G71" i="2" s="1"/>
  <c r="FR32" i="2"/>
  <c r="CL32" i="2"/>
  <c r="EC32" i="2"/>
  <c r="DH32" i="2"/>
  <c r="EX32" i="2"/>
  <c r="GN32" i="2"/>
  <c r="HH32" i="2"/>
  <c r="EB32" i="2"/>
  <c r="DG32" i="2"/>
  <c r="CM32" i="2"/>
  <c r="FT31" i="2"/>
  <c r="FQ32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F32" i="2"/>
  <c r="DI31" i="2"/>
  <c r="GL32" i="2"/>
  <c r="GO31" i="2"/>
  <c r="HG32" i="2"/>
  <c r="HJ31" i="2"/>
  <c r="GM32" i="2"/>
  <c r="FS32" i="2"/>
  <c r="HI32" i="2"/>
  <c r="EY31" i="2"/>
  <c r="EV32" i="2"/>
  <c r="EA32" i="2"/>
  <c r="ED31" i="2"/>
  <c r="CN31" i="2"/>
  <c r="CK32" i="2"/>
  <c r="EW32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W30" i="2"/>
  <c r="AV30" i="2"/>
  <c r="AX29" i="2"/>
  <c r="AU30" i="2"/>
  <c r="Z32" i="2"/>
  <c r="AC31" i="2"/>
  <c r="H71" i="2" l="1"/>
  <c r="L34" i="2"/>
  <c r="D72" i="2"/>
  <c r="G72" i="2" s="1"/>
  <c r="CM33" i="2"/>
  <c r="FR33" i="2"/>
  <c r="GN33" i="2"/>
  <c r="DG33" i="2"/>
  <c r="EW33" i="2"/>
  <c r="FS33" i="2"/>
  <c r="EB33" i="2"/>
  <c r="EX33" i="2"/>
  <c r="HH33" i="2"/>
  <c r="HI33" i="2"/>
  <c r="EA33" i="2"/>
  <c r="ED32" i="2"/>
  <c r="GO32" i="2"/>
  <c r="GL33" i="2"/>
  <c r="HG33" i="2"/>
  <c r="HJ32" i="2"/>
  <c r="EC33" i="2"/>
  <c r="CN32" i="2"/>
  <c r="CK33" i="2"/>
  <c r="DH33" i="2"/>
  <c r="EV33" i="2"/>
  <c r="EY32" i="2"/>
  <c r="DI32" i="2"/>
  <c r="DF33" i="2"/>
  <c r="FT32" i="2"/>
  <c r="FQ33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GM33" i="2"/>
  <c r="CL33" i="2"/>
  <c r="AA33" i="2"/>
  <c r="K7" i="4"/>
  <c r="K6" i="4"/>
  <c r="AP34" i="2"/>
  <c r="AF34" i="2"/>
  <c r="AQ34" i="2"/>
  <c r="AG34" i="2"/>
  <c r="A35" i="2"/>
  <c r="Y34" i="2"/>
  <c r="U34" i="2"/>
  <c r="V34" i="2"/>
  <c r="AB33" i="2"/>
  <c r="AV31" i="2"/>
  <c r="AW31" i="2"/>
  <c r="AX30" i="2"/>
  <c r="AU31" i="2"/>
  <c r="Z33" i="2"/>
  <c r="AC32" i="2"/>
  <c r="H72" i="2" l="1"/>
  <c r="L35" i="2"/>
  <c r="D73" i="2"/>
  <c r="G73" i="2" s="1"/>
  <c r="EB34" i="2"/>
  <c r="DG34" i="2"/>
  <c r="EX34" i="2"/>
  <c r="HI34" i="2"/>
  <c r="CM34" i="2"/>
  <c r="FR34" i="2"/>
  <c r="GN34" i="2"/>
  <c r="EC34" i="2"/>
  <c r="CL34" i="2"/>
  <c r="GM34" i="2"/>
  <c r="DF34" i="2"/>
  <c r="DI33" i="2"/>
  <c r="H10" i="4" s="1"/>
  <c r="I10" i="4" s="1"/>
  <c r="DH34" i="2"/>
  <c r="FS34" i="2"/>
  <c r="CK34" i="2"/>
  <c r="CN33" i="2"/>
  <c r="EW34" i="2"/>
  <c r="HH34" i="2"/>
  <c r="FT33" i="2"/>
  <c r="FQ34" i="2"/>
  <c r="EA34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V34" i="2"/>
  <c r="EY33" i="2"/>
  <c r="H12" i="4" s="1"/>
  <c r="I12" i="4" s="1"/>
  <c r="HG34" i="2"/>
  <c r="HJ33" i="2"/>
  <c r="H15" i="4" s="1"/>
  <c r="I15" i="4" s="1"/>
  <c r="GO33" i="2"/>
  <c r="H14" i="4" s="1"/>
  <c r="I14" i="4" s="1"/>
  <c r="GL34" i="2"/>
  <c r="AA34" i="2"/>
  <c r="AB34" i="2"/>
  <c r="AQ35" i="2"/>
  <c r="AP35" i="2"/>
  <c r="AF35" i="2"/>
  <c r="AG35" i="2"/>
  <c r="Y35" i="2"/>
  <c r="V35" i="2"/>
  <c r="A36" i="2"/>
  <c r="U35" i="2"/>
  <c r="AW32" i="2"/>
  <c r="AV32" i="2"/>
  <c r="AX31" i="2"/>
  <c r="AU32" i="2"/>
  <c r="Z34" i="2"/>
  <c r="AC33" i="2"/>
  <c r="H6" i="4" s="1"/>
  <c r="H73" i="2" l="1"/>
  <c r="H13" i="4"/>
  <c r="I13" i="4" s="1"/>
  <c r="H9" i="4"/>
  <c r="I9" i="4" s="1"/>
  <c r="L36" i="2"/>
  <c r="D74" i="2"/>
  <c r="G74" i="2" s="1"/>
  <c r="EB35" i="2"/>
  <c r="EX35" i="2"/>
  <c r="DG35" i="2"/>
  <c r="FR35" i="2"/>
  <c r="GN35" i="2"/>
  <c r="CM35" i="2"/>
  <c r="HI35" i="2"/>
  <c r="FT34" i="2"/>
  <c r="FQ35" i="2"/>
  <c r="EW35" i="2"/>
  <c r="FS35" i="2"/>
  <c r="DH35" i="2"/>
  <c r="GM35" i="2"/>
  <c r="GO34" i="2"/>
  <c r="GL35" i="2"/>
  <c r="HG35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V35" i="2"/>
  <c r="EA35" i="2"/>
  <c r="ED34" i="2"/>
  <c r="EC35" i="2"/>
  <c r="HH35" i="2"/>
  <c r="CK35" i="2"/>
  <c r="CN34" i="2"/>
  <c r="DF35" i="2"/>
  <c r="DI34" i="2"/>
  <c r="CL35" i="2"/>
  <c r="AA35" i="2"/>
  <c r="AF36" i="2"/>
  <c r="AP36" i="2"/>
  <c r="AG36" i="2"/>
  <c r="AQ36" i="2"/>
  <c r="Y36" i="2"/>
  <c r="A37" i="2"/>
  <c r="U36" i="2"/>
  <c r="V36" i="2"/>
  <c r="AB35" i="2"/>
  <c r="AW33" i="2"/>
  <c r="AW34" i="2" s="1"/>
  <c r="AU33" i="2"/>
  <c r="AX32" i="2"/>
  <c r="AV33" i="2"/>
  <c r="Z35" i="2"/>
  <c r="AC34" i="2"/>
  <c r="H74" i="2" l="1"/>
  <c r="L37" i="2"/>
  <c r="D75" i="2"/>
  <c r="G75" i="2" s="1"/>
  <c r="EB36" i="2"/>
  <c r="CL36" i="2"/>
  <c r="DG36" i="2"/>
  <c r="EC36" i="2"/>
  <c r="GN36" i="2"/>
  <c r="HI36" i="2"/>
  <c r="CM36" i="2"/>
  <c r="FR36" i="2"/>
  <c r="HH36" i="2"/>
  <c r="EX36" i="2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EA36" i="2"/>
  <c r="HG36" i="2"/>
  <c r="HJ35" i="2"/>
  <c r="GM36" i="2"/>
  <c r="DH36" i="2"/>
  <c r="CK36" i="2"/>
  <c r="CN35" i="2"/>
  <c r="GO35" i="2"/>
  <c r="GL36" i="2"/>
  <c r="FS36" i="2"/>
  <c r="DI35" i="2"/>
  <c r="DF36" i="2"/>
  <c r="EV36" i="2"/>
  <c r="EY35" i="2"/>
  <c r="EW36" i="2"/>
  <c r="FQ36" i="2"/>
  <c r="FT35" i="2"/>
  <c r="AA36" i="2"/>
  <c r="AV34" i="2"/>
  <c r="AV35" i="2" s="1"/>
  <c r="AQ37" i="2"/>
  <c r="AG37" i="2"/>
  <c r="AF37" i="2"/>
  <c r="AP37" i="2"/>
  <c r="A38" i="2"/>
  <c r="U37" i="2"/>
  <c r="Y37" i="2"/>
  <c r="V37" i="2"/>
  <c r="AB36" i="2"/>
  <c r="AU34" i="2"/>
  <c r="AX33" i="2"/>
  <c r="I6" i="4"/>
  <c r="Z36" i="2"/>
  <c r="AC35" i="2"/>
  <c r="H75" i="2" l="1"/>
  <c r="L38" i="2"/>
  <c r="D76" i="2"/>
  <c r="G76" i="2" s="1"/>
  <c r="CL37" i="2"/>
  <c r="EB37" i="2"/>
  <c r="GN37" i="2"/>
  <c r="HH37" i="2"/>
  <c r="EW37" i="2"/>
  <c r="EC37" i="2"/>
  <c r="FR37" i="2"/>
  <c r="DH37" i="2"/>
  <c r="FS37" i="2"/>
  <c r="GM37" i="2"/>
  <c r="CM37" i="2"/>
  <c r="EX37" i="2"/>
  <c r="HI37" i="2"/>
  <c r="DG37" i="2"/>
  <c r="FT36" i="2"/>
  <c r="FQ37" i="2"/>
  <c r="EY36" i="2"/>
  <c r="EV37" i="2"/>
  <c r="HG37" i="2"/>
  <c r="HJ36" i="2"/>
  <c r="GL37" i="2"/>
  <c r="GO36" i="2"/>
  <c r="CN36" i="2"/>
  <c r="CK37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F37" i="2"/>
  <c r="DI36" i="2"/>
  <c r="ED36" i="2"/>
  <c r="EA37" i="2"/>
  <c r="AA37" i="2"/>
  <c r="H7" i="4"/>
  <c r="AB37" i="2"/>
  <c r="AP38" i="2"/>
  <c r="AF38" i="2"/>
  <c r="AQ38" i="2"/>
  <c r="AG38" i="2"/>
  <c r="U38" i="2"/>
  <c r="V38" i="2"/>
  <c r="A39" i="2"/>
  <c r="Y38" i="2"/>
  <c r="AV36" i="2"/>
  <c r="AW35" i="2"/>
  <c r="AW36" i="2" s="1"/>
  <c r="AU35" i="2"/>
  <c r="AX34" i="2"/>
  <c r="Z37" i="2"/>
  <c r="AC36" i="2"/>
  <c r="H76" i="2" l="1"/>
  <c r="I7" i="4"/>
  <c r="L39" i="2"/>
  <c r="D77" i="2"/>
  <c r="G77" i="2" s="1"/>
  <c r="EW38" i="2"/>
  <c r="EB38" i="2"/>
  <c r="HI38" i="2"/>
  <c r="CM38" i="2"/>
  <c r="DG38" i="2"/>
  <c r="CL38" i="2"/>
  <c r="FS38" i="2"/>
  <c r="GN38" i="2"/>
  <c r="GM38" i="2"/>
  <c r="GL38" i="2"/>
  <c r="GO37" i="2"/>
  <c r="HH38" i="2"/>
  <c r="HG38" i="2"/>
  <c r="HJ37" i="2"/>
  <c r="FR38" i="2"/>
  <c r="EX38" i="2"/>
  <c r="CN37" i="2"/>
  <c r="CK38" i="2"/>
  <c r="DH38" i="2"/>
  <c r="FT37" i="2"/>
  <c r="FQ38" i="2"/>
  <c r="EC38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EA38" i="2"/>
  <c r="DI37" i="2"/>
  <c r="DF38" i="2"/>
  <c r="EY37" i="2"/>
  <c r="EV38" i="2"/>
  <c r="AA38" i="2"/>
  <c r="AQ39" i="2"/>
  <c r="AP39" i="2"/>
  <c r="AF39" i="2"/>
  <c r="AG39" i="2"/>
  <c r="A40" i="2"/>
  <c r="U39" i="2"/>
  <c r="V39" i="2"/>
  <c r="Y39" i="2"/>
  <c r="AB38" i="2"/>
  <c r="AX35" i="2"/>
  <c r="AU36" i="2"/>
  <c r="Z38" i="2"/>
  <c r="AC37" i="2"/>
  <c r="H77" i="2" l="1"/>
  <c r="L40" i="2"/>
  <c r="D78" i="2"/>
  <c r="G78" i="2" s="1"/>
  <c r="EW39" i="2"/>
  <c r="EB39" i="2"/>
  <c r="DG39" i="2"/>
  <c r="CM39" i="2"/>
  <c r="FS39" i="2"/>
  <c r="GN39" i="2"/>
  <c r="HI39" i="2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V39" i="2"/>
  <c r="EY38" i="2"/>
  <c r="DI38" i="2"/>
  <c r="DF39" i="2"/>
  <c r="EX39" i="2"/>
  <c r="EC39" i="2"/>
  <c r="DH39" i="2"/>
  <c r="CK39" i="2"/>
  <c r="CN38" i="2"/>
  <c r="FR39" i="2"/>
  <c r="GO38" i="2"/>
  <c r="GL39" i="2"/>
  <c r="EA39" i="2"/>
  <c r="ED38" i="2"/>
  <c r="HH39" i="2"/>
  <c r="GM39" i="2"/>
  <c r="FT38" i="2"/>
  <c r="FQ39" i="2"/>
  <c r="CL39" i="2"/>
  <c r="HG39" i="2"/>
  <c r="HJ38" i="2"/>
  <c r="AA39" i="2"/>
  <c r="AQ40" i="2"/>
  <c r="AG40" i="2"/>
  <c r="AP40" i="2"/>
  <c r="AF40" i="2"/>
  <c r="Y40" i="2"/>
  <c r="U40" i="2"/>
  <c r="V40" i="2"/>
  <c r="A41" i="2"/>
  <c r="AB39" i="2"/>
  <c r="AV37" i="2"/>
  <c r="AW37" i="2"/>
  <c r="AX36" i="2"/>
  <c r="AU37" i="2"/>
  <c r="Z39" i="2"/>
  <c r="AC38" i="2"/>
  <c r="H78" i="2" l="1"/>
  <c r="L41" i="2"/>
  <c r="D79" i="2"/>
  <c r="G79" i="2" s="1"/>
  <c r="EW40" i="2"/>
  <c r="GM40" i="2"/>
  <c r="EB40" i="2"/>
  <c r="HH40" i="2"/>
  <c r="DH40" i="2"/>
  <c r="FR40" i="2"/>
  <c r="EC40" i="2"/>
  <c r="HI40" i="2"/>
  <c r="EX40" i="2"/>
  <c r="FS40" i="2"/>
  <c r="GN40" i="2"/>
  <c r="CM40" i="2"/>
  <c r="DG40" i="2"/>
  <c r="CL40" i="2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FQ40" i="2"/>
  <c r="CN39" i="2"/>
  <c r="CK40" i="2"/>
  <c r="DF40" i="2"/>
  <c r="DI39" i="2"/>
  <c r="EA40" i="2"/>
  <c r="ED39" i="2"/>
  <c r="GL40" i="2"/>
  <c r="GO39" i="2"/>
  <c r="EV40" i="2"/>
  <c r="EY39" i="2"/>
  <c r="HG40" i="2"/>
  <c r="HJ39" i="2"/>
  <c r="AA40" i="2"/>
  <c r="AB40" i="2"/>
  <c r="AW38" i="2"/>
  <c r="AP41" i="2"/>
  <c r="AF41" i="2"/>
  <c r="AQ41" i="2"/>
  <c r="AG41" i="2"/>
  <c r="Y41" i="2"/>
  <c r="U41" i="2"/>
  <c r="V41" i="2"/>
  <c r="A42" i="2"/>
  <c r="AV38" i="2"/>
  <c r="AU38" i="2"/>
  <c r="AX37" i="2"/>
  <c r="Z40" i="2"/>
  <c r="AC39" i="2"/>
  <c r="H79" i="2" l="1"/>
  <c r="GM41" i="2"/>
  <c r="L42" i="2"/>
  <c r="D80" i="2"/>
  <c r="G80" i="2" s="1"/>
  <c r="CL41" i="2"/>
  <c r="FR41" i="2"/>
  <c r="EX41" i="2"/>
  <c r="HI41" i="2"/>
  <c r="EW41" i="2"/>
  <c r="HH41" i="2"/>
  <c r="EB41" i="2"/>
  <c r="FS41" i="2"/>
  <c r="DG41" i="2"/>
  <c r="CM41" i="2"/>
  <c r="GN41" i="2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C41" i="2"/>
  <c r="ED40" i="2"/>
  <c r="EA41" i="2"/>
  <c r="DH41" i="2"/>
  <c r="FT40" i="2"/>
  <c r="FQ41" i="2"/>
  <c r="HG41" i="2"/>
  <c r="HJ40" i="2"/>
  <c r="CN40" i="2"/>
  <c r="CK41" i="2"/>
  <c r="GL41" i="2"/>
  <c r="GO40" i="2"/>
  <c r="EV41" i="2"/>
  <c r="EY40" i="2"/>
  <c r="DF41" i="2"/>
  <c r="DI40" i="2"/>
  <c r="AF42" i="2"/>
  <c r="AP42" i="2"/>
  <c r="AQ42" i="2"/>
  <c r="AG42" i="2"/>
  <c r="Y42" i="2"/>
  <c r="U42" i="2"/>
  <c r="V42" i="2"/>
  <c r="A43" i="2"/>
  <c r="AB41" i="2"/>
  <c r="AA41" i="2"/>
  <c r="AV39" i="2"/>
  <c r="AV40" i="2" s="1"/>
  <c r="AU39" i="2"/>
  <c r="AX38" i="2"/>
  <c r="AW39" i="2"/>
  <c r="Z41" i="2"/>
  <c r="AC40" i="2"/>
  <c r="H80" i="2" l="1"/>
  <c r="L43" i="2"/>
  <c r="D81" i="2"/>
  <c r="G81" i="2" s="1"/>
  <c r="FR42" i="2"/>
  <c r="EW42" i="2"/>
  <c r="EX42" i="2"/>
  <c r="HI42" i="2"/>
  <c r="HH42" i="2"/>
  <c r="CL42" i="2"/>
  <c r="CM42" i="2"/>
  <c r="DG42" i="2"/>
  <c r="GM42" i="2"/>
  <c r="DH42" i="2"/>
  <c r="EB42" i="2"/>
  <c r="GN42" i="2"/>
  <c r="FS42" i="2"/>
  <c r="CN41" i="2"/>
  <c r="CK42" i="2"/>
  <c r="EC42" i="2"/>
  <c r="EV42" i="2"/>
  <c r="EY41" i="2"/>
  <c r="GL42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A42" i="2"/>
  <c r="ED41" i="2"/>
  <c r="DF42" i="2"/>
  <c r="DI41" i="2"/>
  <c r="HG42" i="2"/>
  <c r="HJ41" i="2"/>
  <c r="FT41" i="2"/>
  <c r="FQ42" i="2"/>
  <c r="AB42" i="2"/>
  <c r="AQ43" i="2"/>
  <c r="AP43" i="2"/>
  <c r="AG43" i="2"/>
  <c r="AF43" i="2"/>
  <c r="V43" i="2"/>
  <c r="U43" i="2"/>
  <c r="A44" i="2"/>
  <c r="Y43" i="2"/>
  <c r="AA42" i="2"/>
  <c r="AU40" i="2"/>
  <c r="AX39" i="2"/>
  <c r="AW40" i="2"/>
  <c r="Z42" i="2"/>
  <c r="AC41" i="2"/>
  <c r="H81" i="2" l="1"/>
  <c r="L44" i="2"/>
  <c r="D82" i="2"/>
  <c r="G82" i="2" s="1"/>
  <c r="CM43" i="2"/>
  <c r="EW43" i="2"/>
  <c r="DG43" i="2"/>
  <c r="HH43" i="2"/>
  <c r="GN43" i="2"/>
  <c r="EB43" i="2"/>
  <c r="FR43" i="2"/>
  <c r="EX43" i="2"/>
  <c r="FS43" i="2"/>
  <c r="HI43" i="2"/>
  <c r="FQ43" i="2"/>
  <c r="FT42" i="2"/>
  <c r="DI42" i="2"/>
  <c r="DF43" i="2"/>
  <c r="CL43" i="2"/>
  <c r="GM43" i="2"/>
  <c r="HG43" i="2"/>
  <c r="HJ42" i="2"/>
  <c r="DH43" i="2"/>
  <c r="GO42" i="2"/>
  <c r="GL43" i="2"/>
  <c r="EC43" i="2"/>
  <c r="CK43" i="2"/>
  <c r="CN42" i="2"/>
  <c r="ED42" i="2"/>
  <c r="EA43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EV43" i="2"/>
  <c r="AA43" i="2"/>
  <c r="AQ44" i="2"/>
  <c r="AP44" i="2"/>
  <c r="AG44" i="2"/>
  <c r="AF44" i="2"/>
  <c r="V44" i="2"/>
  <c r="A45" i="2"/>
  <c r="U44" i="2"/>
  <c r="Y44" i="2"/>
  <c r="AB43" i="2"/>
  <c r="AV41" i="2"/>
  <c r="AX40" i="2"/>
  <c r="AU41" i="2"/>
  <c r="AW41" i="2"/>
  <c r="Z43" i="2"/>
  <c r="AC42" i="2"/>
  <c r="H82" i="2" l="1"/>
  <c r="L45" i="2"/>
  <c r="D83" i="2"/>
  <c r="G83" i="2" s="1"/>
  <c r="FS44" i="2"/>
  <c r="EB44" i="2"/>
  <c r="DG44" i="2"/>
  <c r="EW44" i="2"/>
  <c r="CM44" i="2"/>
  <c r="GN44" i="2"/>
  <c r="HI44" i="2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V44" i="2"/>
  <c r="EY43" i="2"/>
  <c r="ED43" i="2"/>
  <c r="EA44" i="2"/>
  <c r="EC44" i="2"/>
  <c r="HH44" i="2"/>
  <c r="FR44" i="2"/>
  <c r="DH44" i="2"/>
  <c r="GM44" i="2"/>
  <c r="CL44" i="2"/>
  <c r="DI43" i="2"/>
  <c r="DF44" i="2"/>
  <c r="EX44" i="2"/>
  <c r="CK44" i="2"/>
  <c r="CN43" i="2"/>
  <c r="GO43" i="2"/>
  <c r="GL44" i="2"/>
  <c r="HG44" i="2"/>
  <c r="HJ43" i="2"/>
  <c r="FT43" i="2"/>
  <c r="FQ44" i="2"/>
  <c r="AB44" i="2"/>
  <c r="AQ45" i="2"/>
  <c r="AG45" i="2"/>
  <c r="AF45" i="2"/>
  <c r="AP45" i="2"/>
  <c r="U45" i="2"/>
  <c r="V45" i="2"/>
  <c r="A46" i="2"/>
  <c r="Y45" i="2"/>
  <c r="AW42" i="2"/>
  <c r="AW43" i="2" s="1"/>
  <c r="AA44" i="2"/>
  <c r="AV42" i="2"/>
  <c r="AX41" i="2"/>
  <c r="AU42" i="2"/>
  <c r="Z44" i="2"/>
  <c r="AC43" i="2"/>
  <c r="H83" i="2" l="1"/>
  <c r="L46" i="2"/>
  <c r="D84" i="2"/>
  <c r="G84" i="2" s="1"/>
  <c r="FR45" i="2"/>
  <c r="EB45" i="2"/>
  <c r="EW45" i="2"/>
  <c r="DG45" i="2"/>
  <c r="HH45" i="2"/>
  <c r="CM45" i="2"/>
  <c r="GM45" i="2"/>
  <c r="CL45" i="2"/>
  <c r="EC45" i="2"/>
  <c r="EX45" i="2"/>
  <c r="GN45" i="2"/>
  <c r="DH45" i="2"/>
  <c r="HI45" i="2"/>
  <c r="FS45" i="2"/>
  <c r="GO44" i="2"/>
  <c r="GL45" i="2"/>
  <c r="DI44" i="2"/>
  <c r="DF45" i="2"/>
  <c r="EY44" i="2"/>
  <c r="EV45" i="2"/>
  <c r="FQ45" i="2"/>
  <c r="FT44" i="2"/>
  <c r="HG45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CK45" i="2"/>
  <c r="ED44" i="2"/>
  <c r="EA45" i="2"/>
  <c r="AB45" i="2"/>
  <c r="AA45" i="2"/>
  <c r="AP46" i="2"/>
  <c r="AF46" i="2"/>
  <c r="AQ46" i="2"/>
  <c r="AG46" i="2"/>
  <c r="A47" i="2"/>
  <c r="Y46" i="2"/>
  <c r="U46" i="2"/>
  <c r="V46" i="2"/>
  <c r="AV43" i="2"/>
  <c r="AV44" i="2" s="1"/>
  <c r="AU43" i="2"/>
  <c r="AX42" i="2"/>
  <c r="Z45" i="2"/>
  <c r="AC44" i="2"/>
  <c r="H84" i="2" l="1"/>
  <c r="L47" i="2"/>
  <c r="D85" i="2"/>
  <c r="G85" i="2" s="1"/>
  <c r="FR46" i="2"/>
  <c r="EW46" i="2"/>
  <c r="EX46" i="2"/>
  <c r="CL46" i="2"/>
  <c r="DG46" i="2"/>
  <c r="HH46" i="2"/>
  <c r="GN46" i="2"/>
  <c r="FS46" i="2"/>
  <c r="HI46" i="2"/>
  <c r="EB46" i="2"/>
  <c r="EC46" i="2"/>
  <c r="EA46" i="2"/>
  <c r="ED45" i="2"/>
  <c r="GM46" i="2"/>
  <c r="CM46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DH46" i="2"/>
  <c r="FQ46" i="2"/>
  <c r="FT45" i="2"/>
  <c r="EV46" i="2"/>
  <c r="EY45" i="2"/>
  <c r="GO45" i="2"/>
  <c r="GL46" i="2"/>
  <c r="CK46" i="2"/>
  <c r="CN45" i="2"/>
  <c r="HG46" i="2"/>
  <c r="HJ45" i="2"/>
  <c r="DI45" i="2"/>
  <c r="DF46" i="2"/>
  <c r="AQ47" i="2"/>
  <c r="AF47" i="2"/>
  <c r="AP47" i="2"/>
  <c r="AG47" i="2"/>
  <c r="A48" i="2"/>
  <c r="Y47" i="2"/>
  <c r="U47" i="2"/>
  <c r="V47" i="2"/>
  <c r="AB46" i="2"/>
  <c r="AA46" i="2"/>
  <c r="AU44" i="2"/>
  <c r="AX43" i="2"/>
  <c r="AV45" i="2"/>
  <c r="AW44" i="2"/>
  <c r="Z46" i="2"/>
  <c r="AC45" i="2"/>
  <c r="H85" i="2" l="1"/>
  <c r="L48" i="2"/>
  <c r="D86" i="2"/>
  <c r="G86" i="2" s="1"/>
  <c r="EW47" i="2"/>
  <c r="DG47" i="2"/>
  <c r="CL47" i="2"/>
  <c r="EC47" i="2"/>
  <c r="HH47" i="2"/>
  <c r="GN47" i="2"/>
  <c r="HI47" i="2"/>
  <c r="FS47" i="2"/>
  <c r="DH47" i="2"/>
  <c r="HG47" i="2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F47" i="2"/>
  <c r="DI46" i="2"/>
  <c r="EX47" i="2"/>
  <c r="FT46" i="2"/>
  <c r="FQ47" i="2"/>
  <c r="ED46" i="2"/>
  <c r="EA47" i="2"/>
  <c r="EB47" i="2"/>
  <c r="CK47" i="2"/>
  <c r="CN46" i="2"/>
  <c r="EY46" i="2"/>
  <c r="EV47" i="2"/>
  <c r="CM47" i="2"/>
  <c r="FR47" i="2"/>
  <c r="GO46" i="2"/>
  <c r="GL47" i="2"/>
  <c r="GM47" i="2"/>
  <c r="AA47" i="2"/>
  <c r="AB47" i="2"/>
  <c r="AQ48" i="2"/>
  <c r="AG48" i="2"/>
  <c r="AF48" i="2"/>
  <c r="AP48" i="2"/>
  <c r="Y48" i="2"/>
  <c r="U48" i="2"/>
  <c r="V48" i="2"/>
  <c r="A49" i="2"/>
  <c r="AU45" i="2"/>
  <c r="AX44" i="2"/>
  <c r="AW45" i="2"/>
  <c r="Z47" i="2"/>
  <c r="AC46" i="2"/>
  <c r="H86" i="2" l="1"/>
  <c r="EW48" i="2"/>
  <c r="L49" i="2"/>
  <c r="GM48" i="2"/>
  <c r="D87" i="2"/>
  <c r="G87" i="2" s="1"/>
  <c r="FR48" i="2"/>
  <c r="EB48" i="2"/>
  <c r="CL48" i="2"/>
  <c r="FS48" i="2"/>
  <c r="DG48" i="2"/>
  <c r="DH48" i="2"/>
  <c r="GN48" i="2"/>
  <c r="EC48" i="2"/>
  <c r="HI48" i="2"/>
  <c r="ED47" i="2"/>
  <c r="EA48" i="2"/>
  <c r="HH48" i="2"/>
  <c r="EX48" i="2"/>
  <c r="HG48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L48" i="2"/>
  <c r="GO47" i="2"/>
  <c r="CM48" i="2"/>
  <c r="EV48" i="2"/>
  <c r="EY47" i="2"/>
  <c r="CK48" i="2"/>
  <c r="CN47" i="2"/>
  <c r="FQ48" i="2"/>
  <c r="FT47" i="2"/>
  <c r="DI47" i="2"/>
  <c r="DF48" i="2"/>
  <c r="AB48" i="2"/>
  <c r="AP49" i="2"/>
  <c r="AF49" i="2"/>
  <c r="AQ49" i="2"/>
  <c r="AG49" i="2"/>
  <c r="V49" i="2"/>
  <c r="A50" i="2"/>
  <c r="Y49" i="2"/>
  <c r="U49" i="2"/>
  <c r="AA48" i="2"/>
  <c r="AV46" i="2"/>
  <c r="AW46" i="2"/>
  <c r="AU46" i="2"/>
  <c r="AX45" i="2"/>
  <c r="Z48" i="2"/>
  <c r="AC47" i="2"/>
  <c r="H87" i="2" l="1"/>
  <c r="L50" i="2"/>
  <c r="D88" i="2"/>
  <c r="G88" i="2" s="1"/>
  <c r="CL49" i="2"/>
  <c r="GN49" i="2"/>
  <c r="EW49" i="2"/>
  <c r="FS49" i="2"/>
  <c r="HI49" i="2"/>
  <c r="DH49" i="2"/>
  <c r="EC49" i="2"/>
  <c r="CM49" i="2"/>
  <c r="HH49" i="2"/>
  <c r="EB49" i="2"/>
  <c r="DG49" i="2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K49" i="2"/>
  <c r="CN48" i="2"/>
  <c r="GM49" i="2"/>
  <c r="FR49" i="2"/>
  <c r="FQ49" i="2"/>
  <c r="FT48" i="2"/>
  <c r="GL49" i="2"/>
  <c r="GO48" i="2"/>
  <c r="HG49" i="2"/>
  <c r="HJ48" i="2"/>
  <c r="ED48" i="2"/>
  <c r="EA49" i="2"/>
  <c r="DF49" i="2"/>
  <c r="DI48" i="2"/>
  <c r="EV49" i="2"/>
  <c r="EY48" i="2"/>
  <c r="EX49" i="2"/>
  <c r="AB49" i="2"/>
  <c r="AA49" i="2"/>
  <c r="AP50" i="2"/>
  <c r="AF50" i="2"/>
  <c r="AQ50" i="2"/>
  <c r="AG50" i="2"/>
  <c r="Y50" i="2"/>
  <c r="U50" i="2"/>
  <c r="V50" i="2"/>
  <c r="A51" i="2"/>
  <c r="AV47" i="2"/>
  <c r="AV48" i="2" s="1"/>
  <c r="AU47" i="2"/>
  <c r="AX46" i="2"/>
  <c r="AW47" i="2"/>
  <c r="AW48" i="2" s="1"/>
  <c r="Z49" i="2"/>
  <c r="AC48" i="2"/>
  <c r="H88" i="2" l="1"/>
  <c r="L51" i="2"/>
  <c r="D89" i="2"/>
  <c r="G89" i="2" s="1"/>
  <c r="CL50" i="2"/>
  <c r="DH50" i="2"/>
  <c r="FS50" i="2"/>
  <c r="GN50" i="2"/>
  <c r="EX50" i="2"/>
  <c r="FR50" i="2"/>
  <c r="HI50" i="2"/>
  <c r="EC50" i="2"/>
  <c r="DG50" i="2"/>
  <c r="GM50" i="2"/>
  <c r="EW50" i="2"/>
  <c r="GL50" i="2"/>
  <c r="GO49" i="2"/>
  <c r="CK50" i="2"/>
  <c r="CN49" i="2"/>
  <c r="EB50" i="2"/>
  <c r="HH50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CM50" i="2"/>
  <c r="DF50" i="2"/>
  <c r="DI49" i="2"/>
  <c r="HG50" i="2"/>
  <c r="HJ49" i="2"/>
  <c r="FT49" i="2"/>
  <c r="FQ50" i="2"/>
  <c r="EY49" i="2"/>
  <c r="EV50" i="2"/>
  <c r="EA50" i="2"/>
  <c r="ED49" i="2"/>
  <c r="AB50" i="2"/>
  <c r="AQ51" i="2"/>
  <c r="AP51" i="2"/>
  <c r="AF51" i="2"/>
  <c r="AG51" i="2"/>
  <c r="V51" i="2"/>
  <c r="U51" i="2"/>
  <c r="A52" i="2"/>
  <c r="Y51" i="2"/>
  <c r="AA50" i="2"/>
  <c r="AW49" i="2"/>
  <c r="AU48" i="2"/>
  <c r="AX47" i="2"/>
  <c r="Z50" i="2"/>
  <c r="AC49" i="2"/>
  <c r="H89" i="2" l="1"/>
  <c r="L52" i="2"/>
  <c r="D90" i="2"/>
  <c r="G90" i="2" s="1"/>
  <c r="FR51" i="2"/>
  <c r="EW51" i="2"/>
  <c r="CL51" i="2"/>
  <c r="GM51" i="2"/>
  <c r="EC51" i="2"/>
  <c r="HH51" i="2"/>
  <c r="DG51" i="2"/>
  <c r="GN51" i="2"/>
  <c r="CM51" i="2"/>
  <c r="DH51" i="2"/>
  <c r="FS51" i="2"/>
  <c r="HI51" i="2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V51" i="2"/>
  <c r="EY50" i="2"/>
  <c r="FQ51" i="2"/>
  <c r="FT50" i="2"/>
  <c r="CN50" i="2"/>
  <c r="CK51" i="2"/>
  <c r="DF51" i="2"/>
  <c r="DI50" i="2"/>
  <c r="EB51" i="2"/>
  <c r="GL51" i="2"/>
  <c r="GO50" i="2"/>
  <c r="ED50" i="2"/>
  <c r="EA51" i="2"/>
  <c r="HG51" i="2"/>
  <c r="HJ50" i="2"/>
  <c r="EX51" i="2"/>
  <c r="AA51" i="2"/>
  <c r="AQ52" i="2"/>
  <c r="AG52" i="2"/>
  <c r="AP52" i="2"/>
  <c r="AF52" i="2"/>
  <c r="U52" i="2"/>
  <c r="V52" i="2"/>
  <c r="Y52" i="2"/>
  <c r="A53" i="2"/>
  <c r="AB51" i="2"/>
  <c r="AV49" i="2"/>
  <c r="AW50" i="2"/>
  <c r="AU49" i="2"/>
  <c r="AX48" i="2"/>
  <c r="Z51" i="2"/>
  <c r="AC50" i="2"/>
  <c r="H90" i="2" l="1"/>
  <c r="FR52" i="2"/>
  <c r="L53" i="2"/>
  <c r="D91" i="2"/>
  <c r="G91" i="2" s="1"/>
  <c r="GM52" i="2"/>
  <c r="EX52" i="2"/>
  <c r="DG52" i="2"/>
  <c r="EW52" i="2"/>
  <c r="HH52" i="2"/>
  <c r="CL52" i="2"/>
  <c r="EC52" i="2"/>
  <c r="CM52" i="2"/>
  <c r="EB52" i="2"/>
  <c r="DH52" i="2"/>
  <c r="FS52" i="2"/>
  <c r="GN52" i="2"/>
  <c r="HI52" i="2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G52" i="2"/>
  <c r="HJ51" i="2"/>
  <c r="DI51" i="2"/>
  <c r="DF52" i="2"/>
  <c r="EV52" i="2"/>
  <c r="EY51" i="2"/>
  <c r="EA52" i="2"/>
  <c r="ED51" i="2"/>
  <c r="GL52" i="2"/>
  <c r="GO51" i="2"/>
  <c r="CK52" i="2"/>
  <c r="CN51" i="2"/>
  <c r="FQ52" i="2"/>
  <c r="FT51" i="2"/>
  <c r="AA52" i="2"/>
  <c r="AB52" i="2"/>
  <c r="AQ53" i="2"/>
  <c r="AG53" i="2"/>
  <c r="AP53" i="2"/>
  <c r="AF53" i="2"/>
  <c r="Y53" i="2"/>
  <c r="U53" i="2"/>
  <c r="A54" i="2"/>
  <c r="V53" i="2"/>
  <c r="AV50" i="2"/>
  <c r="AX49" i="2"/>
  <c r="AU50" i="2"/>
  <c r="Z52" i="2"/>
  <c r="AC51" i="2"/>
  <c r="H91" i="2" l="1"/>
  <c r="L54" i="2"/>
  <c r="D92" i="2"/>
  <c r="G92" i="2" s="1"/>
  <c r="EW53" i="2"/>
  <c r="CL53" i="2"/>
  <c r="DG53" i="2"/>
  <c r="EB53" i="2"/>
  <c r="DH53" i="2"/>
  <c r="GN53" i="2"/>
  <c r="EC53" i="2"/>
  <c r="CM53" i="2"/>
  <c r="FS53" i="2"/>
  <c r="EX53" i="2"/>
  <c r="GM53" i="2"/>
  <c r="HI53" i="2"/>
  <c r="FT52" i="2"/>
  <c r="FQ53" i="2"/>
  <c r="EA53" i="2"/>
  <c r="ED52" i="2"/>
  <c r="FR53" i="2"/>
  <c r="HH53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K53" i="2"/>
  <c r="CN52" i="2"/>
  <c r="GO52" i="2"/>
  <c r="GL53" i="2"/>
  <c r="EY52" i="2"/>
  <c r="EV53" i="2"/>
  <c r="DF53" i="2"/>
  <c r="DI52" i="2"/>
  <c r="HG53" i="2"/>
  <c r="HJ52" i="2"/>
  <c r="AB53" i="2"/>
  <c r="AA53" i="2"/>
  <c r="AP54" i="2"/>
  <c r="AF54" i="2"/>
  <c r="AG54" i="2"/>
  <c r="AQ54" i="2"/>
  <c r="A55" i="2"/>
  <c r="Y54" i="2"/>
  <c r="U54" i="2"/>
  <c r="V54" i="2"/>
  <c r="AV51" i="2"/>
  <c r="AV52" i="2" s="1"/>
  <c r="AX50" i="2"/>
  <c r="AU51" i="2"/>
  <c r="AW51" i="2"/>
  <c r="AW52" i="2" s="1"/>
  <c r="Z53" i="2"/>
  <c r="AC52" i="2"/>
  <c r="H92" i="2" l="1"/>
  <c r="L55" i="2"/>
  <c r="D93" i="2"/>
  <c r="G93" i="2" s="1"/>
  <c r="EC54" i="2"/>
  <c r="EW54" i="2"/>
  <c r="DG54" i="2"/>
  <c r="FS54" i="2"/>
  <c r="EX54" i="2"/>
  <c r="GM54" i="2"/>
  <c r="CM54" i="2"/>
  <c r="HI54" i="2"/>
  <c r="FR54" i="2"/>
  <c r="EB54" i="2"/>
  <c r="GN54" i="2"/>
  <c r="HG54" i="2"/>
  <c r="HJ53" i="2"/>
  <c r="EY53" i="2"/>
  <c r="EV54" i="2"/>
  <c r="FQ54" i="2"/>
  <c r="FT53" i="2"/>
  <c r="CL54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CK54" i="2"/>
  <c r="EA54" i="2"/>
  <c r="ED53" i="2"/>
  <c r="DI53" i="2"/>
  <c r="DF54" i="2"/>
  <c r="GL54" i="2"/>
  <c r="GO53" i="2"/>
  <c r="DH54" i="2"/>
  <c r="HH54" i="2"/>
  <c r="AA54" i="2"/>
  <c r="AQ55" i="2"/>
  <c r="AG55" i="2"/>
  <c r="AF55" i="2"/>
  <c r="AP55" i="2"/>
  <c r="A56" i="2"/>
  <c r="Y55" i="2"/>
  <c r="V55" i="2"/>
  <c r="U55" i="2"/>
  <c r="AB54" i="2"/>
  <c r="AW53" i="2"/>
  <c r="AU52" i="2"/>
  <c r="AX51" i="2"/>
  <c r="Z54" i="2"/>
  <c r="AC53" i="2"/>
  <c r="H93" i="2" l="1"/>
  <c r="L56" i="2"/>
  <c r="DG55" i="2"/>
  <c r="D94" i="2"/>
  <c r="G94" i="2" s="1"/>
  <c r="HH55" i="2"/>
  <c r="EX55" i="2"/>
  <c r="EC55" i="2"/>
  <c r="CL55" i="2"/>
  <c r="HI55" i="2"/>
  <c r="CM55" i="2"/>
  <c r="DH55" i="2"/>
  <c r="FS55" i="2"/>
  <c r="GM55" i="2"/>
  <c r="ED54" i="2"/>
  <c r="EA55" i="2"/>
  <c r="EB55" i="2"/>
  <c r="GO54" i="2"/>
  <c r="GL55" i="2"/>
  <c r="DF55" i="2"/>
  <c r="DI54" i="2"/>
  <c r="CN54" i="2"/>
  <c r="CK55" i="2"/>
  <c r="HG55" i="2"/>
  <c r="HJ54" i="2"/>
  <c r="EW55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FQ55" i="2"/>
  <c r="EV55" i="2"/>
  <c r="EY54" i="2"/>
  <c r="GN55" i="2"/>
  <c r="FR55" i="2"/>
  <c r="AA55" i="2"/>
  <c r="AQ56" i="2"/>
  <c r="AG56" i="2"/>
  <c r="AP56" i="2"/>
  <c r="AF56" i="2"/>
  <c r="Y56" i="2"/>
  <c r="A57" i="2"/>
  <c r="U56" i="2"/>
  <c r="V56" i="2"/>
  <c r="AB55" i="2"/>
  <c r="AV53" i="2"/>
  <c r="AW54" i="2"/>
  <c r="AX52" i="2"/>
  <c r="AU53" i="2"/>
  <c r="Z55" i="2"/>
  <c r="AC54" i="2"/>
  <c r="H94" i="2" l="1"/>
  <c r="L57" i="2"/>
  <c r="D95" i="2"/>
  <c r="G95" i="2" s="1"/>
  <c r="FR56" i="2"/>
  <c r="HH56" i="2"/>
  <c r="CM56" i="2"/>
  <c r="GN56" i="2"/>
  <c r="DG56" i="2"/>
  <c r="FS56" i="2"/>
  <c r="EX56" i="2"/>
  <c r="EC56" i="2"/>
  <c r="DH56" i="2"/>
  <c r="GM56" i="2"/>
  <c r="HI56" i="2"/>
  <c r="HG56" i="2"/>
  <c r="HJ55" i="2"/>
  <c r="CK56" i="2"/>
  <c r="CN55" i="2"/>
  <c r="CL56" i="2"/>
  <c r="EV56" i="2"/>
  <c r="EY55" i="2"/>
  <c r="GO55" i="2"/>
  <c r="GL56" i="2"/>
  <c r="ED55" i="2"/>
  <c r="EA56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Q56" i="2"/>
  <c r="FT55" i="2"/>
  <c r="EW56" i="2"/>
  <c r="EB56" i="2"/>
  <c r="DI55" i="2"/>
  <c r="DF56" i="2"/>
  <c r="AA56" i="2"/>
  <c r="AP57" i="2"/>
  <c r="AF57" i="2"/>
  <c r="AQ57" i="2"/>
  <c r="AG57" i="2"/>
  <c r="A58" i="2"/>
  <c r="V57" i="2"/>
  <c r="Y57" i="2"/>
  <c r="U57" i="2"/>
  <c r="AB56" i="2"/>
  <c r="AV54" i="2"/>
  <c r="AX53" i="2"/>
  <c r="AU54" i="2"/>
  <c r="AW55" i="2"/>
  <c r="Z56" i="2"/>
  <c r="AC55" i="2"/>
  <c r="H95" i="2" l="1"/>
  <c r="L58" i="2"/>
  <c r="D96" i="2"/>
  <c r="G96" i="2" s="1"/>
  <c r="EB57" i="2"/>
  <c r="DH57" i="2"/>
  <c r="GM57" i="2"/>
  <c r="DG57" i="2"/>
  <c r="CM57" i="2"/>
  <c r="HH57" i="2"/>
  <c r="EC57" i="2"/>
  <c r="FS57" i="2"/>
  <c r="EX57" i="2"/>
  <c r="CL57" i="2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GL57" i="2"/>
  <c r="GN57" i="2"/>
  <c r="FT56" i="2"/>
  <c r="FQ57" i="2"/>
  <c r="ED56" i="2"/>
  <c r="EA57" i="2"/>
  <c r="CN56" i="2"/>
  <c r="CK57" i="2"/>
  <c r="HI57" i="2"/>
  <c r="FR57" i="2"/>
  <c r="EV57" i="2"/>
  <c r="EY56" i="2"/>
  <c r="HG57" i="2"/>
  <c r="HJ56" i="2"/>
  <c r="DI56" i="2"/>
  <c r="DF57" i="2"/>
  <c r="EW57" i="2"/>
  <c r="AA57" i="2"/>
  <c r="AB57" i="2"/>
  <c r="AP58" i="2"/>
  <c r="AF58" i="2"/>
  <c r="AQ58" i="2"/>
  <c r="AG58" i="2"/>
  <c r="V58" i="2"/>
  <c r="U58" i="2"/>
  <c r="A59" i="2"/>
  <c r="Y58" i="2"/>
  <c r="AV55" i="2"/>
  <c r="AX54" i="2"/>
  <c r="AU55" i="2"/>
  <c r="Z57" i="2"/>
  <c r="AC56" i="2"/>
  <c r="H96" i="2" l="1"/>
  <c r="FR58" i="2"/>
  <c r="L59" i="2"/>
  <c r="D97" i="2"/>
  <c r="G97" i="2" s="1"/>
  <c r="GM58" i="2"/>
  <c r="DH58" i="2"/>
  <c r="EW58" i="2"/>
  <c r="CM58" i="2"/>
  <c r="HH58" i="2"/>
  <c r="EB58" i="2"/>
  <c r="DG58" i="2"/>
  <c r="HI58" i="2"/>
  <c r="FS58" i="2"/>
  <c r="EC58" i="2"/>
  <c r="EX58" i="2"/>
  <c r="FQ58" i="2"/>
  <c r="FT57" i="2"/>
  <c r="GO57" i="2"/>
  <c r="GL58" i="2"/>
  <c r="EA58" i="2"/>
  <c r="ED57" i="2"/>
  <c r="CL58" i="2"/>
  <c r="DF58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G58" i="2"/>
  <c r="HJ57" i="2"/>
  <c r="EY57" i="2"/>
  <c r="EV58" i="2"/>
  <c r="CK58" i="2"/>
  <c r="CN57" i="2"/>
  <c r="GN58" i="2"/>
  <c r="AB58" i="2"/>
  <c r="AA58" i="2"/>
  <c r="AQ59" i="2"/>
  <c r="AP59" i="2"/>
  <c r="AF59" i="2"/>
  <c r="AG59" i="2"/>
  <c r="A60" i="2"/>
  <c r="Y59" i="2"/>
  <c r="U59" i="2"/>
  <c r="V59" i="2"/>
  <c r="AW56" i="2"/>
  <c r="AV56" i="2"/>
  <c r="AX55" i="2"/>
  <c r="AU56" i="2"/>
  <c r="Z58" i="2"/>
  <c r="AC57" i="2"/>
  <c r="H97" i="2" l="1"/>
  <c r="L60" i="2"/>
  <c r="D98" i="2"/>
  <c r="G98" i="2" s="1"/>
  <c r="DG59" i="2"/>
  <c r="CM59" i="2"/>
  <c r="DH59" i="2"/>
  <c r="EC59" i="2"/>
  <c r="GM59" i="2"/>
  <c r="EX59" i="2"/>
  <c r="FS59" i="2"/>
  <c r="HI59" i="2"/>
  <c r="EW59" i="2"/>
  <c r="CN58" i="2"/>
  <c r="CK59" i="2"/>
  <c r="ED58" i="2"/>
  <c r="EA59" i="2"/>
  <c r="EV59" i="2"/>
  <c r="EY58" i="2"/>
  <c r="FR59" i="2"/>
  <c r="HH59" i="2"/>
  <c r="CL59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F59" i="2"/>
  <c r="DI58" i="2"/>
  <c r="EB59" i="2"/>
  <c r="GO58" i="2"/>
  <c r="GL59" i="2"/>
  <c r="FT58" i="2"/>
  <c r="FQ59" i="2"/>
  <c r="GN59" i="2"/>
  <c r="HG59" i="2"/>
  <c r="HJ58" i="2"/>
  <c r="AA59" i="2"/>
  <c r="AP60" i="2"/>
  <c r="AF60" i="2"/>
  <c r="AQ60" i="2"/>
  <c r="AG60" i="2"/>
  <c r="U60" i="2"/>
  <c r="V60" i="2"/>
  <c r="A61" i="2"/>
  <c r="Y60" i="2"/>
  <c r="AB59" i="2"/>
  <c r="AW57" i="2"/>
  <c r="AV57" i="2"/>
  <c r="AX56" i="2"/>
  <c r="AU57" i="2"/>
  <c r="Z59" i="2"/>
  <c r="AC58" i="2"/>
  <c r="H98" i="2" l="1"/>
  <c r="L61" i="2"/>
  <c r="D99" i="2"/>
  <c r="G99" i="2" s="1"/>
  <c r="EB60" i="2"/>
  <c r="DG60" i="2"/>
  <c r="GM60" i="2"/>
  <c r="FS60" i="2"/>
  <c r="DH60" i="2"/>
  <c r="EX60" i="2"/>
  <c r="GN60" i="2"/>
  <c r="CM60" i="2"/>
  <c r="EC60" i="2"/>
  <c r="HI60" i="2"/>
  <c r="GO59" i="2"/>
  <c r="GL60" i="2"/>
  <c r="DF60" i="2"/>
  <c r="DI59" i="2"/>
  <c r="ED59" i="2"/>
  <c r="EA60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CL60" i="2"/>
  <c r="EY59" i="2"/>
  <c r="EV60" i="2"/>
  <c r="EW60" i="2"/>
  <c r="HG60" i="2"/>
  <c r="HJ59" i="2"/>
  <c r="FQ60" i="2"/>
  <c r="FT59" i="2"/>
  <c r="HH60" i="2"/>
  <c r="FR60" i="2"/>
  <c r="CK60" i="2"/>
  <c r="CN59" i="2"/>
  <c r="AB60" i="2"/>
  <c r="AA60" i="2"/>
  <c r="AV58" i="2"/>
  <c r="AV59" i="2" s="1"/>
  <c r="AQ61" i="2"/>
  <c r="AG61" i="2"/>
  <c r="AP61" i="2"/>
  <c r="AF61" i="2"/>
  <c r="Y61" i="2"/>
  <c r="V61" i="2"/>
  <c r="A62" i="2"/>
  <c r="U61" i="2"/>
  <c r="AW58" i="2"/>
  <c r="AX57" i="2"/>
  <c r="AU58" i="2"/>
  <c r="Z60" i="2"/>
  <c r="AC59" i="2"/>
  <c r="H99" i="2" l="1"/>
  <c r="DG61" i="2"/>
  <c r="L62" i="2"/>
  <c r="D100" i="2"/>
  <c r="G100" i="2" s="1"/>
  <c r="HH61" i="2"/>
  <c r="GM61" i="2"/>
  <c r="CM61" i="2"/>
  <c r="EW61" i="2"/>
  <c r="FS61" i="2"/>
  <c r="FR61" i="2"/>
  <c r="EX61" i="2"/>
  <c r="CL61" i="2"/>
  <c r="HI61" i="2"/>
  <c r="EC61" i="2"/>
  <c r="HG61" i="2"/>
  <c r="HJ60" i="2"/>
  <c r="EY60" i="2"/>
  <c r="EV61" i="2"/>
  <c r="GO60" i="2"/>
  <c r="GL61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DH61" i="2"/>
  <c r="CN60" i="2"/>
  <c r="CK61" i="2"/>
  <c r="FT60" i="2"/>
  <c r="FQ61" i="2"/>
  <c r="DF61" i="2"/>
  <c r="DI60" i="2"/>
  <c r="GN61" i="2"/>
  <c r="EA61" i="2"/>
  <c r="ED60" i="2"/>
  <c r="EB61" i="2"/>
  <c r="AA61" i="2"/>
  <c r="AP62" i="2"/>
  <c r="AF62" i="2"/>
  <c r="AQ62" i="2"/>
  <c r="AG62" i="2"/>
  <c r="U62" i="2"/>
  <c r="V62" i="2"/>
  <c r="A63" i="2"/>
  <c r="Y62" i="2"/>
  <c r="AB61" i="2"/>
  <c r="AW59" i="2"/>
  <c r="AX58" i="2"/>
  <c r="AU59" i="2"/>
  <c r="Z61" i="2"/>
  <c r="AC60" i="2"/>
  <c r="H100" i="2" l="1"/>
  <c r="DG62" i="2"/>
  <c r="L63" i="2"/>
  <c r="D101" i="2"/>
  <c r="G101" i="2" s="1"/>
  <c r="EC62" i="2"/>
  <c r="DH62" i="2"/>
  <c r="EB62" i="2"/>
  <c r="GN62" i="2"/>
  <c r="CM62" i="2"/>
  <c r="HI62" i="2"/>
  <c r="EX62" i="2"/>
  <c r="EW62" i="2"/>
  <c r="HH62" i="2"/>
  <c r="FS62" i="2"/>
  <c r="GM62" i="2"/>
  <c r="EA62" i="2"/>
  <c r="ED61" i="2"/>
  <c r="FQ62" i="2"/>
  <c r="FT61" i="2"/>
  <c r="GO61" i="2"/>
  <c r="GL62" i="2"/>
  <c r="EY61" i="2"/>
  <c r="EV62" i="2"/>
  <c r="FR62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DF62" i="2"/>
  <c r="CN61" i="2"/>
  <c r="CK62" i="2"/>
  <c r="CL62" i="2"/>
  <c r="HG62" i="2"/>
  <c r="HJ61" i="2"/>
  <c r="AA62" i="2"/>
  <c r="AB62" i="2"/>
  <c r="AQ63" i="2"/>
  <c r="AP63" i="2"/>
  <c r="AF63" i="2"/>
  <c r="AG63" i="2"/>
  <c r="V63" i="2"/>
  <c r="U63" i="2"/>
  <c r="A64" i="2"/>
  <c r="Y63" i="2"/>
  <c r="AW60" i="2"/>
  <c r="AV60" i="2"/>
  <c r="AU60" i="2"/>
  <c r="AX59" i="2"/>
  <c r="Z62" i="2"/>
  <c r="AC61" i="2"/>
  <c r="H101" i="2" l="1"/>
  <c r="L64" i="2"/>
  <c r="D102" i="2"/>
  <c r="G102" i="2" s="1"/>
  <c r="EW63" i="2"/>
  <c r="HH63" i="2"/>
  <c r="CM63" i="2"/>
  <c r="EX63" i="2"/>
  <c r="GM63" i="2"/>
  <c r="DH63" i="2"/>
  <c r="HI63" i="2"/>
  <c r="CL63" i="2"/>
  <c r="EC63" i="2"/>
  <c r="FS63" i="2"/>
  <c r="HG63" i="2"/>
  <c r="HJ62" i="2"/>
  <c r="DI62" i="2"/>
  <c r="DF63" i="2"/>
  <c r="EY62" i="2"/>
  <c r="EV63" i="2"/>
  <c r="GN63" i="2"/>
  <c r="DG63" i="2"/>
  <c r="EB63" i="2"/>
  <c r="GL63" i="2"/>
  <c r="GO62" i="2"/>
  <c r="CN62" i="2"/>
  <c r="CK63" i="2"/>
  <c r="ED62" i="2"/>
  <c r="EA63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R63" i="2"/>
  <c r="FT62" i="2"/>
  <c r="FQ63" i="2"/>
  <c r="AA63" i="2"/>
  <c r="AQ64" i="2"/>
  <c r="AG64" i="2"/>
  <c r="AP64" i="2"/>
  <c r="AF64" i="2"/>
  <c r="V64" i="2"/>
  <c r="U64" i="2"/>
  <c r="Y64" i="2"/>
  <c r="A65" i="2"/>
  <c r="AV61" i="2"/>
  <c r="AV62" i="2" s="1"/>
  <c r="AB63" i="2"/>
  <c r="AW61" i="2"/>
  <c r="AU61" i="2"/>
  <c r="AX60" i="2"/>
  <c r="Z63" i="2"/>
  <c r="AC62" i="2"/>
  <c r="H102" i="2" l="1"/>
  <c r="EW64" i="2"/>
  <c r="L65" i="2"/>
  <c r="D103" i="2"/>
  <c r="G103" i="2" s="1"/>
  <c r="CM64" i="2"/>
  <c r="FR64" i="2"/>
  <c r="FS64" i="2"/>
  <c r="EC64" i="2"/>
  <c r="HI64" i="2"/>
  <c r="DH64" i="2"/>
  <c r="GM64" i="2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FQ64" i="2"/>
  <c r="HH64" i="2"/>
  <c r="EV64" i="2"/>
  <c r="EY63" i="2"/>
  <c r="EX64" i="2"/>
  <c r="EA64" i="2"/>
  <c r="ED63" i="2"/>
  <c r="CN63" i="2"/>
  <c r="CK64" i="2"/>
  <c r="CL64" i="2"/>
  <c r="HG64" i="2"/>
  <c r="HJ63" i="2"/>
  <c r="GO63" i="2"/>
  <c r="GL64" i="2"/>
  <c r="EB64" i="2"/>
  <c r="DG64" i="2"/>
  <c r="DF64" i="2"/>
  <c r="DI63" i="2"/>
  <c r="GN64" i="2"/>
  <c r="AB64" i="2"/>
  <c r="AA64" i="2"/>
  <c r="AP65" i="2"/>
  <c r="AF65" i="2"/>
  <c r="AQ65" i="2"/>
  <c r="AG65" i="2"/>
  <c r="A66" i="2"/>
  <c r="Y65" i="2"/>
  <c r="V65" i="2"/>
  <c r="U65" i="2"/>
  <c r="AX61" i="2"/>
  <c r="AU62" i="2"/>
  <c r="AW62" i="2"/>
  <c r="Z64" i="2"/>
  <c r="AC63" i="2"/>
  <c r="FJ69" i="2" l="1"/>
  <c r="FJ201" i="2"/>
  <c r="FJ197" i="2"/>
  <c r="FJ140" i="2"/>
  <c r="FJ177" i="2"/>
  <c r="FJ195" i="2"/>
  <c r="FJ51" i="2"/>
  <c r="FJ22" i="2"/>
  <c r="FJ47" i="2"/>
  <c r="FJ37" i="2"/>
  <c r="FJ183" i="2"/>
  <c r="FJ156" i="2"/>
  <c r="FJ17" i="2"/>
  <c r="FJ34" i="2"/>
  <c r="FJ121" i="2"/>
  <c r="FJ168" i="2"/>
  <c r="FJ53" i="2"/>
  <c r="FJ188" i="2"/>
  <c r="FJ161" i="2"/>
  <c r="FJ58" i="2"/>
  <c r="FJ94" i="2"/>
  <c r="FJ103" i="2"/>
  <c r="FJ166" i="2"/>
  <c r="FJ110" i="2"/>
  <c r="FJ124" i="2"/>
  <c r="FJ21" i="2"/>
  <c r="FJ27" i="2"/>
  <c r="FJ109" i="2"/>
  <c r="FJ20" i="2"/>
  <c r="FJ182" i="2"/>
  <c r="FJ92" i="2"/>
  <c r="FJ155" i="2"/>
  <c r="FJ77" i="2"/>
  <c r="FJ80" i="2"/>
  <c r="FJ52" i="2"/>
  <c r="FJ61" i="2"/>
  <c r="FJ4" i="2"/>
  <c r="FJ48" i="2"/>
  <c r="FJ114" i="2"/>
  <c r="FJ160" i="2"/>
  <c r="FJ71" i="2"/>
  <c r="FJ142" i="2"/>
  <c r="FJ136" i="2"/>
  <c r="FJ85" i="2"/>
  <c r="FJ12" i="2"/>
  <c r="FJ42" i="2"/>
  <c r="FJ32" i="2"/>
  <c r="FJ199" i="2"/>
  <c r="FJ91" i="2"/>
  <c r="FJ86" i="2"/>
  <c r="FJ28" i="2"/>
  <c r="FJ163" i="2"/>
  <c r="FJ102" i="2"/>
  <c r="FJ198" i="2"/>
  <c r="FJ30" i="2"/>
  <c r="FJ33" i="2"/>
  <c r="FJ23" i="2"/>
  <c r="FJ66" i="2"/>
  <c r="FJ49" i="2"/>
  <c r="FJ84" i="2"/>
  <c r="FJ117" i="2"/>
  <c r="FJ134" i="2"/>
  <c r="FJ5" i="2"/>
  <c r="FJ141" i="2"/>
  <c r="FJ39" i="2"/>
  <c r="FJ36" i="2"/>
  <c r="FJ72" i="2"/>
  <c r="FJ74" i="2"/>
  <c r="FJ126" i="2"/>
  <c r="FJ139" i="2"/>
  <c r="FJ129" i="2"/>
  <c r="FJ96" i="2"/>
  <c r="FJ173" i="2"/>
  <c r="FJ19" i="2"/>
  <c r="FJ46" i="2"/>
  <c r="FJ16" i="2"/>
  <c r="FJ64" i="2"/>
  <c r="FJ112" i="2"/>
  <c r="FJ9" i="2"/>
  <c r="FJ43" i="2"/>
  <c r="FJ174" i="2"/>
  <c r="FJ65" i="2"/>
  <c r="FJ127" i="2"/>
  <c r="FJ158" i="2"/>
  <c r="FJ29" i="2"/>
  <c r="FJ24" i="2"/>
  <c r="FJ104" i="2"/>
  <c r="FJ76" i="2"/>
  <c r="FJ203" i="2"/>
  <c r="FJ45" i="2"/>
  <c r="FJ63" i="2"/>
  <c r="FJ7" i="2"/>
  <c r="FJ176" i="2"/>
  <c r="FJ75" i="2"/>
  <c r="FJ180" i="2"/>
  <c r="FJ145" i="2"/>
  <c r="FJ181" i="2"/>
  <c r="FJ78" i="2"/>
  <c r="FJ31" i="2"/>
  <c r="FJ95" i="2"/>
  <c r="FJ89" i="2"/>
  <c r="FJ184" i="2"/>
  <c r="FJ59" i="2"/>
  <c r="FJ200" i="2"/>
  <c r="FJ60" i="2"/>
  <c r="FJ108" i="2"/>
  <c r="FJ56" i="2"/>
  <c r="FJ99" i="2"/>
  <c r="FJ88" i="2"/>
  <c r="FJ162" i="2"/>
  <c r="FJ154" i="2"/>
  <c r="FJ8" i="2"/>
  <c r="FJ44" i="2"/>
  <c r="FJ11" i="2"/>
  <c r="FJ100" i="2"/>
  <c r="FJ137" i="2"/>
  <c r="FJ15" i="2"/>
  <c r="FJ111" i="2"/>
  <c r="FJ83" i="2"/>
  <c r="FJ149" i="2"/>
  <c r="FJ120" i="2"/>
  <c r="FJ101" i="2"/>
  <c r="FJ54" i="2"/>
  <c r="FJ26" i="2"/>
  <c r="FJ119" i="2"/>
  <c r="FJ82" i="2"/>
  <c r="FJ35" i="2"/>
  <c r="FJ68" i="2"/>
  <c r="FJ97" i="2"/>
  <c r="FJ172" i="2"/>
  <c r="FJ190" i="2"/>
  <c r="FJ41" i="2"/>
  <c r="FJ25" i="2"/>
  <c r="FJ70" i="2"/>
  <c r="FJ93" i="2"/>
  <c r="FJ187" i="2"/>
  <c r="FJ57" i="2"/>
  <c r="FJ113" i="2"/>
  <c r="FJ191" i="2"/>
  <c r="FJ90" i="2"/>
  <c r="FJ193" i="2"/>
  <c r="FJ196" i="2"/>
  <c r="FJ147" i="2"/>
  <c r="FJ125" i="2"/>
  <c r="FJ185" i="2"/>
  <c r="FJ73" i="2"/>
  <c r="FJ186" i="2"/>
  <c r="FJ178" i="2"/>
  <c r="FJ143" i="2"/>
  <c r="FJ87" i="2"/>
  <c r="FJ122" i="2"/>
  <c r="FJ167" i="2"/>
  <c r="FJ115" i="2"/>
  <c r="FJ118" i="2"/>
  <c r="FJ165" i="2"/>
  <c r="FJ6" i="2"/>
  <c r="FJ55" i="2"/>
  <c r="FJ135" i="2"/>
  <c r="FJ14" i="2"/>
  <c r="FJ128" i="2"/>
  <c r="FJ107" i="2"/>
  <c r="FJ169" i="2"/>
  <c r="FJ123" i="2"/>
  <c r="FJ98" i="2"/>
  <c r="FJ153" i="2"/>
  <c r="FJ130" i="2"/>
  <c r="FJ152" i="2"/>
  <c r="FJ202" i="2"/>
  <c r="FJ18" i="2"/>
  <c r="FJ150" i="2"/>
  <c r="FJ13" i="2"/>
  <c r="FJ62" i="2"/>
  <c r="FJ170" i="2"/>
  <c r="FJ194" i="2"/>
  <c r="FJ171" i="2"/>
  <c r="FJ148" i="2"/>
  <c r="FJ116" i="2"/>
  <c r="FJ159" i="2"/>
  <c r="FJ133" i="2"/>
  <c r="FJ138" i="2"/>
  <c r="FJ105" i="2"/>
  <c r="FJ40" i="2"/>
  <c r="FJ10" i="2"/>
  <c r="FJ146" i="2"/>
  <c r="FJ179" i="2"/>
  <c r="FJ189" i="2"/>
  <c r="FJ131" i="2"/>
  <c r="FJ157" i="2"/>
  <c r="FJ38" i="2"/>
  <c r="FJ106" i="2"/>
  <c r="FJ81" i="2"/>
  <c r="FJ144" i="2"/>
  <c r="FJ192" i="2"/>
  <c r="FJ175" i="2"/>
  <c r="FJ67" i="2"/>
  <c r="FJ79" i="2"/>
  <c r="FJ151" i="2"/>
  <c r="FJ50" i="2"/>
  <c r="FJ132" i="2"/>
  <c r="FJ164" i="2"/>
  <c r="H103" i="2"/>
  <c r="L66" i="2"/>
  <c r="EW65" i="2"/>
  <c r="D104" i="2"/>
  <c r="G104" i="2" s="1"/>
  <c r="EB65" i="2"/>
  <c r="FR65" i="2"/>
  <c r="CL65" i="2"/>
  <c r="HH65" i="2"/>
  <c r="DG65" i="2"/>
  <c r="FS65" i="2"/>
  <c r="HI65" i="2"/>
  <c r="GM65" i="2"/>
  <c r="EC65" i="2"/>
  <c r="EX65" i="2"/>
  <c r="CM65" i="2"/>
  <c r="DH65" i="2"/>
  <c r="GN65" i="2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GL65" i="2"/>
  <c r="FQ65" i="2"/>
  <c r="FT64" i="2"/>
  <c r="DF65" i="2"/>
  <c r="DI64" i="2"/>
  <c r="CN64" i="2"/>
  <c r="CK65" i="2"/>
  <c r="EA65" i="2"/>
  <c r="ED64" i="2"/>
  <c r="HG65" i="2"/>
  <c r="HJ64" i="2"/>
  <c r="EV65" i="2"/>
  <c r="EY64" i="2"/>
  <c r="AF66" i="2"/>
  <c r="AP66" i="2"/>
  <c r="AQ66" i="2"/>
  <c r="AG66" i="2"/>
  <c r="A67" i="2"/>
  <c r="Y66" i="2"/>
  <c r="U66" i="2"/>
  <c r="V66" i="2"/>
  <c r="AB65" i="2"/>
  <c r="AA65" i="2"/>
  <c r="AW63" i="2"/>
  <c r="AV63" i="2"/>
  <c r="AU63" i="2"/>
  <c r="AX62" i="2"/>
  <c r="Z65" i="2"/>
  <c r="AC64" i="2"/>
  <c r="H104" i="2" l="1"/>
  <c r="L67" i="2"/>
  <c r="D105" i="2"/>
  <c r="G105" i="2" s="1"/>
  <c r="FR66" i="2"/>
  <c r="CL66" i="2"/>
  <c r="DG66" i="2"/>
  <c r="HH66" i="2"/>
  <c r="EB66" i="2"/>
  <c r="EC66" i="2"/>
  <c r="EW66" i="2"/>
  <c r="GM66" i="2"/>
  <c r="GN66" i="2"/>
  <c r="EX66" i="2"/>
  <c r="DH66" i="2"/>
  <c r="CM66" i="2"/>
  <c r="FS66" i="2"/>
  <c r="HI66" i="2"/>
  <c r="GO65" i="2"/>
  <c r="GL66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G66" i="2"/>
  <c r="HJ65" i="2"/>
  <c r="EA66" i="2"/>
  <c r="ED65" i="2"/>
  <c r="CK66" i="2"/>
  <c r="CN65" i="2"/>
  <c r="DF66" i="2"/>
  <c r="DI65" i="2"/>
  <c r="FT65" i="2"/>
  <c r="FQ66" i="2"/>
  <c r="EV66" i="2"/>
  <c r="EY65" i="2"/>
  <c r="AA66" i="2"/>
  <c r="AB66" i="2"/>
  <c r="AQ67" i="2"/>
  <c r="AP67" i="2"/>
  <c r="AG67" i="2"/>
  <c r="AF67" i="2"/>
  <c r="A68" i="2"/>
  <c r="Y67" i="2"/>
  <c r="V67" i="2"/>
  <c r="U67" i="2"/>
  <c r="AV64" i="2"/>
  <c r="AW64" i="2"/>
  <c r="AX63" i="2"/>
  <c r="AU64" i="2"/>
  <c r="Z66" i="2"/>
  <c r="AC65" i="2"/>
  <c r="H105" i="2" l="1"/>
  <c r="L68" i="2"/>
  <c r="D106" i="2"/>
  <c r="G106" i="2" s="1"/>
  <c r="HH67" i="2"/>
  <c r="CL67" i="2"/>
  <c r="GM67" i="2"/>
  <c r="GN67" i="2"/>
  <c r="DG67" i="2"/>
  <c r="FS67" i="2"/>
  <c r="HI67" i="2"/>
  <c r="EW67" i="2"/>
  <c r="EB67" i="2"/>
  <c r="FR67" i="2"/>
  <c r="FQ67" i="2"/>
  <c r="FT66" i="2"/>
  <c r="ED66" i="2"/>
  <c r="EA67" i="2"/>
  <c r="EC67" i="2"/>
  <c r="DF67" i="2"/>
  <c r="DI66" i="2"/>
  <c r="DH67" i="2"/>
  <c r="GO66" i="2"/>
  <c r="GL67" i="2"/>
  <c r="CM67" i="2"/>
  <c r="EX67" i="2"/>
  <c r="EV67" i="2"/>
  <c r="EY66" i="2"/>
  <c r="CK67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G67" i="2"/>
  <c r="HJ66" i="2"/>
  <c r="AG68" i="2"/>
  <c r="AP68" i="2"/>
  <c r="AQ68" i="2"/>
  <c r="AF68" i="2"/>
  <c r="A69" i="2"/>
  <c r="Y68" i="2"/>
  <c r="U68" i="2"/>
  <c r="V68" i="2"/>
  <c r="AB67" i="2"/>
  <c r="AA67" i="2"/>
  <c r="AW65" i="2"/>
  <c r="AV65" i="2"/>
  <c r="AX64" i="2"/>
  <c r="AU65" i="2"/>
  <c r="Z67" i="2"/>
  <c r="AC66" i="2"/>
  <c r="H106" i="2" l="1"/>
  <c r="L69" i="2"/>
  <c r="D107" i="2"/>
  <c r="G107" i="2" s="1"/>
  <c r="CL68" i="2"/>
  <c r="GN68" i="2"/>
  <c r="FS68" i="2"/>
  <c r="HI68" i="2"/>
  <c r="EW68" i="2"/>
  <c r="EB68" i="2"/>
  <c r="DG68" i="2"/>
  <c r="CN67" i="2"/>
  <c r="CK68" i="2"/>
  <c r="GM68" i="2"/>
  <c r="GL68" i="2"/>
  <c r="GO67" i="2"/>
  <c r="FR68" i="2"/>
  <c r="HG68" i="2"/>
  <c r="HJ67" i="2"/>
  <c r="EV68" i="2"/>
  <c r="EY67" i="2"/>
  <c r="DH68" i="2"/>
  <c r="EC68" i="2"/>
  <c r="FQ68" i="2"/>
  <c r="FT67" i="2"/>
  <c r="DI67" i="2"/>
  <c r="DF68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HH68" i="2"/>
  <c r="EX68" i="2"/>
  <c r="CM68" i="2"/>
  <c r="ED67" i="2"/>
  <c r="EA68" i="2"/>
  <c r="AA68" i="2"/>
  <c r="AB68" i="2"/>
  <c r="AQ69" i="2"/>
  <c r="AG69" i="2"/>
  <c r="AF69" i="2"/>
  <c r="AP69" i="2"/>
  <c r="U69" i="2"/>
  <c r="V69" i="2"/>
  <c r="A70" i="2"/>
  <c r="Y69" i="2"/>
  <c r="AW66" i="2"/>
  <c r="AW67" i="2" s="1"/>
  <c r="AU66" i="2"/>
  <c r="AX65" i="2"/>
  <c r="AV66" i="2"/>
  <c r="Z68" i="2"/>
  <c r="AC67" i="2"/>
  <c r="H107" i="2" l="1"/>
  <c r="L70" i="2"/>
  <c r="D108" i="2"/>
  <c r="G108" i="2" s="1"/>
  <c r="GN69" i="2"/>
  <c r="DG69" i="2"/>
  <c r="HI69" i="2"/>
  <c r="EB69" i="2"/>
  <c r="DH69" i="2"/>
  <c r="FS69" i="2"/>
  <c r="HH69" i="2"/>
  <c r="CM69" i="2"/>
  <c r="CL69" i="2"/>
  <c r="EW69" i="2"/>
  <c r="HG69" i="2"/>
  <c r="HJ68" i="2"/>
  <c r="GM69" i="2"/>
  <c r="EX69" i="2"/>
  <c r="EY68" i="2"/>
  <c r="EV69" i="2"/>
  <c r="FR69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K69" i="2"/>
  <c r="CN68" i="2"/>
  <c r="ED68" i="2"/>
  <c r="EA69" i="2"/>
  <c r="EC69" i="2"/>
  <c r="DF69" i="2"/>
  <c r="DI68" i="2"/>
  <c r="FT68" i="2"/>
  <c r="FQ69" i="2"/>
  <c r="GL69" i="2"/>
  <c r="GO68" i="2"/>
  <c r="AP70" i="2"/>
  <c r="AF70" i="2"/>
  <c r="AG70" i="2"/>
  <c r="AQ70" i="2"/>
  <c r="A71" i="2"/>
  <c r="Y70" i="2"/>
  <c r="U70" i="2"/>
  <c r="V70" i="2"/>
  <c r="AB69" i="2"/>
  <c r="AA69" i="2"/>
  <c r="AW68" i="2"/>
  <c r="AV67" i="2"/>
  <c r="AV68" i="2" s="1"/>
  <c r="AX66" i="2"/>
  <c r="AU67" i="2"/>
  <c r="Z69" i="2"/>
  <c r="AC68" i="2"/>
  <c r="H108" i="2" l="1"/>
  <c r="L71" i="2"/>
  <c r="D109" i="2"/>
  <c r="G109" i="2" s="1"/>
  <c r="EC70" i="2"/>
  <c r="EW70" i="2"/>
  <c r="DH70" i="2"/>
  <c r="FS70" i="2"/>
  <c r="GN70" i="2"/>
  <c r="HI70" i="2"/>
  <c r="CL70" i="2"/>
  <c r="EB70" i="2"/>
  <c r="DI69" i="2"/>
  <c r="DF70" i="2"/>
  <c r="ED69" i="2"/>
  <c r="EA70" i="2"/>
  <c r="CN69" i="2"/>
  <c r="CK70" i="2"/>
  <c r="CM70" i="2"/>
  <c r="FR70" i="2"/>
  <c r="EX70" i="2"/>
  <c r="DG70" i="2"/>
  <c r="EY69" i="2"/>
  <c r="EV70" i="2"/>
  <c r="GM70" i="2"/>
  <c r="GO69" i="2"/>
  <c r="GL70" i="2"/>
  <c r="FT69" i="2"/>
  <c r="FQ70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H70" i="2"/>
  <c r="HG70" i="2"/>
  <c r="HJ69" i="2"/>
  <c r="AA70" i="2"/>
  <c r="AB70" i="2"/>
  <c r="AQ71" i="2"/>
  <c r="AP71" i="2"/>
  <c r="AF71" i="2"/>
  <c r="AG71" i="2"/>
  <c r="U71" i="2"/>
  <c r="V71" i="2"/>
  <c r="A72" i="2"/>
  <c r="Y71" i="2"/>
  <c r="AX67" i="2"/>
  <c r="AU68" i="2"/>
  <c r="AV69" i="2"/>
  <c r="Z70" i="2"/>
  <c r="AC69" i="2"/>
  <c r="H109" i="2" l="1"/>
  <c r="L72" i="2"/>
  <c r="D110" i="2"/>
  <c r="G110" i="2" s="1"/>
  <c r="HH71" i="2"/>
  <c r="EW71" i="2"/>
  <c r="HI71" i="2"/>
  <c r="CL71" i="2"/>
  <c r="EC71" i="2"/>
  <c r="DH71" i="2"/>
  <c r="FS71" i="2"/>
  <c r="GN71" i="2"/>
  <c r="FT70" i="2"/>
  <c r="FQ71" i="2"/>
  <c r="ED70" i="2"/>
  <c r="EA71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G71" i="2"/>
  <c r="HJ70" i="2"/>
  <c r="DG71" i="2"/>
  <c r="FR71" i="2"/>
  <c r="CM71" i="2"/>
  <c r="EB71" i="2"/>
  <c r="GL71" i="2"/>
  <c r="GO70" i="2"/>
  <c r="GM71" i="2"/>
  <c r="EV71" i="2"/>
  <c r="EY70" i="2"/>
  <c r="CK71" i="2"/>
  <c r="CN70" i="2"/>
  <c r="EX71" i="2"/>
  <c r="DI70" i="2"/>
  <c r="DF71" i="2"/>
  <c r="AB71" i="2"/>
  <c r="AA71" i="2"/>
  <c r="AQ72" i="2"/>
  <c r="AG72" i="2"/>
  <c r="AP72" i="2"/>
  <c r="AF72" i="2"/>
  <c r="A73" i="2"/>
  <c r="Y72" i="2"/>
  <c r="U72" i="2"/>
  <c r="V72" i="2"/>
  <c r="AW69" i="2"/>
  <c r="AX68" i="2"/>
  <c r="AU69" i="2"/>
  <c r="Z71" i="2"/>
  <c r="AC70" i="2"/>
  <c r="H110" i="2" l="1"/>
  <c r="L73" i="2"/>
  <c r="D111" i="2"/>
  <c r="G111" i="2" s="1"/>
  <c r="FS72" i="2"/>
  <c r="CL72" i="2"/>
  <c r="EX72" i="2"/>
  <c r="FR72" i="2"/>
  <c r="DG72" i="2"/>
  <c r="EC72" i="2"/>
  <c r="HI72" i="2"/>
  <c r="EB72" i="2"/>
  <c r="HH72" i="2"/>
  <c r="GM72" i="2"/>
  <c r="CM72" i="2"/>
  <c r="DH72" i="2"/>
  <c r="EW72" i="2"/>
  <c r="GN72" i="2"/>
  <c r="DI71" i="2"/>
  <c r="DF72" i="2"/>
  <c r="GO71" i="2"/>
  <c r="GL72" i="2"/>
  <c r="EV72" i="2"/>
  <c r="EY71" i="2"/>
  <c r="HG72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CK72" i="2"/>
  <c r="EA72" i="2"/>
  <c r="ED71" i="2"/>
  <c r="FQ72" i="2"/>
  <c r="FT71" i="2"/>
  <c r="AA72" i="2"/>
  <c r="AP73" i="2"/>
  <c r="AF73" i="2"/>
  <c r="AQ73" i="2"/>
  <c r="AG73" i="2"/>
  <c r="Y73" i="2"/>
  <c r="U73" i="2"/>
  <c r="V73" i="2"/>
  <c r="A74" i="2"/>
  <c r="AB72" i="2"/>
  <c r="AW70" i="2"/>
  <c r="AU70" i="2"/>
  <c r="AX69" i="2"/>
  <c r="AV70" i="2"/>
  <c r="Z72" i="2"/>
  <c r="AC71" i="2"/>
  <c r="H111" i="2" l="1"/>
  <c r="L74" i="2"/>
  <c r="D112" i="2"/>
  <c r="G112" i="2" s="1"/>
  <c r="CL73" i="2"/>
  <c r="EW73" i="2"/>
  <c r="GN73" i="2"/>
  <c r="EC73" i="2"/>
  <c r="FS73" i="2"/>
  <c r="CM73" i="2"/>
  <c r="HH73" i="2"/>
  <c r="DH73" i="2"/>
  <c r="CN72" i="2"/>
  <c r="CK73" i="2"/>
  <c r="EB73" i="2"/>
  <c r="HI73" i="2"/>
  <c r="FT72" i="2"/>
  <c r="FQ73" i="2"/>
  <c r="EA73" i="2"/>
  <c r="ED72" i="2"/>
  <c r="EX73" i="2"/>
  <c r="GM73" i="2"/>
  <c r="HG73" i="2"/>
  <c r="HJ72" i="2"/>
  <c r="EY72" i="2"/>
  <c r="EV73" i="2"/>
  <c r="DG73" i="2"/>
  <c r="DI72" i="2"/>
  <c r="DF73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FR73" i="2"/>
  <c r="GO72" i="2"/>
  <c r="GL73" i="2"/>
  <c r="AB73" i="2"/>
  <c r="AA73" i="2"/>
  <c r="AP74" i="2"/>
  <c r="AF74" i="2"/>
  <c r="AQ74" i="2"/>
  <c r="AG74" i="2"/>
  <c r="Y74" i="2"/>
  <c r="U74" i="2"/>
  <c r="V74" i="2"/>
  <c r="A75" i="2"/>
  <c r="AW71" i="2"/>
  <c r="AV71" i="2"/>
  <c r="AU71" i="2"/>
  <c r="AX70" i="2"/>
  <c r="Z73" i="2"/>
  <c r="AC72" i="2"/>
  <c r="H112" i="2" l="1"/>
  <c r="L75" i="2"/>
  <c r="D113" i="2"/>
  <c r="G113" i="2" s="1"/>
  <c r="EW74" i="2"/>
  <c r="FR74" i="2"/>
  <c r="CL74" i="2"/>
  <c r="GN74" i="2"/>
  <c r="DH74" i="2"/>
  <c r="HH74" i="2"/>
  <c r="EC74" i="2"/>
  <c r="FS74" i="2"/>
  <c r="HG74" i="2"/>
  <c r="HJ73" i="2"/>
  <c r="EX74" i="2"/>
  <c r="CK74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F74" i="2"/>
  <c r="DI73" i="2"/>
  <c r="EY73" i="2"/>
  <c r="EV74" i="2"/>
  <c r="EA74" i="2"/>
  <c r="ED73" i="2"/>
  <c r="HI74" i="2"/>
  <c r="CM74" i="2"/>
  <c r="GO73" i="2"/>
  <c r="GL74" i="2"/>
  <c r="DG74" i="2"/>
  <c r="GM74" i="2"/>
  <c r="FQ74" i="2"/>
  <c r="FT73" i="2"/>
  <c r="EB74" i="2"/>
  <c r="AB74" i="2"/>
  <c r="AV72" i="2"/>
  <c r="AA74" i="2"/>
  <c r="AQ75" i="2"/>
  <c r="AP75" i="2"/>
  <c r="AF75" i="2"/>
  <c r="AG75" i="2"/>
  <c r="V75" i="2"/>
  <c r="Y75" i="2"/>
  <c r="U75" i="2"/>
  <c r="A76" i="2"/>
  <c r="AW72" i="2"/>
  <c r="AU72" i="2"/>
  <c r="AX71" i="2"/>
  <c r="Z74" i="2"/>
  <c r="AC73" i="2"/>
  <c r="H113" i="2" l="1"/>
  <c r="L76" i="2"/>
  <c r="EW75" i="2"/>
  <c r="D114" i="2"/>
  <c r="G114" i="2" s="1"/>
  <c r="EB75" i="2"/>
  <c r="HH75" i="2"/>
  <c r="CL75" i="2"/>
  <c r="DG75" i="2"/>
  <c r="GM75" i="2"/>
  <c r="CM75" i="2"/>
  <c r="DH75" i="2"/>
  <c r="FR75" i="2"/>
  <c r="HI75" i="2"/>
  <c r="EC75" i="2"/>
  <c r="GN75" i="2"/>
  <c r="FS75" i="2"/>
  <c r="EA75" i="2"/>
  <c r="ED74" i="2"/>
  <c r="CK75" i="2"/>
  <c r="CN74" i="2"/>
  <c r="HG75" i="2"/>
  <c r="HJ74" i="2"/>
  <c r="EV75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DF75" i="2"/>
  <c r="EX75" i="2"/>
  <c r="FQ75" i="2"/>
  <c r="FT74" i="2"/>
  <c r="GO74" i="2"/>
  <c r="GL75" i="2"/>
  <c r="AB75" i="2"/>
  <c r="AA75" i="2"/>
  <c r="AQ76" i="2"/>
  <c r="AP76" i="2"/>
  <c r="AF76" i="2"/>
  <c r="AG76" i="2"/>
  <c r="Y76" i="2"/>
  <c r="U76" i="2"/>
  <c r="V76" i="2"/>
  <c r="A77" i="2"/>
  <c r="AW73" i="2"/>
  <c r="AV73" i="2"/>
  <c r="AU73" i="2"/>
  <c r="AX72" i="2"/>
  <c r="Z75" i="2"/>
  <c r="AC74" i="2"/>
  <c r="H114" i="2" l="1"/>
  <c r="L77" i="2"/>
  <c r="D115" i="2"/>
  <c r="G115" i="2" s="1"/>
  <c r="HH76" i="2"/>
  <c r="EW76" i="2"/>
  <c r="GM76" i="2"/>
  <c r="EX76" i="2"/>
  <c r="HI76" i="2"/>
  <c r="DG76" i="2"/>
  <c r="FS76" i="2"/>
  <c r="GN76" i="2"/>
  <c r="CL76" i="2"/>
  <c r="EC76" i="2"/>
  <c r="CM76" i="2"/>
  <c r="EA76" i="2"/>
  <c r="ED75" i="2"/>
  <c r="DH76" i="2"/>
  <c r="EB76" i="2"/>
  <c r="GL76" i="2"/>
  <c r="GO75" i="2"/>
  <c r="FQ76" i="2"/>
  <c r="FT75" i="2"/>
  <c r="FR76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DF76" i="2"/>
  <c r="EV76" i="2"/>
  <c r="EY75" i="2"/>
  <c r="HG76" i="2"/>
  <c r="HJ75" i="2"/>
  <c r="CK76" i="2"/>
  <c r="CN75" i="2"/>
  <c r="AB76" i="2"/>
  <c r="AQ77" i="2"/>
  <c r="AG77" i="2"/>
  <c r="AP77" i="2"/>
  <c r="AF77" i="2"/>
  <c r="A78" i="2"/>
  <c r="Y77" i="2"/>
  <c r="U77" i="2"/>
  <c r="V77" i="2"/>
  <c r="AA76" i="2"/>
  <c r="AW74" i="2"/>
  <c r="AX73" i="2"/>
  <c r="AU74" i="2"/>
  <c r="AV74" i="2"/>
  <c r="AV75" i="2" s="1"/>
  <c r="Z76" i="2"/>
  <c r="AC75" i="2"/>
  <c r="H115" i="2" l="1"/>
  <c r="L78" i="2"/>
  <c r="EW77" i="2"/>
  <c r="D116" i="2"/>
  <c r="G116" i="2" s="1"/>
  <c r="DG77" i="2"/>
  <c r="HI77" i="2"/>
  <c r="FS77" i="2"/>
  <c r="CL77" i="2"/>
  <c r="EC77" i="2"/>
  <c r="GM77" i="2"/>
  <c r="CN76" i="2"/>
  <c r="CK77" i="2"/>
  <c r="EY76" i="2"/>
  <c r="EV77" i="2"/>
  <c r="GO76" i="2"/>
  <c r="GL77" i="2"/>
  <c r="ED76" i="2"/>
  <c r="EA77" i="2"/>
  <c r="HH77" i="2"/>
  <c r="GN77" i="2"/>
  <c r="DI76" i="2"/>
  <c r="DF77" i="2"/>
  <c r="FR77" i="2"/>
  <c r="DH77" i="2"/>
  <c r="CM77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G77" i="2"/>
  <c r="HJ76" i="2"/>
  <c r="FT76" i="2"/>
  <c r="FQ77" i="2"/>
  <c r="EB77" i="2"/>
  <c r="EX77" i="2"/>
  <c r="AA77" i="2"/>
  <c r="AB77" i="2"/>
  <c r="AP78" i="2"/>
  <c r="AF78" i="2"/>
  <c r="AQ78" i="2"/>
  <c r="AG78" i="2"/>
  <c r="U78" i="2"/>
  <c r="V78" i="2"/>
  <c r="A79" i="2"/>
  <c r="Y78" i="2"/>
  <c r="AW75" i="2"/>
  <c r="AX74" i="2"/>
  <c r="AU75" i="2"/>
  <c r="Z77" i="2"/>
  <c r="AC76" i="2"/>
  <c r="H116" i="2" l="1"/>
  <c r="L79" i="2"/>
  <c r="D117" i="2"/>
  <c r="G117" i="2" s="1"/>
  <c r="CL78" i="2"/>
  <c r="EX78" i="2"/>
  <c r="EW78" i="2"/>
  <c r="HI78" i="2"/>
  <c r="EC78" i="2"/>
  <c r="FS78" i="2"/>
  <c r="GM78" i="2"/>
  <c r="EB78" i="2"/>
  <c r="FR78" i="2"/>
  <c r="DG78" i="2"/>
  <c r="HH78" i="2"/>
  <c r="EV78" i="2"/>
  <c r="EY77" i="2"/>
  <c r="HG78" i="2"/>
  <c r="HJ77" i="2"/>
  <c r="DH78" i="2"/>
  <c r="DF78" i="2"/>
  <c r="DI77" i="2"/>
  <c r="CM78" i="2"/>
  <c r="CK78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FQ78" i="2"/>
  <c r="GN78" i="2"/>
  <c r="ED77" i="2"/>
  <c r="EA78" i="2"/>
  <c r="GL78" i="2"/>
  <c r="GO77" i="2"/>
  <c r="AA78" i="2"/>
  <c r="AQ79" i="2"/>
  <c r="AG79" i="2"/>
  <c r="AP79" i="2"/>
  <c r="AF79" i="2"/>
  <c r="Y79" i="2"/>
  <c r="A80" i="2"/>
  <c r="U79" i="2"/>
  <c r="V79" i="2"/>
  <c r="AB78" i="2"/>
  <c r="AW76" i="2"/>
  <c r="AW77" i="2" s="1"/>
  <c r="AU76" i="2"/>
  <c r="AX75" i="2"/>
  <c r="AV76" i="2"/>
  <c r="Z78" i="2"/>
  <c r="AC77" i="2"/>
  <c r="H117" i="2" l="1"/>
  <c r="L80" i="2"/>
  <c r="D118" i="2"/>
  <c r="G118" i="2" s="1"/>
  <c r="DG79" i="2"/>
  <c r="GN79" i="2"/>
  <c r="FR79" i="2"/>
  <c r="GM79" i="2"/>
  <c r="EC79" i="2"/>
  <c r="HI79" i="2"/>
  <c r="CL79" i="2"/>
  <c r="EW79" i="2"/>
  <c r="DH79" i="2"/>
  <c r="EB79" i="2"/>
  <c r="FQ79" i="2"/>
  <c r="FT78" i="2"/>
  <c r="HG79" i="2"/>
  <c r="HJ78" i="2"/>
  <c r="EX79" i="2"/>
  <c r="GL79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CM79" i="2"/>
  <c r="DI78" i="2"/>
  <c r="DF79" i="2"/>
  <c r="HH79" i="2"/>
  <c r="FS79" i="2"/>
  <c r="EA79" i="2"/>
  <c r="ED78" i="2"/>
  <c r="CK79" i="2"/>
  <c r="CN78" i="2"/>
  <c r="EY78" i="2"/>
  <c r="EV79" i="2"/>
  <c r="AB79" i="2"/>
  <c r="AQ80" i="2"/>
  <c r="AG80" i="2"/>
  <c r="AP80" i="2"/>
  <c r="AF80" i="2"/>
  <c r="A81" i="2"/>
  <c r="Y80" i="2"/>
  <c r="U80" i="2"/>
  <c r="V80" i="2"/>
  <c r="AV77" i="2"/>
  <c r="AV78" i="2" s="1"/>
  <c r="AA79" i="2"/>
  <c r="AX76" i="2"/>
  <c r="AU77" i="2"/>
  <c r="Z79" i="2"/>
  <c r="AC78" i="2"/>
  <c r="H118" i="2" l="1"/>
  <c r="L81" i="2"/>
  <c r="D119" i="2"/>
  <c r="G119" i="2" s="1"/>
  <c r="CM80" i="2"/>
  <c r="DG80" i="2"/>
  <c r="GM80" i="2"/>
  <c r="HI80" i="2"/>
  <c r="FR80" i="2"/>
  <c r="EW80" i="2"/>
  <c r="HH80" i="2"/>
  <c r="CL80" i="2"/>
  <c r="EC80" i="2"/>
  <c r="FS80" i="2"/>
  <c r="GN80" i="2"/>
  <c r="EY79" i="2"/>
  <c r="EV80" i="2"/>
  <c r="HG80" i="2"/>
  <c r="HJ79" i="2"/>
  <c r="FQ80" i="2"/>
  <c r="FT79" i="2"/>
  <c r="ED79" i="2"/>
  <c r="EA80" i="2"/>
  <c r="DF80" i="2"/>
  <c r="DI79" i="2"/>
  <c r="GL80" i="2"/>
  <c r="GO79" i="2"/>
  <c r="CN79" i="2"/>
  <c r="CK80" i="2"/>
  <c r="EX80" i="2"/>
  <c r="EB80" i="2"/>
  <c r="DH80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W78" i="2"/>
  <c r="AX77" i="2"/>
  <c r="AU78" i="2"/>
  <c r="Z80" i="2"/>
  <c r="AC79" i="2"/>
  <c r="H119" i="2" l="1"/>
  <c r="L82" i="2"/>
  <c r="D120" i="2"/>
  <c r="G120" i="2" s="1"/>
  <c r="EW81" i="2"/>
  <c r="FS81" i="2"/>
  <c r="GM81" i="2"/>
  <c r="DG81" i="2"/>
  <c r="FR81" i="2"/>
  <c r="HH81" i="2"/>
  <c r="CM81" i="2"/>
  <c r="EC81" i="2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EB81" i="2"/>
  <c r="CN80" i="2"/>
  <c r="CK81" i="2"/>
  <c r="EA81" i="2"/>
  <c r="ED80" i="2"/>
  <c r="GN81" i="2"/>
  <c r="GO80" i="2"/>
  <c r="GL81" i="2"/>
  <c r="FT80" i="2"/>
  <c r="FQ81" i="2"/>
  <c r="HI81" i="2"/>
  <c r="DH81" i="2"/>
  <c r="EX81" i="2"/>
  <c r="CL81" i="2"/>
  <c r="DI80" i="2"/>
  <c r="DF81" i="2"/>
  <c r="HG81" i="2"/>
  <c r="HJ80" i="2"/>
  <c r="EY80" i="2"/>
  <c r="EV81" i="2"/>
  <c r="AA81" i="2"/>
  <c r="AF82" i="2"/>
  <c r="AP82" i="2"/>
  <c r="AQ82" i="2"/>
  <c r="AG82" i="2"/>
  <c r="A83" i="2"/>
  <c r="Y82" i="2"/>
  <c r="V82" i="2"/>
  <c r="U82" i="2"/>
  <c r="AB81" i="2"/>
  <c r="AW79" i="2"/>
  <c r="AV79" i="2"/>
  <c r="AV80" i="2" s="1"/>
  <c r="AU79" i="2"/>
  <c r="AX78" i="2"/>
  <c r="Z81" i="2"/>
  <c r="AC80" i="2"/>
  <c r="H120" i="2" l="1"/>
  <c r="L83" i="2"/>
  <c r="D121" i="2"/>
  <c r="G121" i="2" s="1"/>
  <c r="EX82" i="2"/>
  <c r="HH82" i="2"/>
  <c r="CL82" i="2"/>
  <c r="GN82" i="2"/>
  <c r="EW82" i="2"/>
  <c r="FS82" i="2"/>
  <c r="HI82" i="2"/>
  <c r="EB82" i="2"/>
  <c r="GM82" i="2"/>
  <c r="DH82" i="2"/>
  <c r="DG82" i="2"/>
  <c r="CM82" i="2"/>
  <c r="FR82" i="2"/>
  <c r="EC82" i="2"/>
  <c r="HG82" i="2"/>
  <c r="HJ81" i="2"/>
  <c r="FT81" i="2"/>
  <c r="FQ82" i="2"/>
  <c r="GO81" i="2"/>
  <c r="GL82" i="2"/>
  <c r="EA82" i="2"/>
  <c r="ED81" i="2"/>
  <c r="CK82" i="2"/>
  <c r="CN81" i="2"/>
  <c r="DF82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EV82" i="2"/>
  <c r="AB82" i="2"/>
  <c r="AA82" i="2"/>
  <c r="AP83" i="2"/>
  <c r="AQ83" i="2"/>
  <c r="AG83" i="2"/>
  <c r="AF83" i="2"/>
  <c r="U83" i="2"/>
  <c r="Y83" i="2"/>
  <c r="A84" i="2"/>
  <c r="V83" i="2"/>
  <c r="AW80" i="2"/>
  <c r="AV81" i="2"/>
  <c r="AU80" i="2"/>
  <c r="AX79" i="2"/>
  <c r="Z82" i="2"/>
  <c r="AC81" i="2"/>
  <c r="H121" i="2" l="1"/>
  <c r="L84" i="2"/>
  <c r="D122" i="2"/>
  <c r="G122" i="2" s="1"/>
  <c r="CL83" i="2"/>
  <c r="CM83" i="2"/>
  <c r="DH83" i="2"/>
  <c r="EW83" i="2"/>
  <c r="DG83" i="2"/>
  <c r="HH83" i="2"/>
  <c r="FS83" i="2"/>
  <c r="GM83" i="2"/>
  <c r="EB83" i="2"/>
  <c r="GN83" i="2"/>
  <c r="HG83" i="2"/>
  <c r="HJ82" i="2"/>
  <c r="FR83" i="2"/>
  <c r="HI83" i="2"/>
  <c r="CK83" i="2"/>
  <c r="CN82" i="2"/>
  <c r="GO82" i="2"/>
  <c r="GL83" i="2"/>
  <c r="EX83" i="2"/>
  <c r="EC83" i="2"/>
  <c r="EY82" i="2"/>
  <c r="EV83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DF83" i="2"/>
  <c r="ED82" i="2"/>
  <c r="EA83" i="2"/>
  <c r="FT82" i="2"/>
  <c r="FQ83" i="2"/>
  <c r="AB83" i="2"/>
  <c r="AF84" i="2"/>
  <c r="AQ84" i="2"/>
  <c r="AG84" i="2"/>
  <c r="AP84" i="2"/>
  <c r="Y84" i="2"/>
  <c r="U84" i="2"/>
  <c r="A85" i="2"/>
  <c r="V84" i="2"/>
  <c r="AA83" i="2"/>
  <c r="AW81" i="2"/>
  <c r="AU81" i="2"/>
  <c r="AX80" i="2"/>
  <c r="Z83" i="2"/>
  <c r="AC82" i="2"/>
  <c r="H122" i="2" l="1"/>
  <c r="L85" i="2"/>
  <c r="D123" i="2"/>
  <c r="G123" i="2" s="1"/>
  <c r="HH84" i="2"/>
  <c r="FS84" i="2"/>
  <c r="DG84" i="2"/>
  <c r="GM84" i="2"/>
  <c r="CM84" i="2"/>
  <c r="EB84" i="2"/>
  <c r="EW84" i="2"/>
  <c r="EX84" i="2"/>
  <c r="CK84" i="2"/>
  <c r="CN83" i="2"/>
  <c r="DH84" i="2"/>
  <c r="EY83" i="2"/>
  <c r="EV84" i="2"/>
  <c r="GL84" i="2"/>
  <c r="GO83" i="2"/>
  <c r="HG84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A84" i="2"/>
  <c r="ED83" i="2"/>
  <c r="DI83" i="2"/>
  <c r="DF84" i="2"/>
  <c r="HI84" i="2"/>
  <c r="CL84" i="2"/>
  <c r="GN84" i="2"/>
  <c r="FT83" i="2"/>
  <c r="FQ84" i="2"/>
  <c r="EC84" i="2"/>
  <c r="FR84" i="2"/>
  <c r="AA84" i="2"/>
  <c r="AB84" i="2"/>
  <c r="AQ85" i="2"/>
  <c r="AG85" i="2"/>
  <c r="AF85" i="2"/>
  <c r="AP85" i="2"/>
  <c r="A86" i="2"/>
  <c r="V85" i="2"/>
  <c r="Y85" i="2"/>
  <c r="U85" i="2"/>
  <c r="AW82" i="2"/>
  <c r="AX81" i="2"/>
  <c r="AU82" i="2"/>
  <c r="AV82" i="2"/>
  <c r="Z84" i="2"/>
  <c r="AC83" i="2"/>
  <c r="H123" i="2" l="1"/>
  <c r="GN85" i="2"/>
  <c r="L86" i="2"/>
  <c r="FR85" i="2"/>
  <c r="D124" i="2"/>
  <c r="G124" i="2" s="1"/>
  <c r="EB85" i="2"/>
  <c r="CM85" i="2"/>
  <c r="GM85" i="2"/>
  <c r="EC85" i="2"/>
  <c r="DG85" i="2"/>
  <c r="HH85" i="2"/>
  <c r="CL85" i="2"/>
  <c r="HI85" i="2"/>
  <c r="EW85" i="2"/>
  <c r="FS85" i="2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A85" i="2"/>
  <c r="ED84" i="2"/>
  <c r="EX85" i="2"/>
  <c r="DI84" i="2"/>
  <c r="DF85" i="2"/>
  <c r="HG85" i="2"/>
  <c r="HJ84" i="2"/>
  <c r="DH85" i="2"/>
  <c r="GL85" i="2"/>
  <c r="GO84" i="2"/>
  <c r="FQ85" i="2"/>
  <c r="FT84" i="2"/>
  <c r="EY84" i="2"/>
  <c r="EV85" i="2"/>
  <c r="CK85" i="2"/>
  <c r="CN84" i="2"/>
  <c r="AA85" i="2"/>
  <c r="AP86" i="2"/>
  <c r="AF86" i="2"/>
  <c r="AQ86" i="2"/>
  <c r="AG86" i="2"/>
  <c r="V86" i="2"/>
  <c r="U86" i="2"/>
  <c r="A87" i="2"/>
  <c r="Y86" i="2"/>
  <c r="AB85" i="2"/>
  <c r="AW83" i="2"/>
  <c r="AX82" i="2"/>
  <c r="AU83" i="2"/>
  <c r="AV83" i="2"/>
  <c r="AV84" i="2" s="1"/>
  <c r="Z85" i="2"/>
  <c r="AC84" i="2"/>
  <c r="H124" i="2" l="1"/>
  <c r="L87" i="2"/>
  <c r="D125" i="2"/>
  <c r="G125" i="2" s="1"/>
  <c r="DG86" i="2"/>
  <c r="CL86" i="2"/>
  <c r="HI86" i="2"/>
  <c r="EB86" i="2"/>
  <c r="HH86" i="2"/>
  <c r="FS86" i="2"/>
  <c r="GN86" i="2"/>
  <c r="EC86" i="2"/>
  <c r="EW86" i="2"/>
  <c r="CM86" i="2"/>
  <c r="EA86" i="2"/>
  <c r="ED85" i="2"/>
  <c r="GM86" i="2"/>
  <c r="CN85" i="2"/>
  <c r="CK86" i="2"/>
  <c r="EX86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FQ86" i="2"/>
  <c r="GO85" i="2"/>
  <c r="GL86" i="2"/>
  <c r="HG86" i="2"/>
  <c r="HJ85" i="2"/>
  <c r="DF86" i="2"/>
  <c r="DI85" i="2"/>
  <c r="EV86" i="2"/>
  <c r="EY85" i="2"/>
  <c r="FR86" i="2"/>
  <c r="DH86" i="2"/>
  <c r="AB86" i="2"/>
  <c r="AA86" i="2"/>
  <c r="AQ87" i="2"/>
  <c r="AP87" i="2"/>
  <c r="AF87" i="2"/>
  <c r="AG87" i="2"/>
  <c r="A88" i="2"/>
  <c r="V87" i="2"/>
  <c r="Y87" i="2"/>
  <c r="U87" i="2"/>
  <c r="AW84" i="2"/>
  <c r="AX83" i="2"/>
  <c r="AU84" i="2"/>
  <c r="AV85" i="2"/>
  <c r="Z86" i="2"/>
  <c r="AC85" i="2"/>
  <c r="H125" i="2" l="1"/>
  <c r="L88" i="2"/>
  <c r="D126" i="2"/>
  <c r="G126" i="2" s="1"/>
  <c r="DH87" i="2"/>
  <c r="EW87" i="2"/>
  <c r="DG87" i="2"/>
  <c r="HI87" i="2"/>
  <c r="EB87" i="2"/>
  <c r="FR87" i="2"/>
  <c r="FS87" i="2"/>
  <c r="GN87" i="2"/>
  <c r="CM87" i="2"/>
  <c r="HG87" i="2"/>
  <c r="HJ86" i="2"/>
  <c r="FQ87" i="2"/>
  <c r="FT86" i="2"/>
  <c r="CN86" i="2"/>
  <c r="CK87" i="2"/>
  <c r="GM87" i="2"/>
  <c r="HH87" i="2"/>
  <c r="EC87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F87" i="2"/>
  <c r="DI86" i="2"/>
  <c r="GO86" i="2"/>
  <c r="GL87" i="2"/>
  <c r="EX87" i="2"/>
  <c r="CL87" i="2"/>
  <c r="ED86" i="2"/>
  <c r="EA87" i="2"/>
  <c r="EY86" i="2"/>
  <c r="EV87" i="2"/>
  <c r="AA87" i="2"/>
  <c r="AB87" i="2"/>
  <c r="AQ88" i="2"/>
  <c r="AG88" i="2"/>
  <c r="AP88" i="2"/>
  <c r="AF88" i="2"/>
  <c r="Y88" i="2"/>
  <c r="U88" i="2"/>
  <c r="V88" i="2"/>
  <c r="A89" i="2"/>
  <c r="AW85" i="2"/>
  <c r="AX84" i="2"/>
  <c r="AU85" i="2"/>
  <c r="Z87" i="2"/>
  <c r="AC86" i="2"/>
  <c r="H126" i="2" l="1"/>
  <c r="L89" i="2"/>
  <c r="D127" i="2"/>
  <c r="G127" i="2" s="1"/>
  <c r="FR88" i="2"/>
  <c r="GN88" i="2"/>
  <c r="EB88" i="2"/>
  <c r="EW88" i="2"/>
  <c r="DH88" i="2"/>
  <c r="EX88" i="2"/>
  <c r="CL88" i="2"/>
  <c r="CM88" i="2"/>
  <c r="HI88" i="2"/>
  <c r="GO87" i="2"/>
  <c r="GL88" i="2"/>
  <c r="HH88" i="2"/>
  <c r="FT87" i="2"/>
  <c r="FQ88" i="2"/>
  <c r="DG88" i="2"/>
  <c r="GM88" i="2"/>
  <c r="FS88" i="2"/>
  <c r="EA88" i="2"/>
  <c r="ED87" i="2"/>
  <c r="EC88" i="2"/>
  <c r="CK88" i="2"/>
  <c r="CN87" i="2"/>
  <c r="HG88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V88" i="2"/>
  <c r="EY87" i="2"/>
  <c r="DF88" i="2"/>
  <c r="DI87" i="2"/>
  <c r="AB88" i="2"/>
  <c r="AA88" i="2"/>
  <c r="AP89" i="2"/>
  <c r="AF89" i="2"/>
  <c r="AQ89" i="2"/>
  <c r="AG89" i="2"/>
  <c r="Y89" i="2"/>
  <c r="U89" i="2"/>
  <c r="V89" i="2"/>
  <c r="A90" i="2"/>
  <c r="AW86" i="2"/>
  <c r="AV86" i="2"/>
  <c r="AX85" i="2"/>
  <c r="AU86" i="2"/>
  <c r="Z88" i="2"/>
  <c r="AC87" i="2"/>
  <c r="H127" i="2" l="1"/>
  <c r="L90" i="2"/>
  <c r="D128" i="2"/>
  <c r="G128" i="2" s="1"/>
  <c r="HI89" i="2"/>
  <c r="CL89" i="2"/>
  <c r="EB89" i="2"/>
  <c r="CM89" i="2"/>
  <c r="EX89" i="2"/>
  <c r="FR89" i="2"/>
  <c r="DH89" i="2"/>
  <c r="GN89" i="2"/>
  <c r="CN88" i="2"/>
  <c r="CK89" i="2"/>
  <c r="DG89" i="2"/>
  <c r="HG89" i="2"/>
  <c r="HJ88" i="2"/>
  <c r="EC89" i="2"/>
  <c r="GM89" i="2"/>
  <c r="FT88" i="2"/>
  <c r="FQ89" i="2"/>
  <c r="EW89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V89" i="2"/>
  <c r="EY88" i="2"/>
  <c r="EA89" i="2"/>
  <c r="ED88" i="2"/>
  <c r="GO88" i="2"/>
  <c r="GL89" i="2"/>
  <c r="DI88" i="2"/>
  <c r="DF89" i="2"/>
  <c r="FS89" i="2"/>
  <c r="HH89" i="2"/>
  <c r="AP90" i="2"/>
  <c r="AF90" i="2"/>
  <c r="AQ90" i="2"/>
  <c r="AG90" i="2"/>
  <c r="A91" i="2"/>
  <c r="Y90" i="2"/>
  <c r="V90" i="2"/>
  <c r="U90" i="2"/>
  <c r="AW87" i="2"/>
  <c r="AB89" i="2"/>
  <c r="AA89" i="2"/>
  <c r="AX86" i="2"/>
  <c r="AU87" i="2"/>
  <c r="AV87" i="2"/>
  <c r="Z89" i="2"/>
  <c r="AC88" i="2"/>
  <c r="H128" i="2" l="1"/>
  <c r="L91" i="2"/>
  <c r="D129" i="2"/>
  <c r="G129" i="2" s="1"/>
  <c r="CM90" i="2"/>
  <c r="EB90" i="2"/>
  <c r="FR90" i="2"/>
  <c r="DH90" i="2"/>
  <c r="FS90" i="2"/>
  <c r="HH90" i="2"/>
  <c r="GN90" i="2"/>
  <c r="EX90" i="2"/>
  <c r="HI90" i="2"/>
  <c r="EY89" i="2"/>
  <c r="EV90" i="2"/>
  <c r="DF90" i="2"/>
  <c r="DI89" i="2"/>
  <c r="GM90" i="2"/>
  <c r="HG90" i="2"/>
  <c r="HJ89" i="2"/>
  <c r="CL90" i="2"/>
  <c r="EA90" i="2"/>
  <c r="ED89" i="2"/>
  <c r="FT89" i="2"/>
  <c r="FQ90" i="2"/>
  <c r="DG90" i="2"/>
  <c r="CN89" i="2"/>
  <c r="CK90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GL90" i="2"/>
  <c r="EW90" i="2"/>
  <c r="EC90" i="2"/>
  <c r="AA90" i="2"/>
  <c r="AB90" i="2"/>
  <c r="AV88" i="2"/>
  <c r="AV89" i="2" s="1"/>
  <c r="AP91" i="2"/>
  <c r="AQ91" i="2"/>
  <c r="AF91" i="2"/>
  <c r="AG91" i="2"/>
  <c r="A92" i="2"/>
  <c r="Y91" i="2"/>
  <c r="V91" i="2"/>
  <c r="U91" i="2"/>
  <c r="AW88" i="2"/>
  <c r="AU88" i="2"/>
  <c r="AX87" i="2"/>
  <c r="Z90" i="2"/>
  <c r="AC89" i="2"/>
  <c r="H129" i="2" l="1"/>
  <c r="L92" i="2"/>
  <c r="FR91" i="2"/>
  <c r="D130" i="2"/>
  <c r="G130" i="2" s="1"/>
  <c r="EB91" i="2"/>
  <c r="EC91" i="2"/>
  <c r="EW91" i="2"/>
  <c r="CM91" i="2"/>
  <c r="GN91" i="2"/>
  <c r="EX91" i="2"/>
  <c r="DH91" i="2"/>
  <c r="HI91" i="2"/>
  <c r="EA91" i="2"/>
  <c r="ED90" i="2"/>
  <c r="HH91" i="2"/>
  <c r="GL91" i="2"/>
  <c r="GO90" i="2"/>
  <c r="DG91" i="2"/>
  <c r="FT90" i="2"/>
  <c r="FQ91" i="2"/>
  <c r="CL91" i="2"/>
  <c r="GM91" i="2"/>
  <c r="EY90" i="2"/>
  <c r="EV91" i="2"/>
  <c r="DF91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CK91" i="2"/>
  <c r="HG91" i="2"/>
  <c r="HJ90" i="2"/>
  <c r="FS91" i="2"/>
  <c r="AP92" i="2"/>
  <c r="AQ92" i="2"/>
  <c r="AF92" i="2"/>
  <c r="AG92" i="2"/>
  <c r="V92" i="2"/>
  <c r="A93" i="2"/>
  <c r="U92" i="2"/>
  <c r="Y92" i="2"/>
  <c r="AB91" i="2"/>
  <c r="AA91" i="2"/>
  <c r="AW89" i="2"/>
  <c r="AX88" i="2"/>
  <c r="AU89" i="2"/>
  <c r="Z91" i="2"/>
  <c r="AC90" i="2"/>
  <c r="H130" i="2" l="1"/>
  <c r="L93" i="2"/>
  <c r="FR92" i="2"/>
  <c r="D131" i="2"/>
  <c r="G131" i="2" s="1"/>
  <c r="FS92" i="2"/>
  <c r="GN92" i="2"/>
  <c r="CM92" i="2"/>
  <c r="EC92" i="2"/>
  <c r="EX92" i="2"/>
  <c r="DH92" i="2"/>
  <c r="HI92" i="2"/>
  <c r="CK92" i="2"/>
  <c r="CN91" i="2"/>
  <c r="DI91" i="2"/>
  <c r="DF92" i="2"/>
  <c r="EW92" i="2"/>
  <c r="FQ92" i="2"/>
  <c r="FT91" i="2"/>
  <c r="GL92" i="2"/>
  <c r="GO91" i="2"/>
  <c r="EB92" i="2"/>
  <c r="HG92" i="2"/>
  <c r="HJ91" i="2"/>
  <c r="GM92" i="2"/>
  <c r="CL92" i="2"/>
  <c r="ED91" i="2"/>
  <c r="EA92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EV92" i="2"/>
  <c r="DG92" i="2"/>
  <c r="HH92" i="2"/>
  <c r="AA92" i="2"/>
  <c r="AQ93" i="2"/>
  <c r="AG93" i="2"/>
  <c r="AP93" i="2"/>
  <c r="AF93" i="2"/>
  <c r="A94" i="2"/>
  <c r="Y93" i="2"/>
  <c r="U93" i="2"/>
  <c r="V93" i="2"/>
  <c r="AB92" i="2"/>
  <c r="AW90" i="2"/>
  <c r="AU90" i="2"/>
  <c r="AX89" i="2"/>
  <c r="AV90" i="2"/>
  <c r="Z92" i="2"/>
  <c r="AC91" i="2"/>
  <c r="H131" i="2" l="1"/>
  <c r="L94" i="2"/>
  <c r="D132" i="2"/>
  <c r="G132" i="2" s="1"/>
  <c r="HH93" i="2"/>
  <c r="DG93" i="2"/>
  <c r="FS93" i="2"/>
  <c r="HI93" i="2"/>
  <c r="DH93" i="2"/>
  <c r="EC93" i="2"/>
  <c r="CM93" i="2"/>
  <c r="EX93" i="2"/>
  <c r="GN93" i="2"/>
  <c r="HG93" i="2"/>
  <c r="HJ92" i="2"/>
  <c r="FR93" i="2"/>
  <c r="EY92" i="2"/>
  <c r="EV93" i="2"/>
  <c r="FT92" i="2"/>
  <c r="FQ93" i="2"/>
  <c r="CN92" i="2"/>
  <c r="CK93" i="2"/>
  <c r="EA93" i="2"/>
  <c r="ED92" i="2"/>
  <c r="CL93" i="2"/>
  <c r="EB93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M93" i="2"/>
  <c r="GO92" i="2"/>
  <c r="GL93" i="2"/>
  <c r="EW93" i="2"/>
  <c r="DI92" i="2"/>
  <c r="DF93" i="2"/>
  <c r="AB93" i="2"/>
  <c r="AP94" i="2"/>
  <c r="AF94" i="2"/>
  <c r="AQ94" i="2"/>
  <c r="AG94" i="2"/>
  <c r="V94" i="2"/>
  <c r="A95" i="2"/>
  <c r="Y94" i="2"/>
  <c r="U94" i="2"/>
  <c r="AA93" i="2"/>
  <c r="AW91" i="2"/>
  <c r="AW92" i="2" s="1"/>
  <c r="AX90" i="2"/>
  <c r="AU91" i="2"/>
  <c r="AV91" i="2"/>
  <c r="Z93" i="2"/>
  <c r="AC92" i="2"/>
  <c r="H132" i="2" l="1"/>
  <c r="L95" i="2"/>
  <c r="D133" i="2"/>
  <c r="G133" i="2" s="1"/>
  <c r="GM94" i="2"/>
  <c r="CM94" i="2"/>
  <c r="EW94" i="2"/>
  <c r="GN94" i="2"/>
  <c r="DH94" i="2"/>
  <c r="EC94" i="2"/>
  <c r="DG94" i="2"/>
  <c r="EX94" i="2"/>
  <c r="FS94" i="2"/>
  <c r="HI94" i="2"/>
  <c r="DI93" i="2"/>
  <c r="DF94" i="2"/>
  <c r="GL94" i="2"/>
  <c r="GO93" i="2"/>
  <c r="EB94" i="2"/>
  <c r="CL94" i="2"/>
  <c r="HH94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A94" i="2"/>
  <c r="ED93" i="2"/>
  <c r="FR94" i="2"/>
  <c r="HG94" i="2"/>
  <c r="HJ93" i="2"/>
  <c r="CK94" i="2"/>
  <c r="CN93" i="2"/>
  <c r="FT93" i="2"/>
  <c r="FQ94" i="2"/>
  <c r="EV94" i="2"/>
  <c r="EY93" i="2"/>
  <c r="AA94" i="2"/>
  <c r="AB94" i="2"/>
  <c r="AQ95" i="2"/>
  <c r="AG95" i="2"/>
  <c r="AP95" i="2"/>
  <c r="AF95" i="2"/>
  <c r="A96" i="2"/>
  <c r="Y95" i="2"/>
  <c r="U95" i="2"/>
  <c r="V95" i="2"/>
  <c r="AU92" i="2"/>
  <c r="AX91" i="2"/>
  <c r="AV92" i="2"/>
  <c r="AV93" i="2" s="1"/>
  <c r="Z94" i="2"/>
  <c r="AC93" i="2"/>
  <c r="H133" i="2" l="1"/>
  <c r="FR95" i="2"/>
  <c r="L96" i="2"/>
  <c r="D134" i="2"/>
  <c r="G134" i="2" s="1"/>
  <c r="CM95" i="2"/>
  <c r="DG95" i="2"/>
  <c r="EX95" i="2"/>
  <c r="FS95" i="2"/>
  <c r="GN95" i="2"/>
  <c r="EC95" i="2"/>
  <c r="HI95" i="2"/>
  <c r="FQ95" i="2"/>
  <c r="FT94" i="2"/>
  <c r="HH95" i="2"/>
  <c r="EW95" i="2"/>
  <c r="GM95" i="2"/>
  <c r="DH95" i="2"/>
  <c r="DF95" i="2"/>
  <c r="DI94" i="2"/>
  <c r="EA95" i="2"/>
  <c r="ED94" i="2"/>
  <c r="CL95" i="2"/>
  <c r="EB95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V95" i="2"/>
  <c r="EY94" i="2"/>
  <c r="CN94" i="2"/>
  <c r="CK95" i="2"/>
  <c r="HG95" i="2"/>
  <c r="HJ94" i="2"/>
  <c r="GO94" i="2"/>
  <c r="GL95" i="2"/>
  <c r="AQ96" i="2"/>
  <c r="AG96" i="2"/>
  <c r="AF96" i="2"/>
  <c r="AP96" i="2"/>
  <c r="A97" i="2"/>
  <c r="V96" i="2"/>
  <c r="Y96" i="2"/>
  <c r="U96" i="2"/>
  <c r="AA95" i="2"/>
  <c r="AB95" i="2"/>
  <c r="AW93" i="2"/>
  <c r="AX92" i="2"/>
  <c r="AU93" i="2"/>
  <c r="Z95" i="2"/>
  <c r="AC94" i="2"/>
  <c r="H134" i="2" l="1"/>
  <c r="L97" i="2"/>
  <c r="D135" i="2"/>
  <c r="G135" i="2" s="1"/>
  <c r="CM96" i="2"/>
  <c r="DG96" i="2"/>
  <c r="FS96" i="2"/>
  <c r="EC96" i="2"/>
  <c r="FR96" i="2"/>
  <c r="EX96" i="2"/>
  <c r="GN96" i="2"/>
  <c r="HI96" i="2"/>
  <c r="CN95" i="2"/>
  <c r="CK96" i="2"/>
  <c r="DF96" i="2"/>
  <c r="DI95" i="2"/>
  <c r="GM96" i="2"/>
  <c r="FT95" i="2"/>
  <c r="FQ96" i="2"/>
  <c r="CL96" i="2"/>
  <c r="EA96" i="2"/>
  <c r="ED95" i="2"/>
  <c r="HH96" i="2"/>
  <c r="GO95" i="2"/>
  <c r="GL96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G96" i="2"/>
  <c r="HJ95" i="2"/>
  <c r="EY95" i="2"/>
  <c r="EV96" i="2"/>
  <c r="EB96" i="2"/>
  <c r="DH96" i="2"/>
  <c r="EW96" i="2"/>
  <c r="AB96" i="2"/>
  <c r="AA96" i="2"/>
  <c r="AP97" i="2"/>
  <c r="AF97" i="2"/>
  <c r="AQ97" i="2"/>
  <c r="AG97" i="2"/>
  <c r="A98" i="2"/>
  <c r="Y97" i="2"/>
  <c r="V97" i="2"/>
  <c r="U97" i="2"/>
  <c r="AW94" i="2"/>
  <c r="AX93" i="2"/>
  <c r="AU94" i="2"/>
  <c r="AV94" i="2"/>
  <c r="AV95" i="2" s="1"/>
  <c r="Z96" i="2"/>
  <c r="AC95" i="2"/>
  <c r="H135" i="2" l="1"/>
  <c r="L98" i="2"/>
  <c r="EW97" i="2"/>
  <c r="D136" i="2"/>
  <c r="G136" i="2" s="1"/>
  <c r="GN97" i="2"/>
  <c r="DG97" i="2"/>
  <c r="DH97" i="2"/>
  <c r="EB97" i="2"/>
  <c r="CM97" i="2"/>
  <c r="FR97" i="2"/>
  <c r="HI97" i="2"/>
  <c r="EC97" i="2"/>
  <c r="EX97" i="2"/>
  <c r="GO96" i="2"/>
  <c r="GL97" i="2"/>
  <c r="ED96" i="2"/>
  <c r="EA97" i="2"/>
  <c r="CK97" i="2"/>
  <c r="CN96" i="2"/>
  <c r="CL97" i="2"/>
  <c r="FT96" i="2"/>
  <c r="FQ97" i="2"/>
  <c r="DI96" i="2"/>
  <c r="DF97" i="2"/>
  <c r="HG97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V97" i="2"/>
  <c r="EY96" i="2"/>
  <c r="HH97" i="2"/>
  <c r="GM97" i="2"/>
  <c r="FS97" i="2"/>
  <c r="AB97" i="2"/>
  <c r="AA97" i="2"/>
  <c r="AF98" i="2"/>
  <c r="AP98" i="2"/>
  <c r="AQ98" i="2"/>
  <c r="AG98" i="2"/>
  <c r="A99" i="2"/>
  <c r="Y98" i="2"/>
  <c r="U98" i="2"/>
  <c r="V98" i="2"/>
  <c r="AW95" i="2"/>
  <c r="AV96" i="2"/>
  <c r="AX94" i="2"/>
  <c r="AU95" i="2"/>
  <c r="Z97" i="2"/>
  <c r="AC96" i="2"/>
  <c r="H136" i="2" l="1"/>
  <c r="L99" i="2"/>
  <c r="D137" i="2"/>
  <c r="G137" i="2" s="1"/>
  <c r="CM98" i="2"/>
  <c r="FS98" i="2"/>
  <c r="HH98" i="2"/>
  <c r="EC98" i="2"/>
  <c r="DH98" i="2"/>
  <c r="FR98" i="2"/>
  <c r="EX98" i="2"/>
  <c r="HI98" i="2"/>
  <c r="GN98" i="2"/>
  <c r="GM98" i="2"/>
  <c r="EW98" i="2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B98" i="2"/>
  <c r="EA98" i="2"/>
  <c r="ED97" i="2"/>
  <c r="DG98" i="2"/>
  <c r="DF98" i="2"/>
  <c r="DI97" i="2"/>
  <c r="FQ98" i="2"/>
  <c r="FT97" i="2"/>
  <c r="CL98" i="2"/>
  <c r="CK98" i="2"/>
  <c r="CN97" i="2"/>
  <c r="HG98" i="2"/>
  <c r="HJ97" i="2"/>
  <c r="GO97" i="2"/>
  <c r="GL98" i="2"/>
  <c r="EY97" i="2"/>
  <c r="EV98" i="2"/>
  <c r="AP99" i="2"/>
  <c r="AQ99" i="2"/>
  <c r="AF99" i="2"/>
  <c r="AG99" i="2"/>
  <c r="Y99" i="2"/>
  <c r="V99" i="2"/>
  <c r="A100" i="2"/>
  <c r="U99" i="2"/>
  <c r="AA98" i="2"/>
  <c r="AB98" i="2"/>
  <c r="AW96" i="2"/>
  <c r="AX95" i="2"/>
  <c r="AU96" i="2"/>
  <c r="Z98" i="2"/>
  <c r="AC97" i="2"/>
  <c r="H137" i="2" l="1"/>
  <c r="L100" i="2"/>
  <c r="D138" i="2"/>
  <c r="G138" i="2" s="1"/>
  <c r="CM99" i="2"/>
  <c r="DG99" i="2"/>
  <c r="EW99" i="2"/>
  <c r="FR99" i="2"/>
  <c r="GM99" i="2"/>
  <c r="HH99" i="2"/>
  <c r="EC99" i="2"/>
  <c r="CL99" i="2"/>
  <c r="EB99" i="2"/>
  <c r="FS99" i="2"/>
  <c r="GN99" i="2"/>
  <c r="DH99" i="2"/>
  <c r="HI99" i="2"/>
  <c r="GO98" i="2"/>
  <c r="GL99" i="2"/>
  <c r="HG99" i="2"/>
  <c r="HJ98" i="2"/>
  <c r="FQ99" i="2"/>
  <c r="FT98" i="2"/>
  <c r="EX99" i="2"/>
  <c r="DF99" i="2"/>
  <c r="DI98" i="2"/>
  <c r="CN98" i="2"/>
  <c r="CK99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V99" i="2"/>
  <c r="EY98" i="2"/>
  <c r="EA99" i="2"/>
  <c r="ED98" i="2"/>
  <c r="AA99" i="2"/>
  <c r="AQ100" i="2"/>
  <c r="AF100" i="2"/>
  <c r="AP100" i="2"/>
  <c r="AG100" i="2"/>
  <c r="V100" i="2"/>
  <c r="U100" i="2"/>
  <c r="A101" i="2"/>
  <c r="Y100" i="2"/>
  <c r="AB99" i="2"/>
  <c r="AW97" i="2"/>
  <c r="AU97" i="2"/>
  <c r="AX96" i="2"/>
  <c r="AV97" i="2"/>
  <c r="AV98" i="2" s="1"/>
  <c r="Z99" i="2"/>
  <c r="AC98" i="2"/>
  <c r="H138" i="2" l="1"/>
  <c r="L101" i="2"/>
  <c r="D139" i="2"/>
  <c r="G139" i="2" s="1"/>
  <c r="EB100" i="2"/>
  <c r="EW100" i="2"/>
  <c r="CM100" i="2"/>
  <c r="FR100" i="2"/>
  <c r="FS100" i="2"/>
  <c r="HI100" i="2"/>
  <c r="GN100" i="2"/>
  <c r="DH100" i="2"/>
  <c r="CL100" i="2"/>
  <c r="GM100" i="2"/>
  <c r="EX100" i="2"/>
  <c r="HH100" i="2"/>
  <c r="HG100" i="2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K100" i="2"/>
  <c r="CN99" i="2"/>
  <c r="GL100" i="2"/>
  <c r="GO99" i="2"/>
  <c r="EC100" i="2"/>
  <c r="EA100" i="2"/>
  <c r="ED99" i="2"/>
  <c r="EY99" i="2"/>
  <c r="EV100" i="2"/>
  <c r="FT99" i="2"/>
  <c r="FQ100" i="2"/>
  <c r="DG100" i="2"/>
  <c r="DI99" i="2"/>
  <c r="DF100" i="2"/>
  <c r="AB100" i="2"/>
  <c r="AA100" i="2"/>
  <c r="AQ101" i="2"/>
  <c r="AG101" i="2"/>
  <c r="AF101" i="2"/>
  <c r="AP101" i="2"/>
  <c r="A102" i="2"/>
  <c r="Y101" i="2"/>
  <c r="U101" i="2"/>
  <c r="V101" i="2"/>
  <c r="AW98" i="2"/>
  <c r="AV99" i="2"/>
  <c r="AU98" i="2"/>
  <c r="AX97" i="2"/>
  <c r="Z100" i="2"/>
  <c r="AC99" i="2"/>
  <c r="H139" i="2" l="1"/>
  <c r="L102" i="2"/>
  <c r="D140" i="2"/>
  <c r="G140" i="2" s="1"/>
  <c r="EW101" i="2"/>
  <c r="EC101" i="2"/>
  <c r="FS101" i="2"/>
  <c r="CM101" i="2"/>
  <c r="DG101" i="2"/>
  <c r="GN101" i="2"/>
  <c r="DH101" i="2"/>
  <c r="HI101" i="2"/>
  <c r="EB101" i="2"/>
  <c r="FR101" i="2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EV101" i="2"/>
  <c r="CK101" i="2"/>
  <c r="CN100" i="2"/>
  <c r="DI100" i="2"/>
  <c r="DF101" i="2"/>
  <c r="FQ101" i="2"/>
  <c r="FT100" i="2"/>
  <c r="HG101" i="2"/>
  <c r="HJ100" i="2"/>
  <c r="GM101" i="2"/>
  <c r="ED100" i="2"/>
  <c r="EA101" i="2"/>
  <c r="GO100" i="2"/>
  <c r="GL101" i="2"/>
  <c r="HH101" i="2"/>
  <c r="EX101" i="2"/>
  <c r="CL101" i="2"/>
  <c r="AP102" i="2"/>
  <c r="AF102" i="2"/>
  <c r="AQ102" i="2"/>
  <c r="AG102" i="2"/>
  <c r="A103" i="2"/>
  <c r="Y102" i="2"/>
  <c r="V102" i="2"/>
  <c r="U102" i="2"/>
  <c r="AB101" i="2"/>
  <c r="AA101" i="2"/>
  <c r="AW99" i="2"/>
  <c r="AX98" i="2"/>
  <c r="AU99" i="2"/>
  <c r="Z101" i="2"/>
  <c r="AC100" i="2"/>
  <c r="H140" i="2" l="1"/>
  <c r="L103" i="2"/>
  <c r="D141" i="2"/>
  <c r="G141" i="2" s="1"/>
  <c r="EC102" i="2"/>
  <c r="CM102" i="2"/>
  <c r="EB102" i="2"/>
  <c r="DG102" i="2"/>
  <c r="DH102" i="2"/>
  <c r="FS102" i="2"/>
  <c r="HH102" i="2"/>
  <c r="AA102" i="2"/>
  <c r="HI102" i="2"/>
  <c r="GN102" i="2"/>
  <c r="GM102" i="2"/>
  <c r="FR102" i="2"/>
  <c r="CL102" i="2"/>
  <c r="EX102" i="2"/>
  <c r="EW102" i="2"/>
  <c r="FT101" i="2"/>
  <c r="FQ102" i="2"/>
  <c r="CK102" i="2"/>
  <c r="CN101" i="2"/>
  <c r="GO101" i="2"/>
  <c r="GL102" i="2"/>
  <c r="HG102" i="2"/>
  <c r="HJ101" i="2"/>
  <c r="EV102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DF102" i="2"/>
  <c r="ED101" i="2"/>
  <c r="EA102" i="2"/>
  <c r="AQ103" i="2"/>
  <c r="AG103" i="2"/>
  <c r="AP103" i="2"/>
  <c r="AF103" i="2"/>
  <c r="U103" i="2"/>
  <c r="V103" i="2"/>
  <c r="Y103" i="2"/>
  <c r="A104" i="2"/>
  <c r="AB102" i="2"/>
  <c r="AV100" i="2"/>
  <c r="AU100" i="2"/>
  <c r="AX99" i="2"/>
  <c r="AW100" i="2"/>
  <c r="Z102" i="2"/>
  <c r="AC101" i="2"/>
  <c r="H141" i="2" l="1"/>
  <c r="L104" i="2"/>
  <c r="D142" i="2"/>
  <c r="G142" i="2" s="1"/>
  <c r="HH103" i="2"/>
  <c r="EW103" i="2"/>
  <c r="EC103" i="2"/>
  <c r="CL103" i="2"/>
  <c r="DH103" i="2"/>
  <c r="GM103" i="2"/>
  <c r="CM103" i="2"/>
  <c r="AA103" i="2"/>
  <c r="EB103" i="2"/>
  <c r="FS103" i="2"/>
  <c r="DG103" i="2"/>
  <c r="GO102" i="2"/>
  <c r="GL103" i="2"/>
  <c r="FT102" i="2"/>
  <c r="FQ103" i="2"/>
  <c r="HI103" i="2"/>
  <c r="FR103" i="2"/>
  <c r="CN102" i="2"/>
  <c r="CK103" i="2"/>
  <c r="ED102" i="2"/>
  <c r="EA103" i="2"/>
  <c r="HG103" i="2"/>
  <c r="HJ102" i="2"/>
  <c r="EX103" i="2"/>
  <c r="GN103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DF103" i="2"/>
  <c r="EV103" i="2"/>
  <c r="EY102" i="2"/>
  <c r="AB103" i="2"/>
  <c r="AV101" i="2"/>
  <c r="AV102" i="2" s="1"/>
  <c r="AQ104" i="2"/>
  <c r="AG104" i="2"/>
  <c r="AP104" i="2"/>
  <c r="AF104" i="2"/>
  <c r="V104" i="2"/>
  <c r="A105" i="2"/>
  <c r="U104" i="2"/>
  <c r="Y104" i="2"/>
  <c r="AX100" i="2"/>
  <c r="AU101" i="2"/>
  <c r="AW101" i="2"/>
  <c r="Z103" i="2"/>
  <c r="AC102" i="2"/>
  <c r="H142" i="2" l="1"/>
  <c r="L105" i="2"/>
  <c r="D143" i="2"/>
  <c r="G143" i="2" s="1"/>
  <c r="EB104" i="2"/>
  <c r="DH104" i="2"/>
  <c r="EW104" i="2"/>
  <c r="FS104" i="2"/>
  <c r="GM104" i="2"/>
  <c r="CM104" i="2"/>
  <c r="HH104" i="2"/>
  <c r="DF104" i="2"/>
  <c r="DI103" i="2"/>
  <c r="EX104" i="2"/>
  <c r="HG104" i="2"/>
  <c r="HJ103" i="2"/>
  <c r="CN103" i="2"/>
  <c r="CK104" i="2"/>
  <c r="EC104" i="2"/>
  <c r="DG104" i="2"/>
  <c r="FR104" i="2"/>
  <c r="ED103" i="2"/>
  <c r="EA104" i="2"/>
  <c r="HI104" i="2"/>
  <c r="GL104" i="2"/>
  <c r="GO103" i="2"/>
  <c r="EY103" i="2"/>
  <c r="EV104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GN104" i="2"/>
  <c r="FQ104" i="2"/>
  <c r="FT103" i="2"/>
  <c r="CL104" i="2"/>
  <c r="AB104" i="2"/>
  <c r="AP105" i="2"/>
  <c r="AF105" i="2"/>
  <c r="AQ105" i="2"/>
  <c r="AG105" i="2"/>
  <c r="Y105" i="2"/>
  <c r="A106" i="2"/>
  <c r="U105" i="2"/>
  <c r="V105" i="2"/>
  <c r="AA104" i="2"/>
  <c r="AV103" i="2"/>
  <c r="AX101" i="2"/>
  <c r="AU102" i="2"/>
  <c r="AW102" i="2"/>
  <c r="Z104" i="2"/>
  <c r="AC103" i="2"/>
  <c r="H143" i="2" l="1"/>
  <c r="L106" i="2"/>
  <c r="D144" i="2"/>
  <c r="G144" i="2" s="1"/>
  <c r="GN105" i="2"/>
  <c r="EW105" i="2"/>
  <c r="EB105" i="2"/>
  <c r="CM105" i="2"/>
  <c r="DH105" i="2"/>
  <c r="HH105" i="2"/>
  <c r="GM105" i="2"/>
  <c r="FS105" i="2"/>
  <c r="CL105" i="2"/>
  <c r="ED104" i="2"/>
  <c r="EA105" i="2"/>
  <c r="DG105" i="2"/>
  <c r="EC105" i="2"/>
  <c r="FQ105" i="2"/>
  <c r="FT104" i="2"/>
  <c r="HG105" i="2"/>
  <c r="HJ104" i="2"/>
  <c r="DI104" i="2"/>
  <c r="DF105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EV105" i="2"/>
  <c r="GO104" i="2"/>
  <c r="GL105" i="2"/>
  <c r="HI105" i="2"/>
  <c r="FR105" i="2"/>
  <c r="CK105" i="2"/>
  <c r="CN104" i="2"/>
  <c r="EX105" i="2"/>
  <c r="AA105" i="2"/>
  <c r="AB105" i="2"/>
  <c r="AP106" i="2"/>
  <c r="AF106" i="2"/>
  <c r="AQ106" i="2"/>
  <c r="AG106" i="2"/>
  <c r="A107" i="2"/>
  <c r="Y106" i="2"/>
  <c r="U106" i="2"/>
  <c r="V106" i="2"/>
  <c r="AW103" i="2"/>
  <c r="AU103" i="2"/>
  <c r="AX102" i="2"/>
  <c r="AV104" i="2"/>
  <c r="Z105" i="2"/>
  <c r="AC104" i="2"/>
  <c r="H144" i="2" l="1"/>
  <c r="FR106" i="2"/>
  <c r="DH106" i="2"/>
  <c r="L107" i="2"/>
  <c r="D145" i="2"/>
  <c r="G145" i="2" s="1"/>
  <c r="EX106" i="2"/>
  <c r="GN106" i="2"/>
  <c r="HH106" i="2"/>
  <c r="CM106" i="2"/>
  <c r="HI106" i="2"/>
  <c r="EW106" i="2"/>
  <c r="EB106" i="2"/>
  <c r="FS106" i="2"/>
  <c r="GM106" i="2"/>
  <c r="HG106" i="2"/>
  <c r="HJ105" i="2"/>
  <c r="CL106" i="2"/>
  <c r="GL106" i="2"/>
  <c r="GO105" i="2"/>
  <c r="DI105" i="2"/>
  <c r="DF106" i="2"/>
  <c r="EA106" i="2"/>
  <c r="ED105" i="2"/>
  <c r="EC106" i="2"/>
  <c r="DG106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CK106" i="2"/>
  <c r="EV106" i="2"/>
  <c r="EY105" i="2"/>
  <c r="FT105" i="2"/>
  <c r="FQ106" i="2"/>
  <c r="AP107" i="2"/>
  <c r="AG107" i="2"/>
  <c r="AQ107" i="2"/>
  <c r="AF107" i="2"/>
  <c r="V107" i="2"/>
  <c r="U107" i="2"/>
  <c r="A108" i="2"/>
  <c r="Y107" i="2"/>
  <c r="AB106" i="2"/>
  <c r="AA106" i="2"/>
  <c r="AV105" i="2"/>
  <c r="AU104" i="2"/>
  <c r="AX103" i="2"/>
  <c r="AW104" i="2"/>
  <c r="AW105" i="2" s="1"/>
  <c r="Z106" i="2"/>
  <c r="AC105" i="2"/>
  <c r="H145" i="2" l="1"/>
  <c r="L108" i="2"/>
  <c r="D146" i="2"/>
  <c r="G146" i="2" s="1"/>
  <c r="CM107" i="2"/>
  <c r="EB107" i="2"/>
  <c r="GN107" i="2"/>
  <c r="EW107" i="2"/>
  <c r="HI107" i="2"/>
  <c r="DH107" i="2"/>
  <c r="FS107" i="2"/>
  <c r="EY106" i="2"/>
  <c r="EV107" i="2"/>
  <c r="EC107" i="2"/>
  <c r="FR107" i="2"/>
  <c r="GM107" i="2"/>
  <c r="CK107" i="2"/>
  <c r="CN106" i="2"/>
  <c r="EX107" i="2"/>
  <c r="HG107" i="2"/>
  <c r="HJ106" i="2"/>
  <c r="FQ107" i="2"/>
  <c r="FT106" i="2"/>
  <c r="EA107" i="2"/>
  <c r="ED106" i="2"/>
  <c r="DI106" i="2"/>
  <c r="DF107" i="2"/>
  <c r="GL107" i="2"/>
  <c r="GO106" i="2"/>
  <c r="CL107" i="2"/>
  <c r="HH107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DG107" i="2"/>
  <c r="AA107" i="2"/>
  <c r="AB107" i="2"/>
  <c r="AF108" i="2"/>
  <c r="AP108" i="2"/>
  <c r="AG108" i="2"/>
  <c r="AQ108" i="2"/>
  <c r="Y108" i="2"/>
  <c r="U108" i="2"/>
  <c r="V108" i="2"/>
  <c r="A109" i="2"/>
  <c r="AX104" i="2"/>
  <c r="AU105" i="2"/>
  <c r="Z107" i="2"/>
  <c r="AC106" i="2"/>
  <c r="H146" i="2" l="1"/>
  <c r="L109" i="2"/>
  <c r="D147" i="2"/>
  <c r="G147" i="2" s="1"/>
  <c r="CM108" i="2"/>
  <c r="FS108" i="2"/>
  <c r="HI108" i="2"/>
  <c r="DG108" i="2"/>
  <c r="GN108" i="2"/>
  <c r="EB108" i="2"/>
  <c r="DH108" i="2"/>
  <c r="EW108" i="2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CL108" i="2"/>
  <c r="FQ108" i="2"/>
  <c r="FT107" i="2"/>
  <c r="HG108" i="2"/>
  <c r="HJ107" i="2"/>
  <c r="CK108" i="2"/>
  <c r="CN107" i="2"/>
  <c r="EC108" i="2"/>
  <c r="HH108" i="2"/>
  <c r="DF108" i="2"/>
  <c r="DI107" i="2"/>
  <c r="EX108" i="2"/>
  <c r="GM108" i="2"/>
  <c r="FR108" i="2"/>
  <c r="EY107" i="2"/>
  <c r="EV108" i="2"/>
  <c r="GL108" i="2"/>
  <c r="GO107" i="2"/>
  <c r="ED107" i="2"/>
  <c r="EA108" i="2"/>
  <c r="AQ109" i="2"/>
  <c r="AG109" i="2"/>
  <c r="AF109" i="2"/>
  <c r="AP109" i="2"/>
  <c r="Y109" i="2"/>
  <c r="U109" i="2"/>
  <c r="V109" i="2"/>
  <c r="A110" i="2"/>
  <c r="AB108" i="2"/>
  <c r="AA108" i="2"/>
  <c r="AV106" i="2"/>
  <c r="AU106" i="2"/>
  <c r="AX105" i="2"/>
  <c r="AW106" i="2"/>
  <c r="Z108" i="2"/>
  <c r="AC107" i="2"/>
  <c r="H147" i="2" l="1"/>
  <c r="L110" i="2"/>
  <c r="EX109" i="2"/>
  <c r="D148" i="2"/>
  <c r="G148" i="2" s="1"/>
  <c r="CM109" i="2"/>
  <c r="FR109" i="2"/>
  <c r="DG109" i="2"/>
  <c r="EC109" i="2"/>
  <c r="EW109" i="2"/>
  <c r="GN109" i="2"/>
  <c r="HI109" i="2"/>
  <c r="FS109" i="2"/>
  <c r="GM109" i="2"/>
  <c r="HH109" i="2"/>
  <c r="CL109" i="2"/>
  <c r="EB109" i="2"/>
  <c r="DH109" i="2"/>
  <c r="GO108" i="2"/>
  <c r="GL109" i="2"/>
  <c r="FT108" i="2"/>
  <c r="FQ109" i="2"/>
  <c r="ED108" i="2"/>
  <c r="EA109" i="2"/>
  <c r="EY108" i="2"/>
  <c r="EV109" i="2"/>
  <c r="HG109" i="2"/>
  <c r="HJ108" i="2"/>
  <c r="DF109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CK109" i="2"/>
  <c r="AB109" i="2"/>
  <c r="AA109" i="2"/>
  <c r="AW107" i="2"/>
  <c r="AW108" i="2" s="1"/>
  <c r="AP110" i="2"/>
  <c r="AF110" i="2"/>
  <c r="AG110" i="2"/>
  <c r="AQ110" i="2"/>
  <c r="U110" i="2"/>
  <c r="A111" i="2"/>
  <c r="Y110" i="2"/>
  <c r="V110" i="2"/>
  <c r="AV107" i="2"/>
  <c r="AX106" i="2"/>
  <c r="AU107" i="2"/>
  <c r="Z109" i="2"/>
  <c r="AC108" i="2"/>
  <c r="H148" i="2" l="1"/>
  <c r="L111" i="2"/>
  <c r="D149" i="2"/>
  <c r="G149" i="2" s="1"/>
  <c r="EB110" i="2"/>
  <c r="FR110" i="2"/>
  <c r="GM110" i="2"/>
  <c r="CM110" i="2"/>
  <c r="EC110" i="2"/>
  <c r="GN110" i="2"/>
  <c r="EX110" i="2"/>
  <c r="FS110" i="2"/>
  <c r="DH110" i="2"/>
  <c r="HI110" i="2"/>
  <c r="CL110" i="2"/>
  <c r="CN109" i="2"/>
  <c r="CK110" i="2"/>
  <c r="DG110" i="2"/>
  <c r="EY109" i="2"/>
  <c r="EV110" i="2"/>
  <c r="GO109" i="2"/>
  <c r="GL110" i="2"/>
  <c r="EW110" i="2"/>
  <c r="HH110" i="2"/>
  <c r="HG110" i="2"/>
  <c r="HJ109" i="2"/>
  <c r="ED109" i="2"/>
  <c r="EA110" i="2"/>
  <c r="FT109" i="2"/>
  <c r="FQ110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DF110" i="2"/>
  <c r="AQ111" i="2"/>
  <c r="AF111" i="2"/>
  <c r="AP111" i="2"/>
  <c r="AG111" i="2"/>
  <c r="U111" i="2"/>
  <c r="V111" i="2"/>
  <c r="A112" i="2"/>
  <c r="Y111" i="2"/>
  <c r="AB110" i="2"/>
  <c r="AA110" i="2"/>
  <c r="AV108" i="2"/>
  <c r="AX107" i="2"/>
  <c r="AU108" i="2"/>
  <c r="Z110" i="2"/>
  <c r="AC109" i="2"/>
  <c r="H149" i="2" l="1"/>
  <c r="L112" i="2"/>
  <c r="D150" i="2"/>
  <c r="G150" i="2" s="1"/>
  <c r="FR111" i="2"/>
  <c r="EX111" i="2"/>
  <c r="HI111" i="2"/>
  <c r="CL111" i="2"/>
  <c r="EC111" i="2"/>
  <c r="GN111" i="2"/>
  <c r="FS111" i="2"/>
  <c r="DH111" i="2"/>
  <c r="CM111" i="2"/>
  <c r="ED110" i="2"/>
  <c r="EA111" i="2"/>
  <c r="HG111" i="2"/>
  <c r="HJ110" i="2"/>
  <c r="EW111" i="2"/>
  <c r="EY110" i="2"/>
  <c r="EV111" i="2"/>
  <c r="GM111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HH111" i="2"/>
  <c r="GO110" i="2"/>
  <c r="GL111" i="2"/>
  <c r="CN110" i="2"/>
  <c r="CK111" i="2"/>
  <c r="EB111" i="2"/>
  <c r="DI110" i="2"/>
  <c r="DF111" i="2"/>
  <c r="FT110" i="2"/>
  <c r="FQ111" i="2"/>
  <c r="DG111" i="2"/>
  <c r="AA111" i="2"/>
  <c r="AQ112" i="2"/>
  <c r="AG112" i="2"/>
  <c r="AF112" i="2"/>
  <c r="AP112" i="2"/>
  <c r="Y112" i="2"/>
  <c r="U112" i="2"/>
  <c r="V112" i="2"/>
  <c r="A113" i="2"/>
  <c r="AB111" i="2"/>
  <c r="AV109" i="2"/>
  <c r="AX108" i="2"/>
  <c r="AU109" i="2"/>
  <c r="AW109" i="2"/>
  <c r="Z111" i="2"/>
  <c r="AC110" i="2"/>
  <c r="H150" i="2" l="1"/>
  <c r="L113" i="2"/>
  <c r="D151" i="2"/>
  <c r="G151" i="2" s="1"/>
  <c r="FR112" i="2"/>
  <c r="FS112" i="2"/>
  <c r="DG112" i="2"/>
  <c r="CL112" i="2"/>
  <c r="EB112" i="2"/>
  <c r="HH112" i="2"/>
  <c r="DH112" i="2"/>
  <c r="EX112" i="2"/>
  <c r="GN112" i="2"/>
  <c r="EC112" i="2"/>
  <c r="HI112" i="2"/>
  <c r="DF112" i="2"/>
  <c r="DI111" i="2"/>
  <c r="GL112" i="2"/>
  <c r="GO111" i="2"/>
  <c r="CM112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Q112" i="2"/>
  <c r="FT111" i="2"/>
  <c r="GM112" i="2"/>
  <c r="EY111" i="2"/>
  <c r="EV112" i="2"/>
  <c r="HG112" i="2"/>
  <c r="HJ111" i="2"/>
  <c r="ED111" i="2"/>
  <c r="EA112" i="2"/>
  <c r="CN111" i="2"/>
  <c r="CK112" i="2"/>
  <c r="EW112" i="2"/>
  <c r="AA112" i="2"/>
  <c r="AB112" i="2"/>
  <c r="AP113" i="2"/>
  <c r="AF113" i="2"/>
  <c r="AQ113" i="2"/>
  <c r="AG113" i="2"/>
  <c r="V113" i="2"/>
  <c r="A114" i="2"/>
  <c r="Y113" i="2"/>
  <c r="U113" i="2"/>
  <c r="AV110" i="2"/>
  <c r="AX109" i="2"/>
  <c r="AU110" i="2"/>
  <c r="AW110" i="2"/>
  <c r="Z112" i="2"/>
  <c r="AC111" i="2"/>
  <c r="H151" i="2" l="1"/>
  <c r="L114" i="2"/>
  <c r="D152" i="2"/>
  <c r="G152" i="2" s="1"/>
  <c r="FR113" i="2"/>
  <c r="EX113" i="2"/>
  <c r="EB113" i="2"/>
  <c r="CL113" i="2"/>
  <c r="GN113" i="2"/>
  <c r="EW113" i="2"/>
  <c r="FS113" i="2"/>
  <c r="GM113" i="2"/>
  <c r="HI113" i="2"/>
  <c r="EC113" i="2"/>
  <c r="DH113" i="2"/>
  <c r="FT112" i="2"/>
  <c r="FQ113" i="2"/>
  <c r="DI112" i="2"/>
  <c r="DF113" i="2"/>
  <c r="HG113" i="2"/>
  <c r="HJ112" i="2"/>
  <c r="HH113" i="2"/>
  <c r="ED112" i="2"/>
  <c r="EA113" i="2"/>
  <c r="EY112" i="2"/>
  <c r="EV113" i="2"/>
  <c r="DG113" i="2"/>
  <c r="GO112" i="2"/>
  <c r="GL113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CK113" i="2"/>
  <c r="CM113" i="2"/>
  <c r="AA113" i="2"/>
  <c r="AW111" i="2"/>
  <c r="AB113" i="2"/>
  <c r="AF114" i="2"/>
  <c r="AP114" i="2"/>
  <c r="AQ114" i="2"/>
  <c r="AG114" i="2"/>
  <c r="V114" i="2"/>
  <c r="A115" i="2"/>
  <c r="Y114" i="2"/>
  <c r="U114" i="2"/>
  <c r="AV111" i="2"/>
  <c r="AX110" i="2"/>
  <c r="AU111" i="2"/>
  <c r="Z113" i="2"/>
  <c r="AC112" i="2"/>
  <c r="H152" i="2" l="1"/>
  <c r="D154" i="2"/>
  <c r="G154" i="2" s="1"/>
  <c r="L115" i="2"/>
  <c r="D153" i="2"/>
  <c r="G153" i="2" s="1"/>
  <c r="DH114" i="2"/>
  <c r="GN114" i="2"/>
  <c r="CL114" i="2"/>
  <c r="HI114" i="2"/>
  <c r="EB114" i="2"/>
  <c r="CM114" i="2"/>
  <c r="EC114" i="2"/>
  <c r="EW114" i="2"/>
  <c r="FS114" i="2"/>
  <c r="CN113" i="2"/>
  <c r="CK114" i="2"/>
  <c r="DG114" i="2"/>
  <c r="EV114" i="2"/>
  <c r="EY113" i="2"/>
  <c r="HG114" i="2"/>
  <c r="HJ113" i="2"/>
  <c r="GO113" i="2"/>
  <c r="GL114" i="2"/>
  <c r="HH114" i="2"/>
  <c r="FQ114" i="2"/>
  <c r="FT113" i="2"/>
  <c r="EX114" i="2"/>
  <c r="FR114" i="2"/>
  <c r="ED113" i="2"/>
  <c r="EA114" i="2"/>
  <c r="DF114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GM114" i="2"/>
  <c r="AA114" i="2"/>
  <c r="AB114" i="2"/>
  <c r="AP115" i="2"/>
  <c r="AF115" i="2"/>
  <c r="AG115" i="2"/>
  <c r="AQ115" i="2"/>
  <c r="A116" i="2"/>
  <c r="Y115" i="2"/>
  <c r="V115" i="2"/>
  <c r="U115" i="2"/>
  <c r="AV112" i="2"/>
  <c r="AU112" i="2"/>
  <c r="AX111" i="2"/>
  <c r="AW112" i="2"/>
  <c r="AW113" i="2" s="1"/>
  <c r="Z114" i="2"/>
  <c r="AC113" i="2"/>
  <c r="H154" i="2" l="1"/>
  <c r="D155" i="2"/>
  <c r="G155" i="2" s="1"/>
  <c r="H153" i="2"/>
  <c r="L116" i="2"/>
  <c r="EB115" i="2"/>
  <c r="CL115" i="2"/>
  <c r="EW115" i="2"/>
  <c r="GN115" i="2"/>
  <c r="FS115" i="2"/>
  <c r="HI115" i="2"/>
  <c r="GM115" i="2"/>
  <c r="DH115" i="2"/>
  <c r="FQ115" i="2"/>
  <c r="FT114" i="2"/>
  <c r="GO114" i="2"/>
  <c r="GL115" i="2"/>
  <c r="HG115" i="2"/>
  <c r="HJ114" i="2"/>
  <c r="CN114" i="2"/>
  <c r="CK115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DF115" i="2"/>
  <c r="FR115" i="2"/>
  <c r="CM115" i="2"/>
  <c r="DG115" i="2"/>
  <c r="EX115" i="2"/>
  <c r="HH115" i="2"/>
  <c r="EC115" i="2"/>
  <c r="EA115" i="2"/>
  <c r="ED114" i="2"/>
  <c r="EY114" i="2"/>
  <c r="EV115" i="2"/>
  <c r="AB115" i="2"/>
  <c r="AQ116" i="2"/>
  <c r="AG116" i="2"/>
  <c r="AP116" i="2"/>
  <c r="AF116" i="2"/>
  <c r="U116" i="2"/>
  <c r="V116" i="2"/>
  <c r="A117" i="2"/>
  <c r="Y116" i="2"/>
  <c r="AA115" i="2"/>
  <c r="AV113" i="2"/>
  <c r="AX112" i="2"/>
  <c r="AU113" i="2"/>
  <c r="Z115" i="2"/>
  <c r="AC114" i="2"/>
  <c r="H155" i="2" l="1"/>
  <c r="D156" i="2"/>
  <c r="G156" i="2" s="1"/>
  <c r="L117" i="2"/>
  <c r="CM116" i="2"/>
  <c r="EC116" i="2"/>
  <c r="EX116" i="2"/>
  <c r="EB116" i="2"/>
  <c r="EW116" i="2"/>
  <c r="DG116" i="2"/>
  <c r="CL116" i="2"/>
  <c r="HH116" i="2"/>
  <c r="FS116" i="2"/>
  <c r="FR116" i="2"/>
  <c r="DH116" i="2"/>
  <c r="GM116" i="2"/>
  <c r="HI116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A116" i="2"/>
  <c r="ED115" i="2"/>
  <c r="DI115" i="2"/>
  <c r="DF116" i="2"/>
  <c r="EY115" i="2"/>
  <c r="EV116" i="2"/>
  <c r="HG116" i="2"/>
  <c r="HJ115" i="2"/>
  <c r="GL116" i="2"/>
  <c r="GO115" i="2"/>
  <c r="FT115" i="2"/>
  <c r="FQ116" i="2"/>
  <c r="GN116" i="2"/>
  <c r="CK116" i="2"/>
  <c r="CN115" i="2"/>
  <c r="AB116" i="2"/>
  <c r="AA116" i="2"/>
  <c r="AQ117" i="2"/>
  <c r="AG117" i="2"/>
  <c r="AP117" i="2"/>
  <c r="AF117" i="2"/>
  <c r="A118" i="2"/>
  <c r="Y117" i="2"/>
  <c r="U117" i="2"/>
  <c r="V117" i="2"/>
  <c r="AV114" i="2"/>
  <c r="AX113" i="2"/>
  <c r="AU114" i="2"/>
  <c r="AW114" i="2"/>
  <c r="Z116" i="2"/>
  <c r="AC115" i="2"/>
  <c r="H156" i="2" l="1"/>
  <c r="D157" i="2"/>
  <c r="G157" i="2" s="1"/>
  <c r="L118" i="2"/>
  <c r="EX117" i="2"/>
  <c r="EB117" i="2"/>
  <c r="FR117" i="2"/>
  <c r="CL117" i="2"/>
  <c r="GN117" i="2"/>
  <c r="DG117" i="2"/>
  <c r="EC117" i="2"/>
  <c r="CM117" i="2"/>
  <c r="GM117" i="2"/>
  <c r="EW117" i="2"/>
  <c r="DH117" i="2"/>
  <c r="HI117" i="2"/>
  <c r="HH117" i="2"/>
  <c r="FQ117" i="2"/>
  <c r="FT116" i="2"/>
  <c r="EV117" i="2"/>
  <c r="EY116" i="2"/>
  <c r="EA117" i="2"/>
  <c r="ED116" i="2"/>
  <c r="FS117" i="2"/>
  <c r="HG117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CK117" i="2"/>
  <c r="GO116" i="2"/>
  <c r="GL117" i="2"/>
  <c r="DF117" i="2"/>
  <c r="DI116" i="2"/>
  <c r="AB117" i="2"/>
  <c r="AP118" i="2"/>
  <c r="AF118" i="2"/>
  <c r="AQ118" i="2"/>
  <c r="AG118" i="2"/>
  <c r="V118" i="2"/>
  <c r="A119" i="2"/>
  <c r="Y118" i="2"/>
  <c r="U118" i="2"/>
  <c r="AA117" i="2"/>
  <c r="AW115" i="2"/>
  <c r="AW116" i="2" s="1"/>
  <c r="AV115" i="2"/>
  <c r="AX114" i="2"/>
  <c r="AU115" i="2"/>
  <c r="Z117" i="2"/>
  <c r="AC116" i="2"/>
  <c r="H157" i="2" l="1"/>
  <c r="D158" i="2"/>
  <c r="G158" i="2" s="1"/>
  <c r="L119" i="2"/>
  <c r="CL118" i="2"/>
  <c r="GM118" i="2"/>
  <c r="DH118" i="2"/>
  <c r="EB118" i="2"/>
  <c r="FR118" i="2"/>
  <c r="HH118" i="2"/>
  <c r="GN118" i="2"/>
  <c r="EX118" i="2"/>
  <c r="EW118" i="2"/>
  <c r="EC118" i="2"/>
  <c r="DI117" i="2"/>
  <c r="DF118" i="2"/>
  <c r="GO117" i="2"/>
  <c r="GL118" i="2"/>
  <c r="DG118" i="2"/>
  <c r="EV118" i="2"/>
  <c r="EY117" i="2"/>
  <c r="HI118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EA118" i="2"/>
  <c r="FT117" i="2"/>
  <c r="FQ118" i="2"/>
  <c r="CK118" i="2"/>
  <c r="CN117" i="2"/>
  <c r="HG118" i="2"/>
  <c r="HJ117" i="2"/>
  <c r="FS118" i="2"/>
  <c r="CM118" i="2"/>
  <c r="AB118" i="2"/>
  <c r="AA118" i="2"/>
  <c r="AQ119" i="2"/>
  <c r="AP119" i="2"/>
  <c r="AG119" i="2"/>
  <c r="AF119" i="2"/>
  <c r="V119" i="2"/>
  <c r="Y119" i="2"/>
  <c r="U119" i="2"/>
  <c r="A120" i="2"/>
  <c r="AV116" i="2"/>
  <c r="AW117" i="2"/>
  <c r="AU116" i="2"/>
  <c r="AX115" i="2"/>
  <c r="Z118" i="2"/>
  <c r="AC117" i="2"/>
  <c r="H158" i="2" l="1"/>
  <c r="D159" i="2"/>
  <c r="G159" i="2" s="1"/>
  <c r="L120" i="2"/>
  <c r="FS119" i="2"/>
  <c r="CL119" i="2"/>
  <c r="EB119" i="2"/>
  <c r="FR119" i="2"/>
  <c r="CM119" i="2"/>
  <c r="EX119" i="2"/>
  <c r="DH119" i="2"/>
  <c r="GM119" i="2"/>
  <c r="HH119" i="2"/>
  <c r="GN119" i="2"/>
  <c r="EY118" i="2"/>
  <c r="EV119" i="2"/>
  <c r="EC119" i="2"/>
  <c r="EA119" i="2"/>
  <c r="ED118" i="2"/>
  <c r="DG119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G119" i="2"/>
  <c r="HJ118" i="2"/>
  <c r="HI119" i="2"/>
  <c r="DF119" i="2"/>
  <c r="DI118" i="2"/>
  <c r="CK119" i="2"/>
  <c r="CN118" i="2"/>
  <c r="FT118" i="2"/>
  <c r="FQ119" i="2"/>
  <c r="GO118" i="2"/>
  <c r="GL119" i="2"/>
  <c r="EW119" i="2"/>
  <c r="AA119" i="2"/>
  <c r="AQ120" i="2"/>
  <c r="AG120" i="2"/>
  <c r="AP120" i="2"/>
  <c r="AF120" i="2"/>
  <c r="A121" i="2"/>
  <c r="Y120" i="2"/>
  <c r="U120" i="2"/>
  <c r="V120" i="2"/>
  <c r="AB119" i="2"/>
  <c r="AV117" i="2"/>
  <c r="AX116" i="2"/>
  <c r="AU117" i="2"/>
  <c r="Z119" i="2"/>
  <c r="AC118" i="2"/>
  <c r="H159" i="2" l="1"/>
  <c r="D160" i="2"/>
  <c r="G160" i="2" s="1"/>
  <c r="L121" i="2"/>
  <c r="EB120" i="2"/>
  <c r="CL120" i="2"/>
  <c r="HH120" i="2"/>
  <c r="HI120" i="2"/>
  <c r="EW120" i="2"/>
  <c r="DH120" i="2"/>
  <c r="FS120" i="2"/>
  <c r="EX120" i="2"/>
  <c r="CM120" i="2"/>
  <c r="GM120" i="2"/>
  <c r="DI119" i="2"/>
  <c r="DF120" i="2"/>
  <c r="HG120" i="2"/>
  <c r="HJ119" i="2"/>
  <c r="DG120" i="2"/>
  <c r="GN120" i="2"/>
  <c r="FR120" i="2"/>
  <c r="GO119" i="2"/>
  <c r="GL120" i="2"/>
  <c r="CN119" i="2"/>
  <c r="CK120" i="2"/>
  <c r="ED119" i="2"/>
  <c r="EA120" i="2"/>
  <c r="EC120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FQ120" i="2"/>
  <c r="EV120" i="2"/>
  <c r="EY119" i="2"/>
  <c r="AA120" i="2"/>
  <c r="AB120" i="2"/>
  <c r="AP121" i="2"/>
  <c r="AF121" i="2"/>
  <c r="AQ121" i="2"/>
  <c r="AG121" i="2"/>
  <c r="V121" i="2"/>
  <c r="Y121" i="2"/>
  <c r="U121" i="2"/>
  <c r="A122" i="2"/>
  <c r="AW118" i="2"/>
  <c r="AW119" i="2" s="1"/>
  <c r="AV118" i="2"/>
  <c r="AX117" i="2"/>
  <c r="AU118" i="2"/>
  <c r="Z120" i="2"/>
  <c r="AC119" i="2"/>
  <c r="H160" i="2" l="1"/>
  <c r="D161" i="2"/>
  <c r="G161" i="2" s="1"/>
  <c r="L122" i="2"/>
  <c r="CL121" i="2"/>
  <c r="CM121" i="2"/>
  <c r="EX121" i="2"/>
  <c r="GM121" i="2"/>
  <c r="DH121" i="2"/>
  <c r="HH121" i="2"/>
  <c r="EB121" i="2"/>
  <c r="FS121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EV121" i="2"/>
  <c r="EW121" i="2"/>
  <c r="HG121" i="2"/>
  <c r="HJ120" i="2"/>
  <c r="EC121" i="2"/>
  <c r="CK121" i="2"/>
  <c r="CN120" i="2"/>
  <c r="FR121" i="2"/>
  <c r="DI120" i="2"/>
  <c r="DF121" i="2"/>
  <c r="FQ121" i="2"/>
  <c r="FT120" i="2"/>
  <c r="EA121" i="2"/>
  <c r="ED120" i="2"/>
  <c r="GN121" i="2"/>
  <c r="DG121" i="2"/>
  <c r="HI121" i="2"/>
  <c r="GL121" i="2"/>
  <c r="GO120" i="2"/>
  <c r="AB121" i="2"/>
  <c r="AA121" i="2"/>
  <c r="AP122" i="2"/>
  <c r="AF122" i="2"/>
  <c r="AQ122" i="2"/>
  <c r="AG122" i="2"/>
  <c r="U122" i="2"/>
  <c r="V122" i="2"/>
  <c r="A123" i="2"/>
  <c r="Y122" i="2"/>
  <c r="AU119" i="2"/>
  <c r="AX118" i="2"/>
  <c r="AW120" i="2"/>
  <c r="AV119" i="2"/>
  <c r="AV120" i="2" s="1"/>
  <c r="Z121" i="2"/>
  <c r="AC120" i="2"/>
  <c r="H161" i="2" l="1"/>
  <c r="D162" i="2"/>
  <c r="G162" i="2" s="1"/>
  <c r="L123" i="2"/>
  <c r="FR122" i="2"/>
  <c r="CL122" i="2"/>
  <c r="DH122" i="2"/>
  <c r="CM122" i="2"/>
  <c r="HI122" i="2"/>
  <c r="EC122" i="2"/>
  <c r="EW122" i="2"/>
  <c r="DG122" i="2"/>
  <c r="GN122" i="2"/>
  <c r="HH122" i="2"/>
  <c r="EB122" i="2"/>
  <c r="FS122" i="2"/>
  <c r="EX122" i="2"/>
  <c r="GM122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FQ122" i="2"/>
  <c r="HG122" i="2"/>
  <c r="HJ121" i="2"/>
  <c r="EA122" i="2"/>
  <c r="ED121" i="2"/>
  <c r="GO121" i="2"/>
  <c r="GL122" i="2"/>
  <c r="DF122" i="2"/>
  <c r="DI121" i="2"/>
  <c r="CN121" i="2"/>
  <c r="CK122" i="2"/>
  <c r="EV122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AU120" i="2"/>
  <c r="AW121" i="2"/>
  <c r="Z122" i="2"/>
  <c r="AC121" i="2"/>
  <c r="H162" i="2" l="1"/>
  <c r="D163" i="2"/>
  <c r="G163" i="2" s="1"/>
  <c r="L124" i="2"/>
  <c r="EX123" i="2"/>
  <c r="FR123" i="2"/>
  <c r="EB123" i="2"/>
  <c r="EC123" i="2"/>
  <c r="DH123" i="2"/>
  <c r="CM123" i="2"/>
  <c r="GN123" i="2"/>
  <c r="DG123" i="2"/>
  <c r="EW123" i="2"/>
  <c r="FS123" i="2"/>
  <c r="HI123" i="2"/>
  <c r="CL123" i="2"/>
  <c r="GM123" i="2"/>
  <c r="EV123" i="2"/>
  <c r="EY122" i="2"/>
  <c r="EA123" i="2"/>
  <c r="ED122" i="2"/>
  <c r="FT122" i="2"/>
  <c r="FQ123" i="2"/>
  <c r="HH123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DF123" i="2"/>
  <c r="HG123" i="2"/>
  <c r="HJ122" i="2"/>
  <c r="CK123" i="2"/>
  <c r="CN122" i="2"/>
  <c r="GO122" i="2"/>
  <c r="GL123" i="2"/>
  <c r="AA123" i="2"/>
  <c r="AB123" i="2"/>
  <c r="AP124" i="2"/>
  <c r="AQ124" i="2"/>
  <c r="AF124" i="2"/>
  <c r="AG124" i="2"/>
  <c r="Y124" i="2"/>
  <c r="U124" i="2"/>
  <c r="V124" i="2"/>
  <c r="A125" i="2"/>
  <c r="AV121" i="2"/>
  <c r="AU121" i="2"/>
  <c r="AX120" i="2"/>
  <c r="Z123" i="2"/>
  <c r="AC122" i="2"/>
  <c r="H163" i="2" l="1"/>
  <c r="D164" i="2"/>
  <c r="G164" i="2" s="1"/>
  <c r="L125" i="2"/>
  <c r="FR124" i="2"/>
  <c r="CL124" i="2"/>
  <c r="EC124" i="2"/>
  <c r="HI124" i="2"/>
  <c r="EB124" i="2"/>
  <c r="EX124" i="2"/>
  <c r="CM124" i="2"/>
  <c r="DG124" i="2"/>
  <c r="GM124" i="2"/>
  <c r="GN124" i="2"/>
  <c r="EW124" i="2"/>
  <c r="HH124" i="2"/>
  <c r="EV124" i="2"/>
  <c r="EY123" i="2"/>
  <c r="CK124" i="2"/>
  <c r="CN123" i="2"/>
  <c r="DF124" i="2"/>
  <c r="DI123" i="2"/>
  <c r="EA124" i="2"/>
  <c r="ED123" i="2"/>
  <c r="FS124" i="2"/>
  <c r="GL124" i="2"/>
  <c r="GO123" i="2"/>
  <c r="HG124" i="2"/>
  <c r="HJ123" i="2"/>
  <c r="FQ124" i="2"/>
  <c r="FT123" i="2"/>
  <c r="DH124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W122" i="2"/>
  <c r="AW123" i="2" s="1"/>
  <c r="AV122" i="2"/>
  <c r="AX121" i="2"/>
  <c r="AU122" i="2"/>
  <c r="Z124" i="2"/>
  <c r="AC123" i="2"/>
  <c r="H164" i="2" l="1"/>
  <c r="D165" i="2"/>
  <c r="G165" i="2" s="1"/>
  <c r="L126" i="2"/>
  <c r="CL125" i="2"/>
  <c r="EB125" i="2"/>
  <c r="FR125" i="2"/>
  <c r="HI125" i="2"/>
  <c r="GM125" i="2"/>
  <c r="EX125" i="2"/>
  <c r="DG125" i="2"/>
  <c r="FS125" i="2"/>
  <c r="DF125" i="2"/>
  <c r="DI124" i="2"/>
  <c r="HH125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V125" i="2"/>
  <c r="EY124" i="2"/>
  <c r="EW125" i="2"/>
  <c r="EC125" i="2"/>
  <c r="FT124" i="2"/>
  <c r="FQ125" i="2"/>
  <c r="ED124" i="2"/>
  <c r="EA125" i="2"/>
  <c r="CN124" i="2"/>
  <c r="CK125" i="2"/>
  <c r="GN125" i="2"/>
  <c r="DH125" i="2"/>
  <c r="HG125" i="2"/>
  <c r="HJ124" i="2"/>
  <c r="GO124" i="2"/>
  <c r="GL125" i="2"/>
  <c r="CM125" i="2"/>
  <c r="AA125" i="2"/>
  <c r="AP126" i="2"/>
  <c r="AF126" i="2"/>
  <c r="AQ126" i="2"/>
  <c r="AG126" i="2"/>
  <c r="V126" i="2"/>
  <c r="A127" i="2"/>
  <c r="Y126" i="2"/>
  <c r="U126" i="2"/>
  <c r="AB125" i="2"/>
  <c r="AU123" i="2"/>
  <c r="AX122" i="2"/>
  <c r="AW124" i="2"/>
  <c r="AV123" i="2"/>
  <c r="Z125" i="2"/>
  <c r="AC124" i="2"/>
  <c r="H165" i="2" l="1"/>
  <c r="D166" i="2"/>
  <c r="G166" i="2" s="1"/>
  <c r="L127" i="2"/>
  <c r="EB126" i="2"/>
  <c r="FR126" i="2"/>
  <c r="GM126" i="2"/>
  <c r="DH126" i="2"/>
  <c r="GN126" i="2"/>
  <c r="CM126" i="2"/>
  <c r="CL126" i="2"/>
  <c r="EX126" i="2"/>
  <c r="EC126" i="2"/>
  <c r="DG126" i="2"/>
  <c r="HI126" i="2"/>
  <c r="EW126" i="2"/>
  <c r="HH126" i="2"/>
  <c r="HG126" i="2"/>
  <c r="HJ125" i="2"/>
  <c r="GO125" i="2"/>
  <c r="GL126" i="2"/>
  <c r="CK126" i="2"/>
  <c r="CN125" i="2"/>
  <c r="ED125" i="2"/>
  <c r="EA126" i="2"/>
  <c r="FQ126" i="2"/>
  <c r="FT125" i="2"/>
  <c r="EY125" i="2"/>
  <c r="EV126" i="2"/>
  <c r="DF126" i="2"/>
  <c r="DI125" i="2"/>
  <c r="FS126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V124" i="2"/>
  <c r="AU124" i="2"/>
  <c r="AX123" i="2"/>
  <c r="AW125" i="2"/>
  <c r="Z126" i="2"/>
  <c r="AC125" i="2"/>
  <c r="H166" i="2" l="1"/>
  <c r="D167" i="2"/>
  <c r="G167" i="2" s="1"/>
  <c r="L128" i="2"/>
  <c r="EW127" i="2"/>
  <c r="DG127" i="2"/>
  <c r="CL127" i="2"/>
  <c r="GN127" i="2"/>
  <c r="EC127" i="2"/>
  <c r="FR127" i="2"/>
  <c r="EX127" i="2"/>
  <c r="HI127" i="2"/>
  <c r="FS127" i="2"/>
  <c r="EY126" i="2"/>
  <c r="EV127" i="2"/>
  <c r="FT126" i="2"/>
  <c r="FQ127" i="2"/>
  <c r="CN126" i="2"/>
  <c r="CK127" i="2"/>
  <c r="EB127" i="2"/>
  <c r="ED126" i="2"/>
  <c r="EA127" i="2"/>
  <c r="GO126" i="2"/>
  <c r="GL127" i="2"/>
  <c r="DH127" i="2"/>
  <c r="HH127" i="2"/>
  <c r="GM127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DF127" i="2"/>
  <c r="CM127" i="2"/>
  <c r="HG127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AU125" i="2"/>
  <c r="AV125" i="2"/>
  <c r="AV126" i="2" s="1"/>
  <c r="Z127" i="2"/>
  <c r="AC126" i="2"/>
  <c r="H167" i="2" l="1"/>
  <c r="D168" i="2"/>
  <c r="G168" i="2" s="1"/>
  <c r="L129" i="2"/>
  <c r="CL128" i="2"/>
  <c r="FR128" i="2"/>
  <c r="DG128" i="2"/>
  <c r="GN128" i="2"/>
  <c r="EC128" i="2"/>
  <c r="EW128" i="2"/>
  <c r="HI128" i="2"/>
  <c r="CM128" i="2"/>
  <c r="DI127" i="2"/>
  <c r="DF128" i="2"/>
  <c r="GO127" i="2"/>
  <c r="GL128" i="2"/>
  <c r="EB128" i="2"/>
  <c r="CK128" i="2"/>
  <c r="CN127" i="2"/>
  <c r="EY127" i="2"/>
  <c r="EV128" i="2"/>
  <c r="FS128" i="2"/>
  <c r="EX128" i="2"/>
  <c r="GM128" i="2"/>
  <c r="EA128" i="2"/>
  <c r="ED127" i="2"/>
  <c r="FT127" i="2"/>
  <c r="FQ128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G128" i="2"/>
  <c r="HJ127" i="2"/>
  <c r="HH128" i="2"/>
  <c r="DH128" i="2"/>
  <c r="AA128" i="2"/>
  <c r="AP129" i="2"/>
  <c r="AF129" i="2"/>
  <c r="AQ129" i="2"/>
  <c r="AG129" i="2"/>
  <c r="Y129" i="2"/>
  <c r="U129" i="2"/>
  <c r="V129" i="2"/>
  <c r="A130" i="2"/>
  <c r="AB128" i="2"/>
  <c r="AW126" i="2"/>
  <c r="AX125" i="2"/>
  <c r="AU126" i="2"/>
  <c r="Z128" i="2"/>
  <c r="AC127" i="2"/>
  <c r="H168" i="2" l="1"/>
  <c r="D169" i="2"/>
  <c r="G169" i="2" s="1"/>
  <c r="L130" i="2"/>
  <c r="GN129" i="2"/>
  <c r="CM129" i="2"/>
  <c r="FR129" i="2"/>
  <c r="HH129" i="2"/>
  <c r="EW129" i="2"/>
  <c r="CL129" i="2"/>
  <c r="DH129" i="2"/>
  <c r="DG129" i="2"/>
  <c r="HI129" i="2"/>
  <c r="EC129" i="2"/>
  <c r="GM129" i="2"/>
  <c r="GO128" i="2"/>
  <c r="GL129" i="2"/>
  <c r="FT128" i="2"/>
  <c r="FQ129" i="2"/>
  <c r="FS129" i="2"/>
  <c r="CN128" i="2"/>
  <c r="CK129" i="2"/>
  <c r="DF129" i="2"/>
  <c r="DI128" i="2"/>
  <c r="EA129" i="2"/>
  <c r="ED128" i="2"/>
  <c r="EX129" i="2"/>
  <c r="EV129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G129" i="2"/>
  <c r="HJ128" i="2"/>
  <c r="EB129" i="2"/>
  <c r="AA129" i="2"/>
  <c r="AB129" i="2"/>
  <c r="AF130" i="2"/>
  <c r="AP130" i="2"/>
  <c r="AQ130" i="2"/>
  <c r="AG130" i="2"/>
  <c r="A131" i="2"/>
  <c r="V130" i="2"/>
  <c r="Y130" i="2"/>
  <c r="U130" i="2"/>
  <c r="AV127" i="2"/>
  <c r="AW127" i="2"/>
  <c r="AX126" i="2"/>
  <c r="AU127" i="2"/>
  <c r="Z129" i="2"/>
  <c r="AC128" i="2"/>
  <c r="H169" i="2" l="1"/>
  <c r="D170" i="2"/>
  <c r="G170" i="2" s="1"/>
  <c r="L131" i="2"/>
  <c r="FR130" i="2"/>
  <c r="DG130" i="2"/>
  <c r="EB130" i="2"/>
  <c r="CL130" i="2"/>
  <c r="EW130" i="2"/>
  <c r="EC130" i="2"/>
  <c r="DH130" i="2"/>
  <c r="GN130" i="2"/>
  <c r="HI130" i="2"/>
  <c r="EX130" i="2"/>
  <c r="ED129" i="2"/>
  <c r="EA130" i="2"/>
  <c r="DI129" i="2"/>
  <c r="DF130" i="2"/>
  <c r="CM130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G130" i="2"/>
  <c r="HJ129" i="2"/>
  <c r="FS130" i="2"/>
  <c r="GO129" i="2"/>
  <c r="GL130" i="2"/>
  <c r="HH130" i="2"/>
  <c r="FQ130" i="2"/>
  <c r="FT129" i="2"/>
  <c r="GM130" i="2"/>
  <c r="EY129" i="2"/>
  <c r="EV130" i="2"/>
  <c r="CN129" i="2"/>
  <c r="CK130" i="2"/>
  <c r="AB130" i="2"/>
  <c r="AP131" i="2"/>
  <c r="AG131" i="2"/>
  <c r="AQ131" i="2"/>
  <c r="AF131" i="2"/>
  <c r="V131" i="2"/>
  <c r="U131" i="2"/>
  <c r="A132" i="2"/>
  <c r="Y131" i="2"/>
  <c r="AA130" i="2"/>
  <c r="AV128" i="2"/>
  <c r="AV129" i="2" s="1"/>
  <c r="AW128" i="2"/>
  <c r="AW129" i="2" s="1"/>
  <c r="AX127" i="2"/>
  <c r="AU128" i="2"/>
  <c r="Z130" i="2"/>
  <c r="AC129" i="2"/>
  <c r="H170" i="2" l="1"/>
  <c r="D171" i="2"/>
  <c r="G171" i="2" s="1"/>
  <c r="FR131" i="2"/>
  <c r="L132" i="2"/>
  <c r="GM131" i="2"/>
  <c r="GN131" i="2"/>
  <c r="EB131" i="2"/>
  <c r="EW131" i="2"/>
  <c r="HI131" i="2"/>
  <c r="FS131" i="2"/>
  <c r="CL131" i="2"/>
  <c r="HH131" i="2"/>
  <c r="AA131" i="2"/>
  <c r="DH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EV131" i="2"/>
  <c r="DF131" i="2"/>
  <c r="DI130" i="2"/>
  <c r="EC131" i="2"/>
  <c r="EA131" i="2"/>
  <c r="ED130" i="2"/>
  <c r="DG131" i="2"/>
  <c r="CK131" i="2"/>
  <c r="CN130" i="2"/>
  <c r="FT130" i="2"/>
  <c r="FQ131" i="2"/>
  <c r="EX131" i="2"/>
  <c r="GO130" i="2"/>
  <c r="GL131" i="2"/>
  <c r="HG131" i="2"/>
  <c r="HJ130" i="2"/>
  <c r="CM131" i="2"/>
  <c r="AB131" i="2"/>
  <c r="AG132" i="2"/>
  <c r="AQ132" i="2"/>
  <c r="AP132" i="2"/>
  <c r="AF132" i="2"/>
  <c r="A133" i="2"/>
  <c r="V132" i="2"/>
  <c r="Y132" i="2"/>
  <c r="U132" i="2"/>
  <c r="AU129" i="2"/>
  <c r="AX128" i="2"/>
  <c r="Z131" i="2"/>
  <c r="AC130" i="2"/>
  <c r="H171" i="2" l="1"/>
  <c r="D172" i="2"/>
  <c r="G172" i="2" s="1"/>
  <c r="L133" i="2"/>
  <c r="EW132" i="2"/>
  <c r="EB132" i="2"/>
  <c r="CL132" i="2"/>
  <c r="GM132" i="2"/>
  <c r="FS132" i="2"/>
  <c r="CM132" i="2"/>
  <c r="EC132" i="2"/>
  <c r="HH132" i="2"/>
  <c r="EX132" i="2"/>
  <c r="DG132" i="2"/>
  <c r="FR132" i="2"/>
  <c r="DH132" i="2"/>
  <c r="GN132" i="2"/>
  <c r="HI132" i="2"/>
  <c r="FT131" i="2"/>
  <c r="FQ132" i="2"/>
  <c r="EV132" i="2"/>
  <c r="EY131" i="2"/>
  <c r="HG132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A132" i="2"/>
  <c r="ED131" i="2"/>
  <c r="DF132" i="2"/>
  <c r="DI131" i="2"/>
  <c r="GO131" i="2"/>
  <c r="GL132" i="2"/>
  <c r="CK132" i="2"/>
  <c r="CN131" i="2"/>
  <c r="AB132" i="2"/>
  <c r="AA132" i="2"/>
  <c r="AQ133" i="2"/>
  <c r="AG133" i="2"/>
  <c r="AF133" i="2"/>
  <c r="AP133" i="2"/>
  <c r="U133" i="2"/>
  <c r="A134" i="2"/>
  <c r="V133" i="2"/>
  <c r="Y133" i="2"/>
  <c r="AV130" i="2"/>
  <c r="AX129" i="2"/>
  <c r="AU130" i="2"/>
  <c r="AW130" i="2"/>
  <c r="AW131" i="2" s="1"/>
  <c r="Z132" i="2"/>
  <c r="AC131" i="2"/>
  <c r="H172" i="2" l="1"/>
  <c r="D173" i="2"/>
  <c r="G173" i="2" s="1"/>
  <c r="L134" i="2"/>
  <c r="EC133" i="2"/>
  <c r="GN133" i="2"/>
  <c r="CL133" i="2"/>
  <c r="HH133" i="2"/>
  <c r="EB133" i="2"/>
  <c r="FS133" i="2"/>
  <c r="FR133" i="2"/>
  <c r="DH133" i="2"/>
  <c r="EX133" i="2"/>
  <c r="GO132" i="2"/>
  <c r="GL133" i="2"/>
  <c r="GM133" i="2"/>
  <c r="HG133" i="2"/>
  <c r="HJ132" i="2"/>
  <c r="EY132" i="2"/>
  <c r="EV133" i="2"/>
  <c r="HI133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F133" i="2"/>
  <c r="DI132" i="2"/>
  <c r="DG133" i="2"/>
  <c r="CM133" i="2"/>
  <c r="FT132" i="2"/>
  <c r="FQ133" i="2"/>
  <c r="EW133" i="2"/>
  <c r="CK133" i="2"/>
  <c r="CN132" i="2"/>
  <c r="EA133" i="2"/>
  <c r="ED132" i="2"/>
  <c r="AA133" i="2"/>
  <c r="AP134" i="2"/>
  <c r="AF134" i="2"/>
  <c r="AG134" i="2"/>
  <c r="AQ134" i="2"/>
  <c r="V134" i="2"/>
  <c r="U134" i="2"/>
  <c r="A135" i="2"/>
  <c r="Y134" i="2"/>
  <c r="AB133" i="2"/>
  <c r="AV131" i="2"/>
  <c r="AV132" i="2" s="1"/>
  <c r="AW132" i="2"/>
  <c r="AU131" i="2"/>
  <c r="AX130" i="2"/>
  <c r="Z133" i="2"/>
  <c r="AC132" i="2"/>
  <c r="H173" i="2" l="1"/>
  <c r="D174" i="2"/>
  <c r="G174" i="2" s="1"/>
  <c r="L135" i="2"/>
  <c r="CM134" i="2"/>
  <c r="EB134" i="2"/>
  <c r="CL134" i="2"/>
  <c r="EW134" i="2"/>
  <c r="DG134" i="2"/>
  <c r="GN134" i="2"/>
  <c r="HH134" i="2"/>
  <c r="DH134" i="2"/>
  <c r="EX134" i="2"/>
  <c r="FS134" i="2"/>
  <c r="CN133" i="2"/>
  <c r="CK134" i="2"/>
  <c r="HI134" i="2"/>
  <c r="GO133" i="2"/>
  <c r="GL134" i="2"/>
  <c r="EA134" i="2"/>
  <c r="ED133" i="2"/>
  <c r="FT133" i="2"/>
  <c r="FQ134" i="2"/>
  <c r="DI133" i="2"/>
  <c r="DF134" i="2"/>
  <c r="EV134" i="2"/>
  <c r="EY133" i="2"/>
  <c r="FR134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EC134" i="2"/>
  <c r="HG134" i="2"/>
  <c r="HJ133" i="2"/>
  <c r="GM134" i="2"/>
  <c r="AB134" i="2"/>
  <c r="AA134" i="2"/>
  <c r="AQ135" i="2"/>
  <c r="AP135" i="2"/>
  <c r="AF135" i="2"/>
  <c r="AG135" i="2"/>
  <c r="U135" i="2"/>
  <c r="V135" i="2"/>
  <c r="Y135" i="2"/>
  <c r="A136" i="2"/>
  <c r="AV133" i="2"/>
  <c r="AU132" i="2"/>
  <c r="AX131" i="2"/>
  <c r="Z134" i="2"/>
  <c r="AC133" i="2"/>
  <c r="H174" i="2" l="1"/>
  <c r="D175" i="2"/>
  <c r="G175" i="2" s="1"/>
  <c r="L136" i="2"/>
  <c r="EC135" i="2"/>
  <c r="CL135" i="2"/>
  <c r="EB135" i="2"/>
  <c r="GM135" i="2"/>
  <c r="EX135" i="2"/>
  <c r="DH135" i="2"/>
  <c r="GN135" i="2"/>
  <c r="HH135" i="2"/>
  <c r="CM135" i="2"/>
  <c r="FS135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G135" i="2"/>
  <c r="HJ134" i="2"/>
  <c r="DF135" i="2"/>
  <c r="DI134" i="2"/>
  <c r="HI135" i="2"/>
  <c r="FR135" i="2"/>
  <c r="EY134" i="2"/>
  <c r="EV135" i="2"/>
  <c r="ED134" i="2"/>
  <c r="EA135" i="2"/>
  <c r="DG135" i="2"/>
  <c r="FT134" i="2"/>
  <c r="FQ135" i="2"/>
  <c r="GO134" i="2"/>
  <c r="GL135" i="2"/>
  <c r="EW135" i="2"/>
  <c r="CN134" i="2"/>
  <c r="CK135" i="2"/>
  <c r="AB135" i="2"/>
  <c r="AA135" i="2"/>
  <c r="AQ136" i="2"/>
  <c r="AG136" i="2"/>
  <c r="AP136" i="2"/>
  <c r="AF136" i="2"/>
  <c r="Y136" i="2"/>
  <c r="A137" i="2"/>
  <c r="U136" i="2"/>
  <c r="V136" i="2"/>
  <c r="AW133" i="2"/>
  <c r="AV134" i="2"/>
  <c r="AX132" i="2"/>
  <c r="AU133" i="2"/>
  <c r="Z135" i="2"/>
  <c r="AC134" i="2"/>
  <c r="H175" i="2" l="1"/>
  <c r="D176" i="2"/>
  <c r="G176" i="2" s="1"/>
  <c r="L137" i="2"/>
  <c r="GM136" i="2"/>
  <c r="EB136" i="2"/>
  <c r="EC136" i="2"/>
  <c r="CL136" i="2"/>
  <c r="FR136" i="2"/>
  <c r="HH136" i="2"/>
  <c r="CM136" i="2"/>
  <c r="DG136" i="2"/>
  <c r="EW136" i="2"/>
  <c r="HI136" i="2"/>
  <c r="GN136" i="2"/>
  <c r="DH136" i="2"/>
  <c r="FS136" i="2"/>
  <c r="EX136" i="2"/>
  <c r="FT135" i="2"/>
  <c r="FQ136" i="2"/>
  <c r="EY135" i="2"/>
  <c r="EV136" i="2"/>
  <c r="DI135" i="2"/>
  <c r="DF136" i="2"/>
  <c r="ED135" i="2"/>
  <c r="EA136" i="2"/>
  <c r="CK136" i="2"/>
  <c r="CN135" i="2"/>
  <c r="GO135" i="2"/>
  <c r="GL136" i="2"/>
  <c r="HG136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W134" i="2"/>
  <c r="AW135" i="2" s="1"/>
  <c r="AU134" i="2"/>
  <c r="AX133" i="2"/>
  <c r="Z136" i="2"/>
  <c r="AC135" i="2"/>
  <c r="H176" i="2" l="1"/>
  <c r="D177" i="2"/>
  <c r="G177" i="2" s="1"/>
  <c r="L138" i="2"/>
  <c r="CM137" i="2"/>
  <c r="GN137" i="2"/>
  <c r="EB137" i="2"/>
  <c r="EX137" i="2"/>
  <c r="HI137" i="2"/>
  <c r="GM137" i="2"/>
  <c r="DH137" i="2"/>
  <c r="EC137" i="2"/>
  <c r="FS137" i="2"/>
  <c r="DG137" i="2"/>
  <c r="FR137" i="2"/>
  <c r="ED136" i="2"/>
  <c r="EA137" i="2"/>
  <c r="EV137" i="2"/>
  <c r="EY136" i="2"/>
  <c r="EW137" i="2"/>
  <c r="CL137" i="2"/>
  <c r="HG137" i="2"/>
  <c r="HJ136" i="2"/>
  <c r="GL137" i="2"/>
  <c r="GO136" i="2"/>
  <c r="CN136" i="2"/>
  <c r="CK137" i="2"/>
  <c r="DF137" i="2"/>
  <c r="DI136" i="2"/>
  <c r="FT136" i="2"/>
  <c r="FQ137" i="2"/>
  <c r="HH137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V135" i="2"/>
  <c r="AU135" i="2"/>
  <c r="AX134" i="2"/>
  <c r="AW136" i="2"/>
  <c r="Z137" i="2"/>
  <c r="AC136" i="2"/>
  <c r="H177" i="2" l="1"/>
  <c r="D178" i="2"/>
  <c r="G178" i="2" s="1"/>
  <c r="L139" i="2"/>
  <c r="EB138" i="2"/>
  <c r="DG138" i="2"/>
  <c r="CM138" i="2"/>
  <c r="GM138" i="2"/>
  <c r="HI138" i="2"/>
  <c r="FS138" i="2"/>
  <c r="EX138" i="2"/>
  <c r="CN137" i="2"/>
  <c r="CK138" i="2"/>
  <c r="EC138" i="2"/>
  <c r="EW138" i="2"/>
  <c r="GN138" i="2"/>
  <c r="HG138" i="2"/>
  <c r="HJ137" i="2"/>
  <c r="CL138" i="2"/>
  <c r="HH138" i="2"/>
  <c r="DF138" i="2"/>
  <c r="DI137" i="2"/>
  <c r="EV138" i="2"/>
  <c r="EY137" i="2"/>
  <c r="FR138" i="2"/>
  <c r="DH138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Q138" i="2"/>
  <c r="FT137" i="2"/>
  <c r="GO137" i="2"/>
  <c r="GL138" i="2"/>
  <c r="ED137" i="2"/>
  <c r="EA138" i="2"/>
  <c r="AA138" i="2"/>
  <c r="AB138" i="2"/>
  <c r="AP139" i="2"/>
  <c r="AQ139" i="2"/>
  <c r="AF139" i="2"/>
  <c r="AG139" i="2"/>
  <c r="V139" i="2"/>
  <c r="U139" i="2"/>
  <c r="A140" i="2"/>
  <c r="Y139" i="2"/>
  <c r="AV136" i="2"/>
  <c r="AX135" i="2"/>
  <c r="AU136" i="2"/>
  <c r="Z138" i="2"/>
  <c r="AC137" i="2"/>
  <c r="H178" i="2" l="1"/>
  <c r="D179" i="2"/>
  <c r="G179" i="2" s="1"/>
  <c r="L140" i="2"/>
  <c r="EB139" i="2"/>
  <c r="DG139" i="2"/>
  <c r="GM139" i="2"/>
  <c r="CM139" i="2"/>
  <c r="HI139" i="2"/>
  <c r="EX139" i="2"/>
  <c r="FS139" i="2"/>
  <c r="HH139" i="2"/>
  <c r="GN139" i="2"/>
  <c r="EC139" i="2"/>
  <c r="EV139" i="2"/>
  <c r="EY138" i="2"/>
  <c r="EW139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A139" i="2"/>
  <c r="ED138" i="2"/>
  <c r="GL139" i="2"/>
  <c r="GO138" i="2"/>
  <c r="FQ139" i="2"/>
  <c r="FT138" i="2"/>
  <c r="DH139" i="2"/>
  <c r="FR139" i="2"/>
  <c r="DI138" i="2"/>
  <c r="DF139" i="2"/>
  <c r="CL139" i="2"/>
  <c r="HG139" i="2"/>
  <c r="HJ138" i="2"/>
  <c r="CN138" i="2"/>
  <c r="CK139" i="2"/>
  <c r="AA139" i="2"/>
  <c r="AB139" i="2"/>
  <c r="AQ140" i="2"/>
  <c r="AP140" i="2"/>
  <c r="AF140" i="2"/>
  <c r="AG140" i="2"/>
  <c r="A141" i="2"/>
  <c r="U140" i="2"/>
  <c r="V140" i="2"/>
  <c r="Y140" i="2"/>
  <c r="AW137" i="2"/>
  <c r="AW138" i="2" s="1"/>
  <c r="AX136" i="2"/>
  <c r="AU137" i="2"/>
  <c r="AV137" i="2"/>
  <c r="Z139" i="2"/>
  <c r="AC138" i="2"/>
  <c r="H179" i="2" l="1"/>
  <c r="D180" i="2"/>
  <c r="G180" i="2" s="1"/>
  <c r="L141" i="2"/>
  <c r="DG140" i="2"/>
  <c r="FR140" i="2"/>
  <c r="EB140" i="2"/>
  <c r="CL140" i="2"/>
  <c r="GM140" i="2"/>
  <c r="FS140" i="2"/>
  <c r="CM140" i="2"/>
  <c r="HI140" i="2"/>
  <c r="DH140" i="2"/>
  <c r="EX140" i="2"/>
  <c r="GL140" i="2"/>
  <c r="GO139" i="2"/>
  <c r="EW140" i="2"/>
  <c r="CK140" i="2"/>
  <c r="CN139" i="2"/>
  <c r="HG140" i="2"/>
  <c r="HJ139" i="2"/>
  <c r="DF140" i="2"/>
  <c r="DI139" i="2"/>
  <c r="HH140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Q140" i="2"/>
  <c r="FT139" i="2"/>
  <c r="EA140" i="2"/>
  <c r="ED139" i="2"/>
  <c r="EV140" i="2"/>
  <c r="EY139" i="2"/>
  <c r="EC140" i="2"/>
  <c r="GN140" i="2"/>
  <c r="AA140" i="2"/>
  <c r="AQ141" i="2"/>
  <c r="AG141" i="2"/>
  <c r="AP141" i="2"/>
  <c r="AF141" i="2"/>
  <c r="A142" i="2"/>
  <c r="Y141" i="2"/>
  <c r="U141" i="2"/>
  <c r="V141" i="2"/>
  <c r="AB140" i="2"/>
  <c r="AX137" i="2"/>
  <c r="AU138" i="2"/>
  <c r="AV138" i="2"/>
  <c r="AV139" i="2" s="1"/>
  <c r="Z140" i="2"/>
  <c r="AC139" i="2"/>
  <c r="H180" i="2" l="1"/>
  <c r="D181" i="2"/>
  <c r="G181" i="2" s="1"/>
  <c r="L142" i="2"/>
  <c r="CL141" i="2"/>
  <c r="EC141" i="2"/>
  <c r="CM141" i="2"/>
  <c r="FS141" i="2"/>
  <c r="GN141" i="2"/>
  <c r="FR141" i="2"/>
  <c r="GM141" i="2"/>
  <c r="DH141" i="2"/>
  <c r="HI141" i="2"/>
  <c r="EB141" i="2"/>
  <c r="EX141" i="2"/>
  <c r="FT140" i="2"/>
  <c r="FQ141" i="2"/>
  <c r="DF141" i="2"/>
  <c r="DI140" i="2"/>
  <c r="CN140" i="2"/>
  <c r="CK141" i="2"/>
  <c r="EW141" i="2"/>
  <c r="HH141" i="2"/>
  <c r="GO140" i="2"/>
  <c r="GL141" i="2"/>
  <c r="DG141" i="2"/>
  <c r="EV141" i="2"/>
  <c r="EY140" i="2"/>
  <c r="EA141" i="2"/>
  <c r="ED140" i="2"/>
  <c r="HG141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W139" i="2"/>
  <c r="AV140" i="2"/>
  <c r="AU139" i="2"/>
  <c r="AX138" i="2"/>
  <c r="Z141" i="2"/>
  <c r="AC140" i="2"/>
  <c r="H181" i="2" l="1"/>
  <c r="D182" i="2"/>
  <c r="G182" i="2" s="1"/>
  <c r="L143" i="2"/>
  <c r="GM142" i="2"/>
  <c r="HI142" i="2"/>
  <c r="FR142" i="2"/>
  <c r="CM142" i="2"/>
  <c r="DH142" i="2"/>
  <c r="EX142" i="2"/>
  <c r="EC142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EA142" i="2"/>
  <c r="DG142" i="2"/>
  <c r="GN142" i="2"/>
  <c r="CN141" i="2"/>
  <c r="CK142" i="2"/>
  <c r="FS142" i="2"/>
  <c r="EB142" i="2"/>
  <c r="HG142" i="2"/>
  <c r="HJ141" i="2"/>
  <c r="EY141" i="2"/>
  <c r="EV142" i="2"/>
  <c r="FT141" i="2"/>
  <c r="FQ142" i="2"/>
  <c r="GO141" i="2"/>
  <c r="GL142" i="2"/>
  <c r="HH142" i="2"/>
  <c r="CL142" i="2"/>
  <c r="EW142" i="2"/>
  <c r="DI141" i="2"/>
  <c r="DF142" i="2"/>
  <c r="AB142" i="2"/>
  <c r="AW140" i="2"/>
  <c r="AW141" i="2" s="1"/>
  <c r="AQ143" i="2"/>
  <c r="AG143" i="2"/>
  <c r="AP143" i="2"/>
  <c r="AF143" i="2"/>
  <c r="U143" i="2"/>
  <c r="V143" i="2"/>
  <c r="Y143" i="2"/>
  <c r="A144" i="2"/>
  <c r="AA142" i="2"/>
  <c r="AU140" i="2"/>
  <c r="AX139" i="2"/>
  <c r="Z142" i="2"/>
  <c r="AC141" i="2"/>
  <c r="H182" i="2" l="1"/>
  <c r="D183" i="2"/>
  <c r="G183" i="2" s="1"/>
  <c r="L144" i="2"/>
  <c r="EX143" i="2"/>
  <c r="CL143" i="2"/>
  <c r="EB143" i="2"/>
  <c r="GN143" i="2"/>
  <c r="EW143" i="2"/>
  <c r="FS143" i="2"/>
  <c r="DG143" i="2"/>
  <c r="GM143" i="2"/>
  <c r="FR143" i="2"/>
  <c r="HH143" i="2"/>
  <c r="DH143" i="2"/>
  <c r="HI143" i="2"/>
  <c r="EC143" i="2"/>
  <c r="CM143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Q143" i="2"/>
  <c r="FT142" i="2"/>
  <c r="CN142" i="2"/>
  <c r="CK143" i="2"/>
  <c r="ED142" i="2"/>
  <c r="EA143" i="2"/>
  <c r="EY142" i="2"/>
  <c r="EV143" i="2"/>
  <c r="DI142" i="2"/>
  <c r="DF143" i="2"/>
  <c r="GO142" i="2"/>
  <c r="GL143" i="2"/>
  <c r="HG143" i="2"/>
  <c r="HJ142" i="2"/>
  <c r="AA143" i="2"/>
  <c r="AB143" i="2"/>
  <c r="AQ144" i="2"/>
  <c r="AG144" i="2"/>
  <c r="AP144" i="2"/>
  <c r="AF144" i="2"/>
  <c r="A145" i="2"/>
  <c r="Y144" i="2"/>
  <c r="U144" i="2"/>
  <c r="V144" i="2"/>
  <c r="AV141" i="2"/>
  <c r="AU141" i="2"/>
  <c r="AX140" i="2"/>
  <c r="Z143" i="2"/>
  <c r="AC142" i="2"/>
  <c r="H183" i="2" l="1"/>
  <c r="D184" i="2"/>
  <c r="G184" i="2" s="1"/>
  <c r="L145" i="2"/>
  <c r="EB144" i="2"/>
  <c r="CL144" i="2"/>
  <c r="HH144" i="2"/>
  <c r="GN144" i="2"/>
  <c r="EW144" i="2"/>
  <c r="DG144" i="2"/>
  <c r="FR144" i="2"/>
  <c r="GM144" i="2"/>
  <c r="DH144" i="2"/>
  <c r="EC144" i="2"/>
  <c r="CM144" i="2"/>
  <c r="HI144" i="2"/>
  <c r="EX144" i="2"/>
  <c r="FS144" i="2"/>
  <c r="HG144" i="2"/>
  <c r="HJ143" i="2"/>
  <c r="CN143" i="2"/>
  <c r="CK144" i="2"/>
  <c r="FT143" i="2"/>
  <c r="FQ144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GL144" i="2"/>
  <c r="EY143" i="2"/>
  <c r="EV144" i="2"/>
  <c r="ED143" i="2"/>
  <c r="EA144" i="2"/>
  <c r="DI143" i="2"/>
  <c r="DF144" i="2"/>
  <c r="AA144" i="2"/>
  <c r="AB144" i="2"/>
  <c r="AP145" i="2"/>
  <c r="AF145" i="2"/>
  <c r="AQ145" i="2"/>
  <c r="AG145" i="2"/>
  <c r="A146" i="2"/>
  <c r="Y145" i="2"/>
  <c r="U145" i="2"/>
  <c r="V145" i="2"/>
  <c r="AW142" i="2"/>
  <c r="AX141" i="2"/>
  <c r="AU142" i="2"/>
  <c r="AV142" i="2"/>
  <c r="Z144" i="2"/>
  <c r="AC143" i="2"/>
  <c r="H184" i="2" l="1"/>
  <c r="D185" i="2"/>
  <c r="G185" i="2" s="1"/>
  <c r="L146" i="2"/>
  <c r="EB145" i="2"/>
  <c r="CM145" i="2"/>
  <c r="HH145" i="2"/>
  <c r="DG145" i="2"/>
  <c r="EW145" i="2"/>
  <c r="FR145" i="2"/>
  <c r="HI145" i="2"/>
  <c r="GM145" i="2"/>
  <c r="DH145" i="2"/>
  <c r="EC145" i="2"/>
  <c r="EX145" i="2"/>
  <c r="ED144" i="2"/>
  <c r="EA145" i="2"/>
  <c r="GN145" i="2"/>
  <c r="CL145" i="2"/>
  <c r="FS145" i="2"/>
  <c r="DI144" i="2"/>
  <c r="DF145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L145" i="2"/>
  <c r="GO144" i="2"/>
  <c r="CN144" i="2"/>
  <c r="CK145" i="2"/>
  <c r="EY144" i="2"/>
  <c r="EV145" i="2"/>
  <c r="HG145" i="2"/>
  <c r="HJ144" i="2"/>
  <c r="FT144" i="2"/>
  <c r="FQ145" i="2"/>
  <c r="AA145" i="2"/>
  <c r="AF146" i="2"/>
  <c r="AP146" i="2"/>
  <c r="AQ146" i="2"/>
  <c r="AG146" i="2"/>
  <c r="V146" i="2"/>
  <c r="Y146" i="2"/>
  <c r="U146" i="2"/>
  <c r="A147" i="2"/>
  <c r="AV143" i="2"/>
  <c r="AB145" i="2"/>
  <c r="AW143" i="2"/>
  <c r="AX142" i="2"/>
  <c r="AU143" i="2"/>
  <c r="Z145" i="2"/>
  <c r="AC144" i="2"/>
  <c r="H185" i="2" l="1"/>
  <c r="D186" i="2"/>
  <c r="G186" i="2" s="1"/>
  <c r="L147" i="2"/>
  <c r="EB146" i="2"/>
  <c r="DG146" i="2"/>
  <c r="CM146" i="2"/>
  <c r="FR146" i="2"/>
  <c r="HH146" i="2"/>
  <c r="DH146" i="2"/>
  <c r="GM146" i="2"/>
  <c r="HI146" i="2"/>
  <c r="GN146" i="2"/>
  <c r="EX146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K146" i="2"/>
  <c r="CN145" i="2"/>
  <c r="GO145" i="2"/>
  <c r="GL146" i="2"/>
  <c r="EC146" i="2"/>
  <c r="FT145" i="2"/>
  <c r="FQ146" i="2"/>
  <c r="HG146" i="2"/>
  <c r="HJ145" i="2"/>
  <c r="FS146" i="2"/>
  <c r="EW146" i="2"/>
  <c r="EV146" i="2"/>
  <c r="EY145" i="2"/>
  <c r="CL146" i="2"/>
  <c r="DI145" i="2"/>
  <c r="DF146" i="2"/>
  <c r="EA146" i="2"/>
  <c r="ED145" i="2"/>
  <c r="AA146" i="2"/>
  <c r="AB146" i="2"/>
  <c r="AP147" i="2"/>
  <c r="AQ147" i="2"/>
  <c r="AG147" i="2"/>
  <c r="AF147" i="2"/>
  <c r="V147" i="2"/>
  <c r="U147" i="2"/>
  <c r="Y147" i="2"/>
  <c r="A148" i="2"/>
  <c r="AW144" i="2"/>
  <c r="AV144" i="2"/>
  <c r="AX143" i="2"/>
  <c r="AU144" i="2"/>
  <c r="Z146" i="2"/>
  <c r="AC145" i="2"/>
  <c r="H186" i="2" l="1"/>
  <c r="D187" i="2"/>
  <c r="G187" i="2" s="1"/>
  <c r="L148" i="2"/>
  <c r="CM147" i="2"/>
  <c r="GM147" i="2"/>
  <c r="CL147" i="2"/>
  <c r="HH147" i="2"/>
  <c r="EC147" i="2"/>
  <c r="DG147" i="2"/>
  <c r="HI147" i="2"/>
  <c r="EW147" i="2"/>
  <c r="EX147" i="2"/>
  <c r="FS147" i="2"/>
  <c r="DH147" i="2"/>
  <c r="GN147" i="2"/>
  <c r="EB147" i="2"/>
  <c r="FR147" i="2"/>
  <c r="EV147" i="2"/>
  <c r="EY146" i="2"/>
  <c r="FQ147" i="2"/>
  <c r="FT146" i="2"/>
  <c r="CK147" i="2"/>
  <c r="CN146" i="2"/>
  <c r="DF147" i="2"/>
  <c r="DI146" i="2"/>
  <c r="GL147" i="2"/>
  <c r="GO146" i="2"/>
  <c r="EA147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G147" i="2"/>
  <c r="HJ146" i="2"/>
  <c r="AB147" i="2"/>
  <c r="AF148" i="2"/>
  <c r="AQ148" i="2"/>
  <c r="AG148" i="2"/>
  <c r="AP148" i="2"/>
  <c r="V148" i="2"/>
  <c r="Y148" i="2"/>
  <c r="U148" i="2"/>
  <c r="A149" i="2"/>
  <c r="AA147" i="2"/>
  <c r="AW145" i="2"/>
  <c r="AV145" i="2"/>
  <c r="AV146" i="2" s="1"/>
  <c r="AU145" i="2"/>
  <c r="AX144" i="2"/>
  <c r="Z147" i="2"/>
  <c r="AC146" i="2"/>
  <c r="H187" i="2" l="1"/>
  <c r="D188" i="2"/>
  <c r="G188" i="2" s="1"/>
  <c r="CM148" i="2"/>
  <c r="L149" i="2"/>
  <c r="GM148" i="2"/>
  <c r="HH148" i="2"/>
  <c r="DH148" i="2"/>
  <c r="AA148" i="2"/>
  <c r="EB148" i="2"/>
  <c r="FR148" i="2"/>
  <c r="EC148" i="2"/>
  <c r="DG148" i="2"/>
  <c r="CL148" i="2"/>
  <c r="EX148" i="2"/>
  <c r="ED147" i="2"/>
  <c r="EA148" i="2"/>
  <c r="HI148" i="2"/>
  <c r="DF148" i="2"/>
  <c r="DI147" i="2"/>
  <c r="GN148" i="2"/>
  <c r="GO147" i="2"/>
  <c r="GL148" i="2"/>
  <c r="EV148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EW148" i="2"/>
  <c r="FQ148" i="2"/>
  <c r="FT147" i="2"/>
  <c r="HG148" i="2"/>
  <c r="HJ147" i="2"/>
  <c r="CK148" i="2"/>
  <c r="CN147" i="2"/>
  <c r="FS148" i="2"/>
  <c r="AB148" i="2"/>
  <c r="AQ149" i="2"/>
  <c r="AG149" i="2"/>
  <c r="AF149" i="2"/>
  <c r="AP149" i="2"/>
  <c r="A150" i="2"/>
  <c r="Y149" i="2"/>
  <c r="U149" i="2"/>
  <c r="V149" i="2"/>
  <c r="AW146" i="2"/>
  <c r="AX145" i="2"/>
  <c r="AU146" i="2"/>
  <c r="Z148" i="2"/>
  <c r="AC147" i="2"/>
  <c r="H188" i="2" l="1"/>
  <c r="D189" i="2"/>
  <c r="G189" i="2" s="1"/>
  <c r="L150" i="2"/>
  <c r="FR149" i="2"/>
  <c r="EB149" i="2"/>
  <c r="DG149" i="2"/>
  <c r="EW149" i="2"/>
  <c r="HH149" i="2"/>
  <c r="FS149" i="2"/>
  <c r="GM149" i="2"/>
  <c r="CM149" i="2"/>
  <c r="AA149" i="2"/>
  <c r="EX149" i="2"/>
  <c r="HG149" i="2"/>
  <c r="HJ148" i="2"/>
  <c r="DH149" i="2"/>
  <c r="HI149" i="2"/>
  <c r="CL149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CK149" i="2"/>
  <c r="GN149" i="2"/>
  <c r="EC149" i="2"/>
  <c r="EY148" i="2"/>
  <c r="EV149" i="2"/>
  <c r="FT148" i="2"/>
  <c r="FQ149" i="2"/>
  <c r="GO148" i="2"/>
  <c r="GL149" i="2"/>
  <c r="DI148" i="2"/>
  <c r="DF149" i="2"/>
  <c r="EA149" i="2"/>
  <c r="ED148" i="2"/>
  <c r="AP150" i="2"/>
  <c r="AF150" i="2"/>
  <c r="AQ150" i="2"/>
  <c r="AG150" i="2"/>
  <c r="V150" i="2"/>
  <c r="A151" i="2"/>
  <c r="Y150" i="2"/>
  <c r="U150" i="2"/>
  <c r="AB149" i="2"/>
  <c r="AV147" i="2"/>
  <c r="AW147" i="2"/>
  <c r="AU147" i="2"/>
  <c r="AX146" i="2"/>
  <c r="Z149" i="2"/>
  <c r="AC148" i="2"/>
  <c r="H189" i="2" l="1"/>
  <c r="D190" i="2"/>
  <c r="G190" i="2" s="1"/>
  <c r="L151" i="2"/>
  <c r="EC150" i="2"/>
  <c r="FS150" i="2"/>
  <c r="GM150" i="2"/>
  <c r="DG150" i="2"/>
  <c r="EX150" i="2"/>
  <c r="EB150" i="2"/>
  <c r="AA150" i="2"/>
  <c r="CM150" i="2"/>
  <c r="HH150" i="2"/>
  <c r="GN150" i="2"/>
  <c r="FR150" i="2"/>
  <c r="DI149" i="2"/>
  <c r="DF150" i="2"/>
  <c r="EY149" i="2"/>
  <c r="EV150" i="2"/>
  <c r="HG150" i="2"/>
  <c r="HJ149" i="2"/>
  <c r="EA150" i="2"/>
  <c r="ED149" i="2"/>
  <c r="GL150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FQ150" i="2"/>
  <c r="CL150" i="2"/>
  <c r="HI150" i="2"/>
  <c r="DH150" i="2"/>
  <c r="EW150" i="2"/>
  <c r="CK150" i="2"/>
  <c r="CN149" i="2"/>
  <c r="AB150" i="2"/>
  <c r="AQ151" i="2"/>
  <c r="AF151" i="2"/>
  <c r="AP151" i="2"/>
  <c r="AG151" i="2"/>
  <c r="A152" i="2"/>
  <c r="U151" i="2"/>
  <c r="V151" i="2"/>
  <c r="Y151" i="2"/>
  <c r="AW148" i="2"/>
  <c r="AV148" i="2"/>
  <c r="AX147" i="2"/>
  <c r="AU148" i="2"/>
  <c r="Z150" i="2"/>
  <c r="AC149" i="2"/>
  <c r="Q18" i="6"/>
  <c r="Q20" i="6" s="1"/>
  <c r="J33" i="6" l="1"/>
  <c r="J34" i="6" s="1"/>
  <c r="J35" i="6" s="1"/>
  <c r="H190" i="2"/>
  <c r="D191" i="2"/>
  <c r="G191" i="2" s="1"/>
  <c r="L152" i="2"/>
  <c r="HH151" i="2"/>
  <c r="CL151" i="2"/>
  <c r="HI151" i="2"/>
  <c r="EX151" i="2"/>
  <c r="GM151" i="2"/>
  <c r="CM151" i="2"/>
  <c r="DG151" i="2"/>
  <c r="FR151" i="2"/>
  <c r="DH151" i="2"/>
  <c r="GN151" i="2"/>
  <c r="EW151" i="2"/>
  <c r="EC151" i="2"/>
  <c r="CN150" i="2"/>
  <c r="CK151" i="2"/>
  <c r="EB151" i="2"/>
  <c r="ED150" i="2"/>
  <c r="EA151" i="2"/>
  <c r="FS151" i="2"/>
  <c r="DF151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FQ151" i="2"/>
  <c r="GO150" i="2"/>
  <c r="GL151" i="2"/>
  <c r="HG151" i="2"/>
  <c r="HJ150" i="2"/>
  <c r="EV151" i="2"/>
  <c r="EY150" i="2"/>
  <c r="AB151" i="2"/>
  <c r="AQ152" i="2"/>
  <c r="AG152" i="2"/>
  <c r="AP152" i="2"/>
  <c r="AF152" i="2"/>
  <c r="Y152" i="2"/>
  <c r="U152" i="2"/>
  <c r="V152" i="2"/>
  <c r="A153" i="2"/>
  <c r="AA151" i="2"/>
  <c r="AV149" i="2"/>
  <c r="AW149" i="2"/>
  <c r="AW150" i="2" s="1"/>
  <c r="AX148" i="2"/>
  <c r="AU149" i="2"/>
  <c r="Z151" i="2"/>
  <c r="AC150" i="2"/>
  <c r="H191" i="2" l="1"/>
  <c r="D192" i="2"/>
  <c r="G192" i="2" s="1"/>
  <c r="L153" i="2"/>
  <c r="GM152" i="2"/>
  <c r="CM152" i="2"/>
  <c r="EW152" i="2"/>
  <c r="DH152" i="2"/>
  <c r="FR152" i="2"/>
  <c r="EX152" i="2"/>
  <c r="EC152" i="2"/>
  <c r="HH152" i="2"/>
  <c r="FT151" i="2"/>
  <c r="FQ152" i="2"/>
  <c r="DI151" i="2"/>
  <c r="DF152" i="2"/>
  <c r="CL152" i="2"/>
  <c r="EB152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FY118" i="2" s="1" a="1"/>
  <c r="FY118" i="2" s="1"/>
  <c r="GH153" i="2"/>
  <c r="FL153" i="2"/>
  <c r="FC153" i="2"/>
  <c r="FD55" i="2" s="1" a="1"/>
  <c r="FD55" i="2" s="1"/>
  <c r="EQ153" i="2"/>
  <c r="EH153" i="2"/>
  <c r="EI55" i="2" s="1" a="1"/>
  <c r="EI55" i="2" s="1"/>
  <c r="CJ153" i="2"/>
  <c r="HC153" i="2"/>
  <c r="FB153" i="2"/>
  <c r="ER153" i="2"/>
  <c r="DV153" i="2"/>
  <c r="DM153" i="2"/>
  <c r="DN77" i="2" s="1" a="1"/>
  <c r="DN77" i="2" s="1"/>
  <c r="DA153" i="2"/>
  <c r="HB153" i="2"/>
  <c r="GS153" i="2"/>
  <c r="GT148" i="2" s="1" a="1"/>
  <c r="GT148" i="2" s="1"/>
  <c r="EU153" i="2"/>
  <c r="EG153" i="2"/>
  <c r="DW153" i="2"/>
  <c r="DB153" i="2"/>
  <c r="DZ153" i="2"/>
  <c r="CR153" i="2"/>
  <c r="CS68" i="2" s="1" a="1"/>
  <c r="CS68" i="2" s="1"/>
  <c r="DE153" i="2"/>
  <c r="DL153" i="2"/>
  <c r="CG153" i="2"/>
  <c r="BV153" i="2"/>
  <c r="BO153" i="2"/>
  <c r="BK153" i="2"/>
  <c r="BW153" i="2"/>
  <c r="BX146" i="2" s="1" a="1"/>
  <c r="BX146" i="2" s="1"/>
  <c r="BL153" i="2"/>
  <c r="CQ153" i="2"/>
  <c r="CF153" i="2"/>
  <c r="BB153" i="2"/>
  <c r="BC26" i="2" s="1" a="1"/>
  <c r="BC26" i="2" s="1"/>
  <c r="BA153" i="2"/>
  <c r="AT153" i="2"/>
  <c r="EI18" i="2" a="1"/>
  <c r="EI18" i="2" s="1"/>
  <c r="DG152" i="2"/>
  <c r="GL152" i="2"/>
  <c r="GO151" i="2"/>
  <c r="BC136" i="2" a="1"/>
  <c r="BC136" i="2" s="1"/>
  <c r="BC37" i="2" a="1"/>
  <c r="BC37" i="2" s="1"/>
  <c r="EI73" i="2" a="1"/>
  <c r="EI73" i="2" s="1"/>
  <c r="GN152" i="2"/>
  <c r="FS152" i="2"/>
  <c r="HI152" i="2"/>
  <c r="EI83" i="2" a="1"/>
  <c r="EI83" i="2" s="1"/>
  <c r="EI124" i="2" a="1"/>
  <c r="EI124" i="2" s="1"/>
  <c r="BC111" i="2" a="1"/>
  <c r="BC111" i="2" s="1"/>
  <c r="CK152" i="2"/>
  <c r="CN151" i="2"/>
  <c r="HG152" i="2"/>
  <c r="HJ151" i="2"/>
  <c r="EV152" i="2"/>
  <c r="EY151" i="2"/>
  <c r="EI151" i="2" a="1"/>
  <c r="EI151" i="2" s="1"/>
  <c r="EI79" i="2" a="1"/>
  <c r="EI79" i="2" s="1"/>
  <c r="EA152" i="2"/>
  <c r="ED151" i="2"/>
  <c r="BC104" i="2" a="1"/>
  <c r="BC104" i="2" s="1"/>
  <c r="BC10" i="2" a="1"/>
  <c r="BC10" i="2" s="1"/>
  <c r="BC135" i="2" a="1"/>
  <c r="BC135" i="2" s="1"/>
  <c r="AA152" i="2"/>
  <c r="AB152" i="2"/>
  <c r="AP153" i="2"/>
  <c r="AF153" i="2"/>
  <c r="AQ153" i="2"/>
  <c r="AG153" i="2"/>
  <c r="AH136" i="2" s="1" a="1"/>
  <c r="AH136" i="2" s="1"/>
  <c r="V153" i="2"/>
  <c r="M53" i="2" a="1"/>
  <c r="M53" i="2" s="1"/>
  <c r="U153" i="2"/>
  <c r="Y153" i="2"/>
  <c r="AX149" i="2"/>
  <c r="AU150" i="2"/>
  <c r="AW151" i="2"/>
  <c r="AV150" i="2"/>
  <c r="AV151" i="2" s="1"/>
  <c r="Z152" i="2"/>
  <c r="AC151" i="2"/>
  <c r="H192" i="2" l="1"/>
  <c r="D193" i="2"/>
  <c r="G193" i="2" s="1"/>
  <c r="FY98" i="2" a="1"/>
  <c r="FY98" i="2" s="1"/>
  <c r="BC94" i="2" a="1"/>
  <c r="BC94" i="2" s="1"/>
  <c r="CS8" i="2" a="1"/>
  <c r="CS8" i="2" s="1"/>
  <c r="DN17" i="2" a="1"/>
  <c r="DN17" i="2" s="1"/>
  <c r="DN86" i="2" a="1"/>
  <c r="DN86" i="2" s="1"/>
  <c r="CS102" i="2" a="1"/>
  <c r="CS102" i="2" s="1"/>
  <c r="CS132" i="2" a="1"/>
  <c r="CS132" i="2" s="1"/>
  <c r="CS32" i="2" a="1"/>
  <c r="CS32" i="2" s="1"/>
  <c r="CS65" i="2" a="1"/>
  <c r="CS65" i="2" s="1"/>
  <c r="BX116" i="2" a="1"/>
  <c r="BX116" i="2" s="1"/>
  <c r="DN98" i="2" a="1"/>
  <c r="DN98" i="2" s="1"/>
  <c r="BC108" i="2" a="1"/>
  <c r="BC108" i="2" s="1"/>
  <c r="BC129" i="2" a="1"/>
  <c r="BC129" i="2" s="1"/>
  <c r="BC30" i="2" a="1"/>
  <c r="BC30" i="2" s="1"/>
  <c r="BC68" i="2" a="1"/>
  <c r="BC68" i="2" s="1"/>
  <c r="BX94" i="2" a="1"/>
  <c r="BX94" i="2" s="1"/>
  <c r="BC124" i="2" a="1"/>
  <c r="BC124" i="2" s="1"/>
  <c r="BX69" i="2" a="1"/>
  <c r="BX69" i="2" s="1"/>
  <c r="DN126" i="2" a="1"/>
  <c r="DN126" i="2" s="1"/>
  <c r="BC143" i="2" a="1"/>
  <c r="BC143" i="2" s="1"/>
  <c r="FY120" i="2" a="1"/>
  <c r="FY120" i="2" s="1"/>
  <c r="BX143" i="2" a="1"/>
  <c r="BX143" i="2" s="1"/>
  <c r="BX36" i="2" a="1"/>
  <c r="BX36" i="2" s="1"/>
  <c r="BX18" i="2" a="1"/>
  <c r="BX18" i="2" s="1"/>
  <c r="FD110" i="2" a="1"/>
  <c r="FD110" i="2" s="1"/>
  <c r="DN15" i="2" a="1"/>
  <c r="DN15" i="2" s="1"/>
  <c r="BX41" i="2" a="1"/>
  <c r="BX41" i="2" s="1"/>
  <c r="DN52" i="2" a="1"/>
  <c r="DN52" i="2" s="1"/>
  <c r="DN123" i="2" a="1"/>
  <c r="DN123" i="2" s="1"/>
  <c r="BX95" i="2" a="1"/>
  <c r="BX95" i="2" s="1"/>
  <c r="DN78" i="2" a="1"/>
  <c r="DN78" i="2" s="1"/>
  <c r="FD100" i="2" a="1"/>
  <c r="FD100" i="2" s="1"/>
  <c r="BX7" i="2" a="1"/>
  <c r="BX7" i="2" s="1"/>
  <c r="BX111" i="2" a="1"/>
  <c r="BX111" i="2" s="1"/>
  <c r="BX6" i="2" a="1"/>
  <c r="BX6" i="2" s="1"/>
  <c r="DN82" i="2" a="1"/>
  <c r="DN82" i="2" s="1"/>
  <c r="DN114" i="2" a="1"/>
  <c r="DN114" i="2" s="1"/>
  <c r="FD119" i="2" a="1"/>
  <c r="FD119" i="2" s="1"/>
  <c r="BX102" i="2" a="1"/>
  <c r="BX102" i="2" s="1"/>
  <c r="BX73" i="2" a="1"/>
  <c r="BX73" i="2" s="1"/>
  <c r="BX39" i="2" a="1"/>
  <c r="BX39" i="2" s="1"/>
  <c r="DN121" i="2" a="1"/>
  <c r="DN121" i="2" s="1"/>
  <c r="FD15" i="2" a="1"/>
  <c r="FD15" i="2" s="1"/>
  <c r="BX12" i="2" a="1"/>
  <c r="BX12" i="2" s="1"/>
  <c r="BX115" i="2" a="1"/>
  <c r="BX115" i="2" s="1"/>
  <c r="BX91" i="2" a="1"/>
  <c r="BX91" i="2" s="1"/>
  <c r="DN94" i="2" a="1"/>
  <c r="DN94" i="2" s="1"/>
  <c r="DN102" i="2" a="1"/>
  <c r="DN102" i="2" s="1"/>
  <c r="DN63" i="2" a="1"/>
  <c r="DN63" i="2" s="1"/>
  <c r="BX37" i="2" a="1"/>
  <c r="BX37" i="2" s="1"/>
  <c r="BX76" i="2" a="1"/>
  <c r="BX76" i="2" s="1"/>
  <c r="DN100" i="2" a="1"/>
  <c r="DN100" i="2" s="1"/>
  <c r="BX137" i="2" a="1"/>
  <c r="BX137" i="2" s="1"/>
  <c r="FD62" i="2" a="1"/>
  <c r="FD62" i="2" s="1"/>
  <c r="DN54" i="2" a="1"/>
  <c r="DN54" i="2" s="1"/>
  <c r="BX70" i="2" a="1"/>
  <c r="BX70" i="2" s="1"/>
  <c r="BX108" i="2" a="1"/>
  <c r="BX108" i="2" s="1"/>
  <c r="DN5" i="2" a="1"/>
  <c r="DN5" i="2" s="1"/>
  <c r="DN18" i="2" a="1"/>
  <c r="DN18" i="2" s="1"/>
  <c r="BX10" i="2" a="1"/>
  <c r="BX10" i="2" s="1"/>
  <c r="CS125" i="2" a="1"/>
  <c r="CS125" i="2" s="1"/>
  <c r="CS122" i="2" a="1"/>
  <c r="CS122" i="2" s="1"/>
  <c r="CS135" i="2" a="1"/>
  <c r="CS135" i="2" s="1"/>
  <c r="CS88" i="2" a="1"/>
  <c r="CS88" i="2" s="1"/>
  <c r="CS34" i="2" a="1"/>
  <c r="CS34" i="2" s="1"/>
  <c r="CS13" i="2" a="1"/>
  <c r="CS13" i="2" s="1"/>
  <c r="CS81" i="2" a="1"/>
  <c r="CS81" i="2" s="1"/>
  <c r="CS57" i="2" a="1"/>
  <c r="CS57" i="2" s="1"/>
  <c r="CS59" i="2" a="1"/>
  <c r="CS59" i="2" s="1"/>
  <c r="CS6" i="2" a="1"/>
  <c r="CS6" i="2" s="1"/>
  <c r="CS123" i="2" a="1"/>
  <c r="CS123" i="2" s="1"/>
  <c r="CS127" i="2" a="1"/>
  <c r="CS127" i="2" s="1"/>
  <c r="CS49" i="2" a="1"/>
  <c r="CS49" i="2" s="1"/>
  <c r="CS131" i="2" a="1"/>
  <c r="CS131" i="2" s="1"/>
  <c r="CS10" i="2" a="1"/>
  <c r="CS10" i="2" s="1"/>
  <c r="CS95" i="2" a="1"/>
  <c r="CS95" i="2" s="1"/>
  <c r="CS56" i="2" a="1"/>
  <c r="CS56" i="2" s="1"/>
  <c r="CS149" i="2" a="1"/>
  <c r="CS149" i="2" s="1"/>
  <c r="CS46" i="2" a="1"/>
  <c r="CS46" i="2" s="1"/>
  <c r="CS70" i="2" a="1"/>
  <c r="CS70" i="2" s="1"/>
  <c r="CS150" i="2" a="1"/>
  <c r="CS150" i="2" s="1"/>
  <c r="CS52" i="2" a="1"/>
  <c r="CS52" i="2" s="1"/>
  <c r="CS51" i="2" a="1"/>
  <c r="CS51" i="2" s="1"/>
  <c r="CS72" i="2" a="1"/>
  <c r="CS72" i="2" s="1"/>
  <c r="CS76" i="2" a="1"/>
  <c r="CS76" i="2" s="1"/>
  <c r="CS107" i="2" a="1"/>
  <c r="CS107" i="2" s="1"/>
  <c r="CS111" i="2" a="1"/>
  <c r="CS111" i="2" s="1"/>
  <c r="CS92" i="2" a="1"/>
  <c r="CS92" i="2" s="1"/>
  <c r="CS28" i="2" a="1"/>
  <c r="CS28" i="2" s="1"/>
  <c r="CS144" i="2" a="1"/>
  <c r="CS144" i="2" s="1"/>
  <c r="CS40" i="2" a="1"/>
  <c r="CS40" i="2" s="1"/>
  <c r="CS5" i="2" a="1"/>
  <c r="CS5" i="2" s="1"/>
  <c r="CS106" i="2" a="1"/>
  <c r="CS106" i="2" s="1"/>
  <c r="CS89" i="2" a="1"/>
  <c r="CS89" i="2" s="1"/>
  <c r="CS38" i="2" a="1"/>
  <c r="CS38" i="2" s="1"/>
  <c r="CS64" i="2" a="1"/>
  <c r="CS64" i="2" s="1"/>
  <c r="CS129" i="2" a="1"/>
  <c r="CS129" i="2" s="1"/>
  <c r="CS21" i="2" a="1"/>
  <c r="CS21" i="2" s="1"/>
  <c r="CS17" i="2" a="1"/>
  <c r="CS17" i="2" s="1"/>
  <c r="CS67" i="2" a="1"/>
  <c r="CS67" i="2" s="1"/>
  <c r="CS86" i="2" a="1"/>
  <c r="CS86" i="2" s="1"/>
  <c r="CS79" i="2" a="1"/>
  <c r="CS79" i="2" s="1"/>
  <c r="CS9" i="2" a="1"/>
  <c r="CS9" i="2" s="1"/>
  <c r="CS148" i="2" a="1"/>
  <c r="CS148" i="2" s="1"/>
  <c r="CS115" i="2" a="1"/>
  <c r="CS115" i="2" s="1"/>
  <c r="CS45" i="2" a="1"/>
  <c r="CS45" i="2" s="1"/>
  <c r="CS48" i="2" a="1"/>
  <c r="CS48" i="2" s="1"/>
  <c r="CS82" i="2" a="1"/>
  <c r="CS82" i="2" s="1"/>
  <c r="CS139" i="2" a="1"/>
  <c r="CS139" i="2" s="1"/>
  <c r="CS119" i="2" a="1"/>
  <c r="CS119" i="2" s="1"/>
  <c r="CS133" i="2" a="1"/>
  <c r="CS133" i="2" s="1"/>
  <c r="CS141" i="2" a="1"/>
  <c r="CS141" i="2" s="1"/>
  <c r="CS136" i="2" a="1"/>
  <c r="CS136" i="2" s="1"/>
  <c r="CS23" i="2" a="1"/>
  <c r="CS23" i="2" s="1"/>
  <c r="CS47" i="2" a="1"/>
  <c r="CS47" i="2" s="1"/>
  <c r="CS93" i="2" a="1"/>
  <c r="CS93" i="2" s="1"/>
  <c r="CS147" i="2" a="1"/>
  <c r="CS147" i="2" s="1"/>
  <c r="CS152" i="2" a="1"/>
  <c r="CS152" i="2" s="1"/>
  <c r="CS22" i="2" a="1"/>
  <c r="CS22" i="2" s="1"/>
  <c r="CS61" i="2" a="1"/>
  <c r="CS61" i="2" s="1"/>
  <c r="CS124" i="2" a="1"/>
  <c r="CS124" i="2" s="1"/>
  <c r="CS83" i="2" a="1"/>
  <c r="CS83" i="2" s="1"/>
  <c r="CS27" i="2" a="1"/>
  <c r="CS27" i="2" s="1"/>
  <c r="CS62" i="2" a="1"/>
  <c r="CS62" i="2" s="1"/>
  <c r="CS103" i="2" a="1"/>
  <c r="CS103" i="2" s="1"/>
  <c r="CS128" i="2" a="1"/>
  <c r="CS128" i="2" s="1"/>
  <c r="CS109" i="2" a="1"/>
  <c r="CS109" i="2" s="1"/>
  <c r="CS25" i="2" a="1"/>
  <c r="CS25" i="2" s="1"/>
  <c r="CS84" i="2" a="1"/>
  <c r="CS84" i="2" s="1"/>
  <c r="CS140" i="2" a="1"/>
  <c r="CS140" i="2" s="1"/>
  <c r="CS94" i="2" a="1"/>
  <c r="CS94" i="2" s="1"/>
  <c r="CS145" i="2" a="1"/>
  <c r="CS145" i="2" s="1"/>
  <c r="CS50" i="2" a="1"/>
  <c r="CS50" i="2" s="1"/>
  <c r="CS4" i="2" a="1"/>
  <c r="CS4" i="2" s="1"/>
  <c r="CS44" i="2" a="1"/>
  <c r="CS44" i="2" s="1"/>
  <c r="CS134" i="2" a="1"/>
  <c r="CS134" i="2" s="1"/>
  <c r="CS14" i="2" a="1"/>
  <c r="CS14" i="2" s="1"/>
  <c r="CS18" i="2" a="1"/>
  <c r="CS18" i="2" s="1"/>
  <c r="CS138" i="2" a="1"/>
  <c r="CS138" i="2" s="1"/>
  <c r="CS105" i="2" a="1"/>
  <c r="CS105" i="2" s="1"/>
  <c r="CS80" i="2" a="1"/>
  <c r="CS80" i="2" s="1"/>
  <c r="CS43" i="2" a="1"/>
  <c r="CS43" i="2" s="1"/>
  <c r="CS29" i="2" a="1"/>
  <c r="CS29" i="2" s="1"/>
  <c r="CT29" i="2" s="1"/>
  <c r="CS20" i="2" a="1"/>
  <c r="CS20" i="2" s="1"/>
  <c r="CS110" i="2" a="1"/>
  <c r="CS110" i="2" s="1"/>
  <c r="CS60" i="2" a="1"/>
  <c r="CS60" i="2" s="1"/>
  <c r="CS55" i="2" a="1"/>
  <c r="CS55" i="2" s="1"/>
  <c r="CS12" i="2" a="1"/>
  <c r="CS12" i="2" s="1"/>
  <c r="CS130" i="2" a="1"/>
  <c r="CS130" i="2" s="1"/>
  <c r="CS142" i="2" a="1"/>
  <c r="CS142" i="2" s="1"/>
  <c r="CS85" i="2" a="1"/>
  <c r="CS85" i="2" s="1"/>
  <c r="CS77" i="2" a="1"/>
  <c r="CS77" i="2" s="1"/>
  <c r="CS24" i="2" a="1"/>
  <c r="CS24" i="2" s="1"/>
  <c r="CS41" i="2" a="1"/>
  <c r="CS41" i="2" s="1"/>
  <c r="CS63" i="2" a="1"/>
  <c r="CS63" i="2" s="1"/>
  <c r="CS113" i="2" a="1"/>
  <c r="CS113" i="2" s="1"/>
  <c r="CS33" i="2" a="1"/>
  <c r="CS33" i="2" s="1"/>
  <c r="CS114" i="2" a="1"/>
  <c r="CS114" i="2" s="1"/>
  <c r="CS73" i="2" a="1"/>
  <c r="CS73" i="2" s="1"/>
  <c r="CS117" i="2" a="1"/>
  <c r="CS117" i="2" s="1"/>
  <c r="CS19" i="2" a="1"/>
  <c r="CS19" i="2" s="1"/>
  <c r="CS96" i="2" a="1"/>
  <c r="CS96" i="2" s="1"/>
  <c r="CS16" i="2" a="1"/>
  <c r="CS16" i="2" s="1"/>
  <c r="CS98" i="2" a="1"/>
  <c r="CS98" i="2" s="1"/>
  <c r="CS143" i="2" a="1"/>
  <c r="CS143" i="2" s="1"/>
  <c r="CS126" i="2" a="1"/>
  <c r="CS126" i="2" s="1"/>
  <c r="CS108" i="2" a="1"/>
  <c r="CS108" i="2" s="1"/>
  <c r="CS90" i="2" a="1"/>
  <c r="CS90" i="2" s="1"/>
  <c r="CS26" i="2" a="1"/>
  <c r="CS26" i="2" s="1"/>
  <c r="CS39" i="2" a="1"/>
  <c r="CS39" i="2" s="1"/>
  <c r="CS116" i="2" a="1"/>
  <c r="CS116" i="2" s="1"/>
  <c r="CS78" i="2" a="1"/>
  <c r="CS78" i="2" s="1"/>
  <c r="CS42" i="2" a="1"/>
  <c r="CS42" i="2" s="1"/>
  <c r="CS36" i="2" a="1"/>
  <c r="CS36" i="2" s="1"/>
  <c r="CS66" i="2" a="1"/>
  <c r="CS66" i="2" s="1"/>
  <c r="CS87" i="2" a="1"/>
  <c r="CS87" i="2" s="1"/>
  <c r="CS74" i="2" a="1"/>
  <c r="CS74" i="2" s="1"/>
  <c r="CS71" i="2" a="1"/>
  <c r="CS71" i="2" s="1"/>
  <c r="CS31" i="2" a="1"/>
  <c r="CS31" i="2" s="1"/>
  <c r="CS37" i="2" a="1"/>
  <c r="CS37" i="2" s="1"/>
  <c r="CS35" i="2" a="1"/>
  <c r="CS35" i="2" s="1"/>
  <c r="DN138" i="2" a="1"/>
  <c r="DN138" i="2" s="1"/>
  <c r="FD112" i="2" a="1"/>
  <c r="FD112" i="2" s="1"/>
  <c r="FD52" i="2" a="1"/>
  <c r="FD52" i="2" s="1"/>
  <c r="FD27" i="2" a="1"/>
  <c r="FD27" i="2" s="1"/>
  <c r="FY51" i="2" a="1"/>
  <c r="FY51" i="2" s="1"/>
  <c r="FY60" i="2" a="1"/>
  <c r="FY60" i="2" s="1"/>
  <c r="FY41" i="2" a="1"/>
  <c r="FY41" i="2" s="1"/>
  <c r="FY8" i="2" a="1"/>
  <c r="FY8" i="2" s="1"/>
  <c r="FY49" i="2" a="1"/>
  <c r="FY49" i="2" s="1"/>
  <c r="FY57" i="2" a="1"/>
  <c r="FY57" i="2" s="1"/>
  <c r="FY112" i="2" a="1"/>
  <c r="FY112" i="2" s="1"/>
  <c r="FY44" i="2" a="1"/>
  <c r="FY44" i="2" s="1"/>
  <c r="FY52" i="2" a="1"/>
  <c r="FY52" i="2" s="1"/>
  <c r="FY81" i="2" a="1"/>
  <c r="FY81" i="2" s="1"/>
  <c r="FY73" i="2" a="1"/>
  <c r="FY73" i="2" s="1"/>
  <c r="FY39" i="2" a="1"/>
  <c r="FY39" i="2" s="1"/>
  <c r="FY71" i="2" a="1"/>
  <c r="FY71" i="2" s="1"/>
  <c r="FY25" i="2" a="1"/>
  <c r="FY25" i="2" s="1"/>
  <c r="FY35" i="2" a="1"/>
  <c r="FY35" i="2" s="1"/>
  <c r="FY33" i="2" a="1"/>
  <c r="FY33" i="2" s="1"/>
  <c r="FY105" i="2" a="1"/>
  <c r="FY105" i="2" s="1"/>
  <c r="FY13" i="2" a="1"/>
  <c r="FY13" i="2" s="1"/>
  <c r="FY63" i="2" a="1"/>
  <c r="FY63" i="2" s="1"/>
  <c r="FY65" i="2" a="1"/>
  <c r="FY65" i="2" s="1"/>
  <c r="FY146" i="2" a="1"/>
  <c r="FY146" i="2" s="1"/>
  <c r="FY12" i="2" a="1"/>
  <c r="FY12" i="2" s="1"/>
  <c r="FY31" i="2" a="1"/>
  <c r="FY31" i="2" s="1"/>
  <c r="FY125" i="2" a="1"/>
  <c r="FY125" i="2" s="1"/>
  <c r="FY99" i="2" a="1"/>
  <c r="FY99" i="2" s="1"/>
  <c r="FY139" i="2" a="1"/>
  <c r="FY139" i="2" s="1"/>
  <c r="FY114" i="2" a="1"/>
  <c r="FY114" i="2" s="1"/>
  <c r="FY9" i="2" a="1"/>
  <c r="FY9" i="2" s="1"/>
  <c r="FY104" i="2" a="1"/>
  <c r="FY104" i="2" s="1"/>
  <c r="FY133" i="2" a="1"/>
  <c r="FY133" i="2" s="1"/>
  <c r="FY64" i="2" a="1"/>
  <c r="FY64" i="2" s="1"/>
  <c r="FY127" i="2" a="1"/>
  <c r="FY127" i="2" s="1"/>
  <c r="FY147" i="2" a="1"/>
  <c r="FY147" i="2" s="1"/>
  <c r="FY97" i="2" a="1"/>
  <c r="FY97" i="2" s="1"/>
  <c r="FY4" i="2" a="1"/>
  <c r="FY4" i="2" s="1"/>
  <c r="FZ4" i="2" s="1"/>
  <c r="FY85" i="2" a="1"/>
  <c r="FY85" i="2" s="1"/>
  <c r="FY124" i="2" a="1"/>
  <c r="FY124" i="2" s="1"/>
  <c r="FY141" i="2" a="1"/>
  <c r="FY141" i="2" s="1"/>
  <c r="FY28" i="2" a="1"/>
  <c r="FY28" i="2" s="1"/>
  <c r="FY83" i="2" a="1"/>
  <c r="FY83" i="2" s="1"/>
  <c r="FY132" i="2" a="1"/>
  <c r="FY132" i="2" s="1"/>
  <c r="FY100" i="2" a="1"/>
  <c r="FY100" i="2" s="1"/>
  <c r="FY122" i="2" a="1"/>
  <c r="FY122" i="2" s="1"/>
  <c r="FY68" i="2" a="1"/>
  <c r="FY68" i="2" s="1"/>
  <c r="FY24" i="2" a="1"/>
  <c r="FY24" i="2" s="1"/>
  <c r="FY93" i="2" a="1"/>
  <c r="FY93" i="2" s="1"/>
  <c r="FY128" i="2" a="1"/>
  <c r="FY128" i="2" s="1"/>
  <c r="FY145" i="2" a="1"/>
  <c r="FY145" i="2" s="1"/>
  <c r="FY150" i="2" a="1"/>
  <c r="FY150" i="2" s="1"/>
  <c r="FY119" i="2" a="1"/>
  <c r="FY119" i="2" s="1"/>
  <c r="FY45" i="2" a="1"/>
  <c r="FY45" i="2" s="1"/>
  <c r="FY67" i="2" a="1"/>
  <c r="FY67" i="2" s="1"/>
  <c r="FY89" i="2" a="1"/>
  <c r="FY89" i="2" s="1"/>
  <c r="FY92" i="2" a="1"/>
  <c r="FY92" i="2" s="1"/>
  <c r="FY91" i="2" a="1"/>
  <c r="FY91" i="2" s="1"/>
  <c r="FY47" i="2" a="1"/>
  <c r="FY47" i="2" s="1"/>
  <c r="FY18" i="2" a="1"/>
  <c r="FY18" i="2" s="1"/>
  <c r="FY34" i="2" a="1"/>
  <c r="FY34" i="2" s="1"/>
  <c r="FY121" i="2" a="1"/>
  <c r="FY121" i="2" s="1"/>
  <c r="FY14" i="2" a="1"/>
  <c r="FY14" i="2" s="1"/>
  <c r="FY17" i="2" a="1"/>
  <c r="FY17" i="2" s="1"/>
  <c r="FY66" i="2" a="1"/>
  <c r="FY66" i="2" s="1"/>
  <c r="FY75" i="2" a="1"/>
  <c r="FY75" i="2" s="1"/>
  <c r="FY143" i="2" a="1"/>
  <c r="FY143" i="2" s="1"/>
  <c r="FY116" i="2" a="1"/>
  <c r="FY116" i="2" s="1"/>
  <c r="FY19" i="2" a="1"/>
  <c r="FY19" i="2" s="1"/>
  <c r="FY126" i="2" a="1"/>
  <c r="FY126" i="2" s="1"/>
  <c r="FY15" i="2" a="1"/>
  <c r="FY15" i="2" s="1"/>
  <c r="FY144" i="2" a="1"/>
  <c r="FY144" i="2" s="1"/>
  <c r="FY138" i="2" a="1"/>
  <c r="FY138" i="2" s="1"/>
  <c r="FY26" i="2" a="1"/>
  <c r="FY26" i="2" s="1"/>
  <c r="FY148" i="2" a="1"/>
  <c r="FY148" i="2" s="1"/>
  <c r="FY62" i="2" a="1"/>
  <c r="FY62" i="2" s="1"/>
  <c r="FY95" i="2" a="1"/>
  <c r="FY95" i="2" s="1"/>
  <c r="FY30" i="2" a="1"/>
  <c r="FY30" i="2" s="1"/>
  <c r="FY129" i="2" a="1"/>
  <c r="FY129" i="2" s="1"/>
  <c r="FY108" i="2" a="1"/>
  <c r="FY108" i="2" s="1"/>
  <c r="FY69" i="2" a="1"/>
  <c r="FY69" i="2" s="1"/>
  <c r="FY113" i="2" a="1"/>
  <c r="FY113" i="2" s="1"/>
  <c r="FY5" i="2" a="1"/>
  <c r="FY5" i="2" s="1"/>
  <c r="FY43" i="2" a="1"/>
  <c r="FY43" i="2" s="1"/>
  <c r="FY80" i="2" a="1"/>
  <c r="FY80" i="2" s="1"/>
  <c r="FY140" i="2" a="1"/>
  <c r="FY140" i="2" s="1"/>
  <c r="FY21" i="2" a="1"/>
  <c r="FY21" i="2" s="1"/>
  <c r="FY94" i="2" a="1"/>
  <c r="FY94" i="2" s="1"/>
  <c r="FY20" i="2" a="1"/>
  <c r="FY20" i="2" s="1"/>
  <c r="FY123" i="2" a="1"/>
  <c r="FY123" i="2" s="1"/>
  <c r="FY23" i="2" a="1"/>
  <c r="FY23" i="2" s="1"/>
  <c r="FY40" i="2" a="1"/>
  <c r="FY40" i="2" s="1"/>
  <c r="FY61" i="2" a="1"/>
  <c r="FY61" i="2" s="1"/>
  <c r="FY103" i="2" a="1"/>
  <c r="FY103" i="2" s="1"/>
  <c r="FY11" i="2" a="1"/>
  <c r="FY11" i="2" s="1"/>
  <c r="FY109" i="2" a="1"/>
  <c r="FY109" i="2" s="1"/>
  <c r="FY77" i="2" a="1"/>
  <c r="FY77" i="2" s="1"/>
  <c r="FY88" i="2" a="1"/>
  <c r="FY88" i="2" s="1"/>
  <c r="FY79" i="2" a="1"/>
  <c r="FY79" i="2" s="1"/>
  <c r="FY131" i="2" a="1"/>
  <c r="FY131" i="2" s="1"/>
  <c r="FY76" i="2" a="1"/>
  <c r="FY76" i="2" s="1"/>
  <c r="FY84" i="2" a="1"/>
  <c r="FY84" i="2" s="1"/>
  <c r="FY137" i="2" a="1"/>
  <c r="FY137" i="2" s="1"/>
  <c r="FY117" i="2" a="1"/>
  <c r="FY117" i="2" s="1"/>
  <c r="FY27" i="2" a="1"/>
  <c r="FY27" i="2" s="1"/>
  <c r="FY16" i="2" a="1"/>
  <c r="FY16" i="2" s="1"/>
  <c r="FY74" i="2" a="1"/>
  <c r="FY74" i="2" s="1"/>
  <c r="FY82" i="2" a="1"/>
  <c r="FY82" i="2" s="1"/>
  <c r="FY142" i="2" a="1"/>
  <c r="FY142" i="2" s="1"/>
  <c r="FY72" i="2" a="1"/>
  <c r="FY72" i="2" s="1"/>
  <c r="FY101" i="2" a="1"/>
  <c r="FY101" i="2" s="1"/>
  <c r="FY48" i="2" a="1"/>
  <c r="FY48" i="2" s="1"/>
  <c r="FY136" i="2" a="1"/>
  <c r="FY136" i="2" s="1"/>
  <c r="FY46" i="2" a="1"/>
  <c r="FY46" i="2" s="1"/>
  <c r="FY38" i="2" a="1"/>
  <c r="FY38" i="2" s="1"/>
  <c r="FY78" i="2" a="1"/>
  <c r="FY78" i="2" s="1"/>
  <c r="FY6" i="2" a="1"/>
  <c r="FY6" i="2" s="1"/>
  <c r="DN31" i="2" a="1"/>
  <c r="DN31" i="2" s="1"/>
  <c r="DN40" i="2" a="1"/>
  <c r="DN40" i="2" s="1"/>
  <c r="DN115" i="2" a="1"/>
  <c r="DN115" i="2" s="1"/>
  <c r="DN84" i="2" a="1"/>
  <c r="DN84" i="2" s="1"/>
  <c r="DN6" i="2" a="1"/>
  <c r="DN6" i="2" s="1"/>
  <c r="EI42" i="2" a="1"/>
  <c r="EI42" i="2" s="1"/>
  <c r="EI39" i="2" a="1"/>
  <c r="EI39" i="2" s="1"/>
  <c r="EI88" i="2" a="1"/>
  <c r="EI88" i="2" s="1"/>
  <c r="EI56" i="2" a="1"/>
  <c r="EI56" i="2" s="1"/>
  <c r="EI106" i="2" a="1"/>
  <c r="EI106" i="2" s="1"/>
  <c r="EI36" i="2" a="1"/>
  <c r="EI36" i="2" s="1"/>
  <c r="EI110" i="2" a="1"/>
  <c r="EI110" i="2" s="1"/>
  <c r="EI26" i="2" a="1"/>
  <c r="EI26" i="2" s="1"/>
  <c r="EI139" i="2" a="1"/>
  <c r="EI139" i="2" s="1"/>
  <c r="EI58" i="2" a="1"/>
  <c r="EI58" i="2" s="1"/>
  <c r="EI130" i="2" a="1"/>
  <c r="EI130" i="2" s="1"/>
  <c r="EI70" i="2" a="1"/>
  <c r="EI70" i="2" s="1"/>
  <c r="EI93" i="2" a="1"/>
  <c r="EI93" i="2" s="1"/>
  <c r="EI32" i="2" a="1"/>
  <c r="EI32" i="2" s="1"/>
  <c r="EI9" i="2" a="1"/>
  <c r="EI9" i="2" s="1"/>
  <c r="EI111" i="2" a="1"/>
  <c r="EI111" i="2" s="1"/>
  <c r="EI27" i="2" a="1"/>
  <c r="EI27" i="2" s="1"/>
  <c r="EI71" i="2" a="1"/>
  <c r="EI71" i="2" s="1"/>
  <c r="EI30" i="2" a="1"/>
  <c r="EI30" i="2" s="1"/>
  <c r="EI19" i="2" a="1"/>
  <c r="EI19" i="2" s="1"/>
  <c r="EI148" i="2" a="1"/>
  <c r="EI148" i="2" s="1"/>
  <c r="EI13" i="2" a="1"/>
  <c r="EI13" i="2" s="1"/>
  <c r="EI78" i="2" a="1"/>
  <c r="EI78" i="2" s="1"/>
  <c r="EI89" i="2" a="1"/>
  <c r="EI89" i="2" s="1"/>
  <c r="EI5" i="2" a="1"/>
  <c r="EI5" i="2" s="1"/>
  <c r="EI25" i="2" a="1"/>
  <c r="EI25" i="2" s="1"/>
  <c r="EI127" i="2" a="1"/>
  <c r="EI127" i="2" s="1"/>
  <c r="EI43" i="2" a="1"/>
  <c r="EI43" i="2" s="1"/>
  <c r="EI92" i="2" a="1"/>
  <c r="EI92" i="2" s="1"/>
  <c r="EI95" i="2" a="1"/>
  <c r="EI95" i="2" s="1"/>
  <c r="EI16" i="2" a="1"/>
  <c r="EI16" i="2" s="1"/>
  <c r="EI21" i="2" a="1"/>
  <c r="EI21" i="2" s="1"/>
  <c r="EI118" i="2" a="1"/>
  <c r="EI118" i="2" s="1"/>
  <c r="EI141" i="2" a="1"/>
  <c r="EI141" i="2" s="1"/>
  <c r="EI14" i="2" a="1"/>
  <c r="EI14" i="2" s="1"/>
  <c r="EI109" i="2" a="1"/>
  <c r="EI109" i="2" s="1"/>
  <c r="EI76" i="2" a="1"/>
  <c r="EI76" i="2" s="1"/>
  <c r="EI114" i="2" a="1"/>
  <c r="EI114" i="2" s="1"/>
  <c r="EI50" i="2" a="1"/>
  <c r="EI50" i="2" s="1"/>
  <c r="EI38" i="2" a="1"/>
  <c r="EI38" i="2" s="1"/>
  <c r="EI49" i="2" a="1"/>
  <c r="EI49" i="2" s="1"/>
  <c r="EI97" i="2" a="1"/>
  <c r="EI97" i="2" s="1"/>
  <c r="EI8" i="2" a="1"/>
  <c r="EI8" i="2" s="1"/>
  <c r="EI123" i="2" a="1"/>
  <c r="EI123" i="2" s="1"/>
  <c r="EI59" i="2" a="1"/>
  <c r="EI59" i="2" s="1"/>
  <c r="EI62" i="2" a="1"/>
  <c r="EI62" i="2" s="1"/>
  <c r="EI68" i="2" a="1"/>
  <c r="EI68" i="2" s="1"/>
  <c r="EI34" i="2" a="1"/>
  <c r="EI34" i="2" s="1"/>
  <c r="EI29" i="2" a="1"/>
  <c r="EI29" i="2" s="1"/>
  <c r="EI145" i="2" a="1"/>
  <c r="EI145" i="2" s="1"/>
  <c r="EI31" i="2" a="1"/>
  <c r="EI31" i="2" s="1"/>
  <c r="EI60" i="2" a="1"/>
  <c r="EI60" i="2" s="1"/>
  <c r="EI132" i="2" a="1"/>
  <c r="EI132" i="2" s="1"/>
  <c r="EI147" i="2" a="1"/>
  <c r="EI147" i="2" s="1"/>
  <c r="EI10" i="2" a="1"/>
  <c r="EI10" i="2" s="1"/>
  <c r="EI119" i="2" a="1"/>
  <c r="EI119" i="2" s="1"/>
  <c r="EI115" i="2" a="1"/>
  <c r="EI115" i="2" s="1"/>
  <c r="EI6" i="2" a="1"/>
  <c r="EI6" i="2" s="1"/>
  <c r="EI22" i="2" a="1"/>
  <c r="EI22" i="2" s="1"/>
  <c r="EI126" i="2" a="1"/>
  <c r="EI126" i="2" s="1"/>
  <c r="EI86" i="2" a="1"/>
  <c r="EI86" i="2" s="1"/>
  <c r="EI66" i="2" a="1"/>
  <c r="EI66" i="2" s="1"/>
  <c r="EI20" i="2" a="1"/>
  <c r="EI20" i="2" s="1"/>
  <c r="EI129" i="2" a="1"/>
  <c r="EI129" i="2" s="1"/>
  <c r="EI125" i="2" a="1"/>
  <c r="EI125" i="2" s="1"/>
  <c r="EI121" i="2" a="1"/>
  <c r="EI121" i="2" s="1"/>
  <c r="EI104" i="2" a="1"/>
  <c r="EI104" i="2" s="1"/>
  <c r="EI150" i="2" a="1"/>
  <c r="EI150" i="2" s="1"/>
  <c r="EI37" i="2" a="1"/>
  <c r="EI37" i="2" s="1"/>
  <c r="EI75" i="2" a="1"/>
  <c r="EI75" i="2" s="1"/>
  <c r="EI102" i="2" a="1"/>
  <c r="EI102" i="2" s="1"/>
  <c r="EI67" i="2" a="1"/>
  <c r="EI67" i="2" s="1"/>
  <c r="EI152" i="2" a="1"/>
  <c r="EI152" i="2" s="1"/>
  <c r="FD49" i="2" a="1"/>
  <c r="FD49" i="2" s="1"/>
  <c r="FD146" i="2" a="1"/>
  <c r="FD146" i="2" s="1"/>
  <c r="FD102" i="2" a="1"/>
  <c r="FD102" i="2" s="1"/>
  <c r="FD29" i="2" a="1"/>
  <c r="FD29" i="2" s="1"/>
  <c r="FD98" i="2" a="1"/>
  <c r="FD98" i="2" s="1"/>
  <c r="FD64" i="2" a="1"/>
  <c r="FD64" i="2" s="1"/>
  <c r="FD104" i="2" a="1"/>
  <c r="FD104" i="2" s="1"/>
  <c r="FD107" i="2" a="1"/>
  <c r="FD107" i="2" s="1"/>
  <c r="FD40" i="2" a="1"/>
  <c r="FD40" i="2" s="1"/>
  <c r="FD101" i="2" a="1"/>
  <c r="FD101" i="2" s="1"/>
  <c r="FD53" i="2" a="1"/>
  <c r="FD53" i="2" s="1"/>
  <c r="FD81" i="2" a="1"/>
  <c r="FD81" i="2" s="1"/>
  <c r="DN91" i="2" a="1"/>
  <c r="DN91" i="2" s="1"/>
  <c r="DN66" i="2" a="1"/>
  <c r="DN66" i="2" s="1"/>
  <c r="DN36" i="2" a="1"/>
  <c r="DN36" i="2" s="1"/>
  <c r="DN4" i="2" a="1"/>
  <c r="DN4" i="2" s="1"/>
  <c r="DN107" i="2" a="1"/>
  <c r="DN107" i="2" s="1"/>
  <c r="EI46" i="2" a="1"/>
  <c r="EI46" i="2" s="1"/>
  <c r="EI48" i="2" a="1"/>
  <c r="EI48" i="2" s="1"/>
  <c r="EI74" i="2" a="1"/>
  <c r="EI74" i="2" s="1"/>
  <c r="EI82" i="2" a="1"/>
  <c r="EI82" i="2" s="1"/>
  <c r="EW153" i="2"/>
  <c r="EW154" i="2" s="1"/>
  <c r="EW155" i="2" s="1"/>
  <c r="EW156" i="2" s="1"/>
  <c r="EW157" i="2" s="1"/>
  <c r="EW158" i="2" s="1"/>
  <c r="EW159" i="2" s="1"/>
  <c r="EW160" i="2" s="1"/>
  <c r="EW161" i="2" s="1"/>
  <c r="EW162" i="2" s="1"/>
  <c r="EW163" i="2" s="1"/>
  <c r="EW164" i="2" s="1"/>
  <c r="EW165" i="2" s="1"/>
  <c r="EW166" i="2" s="1"/>
  <c r="EW167" i="2" s="1"/>
  <c r="EW168" i="2" s="1"/>
  <c r="EW169" i="2" s="1"/>
  <c r="EW170" i="2" s="1"/>
  <c r="EW171" i="2" s="1"/>
  <c r="EW172" i="2" s="1"/>
  <c r="EW173" i="2" s="1"/>
  <c r="EW174" i="2" s="1"/>
  <c r="EW175" i="2" s="1"/>
  <c r="EW176" i="2" s="1"/>
  <c r="EW177" i="2" s="1"/>
  <c r="EW178" i="2" s="1"/>
  <c r="EW179" i="2" s="1"/>
  <c r="EW180" i="2" s="1"/>
  <c r="EW181" i="2" s="1"/>
  <c r="EW182" i="2" s="1"/>
  <c r="EW183" i="2" s="1"/>
  <c r="EW184" i="2" s="1"/>
  <c r="EW185" i="2" s="1"/>
  <c r="EW186" i="2" s="1"/>
  <c r="EW187" i="2" s="1"/>
  <c r="EW188" i="2" s="1"/>
  <c r="EW189" i="2" s="1"/>
  <c r="EW190" i="2" s="1"/>
  <c r="EW191" i="2" s="1"/>
  <c r="EW192" i="2" s="1"/>
  <c r="EW193" i="2" s="1"/>
  <c r="EW194" i="2" s="1"/>
  <c r="EW195" i="2" s="1"/>
  <c r="EW196" i="2" s="1"/>
  <c r="EW197" i="2" s="1"/>
  <c r="EW198" i="2" s="1"/>
  <c r="EW199" i="2" s="1"/>
  <c r="EW200" i="2" s="1"/>
  <c r="EW201" i="2" s="1"/>
  <c r="EW202" i="2" s="1"/>
  <c r="EW203" i="2" s="1"/>
  <c r="FY7" i="2" a="1"/>
  <c r="FY7" i="2" s="1"/>
  <c r="GT125" i="2" a="1"/>
  <c r="GT125" i="2" s="1"/>
  <c r="FY59" i="2" a="1"/>
  <c r="FY59" i="2" s="1"/>
  <c r="FY130" i="2" a="1"/>
  <c r="FY130" i="2" s="1"/>
  <c r="FY134" i="2" a="1"/>
  <c r="FY134" i="2" s="1"/>
  <c r="FY55" i="2" a="1"/>
  <c r="FY55" i="2" s="1"/>
  <c r="FY86" i="2" a="1"/>
  <c r="FY86" i="2" s="1"/>
  <c r="FY36" i="2" a="1"/>
  <c r="FY36" i="2" s="1"/>
  <c r="FY90" i="2" a="1"/>
  <c r="FY90" i="2" s="1"/>
  <c r="FY10" i="2" a="1"/>
  <c r="FY10" i="2" s="1"/>
  <c r="FY107" i="2" a="1"/>
  <c r="FY107" i="2" s="1"/>
  <c r="FY110" i="2" a="1"/>
  <c r="FY110" i="2" s="1"/>
  <c r="GT21" i="2" a="1"/>
  <c r="GT21" i="2" s="1"/>
  <c r="GT100" i="2" a="1"/>
  <c r="GT100" i="2" s="1"/>
  <c r="GT22" i="2" a="1"/>
  <c r="GT22" i="2" s="1"/>
  <c r="GT108" i="2" a="1"/>
  <c r="GT108" i="2" s="1"/>
  <c r="GT106" i="2" a="1"/>
  <c r="GT106" i="2" s="1"/>
  <c r="GT135" i="2" a="1"/>
  <c r="GT135" i="2" s="1"/>
  <c r="GT36" i="2" a="1"/>
  <c r="GT36" i="2" s="1"/>
  <c r="GT126" i="2" a="1"/>
  <c r="GT126" i="2" s="1"/>
  <c r="GT53" i="2" a="1"/>
  <c r="GT53" i="2" s="1"/>
  <c r="GT5" i="2" a="1"/>
  <c r="GT5" i="2" s="1"/>
  <c r="GT33" i="2" a="1"/>
  <c r="GT33" i="2" s="1"/>
  <c r="GT7" i="2" a="1"/>
  <c r="GT7" i="2" s="1"/>
  <c r="GT26" i="2" a="1"/>
  <c r="GT26" i="2" s="1"/>
  <c r="GT82" i="2" a="1"/>
  <c r="GT82" i="2" s="1"/>
  <c r="GT15" i="2" a="1"/>
  <c r="GT15" i="2" s="1"/>
  <c r="GT17" i="2" a="1"/>
  <c r="GT17" i="2" s="1"/>
  <c r="GT30" i="2" a="1"/>
  <c r="GT30" i="2" s="1"/>
  <c r="GT62" i="2" a="1"/>
  <c r="GT62" i="2" s="1"/>
  <c r="FY106" i="2" a="1"/>
  <c r="FY106" i="2" s="1"/>
  <c r="GT35" i="2" a="1"/>
  <c r="GT35" i="2" s="1"/>
  <c r="GT57" i="2" a="1"/>
  <c r="GT57" i="2" s="1"/>
  <c r="GT111" i="2" a="1"/>
  <c r="GT111" i="2" s="1"/>
  <c r="GT71" i="2" a="1"/>
  <c r="GT71" i="2" s="1"/>
  <c r="GT47" i="2" a="1"/>
  <c r="GT47" i="2" s="1"/>
  <c r="HH153" i="2"/>
  <c r="HH154" i="2" s="1"/>
  <c r="HH155" i="2" s="1"/>
  <c r="HH156" i="2" s="1"/>
  <c r="HH157" i="2" s="1"/>
  <c r="HH158" i="2" s="1"/>
  <c r="HH159" i="2" s="1"/>
  <c r="HH160" i="2" s="1"/>
  <c r="HH161" i="2" s="1"/>
  <c r="HH162" i="2" s="1"/>
  <c r="HH163" i="2" s="1"/>
  <c r="HH164" i="2" s="1"/>
  <c r="HH165" i="2" s="1"/>
  <c r="HH166" i="2" s="1"/>
  <c r="HH167" i="2" s="1"/>
  <c r="HH168" i="2" s="1"/>
  <c r="HH169" i="2" s="1"/>
  <c r="HH170" i="2" s="1"/>
  <c r="HH171" i="2" s="1"/>
  <c r="HH172" i="2" s="1"/>
  <c r="HH173" i="2" s="1"/>
  <c r="HH174" i="2" s="1"/>
  <c r="HH175" i="2" s="1"/>
  <c r="HH176" i="2" s="1"/>
  <c r="HH177" i="2" s="1"/>
  <c r="HH178" i="2" s="1"/>
  <c r="HH179" i="2" s="1"/>
  <c r="HH180" i="2" s="1"/>
  <c r="HH181" i="2" s="1"/>
  <c r="HH182" i="2" s="1"/>
  <c r="HH183" i="2" s="1"/>
  <c r="HH184" i="2" s="1"/>
  <c r="HH185" i="2" s="1"/>
  <c r="HH186" i="2" s="1"/>
  <c r="HH187" i="2" s="1"/>
  <c r="HH188" i="2" s="1"/>
  <c r="HH189" i="2" s="1"/>
  <c r="HH190" i="2" s="1"/>
  <c r="HH191" i="2" s="1"/>
  <c r="HH192" i="2" s="1"/>
  <c r="HH193" i="2" s="1"/>
  <c r="HH194" i="2" s="1"/>
  <c r="HH195" i="2" s="1"/>
  <c r="HH196" i="2" s="1"/>
  <c r="HH197" i="2" s="1"/>
  <c r="HH198" i="2" s="1"/>
  <c r="HH199" i="2" s="1"/>
  <c r="HH200" i="2" s="1"/>
  <c r="HH201" i="2" s="1"/>
  <c r="HH202" i="2" s="1"/>
  <c r="HH203" i="2" s="1"/>
  <c r="BC153" i="2" a="1"/>
  <c r="BC153" i="2" s="1"/>
  <c r="BC105" i="2" a="1"/>
  <c r="BC105" i="2" s="1"/>
  <c r="BC81" i="2" a="1"/>
  <c r="BC81" i="2" s="1"/>
  <c r="BC91" i="2" a="1"/>
  <c r="BC91" i="2" s="1"/>
  <c r="BC29" i="2" a="1"/>
  <c r="BC29" i="2" s="1"/>
  <c r="BD29" i="2" s="1"/>
  <c r="BC80" i="2" a="1"/>
  <c r="BC80" i="2" s="1"/>
  <c r="BC59" i="2" a="1"/>
  <c r="BC59" i="2" s="1"/>
  <c r="BC127" i="2" a="1"/>
  <c r="BC127" i="2" s="1"/>
  <c r="BC8" i="2" a="1"/>
  <c r="BC8" i="2" s="1"/>
  <c r="BC40" i="2" a="1"/>
  <c r="BC40" i="2" s="1"/>
  <c r="BC86" i="2" a="1"/>
  <c r="BC86" i="2" s="1"/>
  <c r="BC11" i="2" a="1"/>
  <c r="BC11" i="2" s="1"/>
  <c r="BC60" i="2" a="1"/>
  <c r="BC60" i="2" s="1"/>
  <c r="BC114" i="2" a="1"/>
  <c r="BC114" i="2" s="1"/>
  <c r="BC46" i="2" a="1"/>
  <c r="BC46" i="2" s="1"/>
  <c r="BC112" i="2" a="1"/>
  <c r="BC112" i="2" s="1"/>
  <c r="BC133" i="2" a="1"/>
  <c r="BC133" i="2" s="1"/>
  <c r="BC49" i="2" a="1"/>
  <c r="BC49" i="2" s="1"/>
  <c r="BC84" i="2" a="1"/>
  <c r="BC84" i="2" s="1"/>
  <c r="BC41" i="2" a="1"/>
  <c r="BC41" i="2" s="1"/>
  <c r="BC66" i="2" a="1"/>
  <c r="BC66" i="2" s="1"/>
  <c r="BC82" i="2" a="1"/>
  <c r="BC82" i="2" s="1"/>
  <c r="BC75" i="2" a="1"/>
  <c r="BC75" i="2" s="1"/>
  <c r="BC63" i="2" a="1"/>
  <c r="BC63" i="2" s="1"/>
  <c r="BC115" i="2" a="1"/>
  <c r="BC115" i="2" s="1"/>
  <c r="BC74" i="2" a="1"/>
  <c r="BC74" i="2" s="1"/>
  <c r="BC78" i="2" a="1"/>
  <c r="BC78" i="2" s="1"/>
  <c r="BC16" i="2" a="1"/>
  <c r="BC16" i="2" s="1"/>
  <c r="BC93" i="2" a="1"/>
  <c r="BC93" i="2" s="1"/>
  <c r="BC19" i="2" a="1"/>
  <c r="BC19" i="2" s="1"/>
  <c r="BC83" i="2" a="1"/>
  <c r="BC83" i="2" s="1"/>
  <c r="BC27" i="2" a="1"/>
  <c r="BC27" i="2" s="1"/>
  <c r="BC23" i="2" a="1"/>
  <c r="BC23" i="2" s="1"/>
  <c r="BC38" i="2" a="1"/>
  <c r="BC38" i="2" s="1"/>
  <c r="BC106" i="2" a="1"/>
  <c r="BC106" i="2" s="1"/>
  <c r="BC152" i="2" a="1"/>
  <c r="BC152" i="2" s="1"/>
  <c r="BC58" i="2" a="1"/>
  <c r="BC58" i="2" s="1"/>
  <c r="BC142" i="2" a="1"/>
  <c r="BC142" i="2" s="1"/>
  <c r="BC6" i="2" a="1"/>
  <c r="BC6" i="2" s="1"/>
  <c r="BC116" i="2" a="1"/>
  <c r="BC116" i="2" s="1"/>
  <c r="BC52" i="2" a="1"/>
  <c r="BC52" i="2" s="1"/>
  <c r="BC123" i="2" a="1"/>
  <c r="BC123" i="2" s="1"/>
  <c r="BC121" i="2" a="1"/>
  <c r="BC121" i="2" s="1"/>
  <c r="BC132" i="2" a="1"/>
  <c r="BC132" i="2" s="1"/>
  <c r="BC34" i="2" a="1"/>
  <c r="BC34" i="2" s="1"/>
  <c r="BC150" i="2" a="1"/>
  <c r="BC150" i="2" s="1"/>
  <c r="BC33" i="2" a="1"/>
  <c r="BC33" i="2" s="1"/>
  <c r="BC117" i="2" a="1"/>
  <c r="BC117" i="2" s="1"/>
  <c r="BC54" i="2" a="1"/>
  <c r="BC54" i="2" s="1"/>
  <c r="BC14" i="2" a="1"/>
  <c r="BC14" i="2" s="1"/>
  <c r="BC130" i="2" a="1"/>
  <c r="BC130" i="2" s="1"/>
  <c r="BC125" i="2" a="1"/>
  <c r="BC125" i="2" s="1"/>
  <c r="BC72" i="2" a="1"/>
  <c r="BC72" i="2" s="1"/>
  <c r="BC97" i="2" a="1"/>
  <c r="BC97" i="2" s="1"/>
  <c r="BC48" i="2" a="1"/>
  <c r="BC48" i="2" s="1"/>
  <c r="BC13" i="2" a="1"/>
  <c r="BC13" i="2" s="1"/>
  <c r="BC101" i="2" a="1"/>
  <c r="BC101" i="2" s="1"/>
  <c r="BC118" i="2" a="1"/>
  <c r="BC118" i="2" s="1"/>
  <c r="BC42" i="2" a="1"/>
  <c r="BC42" i="2" s="1"/>
  <c r="BC18" i="2" a="1"/>
  <c r="BC18" i="2" s="1"/>
  <c r="BC70" i="2" a="1"/>
  <c r="BC70" i="2" s="1"/>
  <c r="BC85" i="2" a="1"/>
  <c r="BC85" i="2" s="1"/>
  <c r="BC50" i="2" a="1"/>
  <c r="BC50" i="2" s="1"/>
  <c r="BC149" i="2" a="1"/>
  <c r="BC149" i="2" s="1"/>
  <c r="BC119" i="2" a="1"/>
  <c r="BC119" i="2" s="1"/>
  <c r="BC17" i="2" a="1"/>
  <c r="BC17" i="2" s="1"/>
  <c r="BC22" i="2" a="1"/>
  <c r="BC22" i="2" s="1"/>
  <c r="BC100" i="2" a="1"/>
  <c r="BC100" i="2" s="1"/>
  <c r="BC92" i="2" a="1"/>
  <c r="BC92" i="2" s="1"/>
  <c r="BC90" i="2" a="1"/>
  <c r="BC90" i="2" s="1"/>
  <c r="BC109" i="2" a="1"/>
  <c r="BC109" i="2" s="1"/>
  <c r="BC47" i="2" a="1"/>
  <c r="BC47" i="2" s="1"/>
  <c r="BC96" i="2" a="1"/>
  <c r="BC96" i="2" s="1"/>
  <c r="BC79" i="2" a="1"/>
  <c r="BC79" i="2" s="1"/>
  <c r="BC51" i="2" a="1"/>
  <c r="BC51" i="2" s="1"/>
  <c r="BC103" i="2" a="1"/>
  <c r="BC103" i="2" s="1"/>
  <c r="BC87" i="2" a="1"/>
  <c r="BC87" i="2" s="1"/>
  <c r="BC107" i="2" a="1"/>
  <c r="BC107" i="2" s="1"/>
  <c r="BC20" i="2" a="1"/>
  <c r="BC20" i="2" s="1"/>
  <c r="BC69" i="2" a="1"/>
  <c r="BC69" i="2" s="1"/>
  <c r="BC88" i="2" a="1"/>
  <c r="BC88" i="2" s="1"/>
  <c r="BC35" i="2" a="1"/>
  <c r="BC35" i="2" s="1"/>
  <c r="BC39" i="2" a="1"/>
  <c r="BC39" i="2" s="1"/>
  <c r="BC67" i="2" a="1"/>
  <c r="BC67" i="2" s="1"/>
  <c r="BC31" i="2" a="1"/>
  <c r="BC31" i="2" s="1"/>
  <c r="BC25" i="2" a="1"/>
  <c r="BC25" i="2" s="1"/>
  <c r="BC95" i="2" a="1"/>
  <c r="BC95" i="2" s="1"/>
  <c r="BC43" i="2" a="1"/>
  <c r="BC43" i="2" s="1"/>
  <c r="BC102" i="2" a="1"/>
  <c r="BC102" i="2" s="1"/>
  <c r="BC55" i="2" a="1"/>
  <c r="BC55" i="2" s="1"/>
  <c r="BC45" i="2" a="1"/>
  <c r="BC45" i="2" s="1"/>
  <c r="BC5" i="2" a="1"/>
  <c r="BC5" i="2" s="1"/>
  <c r="BC61" i="2" a="1"/>
  <c r="BC61" i="2" s="1"/>
  <c r="BC139" i="2" a="1"/>
  <c r="BC139" i="2" s="1"/>
  <c r="BC24" i="2" a="1"/>
  <c r="BC24" i="2" s="1"/>
  <c r="BC77" i="2" a="1"/>
  <c r="BC77" i="2" s="1"/>
  <c r="BC138" i="2" a="1"/>
  <c r="BC138" i="2" s="1"/>
  <c r="BC145" i="2" a="1"/>
  <c r="BC145" i="2" s="1"/>
  <c r="BC141" i="2" a="1"/>
  <c r="BC141" i="2" s="1"/>
  <c r="BX125" i="2" a="1"/>
  <c r="BX125" i="2" s="1"/>
  <c r="BX114" i="2" a="1"/>
  <c r="BX114" i="2" s="1"/>
  <c r="BX26" i="2" a="1"/>
  <c r="BX26" i="2" s="1"/>
  <c r="BX72" i="2" a="1"/>
  <c r="BX72" i="2" s="1"/>
  <c r="BX82" i="2" a="1"/>
  <c r="BX82" i="2" s="1"/>
  <c r="BX124" i="2" a="1"/>
  <c r="BX124" i="2" s="1"/>
  <c r="BX42" i="2" a="1"/>
  <c r="BX42" i="2" s="1"/>
  <c r="BX152" i="2" a="1"/>
  <c r="BX152" i="2" s="1"/>
  <c r="BX104" i="2" a="1"/>
  <c r="BX104" i="2" s="1"/>
  <c r="BX75" i="2" a="1"/>
  <c r="BX75" i="2" s="1"/>
  <c r="BX121" i="2" a="1"/>
  <c r="BX121" i="2" s="1"/>
  <c r="BX112" i="2" a="1"/>
  <c r="BX112" i="2" s="1"/>
  <c r="BX101" i="2" a="1"/>
  <c r="BX101" i="2" s="1"/>
  <c r="BX9" i="2" a="1"/>
  <c r="BX9" i="2" s="1"/>
  <c r="BX132" i="2" a="1"/>
  <c r="BX132" i="2" s="1"/>
  <c r="BX45" i="2" a="1"/>
  <c r="BX45" i="2" s="1"/>
  <c r="BX43" i="2" a="1"/>
  <c r="BX43" i="2" s="1"/>
  <c r="BX96" i="2" a="1"/>
  <c r="BX96" i="2" s="1"/>
  <c r="BX66" i="2" a="1"/>
  <c r="BX66" i="2" s="1"/>
  <c r="BX14" i="2" a="1"/>
  <c r="BX14" i="2" s="1"/>
  <c r="BX56" i="2" a="1"/>
  <c r="BX56" i="2" s="1"/>
  <c r="BX77" i="2" a="1"/>
  <c r="BX77" i="2" s="1"/>
  <c r="BX126" i="2" a="1"/>
  <c r="BX126" i="2" s="1"/>
  <c r="BX134" i="2" a="1"/>
  <c r="BX134" i="2" s="1"/>
  <c r="BX103" i="2" a="1"/>
  <c r="BX103" i="2" s="1"/>
  <c r="BX93" i="2" a="1"/>
  <c r="BX93" i="2" s="1"/>
  <c r="BX147" i="2" a="1"/>
  <c r="BX147" i="2" s="1"/>
  <c r="BX13" i="2" a="1"/>
  <c r="BX13" i="2" s="1"/>
  <c r="BX74" i="2" a="1"/>
  <c r="BX74" i="2" s="1"/>
  <c r="BX4" i="2" a="1"/>
  <c r="BX4" i="2" s="1"/>
  <c r="BX89" i="2" a="1"/>
  <c r="BX89" i="2" s="1"/>
  <c r="BX8" i="2" a="1"/>
  <c r="BX8" i="2" s="1"/>
  <c r="BX44" i="2" a="1"/>
  <c r="BX44" i="2" s="1"/>
  <c r="BX145" i="2" a="1"/>
  <c r="BX145" i="2" s="1"/>
  <c r="BX55" i="2" a="1"/>
  <c r="BX55" i="2" s="1"/>
  <c r="BX148" i="2" a="1"/>
  <c r="BX148" i="2" s="1"/>
  <c r="BX35" i="2" a="1"/>
  <c r="BX35" i="2" s="1"/>
  <c r="DN16" i="2" a="1"/>
  <c r="DN16" i="2" s="1"/>
  <c r="DN128" i="2" a="1"/>
  <c r="DN128" i="2" s="1"/>
  <c r="DN131" i="2" a="1"/>
  <c r="DN131" i="2" s="1"/>
  <c r="DN87" i="2" a="1"/>
  <c r="DN87" i="2" s="1"/>
  <c r="DN150" i="2" a="1"/>
  <c r="DN150" i="2" s="1"/>
  <c r="DN49" i="2" a="1"/>
  <c r="DN49" i="2" s="1"/>
  <c r="DN10" i="2" a="1"/>
  <c r="DN10" i="2" s="1"/>
  <c r="DN99" i="2" a="1"/>
  <c r="DN99" i="2" s="1"/>
  <c r="DN56" i="2" a="1"/>
  <c r="DN56" i="2" s="1"/>
  <c r="DN129" i="2" a="1"/>
  <c r="DN129" i="2" s="1"/>
  <c r="DN152" i="2" a="1"/>
  <c r="DN152" i="2" s="1"/>
  <c r="DN139" i="2" a="1"/>
  <c r="DN139" i="2" s="1"/>
  <c r="DN147" i="2" a="1"/>
  <c r="DN147" i="2" s="1"/>
  <c r="DN53" i="2" a="1"/>
  <c r="DN53" i="2" s="1"/>
  <c r="DN122" i="2" a="1"/>
  <c r="DN122" i="2" s="1"/>
  <c r="DN64" i="2" a="1"/>
  <c r="DN64" i="2" s="1"/>
  <c r="DN97" i="2" a="1"/>
  <c r="DN97" i="2" s="1"/>
  <c r="DN133" i="2" a="1"/>
  <c r="DN133" i="2" s="1"/>
  <c r="DN35" i="2" a="1"/>
  <c r="DN35" i="2" s="1"/>
  <c r="DN75" i="2" a="1"/>
  <c r="DN75" i="2" s="1"/>
  <c r="DN95" i="2" a="1"/>
  <c r="DN95" i="2" s="1"/>
  <c r="DN14" i="2" a="1"/>
  <c r="DN14" i="2" s="1"/>
  <c r="DN43" i="2" a="1"/>
  <c r="DN43" i="2" s="1"/>
  <c r="DN65" i="2" a="1"/>
  <c r="DN65" i="2" s="1"/>
  <c r="DN27" i="2" a="1"/>
  <c r="DN27" i="2" s="1"/>
  <c r="DN37" i="2" a="1"/>
  <c r="DN37" i="2" s="1"/>
  <c r="DN92" i="2" a="1"/>
  <c r="DN92" i="2" s="1"/>
  <c r="DN124" i="2" a="1"/>
  <c r="DN124" i="2" s="1"/>
  <c r="DN60" i="2" a="1"/>
  <c r="DN60" i="2" s="1"/>
  <c r="DN130" i="2" a="1"/>
  <c r="DN130" i="2" s="1"/>
  <c r="DN148" i="2" a="1"/>
  <c r="DN148" i="2" s="1"/>
  <c r="DN72" i="2" a="1"/>
  <c r="DN72" i="2" s="1"/>
  <c r="DN55" i="2" a="1"/>
  <c r="DN55" i="2" s="1"/>
  <c r="DN79" i="2" a="1"/>
  <c r="DN79" i="2" s="1"/>
  <c r="DN110" i="2" a="1"/>
  <c r="DN110" i="2" s="1"/>
  <c r="DN51" i="2" a="1"/>
  <c r="DN51" i="2" s="1"/>
  <c r="DN117" i="2" a="1"/>
  <c r="DN117" i="2" s="1"/>
  <c r="DN71" i="2" a="1"/>
  <c r="DN71" i="2" s="1"/>
  <c r="DN143" i="2" a="1"/>
  <c r="DN143" i="2" s="1"/>
  <c r="DN120" i="2" a="1"/>
  <c r="DN120" i="2" s="1"/>
  <c r="DN26" i="2" a="1"/>
  <c r="DN26" i="2" s="1"/>
  <c r="DN70" i="2" a="1"/>
  <c r="DN70" i="2" s="1"/>
  <c r="DN21" i="2" a="1"/>
  <c r="DN21" i="2" s="1"/>
  <c r="FD140" i="2" a="1"/>
  <c r="FD140" i="2" s="1"/>
  <c r="FD25" i="2" a="1"/>
  <c r="FD25" i="2" s="1"/>
  <c r="FD85" i="2" a="1"/>
  <c r="FD85" i="2" s="1"/>
  <c r="FD11" i="2" a="1"/>
  <c r="FD11" i="2" s="1"/>
  <c r="FD46" i="2" a="1"/>
  <c r="FD46" i="2" s="1"/>
  <c r="FD94" i="2" a="1"/>
  <c r="FD94" i="2" s="1"/>
  <c r="FD152" i="2" a="1"/>
  <c r="FD152" i="2" s="1"/>
  <c r="FD70" i="2" a="1"/>
  <c r="FD70" i="2" s="1"/>
  <c r="FD132" i="2" a="1"/>
  <c r="FD132" i="2" s="1"/>
  <c r="FD127" i="2" a="1"/>
  <c r="FD127" i="2" s="1"/>
  <c r="FD116" i="2" a="1"/>
  <c r="FD116" i="2" s="1"/>
  <c r="FD19" i="2" a="1"/>
  <c r="FD19" i="2" s="1"/>
  <c r="FD35" i="2" a="1"/>
  <c r="FD35" i="2" s="1"/>
  <c r="FD32" i="2" a="1"/>
  <c r="FD32" i="2" s="1"/>
  <c r="FD48" i="2" a="1"/>
  <c r="FD48" i="2" s="1"/>
  <c r="FD124" i="2" a="1"/>
  <c r="FD124" i="2" s="1"/>
  <c r="FD58" i="2" a="1"/>
  <c r="FD58" i="2" s="1"/>
  <c r="FD86" i="2" a="1"/>
  <c r="FD86" i="2" s="1"/>
  <c r="FD82" i="2" a="1"/>
  <c r="FD82" i="2" s="1"/>
  <c r="FD80" i="2" a="1"/>
  <c r="FD80" i="2" s="1"/>
  <c r="FD16" i="2" a="1"/>
  <c r="FD16" i="2" s="1"/>
  <c r="FD134" i="2" a="1"/>
  <c r="FD134" i="2" s="1"/>
  <c r="FD111" i="2" a="1"/>
  <c r="FD111" i="2" s="1"/>
  <c r="FD136" i="2" a="1"/>
  <c r="FD136" i="2" s="1"/>
  <c r="FD44" i="2" a="1"/>
  <c r="FD44" i="2" s="1"/>
  <c r="FD6" i="2" a="1"/>
  <c r="FD6" i="2" s="1"/>
  <c r="FD84" i="2" a="1"/>
  <c r="FD84" i="2" s="1"/>
  <c r="FD8" i="2" a="1"/>
  <c r="FD8" i="2" s="1"/>
  <c r="DN146" i="2" a="1"/>
  <c r="DN146" i="2" s="1"/>
  <c r="DN68" i="2" a="1"/>
  <c r="DN68" i="2" s="1"/>
  <c r="DN41" i="2" a="1"/>
  <c r="DN41" i="2" s="1"/>
  <c r="DN44" i="2" a="1"/>
  <c r="DN44" i="2" s="1"/>
  <c r="DO44" i="2" s="1"/>
  <c r="DO45" i="2" s="1"/>
  <c r="BC110" i="2" a="1"/>
  <c r="BC110" i="2" s="1"/>
  <c r="BX49" i="2" a="1"/>
  <c r="BX49" i="2" s="1"/>
  <c r="FD126" i="2" a="1"/>
  <c r="FD126" i="2" s="1"/>
  <c r="DN59" i="2" a="1"/>
  <c r="DN59" i="2" s="1"/>
  <c r="BX106" i="2" a="1"/>
  <c r="BX106" i="2" s="1"/>
  <c r="BX61" i="2" a="1"/>
  <c r="BX61" i="2" s="1"/>
  <c r="FD28" i="2" a="1"/>
  <c r="FD28" i="2" s="1"/>
  <c r="FD135" i="2" a="1"/>
  <c r="FD135" i="2" s="1"/>
  <c r="DN125" i="2" a="1"/>
  <c r="DN125" i="2" s="1"/>
  <c r="BX27" i="2" a="1"/>
  <c r="BX27" i="2" s="1"/>
  <c r="BX5" i="2" a="1"/>
  <c r="BX5" i="2" s="1"/>
  <c r="FD92" i="2" a="1"/>
  <c r="FD92" i="2" s="1"/>
  <c r="DN134" i="2" a="1"/>
  <c r="DN134" i="2" s="1"/>
  <c r="BX11" i="2" a="1"/>
  <c r="BX11" i="2" s="1"/>
  <c r="FD113" i="2" a="1"/>
  <c r="FD113" i="2" s="1"/>
  <c r="FD30" i="2" a="1"/>
  <c r="FD30" i="2" s="1"/>
  <c r="DN105" i="2" a="1"/>
  <c r="DN105" i="2" s="1"/>
  <c r="DN135" i="2" a="1"/>
  <c r="DN135" i="2" s="1"/>
  <c r="DN136" i="2" a="1"/>
  <c r="DN136" i="2" s="1"/>
  <c r="BC89" i="2" a="1"/>
  <c r="BC89" i="2" s="1"/>
  <c r="BX90" i="2" a="1"/>
  <c r="BX90" i="2" s="1"/>
  <c r="FD67" i="2" a="1"/>
  <c r="FD67" i="2" s="1"/>
  <c r="BX51" i="2" a="1"/>
  <c r="BX51" i="2" s="1"/>
  <c r="BX32" i="2" a="1"/>
  <c r="BX32" i="2" s="1"/>
  <c r="HI153" i="2"/>
  <c r="HI154" i="2" s="1"/>
  <c r="HI155" i="2" s="1"/>
  <c r="HI156" i="2" s="1"/>
  <c r="HI157" i="2" s="1"/>
  <c r="HI158" i="2" s="1"/>
  <c r="HI159" i="2" s="1"/>
  <c r="HI160" i="2" s="1"/>
  <c r="HI161" i="2" s="1"/>
  <c r="HI162" i="2" s="1"/>
  <c r="HI163" i="2" s="1"/>
  <c r="HI164" i="2" s="1"/>
  <c r="HI165" i="2" s="1"/>
  <c r="HI166" i="2" s="1"/>
  <c r="HI167" i="2" s="1"/>
  <c r="HI168" i="2" s="1"/>
  <c r="HI169" i="2" s="1"/>
  <c r="HI170" i="2" s="1"/>
  <c r="HI171" i="2" s="1"/>
  <c r="HI172" i="2" s="1"/>
  <c r="HI173" i="2" s="1"/>
  <c r="HI174" i="2" s="1"/>
  <c r="HI175" i="2" s="1"/>
  <c r="HI176" i="2" s="1"/>
  <c r="HI177" i="2" s="1"/>
  <c r="HI178" i="2" s="1"/>
  <c r="HI179" i="2" s="1"/>
  <c r="HI180" i="2" s="1"/>
  <c r="HI181" i="2" s="1"/>
  <c r="HI182" i="2" s="1"/>
  <c r="HI183" i="2" s="1"/>
  <c r="HI184" i="2" s="1"/>
  <c r="HI185" i="2" s="1"/>
  <c r="HI186" i="2" s="1"/>
  <c r="HI187" i="2" s="1"/>
  <c r="HI188" i="2" s="1"/>
  <c r="HI189" i="2" s="1"/>
  <c r="HI190" i="2" s="1"/>
  <c r="HI191" i="2" s="1"/>
  <c r="HI192" i="2" s="1"/>
  <c r="HI193" i="2" s="1"/>
  <c r="HI194" i="2" s="1"/>
  <c r="HI195" i="2" s="1"/>
  <c r="HI196" i="2" s="1"/>
  <c r="HI197" i="2" s="1"/>
  <c r="HI198" i="2" s="1"/>
  <c r="HI199" i="2" s="1"/>
  <c r="HI200" i="2" s="1"/>
  <c r="HI201" i="2" s="1"/>
  <c r="HI202" i="2" s="1"/>
  <c r="HI203" i="2" s="1"/>
  <c r="FD97" i="2" a="1"/>
  <c r="FD97" i="2" s="1"/>
  <c r="BX84" i="2" a="1"/>
  <c r="BX84" i="2" s="1"/>
  <c r="DN39" i="2" a="1"/>
  <c r="DN39" i="2" s="1"/>
  <c r="FD93" i="2" a="1"/>
  <c r="FD93" i="2" s="1"/>
  <c r="DN19" i="2" a="1"/>
  <c r="DN19" i="2" s="1"/>
  <c r="BX71" i="2" a="1"/>
  <c r="BX71" i="2" s="1"/>
  <c r="FD26" i="2" a="1"/>
  <c r="FD26" i="2" s="1"/>
  <c r="DN30" i="2" a="1"/>
  <c r="DN30" i="2" s="1"/>
  <c r="DN62" i="2" a="1"/>
  <c r="DN62" i="2" s="1"/>
  <c r="DN45" i="2" a="1"/>
  <c r="DN45" i="2" s="1"/>
  <c r="BC120" i="2" a="1"/>
  <c r="BC120" i="2" s="1"/>
  <c r="BC137" i="2" a="1"/>
  <c r="BC137" i="2" s="1"/>
  <c r="BC144" i="2" a="1"/>
  <c r="BC144" i="2" s="1"/>
  <c r="BC44" i="2" a="1"/>
  <c r="BC44" i="2" s="1"/>
  <c r="BC15" i="2" a="1"/>
  <c r="BC15" i="2" s="1"/>
  <c r="BC134" i="2" a="1"/>
  <c r="BC134" i="2" s="1"/>
  <c r="BC113" i="2" a="1"/>
  <c r="BC113" i="2" s="1"/>
  <c r="BC62" i="2" a="1"/>
  <c r="BC62" i="2" s="1"/>
  <c r="BC65" i="2" a="1"/>
  <c r="BC65" i="2" s="1"/>
  <c r="BC76" i="2" a="1"/>
  <c r="BC76" i="2" s="1"/>
  <c r="DN74" i="2" a="1"/>
  <c r="DN74" i="2" s="1"/>
  <c r="BX136" i="2" a="1"/>
  <c r="BX136" i="2" s="1"/>
  <c r="FD5" i="2" a="1"/>
  <c r="FD5" i="2" s="1"/>
  <c r="BX131" i="2" a="1"/>
  <c r="BX131" i="2" s="1"/>
  <c r="FD51" i="2" a="1"/>
  <c r="FD51" i="2" s="1"/>
  <c r="FD66" i="2" a="1"/>
  <c r="FD66" i="2" s="1"/>
  <c r="DN137" i="2" a="1"/>
  <c r="DN137" i="2" s="1"/>
  <c r="DN33" i="2" a="1"/>
  <c r="DN33" i="2" s="1"/>
  <c r="DN23" i="2" a="1"/>
  <c r="DN23" i="2" s="1"/>
  <c r="BC57" i="2" a="1"/>
  <c r="BC57" i="2" s="1"/>
  <c r="FD33" i="2" a="1"/>
  <c r="FD33" i="2" s="1"/>
  <c r="FD114" i="2" a="1"/>
  <c r="FD114" i="2" s="1"/>
  <c r="BX128" i="2" a="1"/>
  <c r="BX128" i="2" s="1"/>
  <c r="BX135" i="2" a="1"/>
  <c r="BX135" i="2" s="1"/>
  <c r="DN69" i="2" a="1"/>
  <c r="DN69" i="2" s="1"/>
  <c r="FD72" i="2" a="1"/>
  <c r="FD72" i="2" s="1"/>
  <c r="BX107" i="2" a="1"/>
  <c r="BX107" i="2" s="1"/>
  <c r="FD142" i="2" a="1"/>
  <c r="FD142" i="2" s="1"/>
  <c r="BX28" i="2" a="1"/>
  <c r="BX28" i="2" s="1"/>
  <c r="FD7" i="2" a="1"/>
  <c r="FD7" i="2" s="1"/>
  <c r="DN13" i="2" a="1"/>
  <c r="DN13" i="2" s="1"/>
  <c r="DN24" i="2" a="1"/>
  <c r="DN24" i="2" s="1"/>
  <c r="BC7" i="2" a="1"/>
  <c r="BC7" i="2" s="1"/>
  <c r="BC146" i="2" a="1"/>
  <c r="BC146" i="2" s="1"/>
  <c r="BC148" i="2" a="1"/>
  <c r="BC148" i="2" s="1"/>
  <c r="BC147" i="2" a="1"/>
  <c r="BC147" i="2" s="1"/>
  <c r="BC36" i="2" a="1"/>
  <c r="BC36" i="2" s="1"/>
  <c r="BC140" i="2" a="1"/>
  <c r="BC140" i="2" s="1"/>
  <c r="BC122" i="2" a="1"/>
  <c r="BC122" i="2" s="1"/>
  <c r="BC128" i="2" a="1"/>
  <c r="BC128" i="2" s="1"/>
  <c r="BC99" i="2" a="1"/>
  <c r="BC99" i="2" s="1"/>
  <c r="BC73" i="2" a="1"/>
  <c r="BC73" i="2" s="1"/>
  <c r="DN25" i="2" a="1"/>
  <c r="DN25" i="2" s="1"/>
  <c r="BX117" i="2" a="1"/>
  <c r="BX117" i="2" s="1"/>
  <c r="BX54" i="2" a="1"/>
  <c r="BX54" i="2" s="1"/>
  <c r="FD121" i="2" a="1"/>
  <c r="FD121" i="2" s="1"/>
  <c r="BX138" i="2" a="1"/>
  <c r="BX138" i="2" s="1"/>
  <c r="BX110" i="2" a="1"/>
  <c r="BX110" i="2" s="1"/>
  <c r="FD139" i="2" a="1"/>
  <c r="FD139" i="2" s="1"/>
  <c r="FD47" i="2" a="1"/>
  <c r="FD47" i="2" s="1"/>
  <c r="DN112" i="2" a="1"/>
  <c r="DN112" i="2" s="1"/>
  <c r="DN109" i="2" a="1"/>
  <c r="DN109" i="2" s="1"/>
  <c r="DN149" i="2" a="1"/>
  <c r="DN149" i="2" s="1"/>
  <c r="BX118" i="2" a="1"/>
  <c r="BX118" i="2" s="1"/>
  <c r="FD78" i="2" a="1"/>
  <c r="FD78" i="2" s="1"/>
  <c r="DN42" i="2" a="1"/>
  <c r="DN42" i="2" s="1"/>
  <c r="BX129" i="2" a="1"/>
  <c r="BX129" i="2" s="1"/>
  <c r="DN83" i="2" a="1"/>
  <c r="DN83" i="2" s="1"/>
  <c r="FD76" i="2" a="1"/>
  <c r="FD76" i="2" s="1"/>
  <c r="FD71" i="2" a="1"/>
  <c r="FD71" i="2" s="1"/>
  <c r="BX85" i="2" a="1"/>
  <c r="BX85" i="2" s="1"/>
  <c r="FD117" i="2" a="1"/>
  <c r="FD117" i="2" s="1"/>
  <c r="BX92" i="2" a="1"/>
  <c r="BX92" i="2" s="1"/>
  <c r="FD138" i="2" a="1"/>
  <c r="FD138" i="2" s="1"/>
  <c r="FD141" i="2" a="1"/>
  <c r="FD141" i="2" s="1"/>
  <c r="DN57" i="2" a="1"/>
  <c r="DN57" i="2" s="1"/>
  <c r="DN9" i="2" a="1"/>
  <c r="DN9" i="2" s="1"/>
  <c r="BC4" i="2" a="1"/>
  <c r="BC4" i="2" s="1"/>
  <c r="BC9" i="2" a="1"/>
  <c r="BC9" i="2" s="1"/>
  <c r="BC71" i="2" a="1"/>
  <c r="BC71" i="2" s="1"/>
  <c r="BC28" i="2" a="1"/>
  <c r="BC28" i="2" s="1"/>
  <c r="BC12" i="2" a="1"/>
  <c r="BC12" i="2" s="1"/>
  <c r="BC131" i="2" a="1"/>
  <c r="BC131" i="2" s="1"/>
  <c r="BC56" i="2" a="1"/>
  <c r="BC56" i="2" s="1"/>
  <c r="BC64" i="2" a="1"/>
  <c r="BC64" i="2" s="1"/>
  <c r="BC53" i="2" a="1"/>
  <c r="BC53" i="2" s="1"/>
  <c r="DN7" i="2" a="1"/>
  <c r="DN7" i="2" s="1"/>
  <c r="FD24" i="2" a="1"/>
  <c r="FD24" i="2" s="1"/>
  <c r="DN132" i="2" a="1"/>
  <c r="DN132" i="2" s="1"/>
  <c r="BX105" i="2" a="1"/>
  <c r="BX105" i="2" s="1"/>
  <c r="GN153" i="2"/>
  <c r="GN154" i="2" s="1"/>
  <c r="GN155" i="2" s="1"/>
  <c r="GN156" i="2" s="1"/>
  <c r="GN157" i="2" s="1"/>
  <c r="GN158" i="2" s="1"/>
  <c r="GN159" i="2" s="1"/>
  <c r="GN160" i="2" s="1"/>
  <c r="GN161" i="2" s="1"/>
  <c r="GN162" i="2" s="1"/>
  <c r="GN163" i="2" s="1"/>
  <c r="GN164" i="2" s="1"/>
  <c r="GN165" i="2" s="1"/>
  <c r="GN166" i="2" s="1"/>
  <c r="GN167" i="2" s="1"/>
  <c r="GN168" i="2" s="1"/>
  <c r="GN169" i="2" s="1"/>
  <c r="GN170" i="2" s="1"/>
  <c r="GN171" i="2" s="1"/>
  <c r="GN172" i="2" s="1"/>
  <c r="GN173" i="2" s="1"/>
  <c r="GN174" i="2" s="1"/>
  <c r="GN175" i="2" s="1"/>
  <c r="GN176" i="2" s="1"/>
  <c r="GN177" i="2" s="1"/>
  <c r="GN178" i="2" s="1"/>
  <c r="GN179" i="2" s="1"/>
  <c r="GN180" i="2" s="1"/>
  <c r="GN181" i="2" s="1"/>
  <c r="GN182" i="2" s="1"/>
  <c r="GN183" i="2" s="1"/>
  <c r="GN184" i="2" s="1"/>
  <c r="GN185" i="2" s="1"/>
  <c r="GN186" i="2" s="1"/>
  <c r="GN187" i="2" s="1"/>
  <c r="GN188" i="2" s="1"/>
  <c r="GN189" i="2" s="1"/>
  <c r="GN190" i="2" s="1"/>
  <c r="GN191" i="2" s="1"/>
  <c r="GN192" i="2" s="1"/>
  <c r="GN193" i="2" s="1"/>
  <c r="GN194" i="2" s="1"/>
  <c r="GN195" i="2" s="1"/>
  <c r="GN196" i="2" s="1"/>
  <c r="GN197" i="2" s="1"/>
  <c r="GN198" i="2" s="1"/>
  <c r="GN199" i="2" s="1"/>
  <c r="GN200" i="2" s="1"/>
  <c r="GN201" i="2" s="1"/>
  <c r="GN202" i="2" s="1"/>
  <c r="GN203" i="2" s="1"/>
  <c r="GM153" i="2"/>
  <c r="GM154" i="2" s="1"/>
  <c r="GM155" i="2" s="1"/>
  <c r="GM156" i="2" s="1"/>
  <c r="GM157" i="2" s="1"/>
  <c r="GM158" i="2" s="1"/>
  <c r="GM159" i="2" s="1"/>
  <c r="GM160" i="2" s="1"/>
  <c r="GM161" i="2" s="1"/>
  <c r="GM162" i="2" s="1"/>
  <c r="GM163" i="2" s="1"/>
  <c r="GM164" i="2" s="1"/>
  <c r="GM165" i="2" s="1"/>
  <c r="GM166" i="2" s="1"/>
  <c r="GM167" i="2" s="1"/>
  <c r="GM168" i="2" s="1"/>
  <c r="GM169" i="2" s="1"/>
  <c r="GM170" i="2" s="1"/>
  <c r="GM171" i="2" s="1"/>
  <c r="GM172" i="2" s="1"/>
  <c r="GM173" i="2" s="1"/>
  <c r="GM174" i="2" s="1"/>
  <c r="GM175" i="2" s="1"/>
  <c r="GM176" i="2" s="1"/>
  <c r="GM177" i="2" s="1"/>
  <c r="GM178" i="2" s="1"/>
  <c r="GM179" i="2" s="1"/>
  <c r="GM180" i="2" s="1"/>
  <c r="GM181" i="2" s="1"/>
  <c r="GM182" i="2" s="1"/>
  <c r="GM183" i="2" s="1"/>
  <c r="GM184" i="2" s="1"/>
  <c r="GM185" i="2" s="1"/>
  <c r="GM186" i="2" s="1"/>
  <c r="GM187" i="2" s="1"/>
  <c r="GM188" i="2" s="1"/>
  <c r="GM189" i="2" s="1"/>
  <c r="GM190" i="2" s="1"/>
  <c r="GM191" i="2" s="1"/>
  <c r="GM192" i="2" s="1"/>
  <c r="GM193" i="2" s="1"/>
  <c r="GM194" i="2" s="1"/>
  <c r="GM195" i="2" s="1"/>
  <c r="GM196" i="2" s="1"/>
  <c r="GM197" i="2" s="1"/>
  <c r="GM198" i="2" s="1"/>
  <c r="GM199" i="2" s="1"/>
  <c r="GM200" i="2" s="1"/>
  <c r="GM201" i="2" s="1"/>
  <c r="GM202" i="2" s="1"/>
  <c r="GM203" i="2" s="1"/>
  <c r="FR153" i="2"/>
  <c r="FR154" i="2" s="1"/>
  <c r="FR155" i="2" s="1"/>
  <c r="FR156" i="2" s="1"/>
  <c r="FR157" i="2" s="1"/>
  <c r="FR158" i="2" s="1"/>
  <c r="FR159" i="2" s="1"/>
  <c r="FR160" i="2" s="1"/>
  <c r="FR161" i="2" s="1"/>
  <c r="FR162" i="2" s="1"/>
  <c r="FR163" i="2" s="1"/>
  <c r="FR164" i="2" s="1"/>
  <c r="FR165" i="2" s="1"/>
  <c r="FR166" i="2" s="1"/>
  <c r="FR167" i="2" s="1"/>
  <c r="FR168" i="2" s="1"/>
  <c r="FR169" i="2" s="1"/>
  <c r="FR170" i="2" s="1"/>
  <c r="FR171" i="2" s="1"/>
  <c r="FR172" i="2" s="1"/>
  <c r="FR173" i="2" s="1"/>
  <c r="FR174" i="2" s="1"/>
  <c r="FR175" i="2" s="1"/>
  <c r="FR176" i="2" s="1"/>
  <c r="FR177" i="2" s="1"/>
  <c r="FR178" i="2" s="1"/>
  <c r="FR179" i="2" s="1"/>
  <c r="FR180" i="2" s="1"/>
  <c r="FR181" i="2" s="1"/>
  <c r="FR182" i="2" s="1"/>
  <c r="FR183" i="2" s="1"/>
  <c r="FR184" i="2" s="1"/>
  <c r="FR185" i="2" s="1"/>
  <c r="FR186" i="2" s="1"/>
  <c r="FR187" i="2" s="1"/>
  <c r="FR188" i="2" s="1"/>
  <c r="FR189" i="2" s="1"/>
  <c r="FR190" i="2" s="1"/>
  <c r="FR191" i="2" s="1"/>
  <c r="FR192" i="2" s="1"/>
  <c r="FR193" i="2" s="1"/>
  <c r="FR194" i="2" s="1"/>
  <c r="FR195" i="2" s="1"/>
  <c r="FR196" i="2" s="1"/>
  <c r="FR197" i="2" s="1"/>
  <c r="FR198" i="2" s="1"/>
  <c r="FR199" i="2" s="1"/>
  <c r="FR200" i="2" s="1"/>
  <c r="FR201" i="2" s="1"/>
  <c r="FR202" i="2" s="1"/>
  <c r="FR203" i="2" s="1"/>
  <c r="EC153" i="2"/>
  <c r="EC154" i="2" s="1"/>
  <c r="EC155" i="2" s="1"/>
  <c r="EC156" i="2" s="1"/>
  <c r="EC157" i="2" s="1"/>
  <c r="EC158" i="2" s="1"/>
  <c r="EC159" i="2" s="1"/>
  <c r="EC160" i="2" s="1"/>
  <c r="EC161" i="2" s="1"/>
  <c r="EC162" i="2" s="1"/>
  <c r="EC163" i="2" s="1"/>
  <c r="EC164" i="2" s="1"/>
  <c r="EC165" i="2" s="1"/>
  <c r="EC166" i="2" s="1"/>
  <c r="EC167" i="2" s="1"/>
  <c r="EC168" i="2" s="1"/>
  <c r="EC169" i="2" s="1"/>
  <c r="EC170" i="2" s="1"/>
  <c r="EC171" i="2" s="1"/>
  <c r="EC172" i="2" s="1"/>
  <c r="EC173" i="2" s="1"/>
  <c r="EC174" i="2" s="1"/>
  <c r="EC175" i="2" s="1"/>
  <c r="EC176" i="2" s="1"/>
  <c r="EC177" i="2" s="1"/>
  <c r="EC178" i="2" s="1"/>
  <c r="EC179" i="2" s="1"/>
  <c r="EC180" i="2" s="1"/>
  <c r="EC181" i="2" s="1"/>
  <c r="EC182" i="2" s="1"/>
  <c r="EC183" i="2" s="1"/>
  <c r="EC184" i="2" s="1"/>
  <c r="EC185" i="2" s="1"/>
  <c r="EC186" i="2" s="1"/>
  <c r="EC187" i="2" s="1"/>
  <c r="EC188" i="2" s="1"/>
  <c r="EC189" i="2" s="1"/>
  <c r="EC190" i="2" s="1"/>
  <c r="EC191" i="2" s="1"/>
  <c r="EC192" i="2" s="1"/>
  <c r="EC193" i="2" s="1"/>
  <c r="EC194" i="2" s="1"/>
  <c r="EC195" i="2" s="1"/>
  <c r="EC196" i="2" s="1"/>
  <c r="EC197" i="2" s="1"/>
  <c r="EC198" i="2" s="1"/>
  <c r="EC199" i="2" s="1"/>
  <c r="EC200" i="2" s="1"/>
  <c r="EC201" i="2" s="1"/>
  <c r="EC202" i="2" s="1"/>
  <c r="EC203" i="2" s="1"/>
  <c r="DH153" i="2"/>
  <c r="DH154" i="2" s="1"/>
  <c r="DH155" i="2" s="1"/>
  <c r="DH156" i="2" s="1"/>
  <c r="DH157" i="2" s="1"/>
  <c r="DH158" i="2" s="1"/>
  <c r="DH159" i="2" s="1"/>
  <c r="DH160" i="2" s="1"/>
  <c r="DH161" i="2" s="1"/>
  <c r="DH162" i="2" s="1"/>
  <c r="DH163" i="2" s="1"/>
  <c r="DH164" i="2" s="1"/>
  <c r="DH165" i="2" s="1"/>
  <c r="DH166" i="2" s="1"/>
  <c r="DH167" i="2" s="1"/>
  <c r="DH168" i="2" s="1"/>
  <c r="DH169" i="2" s="1"/>
  <c r="DH170" i="2" s="1"/>
  <c r="DH171" i="2" s="1"/>
  <c r="DH172" i="2" s="1"/>
  <c r="DH173" i="2" s="1"/>
  <c r="DH174" i="2" s="1"/>
  <c r="DH175" i="2" s="1"/>
  <c r="DH176" i="2" s="1"/>
  <c r="DH177" i="2" s="1"/>
  <c r="DH178" i="2" s="1"/>
  <c r="DH179" i="2" s="1"/>
  <c r="DH180" i="2" s="1"/>
  <c r="DH181" i="2" s="1"/>
  <c r="DH182" i="2" s="1"/>
  <c r="DH183" i="2" s="1"/>
  <c r="DH184" i="2" s="1"/>
  <c r="DH185" i="2" s="1"/>
  <c r="DH186" i="2" s="1"/>
  <c r="DH187" i="2" s="1"/>
  <c r="DH188" i="2" s="1"/>
  <c r="DH189" i="2" s="1"/>
  <c r="DH190" i="2" s="1"/>
  <c r="DH191" i="2" s="1"/>
  <c r="DH192" i="2" s="1"/>
  <c r="DH193" i="2" s="1"/>
  <c r="DH194" i="2" s="1"/>
  <c r="DH195" i="2" s="1"/>
  <c r="DH196" i="2" s="1"/>
  <c r="DH197" i="2" s="1"/>
  <c r="DH198" i="2" s="1"/>
  <c r="DH199" i="2" s="1"/>
  <c r="DH200" i="2" s="1"/>
  <c r="DH201" i="2" s="1"/>
  <c r="DH202" i="2" s="1"/>
  <c r="DH203" i="2" s="1"/>
  <c r="GT107" i="2" a="1"/>
  <c r="GT107" i="2" s="1"/>
  <c r="GT110" i="2" a="1"/>
  <c r="GT110" i="2" s="1"/>
  <c r="GT77" i="2" a="1"/>
  <c r="GT77" i="2" s="1"/>
  <c r="DN20" i="2" a="1"/>
  <c r="DN20" i="2" s="1"/>
  <c r="GT114" i="2" a="1"/>
  <c r="GT114" i="2" s="1"/>
  <c r="GT115" i="2" a="1"/>
  <c r="GT115" i="2" s="1"/>
  <c r="GT120" i="2" a="1"/>
  <c r="GT120" i="2" s="1"/>
  <c r="FS153" i="2"/>
  <c r="FS154" i="2" s="1"/>
  <c r="FS155" i="2" s="1"/>
  <c r="FS156" i="2" s="1"/>
  <c r="FS157" i="2" s="1"/>
  <c r="FS158" i="2" s="1"/>
  <c r="FS159" i="2" s="1"/>
  <c r="FS160" i="2" s="1"/>
  <c r="FS161" i="2" s="1"/>
  <c r="FS162" i="2" s="1"/>
  <c r="FS163" i="2" s="1"/>
  <c r="FS164" i="2" s="1"/>
  <c r="FS165" i="2" s="1"/>
  <c r="FS166" i="2" s="1"/>
  <c r="FS167" i="2" s="1"/>
  <c r="FS168" i="2" s="1"/>
  <c r="FS169" i="2" s="1"/>
  <c r="FS170" i="2" s="1"/>
  <c r="FS171" i="2" s="1"/>
  <c r="FS172" i="2" s="1"/>
  <c r="FS173" i="2" s="1"/>
  <c r="FS174" i="2" s="1"/>
  <c r="FS175" i="2" s="1"/>
  <c r="FS176" i="2" s="1"/>
  <c r="FS177" i="2" s="1"/>
  <c r="FS178" i="2" s="1"/>
  <c r="FS179" i="2" s="1"/>
  <c r="FS180" i="2" s="1"/>
  <c r="FS181" i="2" s="1"/>
  <c r="FS182" i="2" s="1"/>
  <c r="FS183" i="2" s="1"/>
  <c r="FS184" i="2" s="1"/>
  <c r="FS185" i="2" s="1"/>
  <c r="FS186" i="2" s="1"/>
  <c r="FS187" i="2" s="1"/>
  <c r="FS188" i="2" s="1"/>
  <c r="FS189" i="2" s="1"/>
  <c r="FS190" i="2" s="1"/>
  <c r="FS191" i="2" s="1"/>
  <c r="FS192" i="2" s="1"/>
  <c r="FS193" i="2" s="1"/>
  <c r="FS194" i="2" s="1"/>
  <c r="FS195" i="2" s="1"/>
  <c r="FS196" i="2" s="1"/>
  <c r="FS197" i="2" s="1"/>
  <c r="FS198" i="2" s="1"/>
  <c r="FS199" i="2" s="1"/>
  <c r="FS200" i="2" s="1"/>
  <c r="FS201" i="2" s="1"/>
  <c r="FS202" i="2" s="1"/>
  <c r="FS203" i="2" s="1"/>
  <c r="GT117" i="2" a="1"/>
  <c r="GT117" i="2" s="1"/>
  <c r="GT58" i="2" a="1"/>
  <c r="GT58" i="2" s="1"/>
  <c r="GT6" i="2" a="1"/>
  <c r="GT6" i="2" s="1"/>
  <c r="GT98" i="2" a="1"/>
  <c r="GT98" i="2" s="1"/>
  <c r="DN61" i="2" a="1"/>
  <c r="DN61" i="2" s="1"/>
  <c r="AH42" i="2" a="1"/>
  <c r="AH42" i="2" s="1"/>
  <c r="GT90" i="2" a="1"/>
  <c r="GT90" i="2" s="1"/>
  <c r="GT37" i="2" a="1"/>
  <c r="GT37" i="2" s="1"/>
  <c r="GT129" i="2" a="1"/>
  <c r="GT129" i="2" s="1"/>
  <c r="DG153" i="2"/>
  <c r="DG154" i="2" s="1"/>
  <c r="DG155" i="2" s="1"/>
  <c r="DG156" i="2" s="1"/>
  <c r="DG157" i="2" s="1"/>
  <c r="DG158" i="2" s="1"/>
  <c r="DG159" i="2" s="1"/>
  <c r="DG160" i="2" s="1"/>
  <c r="DG161" i="2" s="1"/>
  <c r="DG162" i="2" s="1"/>
  <c r="DG163" i="2" s="1"/>
  <c r="DG164" i="2" s="1"/>
  <c r="DG165" i="2" s="1"/>
  <c r="DG166" i="2" s="1"/>
  <c r="DG167" i="2" s="1"/>
  <c r="DG168" i="2" s="1"/>
  <c r="DG169" i="2" s="1"/>
  <c r="DG170" i="2" s="1"/>
  <c r="DG171" i="2" s="1"/>
  <c r="DG172" i="2" s="1"/>
  <c r="DG173" i="2" s="1"/>
  <c r="DG174" i="2" s="1"/>
  <c r="DG175" i="2" s="1"/>
  <c r="DG176" i="2" s="1"/>
  <c r="DG177" i="2" s="1"/>
  <c r="DG178" i="2" s="1"/>
  <c r="DG179" i="2" s="1"/>
  <c r="DG180" i="2" s="1"/>
  <c r="DG181" i="2" s="1"/>
  <c r="DG182" i="2" s="1"/>
  <c r="DG183" i="2" s="1"/>
  <c r="DG184" i="2" s="1"/>
  <c r="DG185" i="2" s="1"/>
  <c r="DG186" i="2" s="1"/>
  <c r="DG187" i="2" s="1"/>
  <c r="DG188" i="2" s="1"/>
  <c r="DG189" i="2" s="1"/>
  <c r="DG190" i="2" s="1"/>
  <c r="DG191" i="2" s="1"/>
  <c r="DG192" i="2" s="1"/>
  <c r="DG193" i="2" s="1"/>
  <c r="DG194" i="2" s="1"/>
  <c r="DG195" i="2" s="1"/>
  <c r="DG196" i="2" s="1"/>
  <c r="DG197" i="2" s="1"/>
  <c r="DG198" i="2" s="1"/>
  <c r="DG199" i="2" s="1"/>
  <c r="DG200" i="2" s="1"/>
  <c r="DG201" i="2" s="1"/>
  <c r="DG202" i="2" s="1"/>
  <c r="DG203" i="2" s="1"/>
  <c r="GT96" i="2" a="1"/>
  <c r="GT96" i="2" s="1"/>
  <c r="GT116" i="2" a="1"/>
  <c r="GT116" i="2" s="1"/>
  <c r="GT72" i="2" a="1"/>
  <c r="GT72" i="2" s="1"/>
  <c r="CM153" i="2"/>
  <c r="CM154" i="2" s="1"/>
  <c r="CM155" i="2" s="1"/>
  <c r="CM156" i="2" s="1"/>
  <c r="CM157" i="2" s="1"/>
  <c r="CM158" i="2" s="1"/>
  <c r="CM159" i="2" s="1"/>
  <c r="CM160" i="2" s="1"/>
  <c r="CM161" i="2" s="1"/>
  <c r="CM162" i="2" s="1"/>
  <c r="CM163" i="2" s="1"/>
  <c r="CM164" i="2" s="1"/>
  <c r="CM165" i="2" s="1"/>
  <c r="CM166" i="2" s="1"/>
  <c r="CM167" i="2" s="1"/>
  <c r="CM168" i="2" s="1"/>
  <c r="CM169" i="2" s="1"/>
  <c r="CM170" i="2" s="1"/>
  <c r="CM171" i="2" s="1"/>
  <c r="CM172" i="2" s="1"/>
  <c r="CM173" i="2" s="1"/>
  <c r="CM174" i="2" s="1"/>
  <c r="CM175" i="2" s="1"/>
  <c r="CM176" i="2" s="1"/>
  <c r="CM177" i="2" s="1"/>
  <c r="CM178" i="2" s="1"/>
  <c r="CM179" i="2" s="1"/>
  <c r="CM180" i="2" s="1"/>
  <c r="CM181" i="2" s="1"/>
  <c r="CM182" i="2" s="1"/>
  <c r="CM183" i="2" s="1"/>
  <c r="CM184" i="2" s="1"/>
  <c r="CM185" i="2" s="1"/>
  <c r="CM186" i="2" s="1"/>
  <c r="CM187" i="2" s="1"/>
  <c r="CM188" i="2" s="1"/>
  <c r="CM189" i="2" s="1"/>
  <c r="CM190" i="2" s="1"/>
  <c r="CM191" i="2" s="1"/>
  <c r="CM192" i="2" s="1"/>
  <c r="CM193" i="2" s="1"/>
  <c r="CM194" i="2" s="1"/>
  <c r="CM195" i="2" s="1"/>
  <c r="CM196" i="2" s="1"/>
  <c r="CM197" i="2" s="1"/>
  <c r="CM198" i="2" s="1"/>
  <c r="CM199" i="2" s="1"/>
  <c r="CM200" i="2" s="1"/>
  <c r="CM201" i="2" s="1"/>
  <c r="CM202" i="2" s="1"/>
  <c r="CM203" i="2" s="1"/>
  <c r="DN108" i="2" a="1"/>
  <c r="DN108" i="2" s="1"/>
  <c r="DN85" i="2" a="1"/>
  <c r="DN85" i="2" s="1"/>
  <c r="DP4" i="2"/>
  <c r="DQ4" i="2" s="1"/>
  <c r="DR4" i="2" s="1"/>
  <c r="DS4" i="2" s="1"/>
  <c r="EA153" i="2"/>
  <c r="EA154" i="2" s="1"/>
  <c r="ED152" i="2"/>
  <c r="CS153" i="2" a="1"/>
  <c r="CS153" i="2" s="1"/>
  <c r="CS121" i="2" a="1"/>
  <c r="CS121" i="2" s="1"/>
  <c r="CS53" i="2" a="1"/>
  <c r="CS53" i="2" s="1"/>
  <c r="CS91" i="2" a="1"/>
  <c r="CS91" i="2" s="1"/>
  <c r="CS100" i="2" a="1"/>
  <c r="CS100" i="2" s="1"/>
  <c r="FY153" i="2" a="1"/>
  <c r="FY153" i="2" s="1"/>
  <c r="FY37" i="2" a="1"/>
  <c r="FY37" i="2" s="1"/>
  <c r="FY135" i="2" a="1"/>
  <c r="FY135" i="2" s="1"/>
  <c r="FY42" i="2" a="1"/>
  <c r="FY42" i="2" s="1"/>
  <c r="FY115" i="2" a="1"/>
  <c r="FY115" i="2" s="1"/>
  <c r="FY96" i="2" a="1"/>
  <c r="FY96" i="2" s="1"/>
  <c r="FY151" i="2" a="1"/>
  <c r="FY151" i="2" s="1"/>
  <c r="FY50" i="2" a="1"/>
  <c r="FY50" i="2" s="1"/>
  <c r="FY22" i="2" a="1"/>
  <c r="FY22" i="2" s="1"/>
  <c r="FY54" i="2" a="1"/>
  <c r="FY54" i="2" s="1"/>
  <c r="FY32" i="2" a="1"/>
  <c r="FY32" i="2" s="1"/>
  <c r="FY29" i="2" a="1"/>
  <c r="FY29" i="2" s="1"/>
  <c r="FY102" i="2" a="1"/>
  <c r="FY102" i="2" s="1"/>
  <c r="FY70" i="2" a="1"/>
  <c r="FY70" i="2" s="1"/>
  <c r="FY149" i="2" a="1"/>
  <c r="FY149" i="2" s="1"/>
  <c r="FY111" i="2" a="1"/>
  <c r="FY111" i="2" s="1"/>
  <c r="FY56" i="2" a="1"/>
  <c r="FY56" i="2" s="1"/>
  <c r="FY58" i="2" a="1"/>
  <c r="FY58" i="2" s="1"/>
  <c r="DN29" i="2" a="1"/>
  <c r="DN29" i="2" s="1"/>
  <c r="DN141" i="2" a="1"/>
  <c r="DN141" i="2" s="1"/>
  <c r="DN144" i="2" a="1"/>
  <c r="DN144" i="2" s="1"/>
  <c r="DN38" i="2" a="1"/>
  <c r="DN38" i="2" s="1"/>
  <c r="BC21" i="2" a="1"/>
  <c r="BC21" i="2" s="1"/>
  <c r="BX38" i="2" a="1"/>
  <c r="BX38" i="2" s="1"/>
  <c r="FD90" i="2" a="1"/>
  <c r="FD90" i="2" s="1"/>
  <c r="DN47" i="2" a="1"/>
  <c r="DN47" i="2" s="1"/>
  <c r="BX29" i="2" a="1"/>
  <c r="BX29" i="2" s="1"/>
  <c r="BY29" i="2" s="1"/>
  <c r="BX65" i="2" a="1"/>
  <c r="BX65" i="2" s="1"/>
  <c r="EI101" i="2" a="1"/>
  <c r="EI101" i="2" s="1"/>
  <c r="EI45" i="2" a="1"/>
  <c r="EI45" i="2" s="1"/>
  <c r="EB153" i="2"/>
  <c r="EB154" i="2" s="1"/>
  <c r="EB155" i="2" s="1"/>
  <c r="EB156" i="2" s="1"/>
  <c r="EB157" i="2" s="1"/>
  <c r="EB158" i="2" s="1"/>
  <c r="EB159" i="2" s="1"/>
  <c r="EB160" i="2" s="1"/>
  <c r="EB161" i="2" s="1"/>
  <c r="EB162" i="2" s="1"/>
  <c r="EB163" i="2" s="1"/>
  <c r="EB164" i="2" s="1"/>
  <c r="EB165" i="2" s="1"/>
  <c r="EB166" i="2" s="1"/>
  <c r="EB167" i="2" s="1"/>
  <c r="EB168" i="2" s="1"/>
  <c r="EB169" i="2" s="1"/>
  <c r="EB170" i="2" s="1"/>
  <c r="EB171" i="2" s="1"/>
  <c r="EB172" i="2" s="1"/>
  <c r="EB173" i="2" s="1"/>
  <c r="EB174" i="2" s="1"/>
  <c r="EB175" i="2" s="1"/>
  <c r="EB176" i="2" s="1"/>
  <c r="EB177" i="2" s="1"/>
  <c r="EB178" i="2" s="1"/>
  <c r="EB179" i="2" s="1"/>
  <c r="EB180" i="2" s="1"/>
  <c r="EB181" i="2" s="1"/>
  <c r="EB182" i="2" s="1"/>
  <c r="EB183" i="2" s="1"/>
  <c r="EB184" i="2" s="1"/>
  <c r="EB185" i="2" s="1"/>
  <c r="EB186" i="2" s="1"/>
  <c r="EB187" i="2" s="1"/>
  <c r="EB188" i="2" s="1"/>
  <c r="EB189" i="2" s="1"/>
  <c r="EB190" i="2" s="1"/>
  <c r="EB191" i="2" s="1"/>
  <c r="EB192" i="2" s="1"/>
  <c r="EB193" i="2" s="1"/>
  <c r="EB194" i="2" s="1"/>
  <c r="EB195" i="2" s="1"/>
  <c r="EB196" i="2" s="1"/>
  <c r="EB197" i="2" s="1"/>
  <c r="EB198" i="2" s="1"/>
  <c r="EB199" i="2" s="1"/>
  <c r="EB200" i="2" s="1"/>
  <c r="EB201" i="2" s="1"/>
  <c r="EB202" i="2" s="1"/>
  <c r="EB203" i="2" s="1"/>
  <c r="CS101" i="2" a="1"/>
  <c r="CS101" i="2" s="1"/>
  <c r="CS69" i="2" a="1"/>
  <c r="CS69" i="2" s="1"/>
  <c r="CS58" i="2" a="1"/>
  <c r="CS58" i="2" s="1"/>
  <c r="CS11" i="2" a="1"/>
  <c r="CS11" i="2" s="1"/>
  <c r="GT101" i="2" a="1"/>
  <c r="GT101" i="2" s="1"/>
  <c r="GT89" i="2" a="1"/>
  <c r="GT89" i="2" s="1"/>
  <c r="GT102" i="2" a="1"/>
  <c r="GT102" i="2" s="1"/>
  <c r="FD14" i="2" a="1"/>
  <c r="FD14" i="2" s="1"/>
  <c r="FD43" i="2" a="1"/>
  <c r="FD43" i="2" s="1"/>
  <c r="DN127" i="2" a="1"/>
  <c r="DN127" i="2" s="1"/>
  <c r="BX47" i="2" a="1"/>
  <c r="BX47" i="2" s="1"/>
  <c r="BX25" i="2" a="1"/>
  <c r="BX25" i="2" s="1"/>
  <c r="EI99" i="2" a="1"/>
  <c r="EI99" i="2" s="1"/>
  <c r="EI65" i="2" a="1"/>
  <c r="EI65" i="2" s="1"/>
  <c r="CL153" i="2"/>
  <c r="CL154" i="2" s="1"/>
  <c r="CL155" i="2" s="1"/>
  <c r="CL156" i="2" s="1"/>
  <c r="CL157" i="2" s="1"/>
  <c r="CL158" i="2" s="1"/>
  <c r="CL159" i="2" s="1"/>
  <c r="CL160" i="2" s="1"/>
  <c r="CL161" i="2" s="1"/>
  <c r="CL162" i="2" s="1"/>
  <c r="CL163" i="2" s="1"/>
  <c r="CL164" i="2" s="1"/>
  <c r="CL165" i="2" s="1"/>
  <c r="CL166" i="2" s="1"/>
  <c r="CL167" i="2" s="1"/>
  <c r="CL168" i="2" s="1"/>
  <c r="CL169" i="2" s="1"/>
  <c r="CL170" i="2" s="1"/>
  <c r="CL171" i="2" s="1"/>
  <c r="CL172" i="2" s="1"/>
  <c r="CL173" i="2" s="1"/>
  <c r="CL174" i="2" s="1"/>
  <c r="CL175" i="2" s="1"/>
  <c r="CL176" i="2" s="1"/>
  <c r="CL177" i="2" s="1"/>
  <c r="CL178" i="2" s="1"/>
  <c r="CL179" i="2" s="1"/>
  <c r="CL180" i="2" s="1"/>
  <c r="CL181" i="2" s="1"/>
  <c r="CL182" i="2" s="1"/>
  <c r="CL183" i="2" s="1"/>
  <c r="CL184" i="2" s="1"/>
  <c r="CL185" i="2" s="1"/>
  <c r="CL186" i="2" s="1"/>
  <c r="CL187" i="2" s="1"/>
  <c r="CL188" i="2" s="1"/>
  <c r="CL189" i="2" s="1"/>
  <c r="CL190" i="2" s="1"/>
  <c r="CL191" i="2" s="1"/>
  <c r="CL192" i="2" s="1"/>
  <c r="CL193" i="2" s="1"/>
  <c r="CL194" i="2" s="1"/>
  <c r="CL195" i="2" s="1"/>
  <c r="CL196" i="2" s="1"/>
  <c r="CL197" i="2" s="1"/>
  <c r="CL198" i="2" s="1"/>
  <c r="CL199" i="2" s="1"/>
  <c r="CL200" i="2" s="1"/>
  <c r="CL201" i="2" s="1"/>
  <c r="CL202" i="2" s="1"/>
  <c r="CL203" i="2" s="1"/>
  <c r="GT130" i="2" a="1"/>
  <c r="GT130" i="2" s="1"/>
  <c r="GT147" i="2" a="1"/>
  <c r="GT147" i="2" s="1"/>
  <c r="GT50" i="2" a="1"/>
  <c r="GT50" i="2" s="1"/>
  <c r="GT27" i="2" a="1"/>
  <c r="GT27" i="2" s="1"/>
  <c r="GT87" i="2" a="1"/>
  <c r="GT87" i="2" s="1"/>
  <c r="GT65" i="2" a="1"/>
  <c r="GT65" i="2" s="1"/>
  <c r="GT134" i="2" a="1"/>
  <c r="GT134" i="2" s="1"/>
  <c r="GT28" i="2" a="1"/>
  <c r="GT28" i="2" s="1"/>
  <c r="GT142" i="2" a="1"/>
  <c r="GT142" i="2" s="1"/>
  <c r="GT13" i="2" a="1"/>
  <c r="GT13" i="2" s="1"/>
  <c r="GT23" i="2" a="1"/>
  <c r="GT23" i="2" s="1"/>
  <c r="GT86" i="2" a="1"/>
  <c r="GT86" i="2" s="1"/>
  <c r="GT94" i="2" a="1"/>
  <c r="GT94" i="2" s="1"/>
  <c r="GT91" i="2" a="1"/>
  <c r="GT91" i="2" s="1"/>
  <c r="GT133" i="2" a="1"/>
  <c r="GT133" i="2" s="1"/>
  <c r="GT49" i="2" a="1"/>
  <c r="GT49" i="2" s="1"/>
  <c r="GT123" i="2" a="1"/>
  <c r="GT123" i="2" s="1"/>
  <c r="GT44" i="2" a="1"/>
  <c r="GT44" i="2" s="1"/>
  <c r="GT66" i="2" a="1"/>
  <c r="GT66" i="2" s="1"/>
  <c r="GT31" i="2" a="1"/>
  <c r="GT31" i="2" s="1"/>
  <c r="GT74" i="2" a="1"/>
  <c r="GT74" i="2" s="1"/>
  <c r="GT113" i="2" a="1"/>
  <c r="GT113" i="2" s="1"/>
  <c r="GT124" i="2" a="1"/>
  <c r="GT124" i="2" s="1"/>
  <c r="FT152" i="2"/>
  <c r="FQ153" i="2"/>
  <c r="FQ154" i="2" s="1"/>
  <c r="EX153" i="2"/>
  <c r="EX154" i="2" s="1"/>
  <c r="EX155" i="2" s="1"/>
  <c r="EX156" i="2" s="1"/>
  <c r="EX157" i="2" s="1"/>
  <c r="EX158" i="2" s="1"/>
  <c r="EX159" i="2" s="1"/>
  <c r="EX160" i="2" s="1"/>
  <c r="EX161" i="2" s="1"/>
  <c r="EX162" i="2" s="1"/>
  <c r="EX163" i="2" s="1"/>
  <c r="EX164" i="2" s="1"/>
  <c r="EX165" i="2" s="1"/>
  <c r="EX166" i="2" s="1"/>
  <c r="EX167" i="2" s="1"/>
  <c r="EX168" i="2" s="1"/>
  <c r="EX169" i="2" s="1"/>
  <c r="EX170" i="2" s="1"/>
  <c r="EX171" i="2" s="1"/>
  <c r="EX172" i="2" s="1"/>
  <c r="EX173" i="2" s="1"/>
  <c r="EX174" i="2" s="1"/>
  <c r="EX175" i="2" s="1"/>
  <c r="EX176" i="2" s="1"/>
  <c r="EX177" i="2" s="1"/>
  <c r="EX178" i="2" s="1"/>
  <c r="EX179" i="2" s="1"/>
  <c r="EX180" i="2" s="1"/>
  <c r="EX181" i="2" s="1"/>
  <c r="EX182" i="2" s="1"/>
  <c r="EX183" i="2" s="1"/>
  <c r="EX184" i="2" s="1"/>
  <c r="EX185" i="2" s="1"/>
  <c r="EX186" i="2" s="1"/>
  <c r="EX187" i="2" s="1"/>
  <c r="EX188" i="2" s="1"/>
  <c r="EX189" i="2" s="1"/>
  <c r="EX190" i="2" s="1"/>
  <c r="EX191" i="2" s="1"/>
  <c r="EX192" i="2" s="1"/>
  <c r="EX193" i="2" s="1"/>
  <c r="EX194" i="2" s="1"/>
  <c r="EX195" i="2" s="1"/>
  <c r="EX196" i="2" s="1"/>
  <c r="EX197" i="2" s="1"/>
  <c r="EX198" i="2" s="1"/>
  <c r="EX199" i="2" s="1"/>
  <c r="EX200" i="2" s="1"/>
  <c r="EX201" i="2" s="1"/>
  <c r="EX202" i="2" s="1"/>
  <c r="EX203" i="2" s="1"/>
  <c r="CS120" i="2" a="1"/>
  <c r="CS120" i="2" s="1"/>
  <c r="EV153" i="2"/>
  <c r="EV154" i="2" s="1"/>
  <c r="EY152" i="2"/>
  <c r="BX153" i="2" a="1"/>
  <c r="BX153" i="2" s="1"/>
  <c r="BX53" i="2" a="1"/>
  <c r="BX53" i="2" s="1"/>
  <c r="BX63" i="2" a="1"/>
  <c r="BX63" i="2" s="1"/>
  <c r="BX19" i="2" a="1"/>
  <c r="BX19" i="2" s="1"/>
  <c r="BX58" i="2" a="1"/>
  <c r="BX58" i="2" s="1"/>
  <c r="BX22" i="2" a="1"/>
  <c r="BX22" i="2" s="1"/>
  <c r="BX139" i="2" a="1"/>
  <c r="BX139" i="2" s="1"/>
  <c r="BX79" i="2" a="1"/>
  <c r="BX79" i="2" s="1"/>
  <c r="BX62" i="2" a="1"/>
  <c r="BX62" i="2" s="1"/>
  <c r="BX21" i="2" a="1"/>
  <c r="BX21" i="2" s="1"/>
  <c r="BX109" i="2" a="1"/>
  <c r="BX109" i="2" s="1"/>
  <c r="BX141" i="2" a="1"/>
  <c r="BX141" i="2" s="1"/>
  <c r="BX123" i="2" a="1"/>
  <c r="BX123" i="2" s="1"/>
  <c r="BX88" i="2" a="1"/>
  <c r="BX88" i="2" s="1"/>
  <c r="BX24" i="2" a="1"/>
  <c r="BX24" i="2" s="1"/>
  <c r="BX30" i="2" a="1"/>
  <c r="BX30" i="2" s="1"/>
  <c r="BX67" i="2" a="1"/>
  <c r="BX67" i="2" s="1"/>
  <c r="BX60" i="2" a="1"/>
  <c r="BX60" i="2" s="1"/>
  <c r="BX78" i="2" a="1"/>
  <c r="BX78" i="2" s="1"/>
  <c r="BX57" i="2" a="1"/>
  <c r="BX57" i="2" s="1"/>
  <c r="BX81" i="2" a="1"/>
  <c r="BX81" i="2" s="1"/>
  <c r="BX15" i="2" a="1"/>
  <c r="BX15" i="2" s="1"/>
  <c r="BX120" i="2" a="1"/>
  <c r="BX120" i="2" s="1"/>
  <c r="BX130" i="2" a="1"/>
  <c r="BX130" i="2" s="1"/>
  <c r="BX50" i="2" a="1"/>
  <c r="BX50" i="2" s="1"/>
  <c r="BX17" i="2" a="1"/>
  <c r="BX17" i="2" s="1"/>
  <c r="BX119" i="2" a="1"/>
  <c r="BX119" i="2" s="1"/>
  <c r="BX142" i="2" a="1"/>
  <c r="BX142" i="2" s="1"/>
  <c r="BX16" i="2" a="1"/>
  <c r="BX16" i="2" s="1"/>
  <c r="BX99" i="2" a="1"/>
  <c r="BX99" i="2" s="1"/>
  <c r="BX64" i="2" a="1"/>
  <c r="BX64" i="2" s="1"/>
  <c r="BX33" i="2" a="1"/>
  <c r="BX33" i="2" s="1"/>
  <c r="BX83" i="2" a="1"/>
  <c r="BX83" i="2" s="1"/>
  <c r="BX46" i="2" a="1"/>
  <c r="BX46" i="2" s="1"/>
  <c r="BX140" i="2" a="1"/>
  <c r="BX140" i="2" s="1"/>
  <c r="BX97" i="2" a="1"/>
  <c r="BX97" i="2" s="1"/>
  <c r="BX52" i="2" a="1"/>
  <c r="BX52" i="2" s="1"/>
  <c r="BX59" i="2" a="1"/>
  <c r="BX59" i="2" s="1"/>
  <c r="DN153" i="2" a="1"/>
  <c r="DN153" i="2" s="1"/>
  <c r="DN116" i="2" a="1"/>
  <c r="DN116" i="2" s="1"/>
  <c r="DN113" i="2" a="1"/>
  <c r="DN113" i="2" s="1"/>
  <c r="DN73" i="2" a="1"/>
  <c r="DN73" i="2" s="1"/>
  <c r="DN111" i="2" a="1"/>
  <c r="DN111" i="2" s="1"/>
  <c r="DN101" i="2" a="1"/>
  <c r="DN101" i="2" s="1"/>
  <c r="DN103" i="2" a="1"/>
  <c r="DN103" i="2" s="1"/>
  <c r="DN89" i="2" a="1"/>
  <c r="DN89" i="2" s="1"/>
  <c r="DN93" i="2" a="1"/>
  <c r="DN93" i="2" s="1"/>
  <c r="DN32" i="2" a="1"/>
  <c r="DN32" i="2" s="1"/>
  <c r="DN48" i="2" a="1"/>
  <c r="DN48" i="2" s="1"/>
  <c r="DN81" i="2" a="1"/>
  <c r="DN81" i="2" s="1"/>
  <c r="DN12" i="2" a="1"/>
  <c r="DN12" i="2" s="1"/>
  <c r="DN28" i="2" a="1"/>
  <c r="DN28" i="2" s="1"/>
  <c r="DN67" i="2" a="1"/>
  <c r="DN67" i="2" s="1"/>
  <c r="DN22" i="2" a="1"/>
  <c r="DN22" i="2" s="1"/>
  <c r="DN145" i="2" a="1"/>
  <c r="DN145" i="2" s="1"/>
  <c r="DN118" i="2" a="1"/>
  <c r="DN118" i="2" s="1"/>
  <c r="DN34" i="2" a="1"/>
  <c r="DN34" i="2" s="1"/>
  <c r="FD153" i="2" a="1"/>
  <c r="FD153" i="2" s="1"/>
  <c r="FD87" i="2" a="1"/>
  <c r="FD87" i="2" s="1"/>
  <c r="FD4" i="2" a="1"/>
  <c r="FD4" i="2" s="1"/>
  <c r="FE4" i="2" s="1"/>
  <c r="FE5" i="2" s="1"/>
  <c r="FE6" i="2" s="1"/>
  <c r="FE7" i="2" s="1"/>
  <c r="FE8" i="2" s="1"/>
  <c r="FD20" i="2" a="1"/>
  <c r="FD20" i="2" s="1"/>
  <c r="FD95" i="2" a="1"/>
  <c r="FD95" i="2" s="1"/>
  <c r="FD99" i="2" a="1"/>
  <c r="FD99" i="2" s="1"/>
  <c r="FD41" i="2" a="1"/>
  <c r="FD41" i="2" s="1"/>
  <c r="FD65" i="2" a="1"/>
  <c r="FD65" i="2" s="1"/>
  <c r="FD109" i="2" a="1"/>
  <c r="FD109" i="2" s="1"/>
  <c r="FD151" i="2" a="1"/>
  <c r="FD151" i="2" s="1"/>
  <c r="FD108" i="2" a="1"/>
  <c r="FD108" i="2" s="1"/>
  <c r="FD37" i="2" a="1"/>
  <c r="FD37" i="2" s="1"/>
  <c r="FD130" i="2" a="1"/>
  <c r="FD130" i="2" s="1"/>
  <c r="FD143" i="2" a="1"/>
  <c r="FD143" i="2" s="1"/>
  <c r="FD34" i="2" a="1"/>
  <c r="FD34" i="2" s="1"/>
  <c r="FD96" i="2" a="1"/>
  <c r="FD96" i="2" s="1"/>
  <c r="FD18" i="2" a="1"/>
  <c r="FD18" i="2" s="1"/>
  <c r="FD22" i="2" a="1"/>
  <c r="FD22" i="2" s="1"/>
  <c r="FD125" i="2" a="1"/>
  <c r="FD125" i="2" s="1"/>
  <c r="FD57" i="2" a="1"/>
  <c r="FD57" i="2" s="1"/>
  <c r="FD83" i="2" a="1"/>
  <c r="FD83" i="2" s="1"/>
  <c r="FD61" i="2" a="1"/>
  <c r="FD61" i="2" s="1"/>
  <c r="FD131" i="2" a="1"/>
  <c r="FD131" i="2" s="1"/>
  <c r="FD115" i="2" a="1"/>
  <c r="FD115" i="2" s="1"/>
  <c r="FD54" i="2" a="1"/>
  <c r="FD54" i="2" s="1"/>
  <c r="FD120" i="2" a="1"/>
  <c r="FD120" i="2" s="1"/>
  <c r="FD88" i="2" a="1"/>
  <c r="FD88" i="2" s="1"/>
  <c r="FD147" i="2" a="1"/>
  <c r="FD147" i="2" s="1"/>
  <c r="FD89" i="2" a="1"/>
  <c r="FD89" i="2" s="1"/>
  <c r="FD56" i="2" a="1"/>
  <c r="FD56" i="2" s="1"/>
  <c r="FD118" i="2" a="1"/>
  <c r="FD118" i="2" s="1"/>
  <c r="FD60" i="2" a="1"/>
  <c r="FD60" i="2" s="1"/>
  <c r="FD122" i="2" a="1"/>
  <c r="FD122" i="2" s="1"/>
  <c r="FD23" i="2" a="1"/>
  <c r="FD23" i="2" s="1"/>
  <c r="FD91" i="2" a="1"/>
  <c r="FD91" i="2" s="1"/>
  <c r="FD45" i="2" a="1"/>
  <c r="FD45" i="2" s="1"/>
  <c r="FD68" i="2" a="1"/>
  <c r="FD68" i="2" s="1"/>
  <c r="FD21" i="2" a="1"/>
  <c r="FD21" i="2" s="1"/>
  <c r="FD13" i="2" a="1"/>
  <c r="FD13" i="2" s="1"/>
  <c r="FD42" i="2" a="1"/>
  <c r="FD42" i="2" s="1"/>
  <c r="FD69" i="2" a="1"/>
  <c r="FD69" i="2" s="1"/>
  <c r="FD36" i="2" a="1"/>
  <c r="FD36" i="2" s="1"/>
  <c r="FD145" i="2" a="1"/>
  <c r="FD145" i="2" s="1"/>
  <c r="FD149" i="2" a="1"/>
  <c r="FD149" i="2" s="1"/>
  <c r="FD105" i="2" a="1"/>
  <c r="FD105" i="2" s="1"/>
  <c r="FD129" i="2" a="1"/>
  <c r="FD129" i="2" s="1"/>
  <c r="FD79" i="2" a="1"/>
  <c r="FD79" i="2" s="1"/>
  <c r="FD133" i="2" a="1"/>
  <c r="FD133" i="2" s="1"/>
  <c r="FD9" i="2" a="1"/>
  <c r="FD9" i="2" s="1"/>
  <c r="FD17" i="2" a="1"/>
  <c r="FD17" i="2" s="1"/>
  <c r="FD103" i="2" a="1"/>
  <c r="FD103" i="2" s="1"/>
  <c r="FD75" i="2" a="1"/>
  <c r="FD75" i="2" s="1"/>
  <c r="FD12" i="2" a="1"/>
  <c r="FD12" i="2" s="1"/>
  <c r="DN119" i="2" a="1"/>
  <c r="DN119" i="2" s="1"/>
  <c r="DN80" i="2" a="1"/>
  <c r="DN80" i="2" s="1"/>
  <c r="DN96" i="2" a="1"/>
  <c r="DN96" i="2" s="1"/>
  <c r="DN46" i="2" a="1"/>
  <c r="DN46" i="2" s="1"/>
  <c r="BC126" i="2" a="1"/>
  <c r="BC126" i="2" s="1"/>
  <c r="BX149" i="2" a="1"/>
  <c r="BX149" i="2" s="1"/>
  <c r="DN90" i="2" a="1"/>
  <c r="DN90" i="2" s="1"/>
  <c r="FD106" i="2" a="1"/>
  <c r="FD106" i="2" s="1"/>
  <c r="DN8" i="2" a="1"/>
  <c r="DN8" i="2" s="1"/>
  <c r="BX20" i="2" a="1"/>
  <c r="BX20" i="2" s="1"/>
  <c r="BX144" i="2" a="1"/>
  <c r="BX144" i="2" s="1"/>
  <c r="EI140" i="2" a="1"/>
  <c r="EI140" i="2" s="1"/>
  <c r="EI135" i="2" a="1"/>
  <c r="EI135" i="2" s="1"/>
  <c r="CS151" i="2" a="1"/>
  <c r="CS151" i="2" s="1"/>
  <c r="CS75" i="2" a="1"/>
  <c r="CS75" i="2" s="1"/>
  <c r="CS15" i="2" a="1"/>
  <c r="CS15" i="2" s="1"/>
  <c r="CS97" i="2" a="1"/>
  <c r="CS97" i="2" s="1"/>
  <c r="CS137" i="2" a="1"/>
  <c r="CS137" i="2" s="1"/>
  <c r="GT12" i="2" a="1"/>
  <c r="GT12" i="2" s="1"/>
  <c r="GT118" i="2" a="1"/>
  <c r="GT118" i="2" s="1"/>
  <c r="GT59" i="2" a="1"/>
  <c r="GT59" i="2" s="1"/>
  <c r="FD10" i="2" a="1"/>
  <c r="FD10" i="2" s="1"/>
  <c r="FD144" i="2" a="1"/>
  <c r="FD144" i="2" s="1"/>
  <c r="DN88" i="2" a="1"/>
  <c r="DN88" i="2" s="1"/>
  <c r="BX127" i="2" a="1"/>
  <c r="BX127" i="2" s="1"/>
  <c r="BX23" i="2" a="1"/>
  <c r="BX23" i="2" s="1"/>
  <c r="EI100" i="2" a="1"/>
  <c r="EI100" i="2" s="1"/>
  <c r="EI98" i="2" a="1"/>
  <c r="EI98" i="2" s="1"/>
  <c r="DN11" i="2" a="1"/>
  <c r="DN11" i="2" s="1"/>
  <c r="FD73" i="2" a="1"/>
  <c r="FD73" i="2" s="1"/>
  <c r="DN76" i="2" a="1"/>
  <c r="DN76" i="2" s="1"/>
  <c r="BX31" i="2" a="1"/>
  <c r="BX31" i="2" s="1"/>
  <c r="GT52" i="2" a="1"/>
  <c r="GT52" i="2" s="1"/>
  <c r="GT99" i="2" a="1"/>
  <c r="GT99" i="2" s="1"/>
  <c r="GT54" i="2" a="1"/>
  <c r="GT54" i="2" s="1"/>
  <c r="GT42" i="2" a="1"/>
  <c r="GT42" i="2" s="1"/>
  <c r="GT63" i="2" a="1"/>
  <c r="GT63" i="2" s="1"/>
  <c r="GT81" i="2" a="1"/>
  <c r="GT81" i="2" s="1"/>
  <c r="GT70" i="2" a="1"/>
  <c r="GT70" i="2" s="1"/>
  <c r="GT103" i="2" a="1"/>
  <c r="GT103" i="2" s="1"/>
  <c r="GT68" i="2" a="1"/>
  <c r="GT68" i="2" s="1"/>
  <c r="GT132" i="2" a="1"/>
  <c r="GT132" i="2" s="1"/>
  <c r="GT51" i="2" a="1"/>
  <c r="GT51" i="2" s="1"/>
  <c r="GT80" i="2" a="1"/>
  <c r="GT80" i="2" s="1"/>
  <c r="GT105" i="2" a="1"/>
  <c r="GT105" i="2" s="1"/>
  <c r="GT122" i="2" a="1"/>
  <c r="GT122" i="2" s="1"/>
  <c r="GT75" i="2" a="1"/>
  <c r="GT75" i="2" s="1"/>
  <c r="GT20" i="2" a="1"/>
  <c r="GT20" i="2" s="1"/>
  <c r="GT146" i="2" a="1"/>
  <c r="GT146" i="2" s="1"/>
  <c r="GT131" i="2" a="1"/>
  <c r="GT131" i="2" s="1"/>
  <c r="GT128" i="2" a="1"/>
  <c r="GT128" i="2" s="1"/>
  <c r="GT83" i="2" a="1"/>
  <c r="GT83" i="2" s="1"/>
  <c r="GT67" i="2" a="1"/>
  <c r="GT67" i="2" s="1"/>
  <c r="GT16" i="2" a="1"/>
  <c r="GT16" i="2" s="1"/>
  <c r="GT40" i="2" a="1"/>
  <c r="GT40" i="2" s="1"/>
  <c r="BX151" i="2" a="1"/>
  <c r="BX151" i="2" s="1"/>
  <c r="CN152" i="2"/>
  <c r="CK153" i="2"/>
  <c r="CK154" i="2" s="1"/>
  <c r="CU4" i="2"/>
  <c r="CV4" i="2" s="1"/>
  <c r="CW4" i="2" s="1"/>
  <c r="CX4" i="2" s="1"/>
  <c r="BE4" i="2"/>
  <c r="BF4" i="2" s="1"/>
  <c r="BG4" i="2" s="1"/>
  <c r="BH4" i="2" s="1"/>
  <c r="GO152" i="2"/>
  <c r="GL153" i="2"/>
  <c r="GL154" i="2" s="1"/>
  <c r="FY87" i="2" a="1"/>
  <c r="FY87" i="2" s="1"/>
  <c r="FY152" i="2" a="1"/>
  <c r="FY152" i="2" s="1"/>
  <c r="GT153" i="2" a="1"/>
  <c r="GT153" i="2" s="1"/>
  <c r="GT109" i="2" a="1"/>
  <c r="GT109" i="2" s="1"/>
  <c r="DN106" i="2" a="1"/>
  <c r="DN106" i="2" s="1"/>
  <c r="DN140" i="2" a="1"/>
  <c r="DN140" i="2" s="1"/>
  <c r="DN50" i="2" a="1"/>
  <c r="DN50" i="2" s="1"/>
  <c r="DN104" i="2" a="1"/>
  <c r="DN104" i="2" s="1"/>
  <c r="BC98" i="2" a="1"/>
  <c r="BC98" i="2" s="1"/>
  <c r="BX40" i="2" a="1"/>
  <c r="BX40" i="2" s="1"/>
  <c r="FD137" i="2" a="1"/>
  <c r="FD137" i="2" s="1"/>
  <c r="FD74" i="2" a="1"/>
  <c r="FD74" i="2" s="1"/>
  <c r="BX80" i="2" a="1"/>
  <c r="BX80" i="2" s="1"/>
  <c r="BX122" i="2" a="1"/>
  <c r="BX122" i="2" s="1"/>
  <c r="BX150" i="2" a="1"/>
  <c r="BX150" i="2" s="1"/>
  <c r="EI61" i="2" a="1"/>
  <c r="EI61" i="2" s="1"/>
  <c r="EI17" i="2" a="1"/>
  <c r="EI17" i="2" s="1"/>
  <c r="CS146" i="2" a="1"/>
  <c r="CS146" i="2" s="1"/>
  <c r="CS30" i="2" a="1"/>
  <c r="CS30" i="2" s="1"/>
  <c r="CS104" i="2" a="1"/>
  <c r="CS104" i="2" s="1"/>
  <c r="CS54" i="2" a="1"/>
  <c r="CS54" i="2" s="1"/>
  <c r="GT151" i="2" a="1"/>
  <c r="GT151" i="2" s="1"/>
  <c r="GT144" i="2" a="1"/>
  <c r="GT144" i="2" s="1"/>
  <c r="GT64" i="2" a="1"/>
  <c r="GT64" i="2" s="1"/>
  <c r="GT143" i="2" a="1"/>
  <c r="GT143" i="2" s="1"/>
  <c r="FD31" i="2" a="1"/>
  <c r="FD31" i="2" s="1"/>
  <c r="FD39" i="2" a="1"/>
  <c r="FD39" i="2" s="1"/>
  <c r="BX113" i="2" a="1"/>
  <c r="BX113" i="2" s="1"/>
  <c r="BX86" i="2" a="1"/>
  <c r="BX86" i="2" s="1"/>
  <c r="EI143" i="2" a="1"/>
  <c r="EI143" i="2" s="1"/>
  <c r="EI91" i="2" a="1"/>
  <c r="EI91" i="2" s="1"/>
  <c r="FD38" i="2" a="1"/>
  <c r="FD38" i="2" s="1"/>
  <c r="FD128" i="2" a="1"/>
  <c r="FD128" i="2" s="1"/>
  <c r="DN142" i="2" a="1"/>
  <c r="DN142" i="2" s="1"/>
  <c r="BX133" i="2" a="1"/>
  <c r="BX133" i="2" s="1"/>
  <c r="GT88" i="2" a="1"/>
  <c r="GT88" i="2" s="1"/>
  <c r="GT32" i="2" a="1"/>
  <c r="GT32" i="2" s="1"/>
  <c r="GT145" i="2" a="1"/>
  <c r="GT145" i="2" s="1"/>
  <c r="GT138" i="2" a="1"/>
  <c r="GT138" i="2" s="1"/>
  <c r="GT141" i="2" a="1"/>
  <c r="GT141" i="2" s="1"/>
  <c r="GT43" i="2" a="1"/>
  <c r="GT43" i="2" s="1"/>
  <c r="GT11" i="2" a="1"/>
  <c r="GT11" i="2" s="1"/>
  <c r="GT136" i="2" a="1"/>
  <c r="GT136" i="2" s="1"/>
  <c r="GT97" i="2" a="1"/>
  <c r="GT97" i="2" s="1"/>
  <c r="GT85" i="2" a="1"/>
  <c r="GT85" i="2" s="1"/>
  <c r="GT14" i="2" a="1"/>
  <c r="GT14" i="2" s="1"/>
  <c r="GT119" i="2" a="1"/>
  <c r="GT119" i="2" s="1"/>
  <c r="GT38" i="2" a="1"/>
  <c r="GT38" i="2" s="1"/>
  <c r="GT140" i="2" a="1"/>
  <c r="GT140" i="2" s="1"/>
  <c r="GT46" i="2" a="1"/>
  <c r="GT46" i="2" s="1"/>
  <c r="GT55" i="2" a="1"/>
  <c r="GT55" i="2" s="1"/>
  <c r="GT104" i="2" a="1"/>
  <c r="GT104" i="2" s="1"/>
  <c r="GT69" i="2" a="1"/>
  <c r="GT69" i="2" s="1"/>
  <c r="GT25" i="2" a="1"/>
  <c r="GT25" i="2" s="1"/>
  <c r="GT139" i="2" a="1"/>
  <c r="GT139" i="2" s="1"/>
  <c r="GT79" i="2" a="1"/>
  <c r="GT79" i="2" s="1"/>
  <c r="GT78" i="2" a="1"/>
  <c r="GT78" i="2" s="1"/>
  <c r="GT45" i="2" a="1"/>
  <c r="GT45" i="2" s="1"/>
  <c r="GT152" i="2" a="1"/>
  <c r="GT152" i="2" s="1"/>
  <c r="BC151" i="2" a="1"/>
  <c r="BC151" i="2" s="1"/>
  <c r="FD123" i="2" a="1"/>
  <c r="FD123" i="2" s="1"/>
  <c r="HG153" i="2"/>
  <c r="HG154" i="2" s="1"/>
  <c r="HJ152" i="2"/>
  <c r="BZ4" i="2"/>
  <c r="CA4" i="2" s="1"/>
  <c r="CB4" i="2" s="1"/>
  <c r="CC4" i="2" s="1"/>
  <c r="GA4" i="2"/>
  <c r="GB4" i="2" s="1"/>
  <c r="GC4" i="2" s="1"/>
  <c r="GD4" i="2" s="1"/>
  <c r="EI153" i="2" a="1"/>
  <c r="EI153" i="2" s="1"/>
  <c r="EI63" i="2" a="1"/>
  <c r="EI63" i="2" s="1"/>
  <c r="EI112" i="2" a="1"/>
  <c r="EI112" i="2" s="1"/>
  <c r="EI90" i="2" a="1"/>
  <c r="EI90" i="2" s="1"/>
  <c r="EI15" i="2" a="1"/>
  <c r="EI15" i="2" s="1"/>
  <c r="EI87" i="2" a="1"/>
  <c r="EI87" i="2" s="1"/>
  <c r="EI105" i="2" a="1"/>
  <c r="EI105" i="2" s="1"/>
  <c r="EI47" i="2" a="1"/>
  <c r="EI47" i="2" s="1"/>
  <c r="EI122" i="2" a="1"/>
  <c r="EI122" i="2" s="1"/>
  <c r="EI40" i="2" a="1"/>
  <c r="EI40" i="2" s="1"/>
  <c r="EI113" i="2" a="1"/>
  <c r="EI113" i="2" s="1"/>
  <c r="EI64" i="2" a="1"/>
  <c r="EI64" i="2" s="1"/>
  <c r="EJ64" i="2" s="1"/>
  <c r="EJ65" i="2" s="1"/>
  <c r="EI72" i="2" a="1"/>
  <c r="EI72" i="2" s="1"/>
  <c r="EI108" i="2" a="1"/>
  <c r="EI108" i="2" s="1"/>
  <c r="EI4" i="2" a="1"/>
  <c r="EI4" i="2" s="1"/>
  <c r="EI131" i="2" a="1"/>
  <c r="EI131" i="2" s="1"/>
  <c r="EI142" i="2" a="1"/>
  <c r="EI142" i="2" s="1"/>
  <c r="EI53" i="2" a="1"/>
  <c r="EI53" i="2" s="1"/>
  <c r="EI24" i="2" a="1"/>
  <c r="EI24" i="2" s="1"/>
  <c r="EI41" i="2" a="1"/>
  <c r="EI41" i="2" s="1"/>
  <c r="EI44" i="2" a="1"/>
  <c r="EI44" i="2" s="1"/>
  <c r="EI103" i="2" a="1"/>
  <c r="EI103" i="2" s="1"/>
  <c r="EI133" i="2" a="1"/>
  <c r="EI133" i="2" s="1"/>
  <c r="EI149" i="2" a="1"/>
  <c r="EI149" i="2" s="1"/>
  <c r="EI28" i="2" a="1"/>
  <c r="EI28" i="2" s="1"/>
  <c r="EI128" i="2" a="1"/>
  <c r="EI128" i="2" s="1"/>
  <c r="EI77" i="2" a="1"/>
  <c r="EI77" i="2" s="1"/>
  <c r="EI134" i="2" a="1"/>
  <c r="EI134" i="2" s="1"/>
  <c r="EI12" i="2" a="1"/>
  <c r="EI12" i="2" s="1"/>
  <c r="EI94" i="2" a="1"/>
  <c r="EI94" i="2" s="1"/>
  <c r="EI96" i="2" a="1"/>
  <c r="EI96" i="2" s="1"/>
  <c r="EI57" i="2" a="1"/>
  <c r="EI57" i="2" s="1"/>
  <c r="EI85" i="2" a="1"/>
  <c r="EI85" i="2" s="1"/>
  <c r="EI23" i="2" a="1"/>
  <c r="EI23" i="2" s="1"/>
  <c r="EI7" i="2" a="1"/>
  <c r="EI7" i="2" s="1"/>
  <c r="EI69" i="2" a="1"/>
  <c r="EI69" i="2" s="1"/>
  <c r="EI33" i="2" a="1"/>
  <c r="EI33" i="2" s="1"/>
  <c r="EI146" i="2" a="1"/>
  <c r="EI146" i="2" s="1"/>
  <c r="EI137" i="2" a="1"/>
  <c r="EI137" i="2" s="1"/>
  <c r="EI80" i="2" a="1"/>
  <c r="EI80" i="2" s="1"/>
  <c r="EI54" i="2" a="1"/>
  <c r="EI54" i="2" s="1"/>
  <c r="EI136" i="2" a="1"/>
  <c r="EI136" i="2" s="1"/>
  <c r="EI144" i="2" a="1"/>
  <c r="EI144" i="2" s="1"/>
  <c r="EI84" i="2" a="1"/>
  <c r="EI84" i="2" s="1"/>
  <c r="EI120" i="2" a="1"/>
  <c r="EI120" i="2" s="1"/>
  <c r="EI81" i="2" a="1"/>
  <c r="EI81" i="2" s="1"/>
  <c r="EI52" i="2" a="1"/>
  <c r="EI52" i="2" s="1"/>
  <c r="EI117" i="2" a="1"/>
  <c r="EI117" i="2" s="1"/>
  <c r="BC32" i="2" a="1"/>
  <c r="BC32" i="2" s="1"/>
  <c r="BX100" i="2" a="1"/>
  <c r="BX100" i="2" s="1"/>
  <c r="FD63" i="2" a="1"/>
  <c r="FD63" i="2" s="1"/>
  <c r="FD148" i="2" a="1"/>
  <c r="FD148" i="2" s="1"/>
  <c r="BX87" i="2" a="1"/>
  <c r="BX87" i="2" s="1"/>
  <c r="BX68" i="2" a="1"/>
  <c r="BX68" i="2" s="1"/>
  <c r="GT92" i="2" a="1"/>
  <c r="GT92" i="2" s="1"/>
  <c r="EI35" i="2" a="1"/>
  <c r="EI35" i="2" s="1"/>
  <c r="EI107" i="2" a="1"/>
  <c r="EI107" i="2" s="1"/>
  <c r="CS99" i="2" a="1"/>
  <c r="CS99" i="2" s="1"/>
  <c r="CS7" i="2" a="1"/>
  <c r="CS7" i="2" s="1"/>
  <c r="CS118" i="2" a="1"/>
  <c r="CS118" i="2" s="1"/>
  <c r="CS112" i="2" a="1"/>
  <c r="CS112" i="2" s="1"/>
  <c r="GT41" i="2" a="1"/>
  <c r="GT41" i="2" s="1"/>
  <c r="GT121" i="2" a="1"/>
  <c r="GT121" i="2" s="1"/>
  <c r="GT73" i="2" a="1"/>
  <c r="GT73" i="2" s="1"/>
  <c r="DN58" i="2" a="1"/>
  <c r="DN58" i="2" s="1"/>
  <c r="FD50" i="2" a="1"/>
  <c r="FD50" i="2" s="1"/>
  <c r="FD150" i="2" a="1"/>
  <c r="FD150" i="2" s="1"/>
  <c r="BX48" i="2" a="1"/>
  <c r="BX48" i="2" s="1"/>
  <c r="BX34" i="2" a="1"/>
  <c r="BX34" i="2" s="1"/>
  <c r="EI138" i="2" a="1"/>
  <c r="EI138" i="2" s="1"/>
  <c r="EI116" i="2" a="1"/>
  <c r="EI116" i="2" s="1"/>
  <c r="EI11" i="2" a="1"/>
  <c r="EI11" i="2" s="1"/>
  <c r="FD59" i="2" a="1"/>
  <c r="FD59" i="2" s="1"/>
  <c r="FD77" i="2" a="1"/>
  <c r="FD77" i="2" s="1"/>
  <c r="BX98" i="2" a="1"/>
  <c r="BX98" i="2" s="1"/>
  <c r="DF153" i="2"/>
  <c r="DF154" i="2" s="1"/>
  <c r="DI152" i="2"/>
  <c r="GT48" i="2" a="1"/>
  <c r="GT48" i="2" s="1"/>
  <c r="GT127" i="2" a="1"/>
  <c r="GT127" i="2" s="1"/>
  <c r="GT8" i="2" a="1"/>
  <c r="GT8" i="2" s="1"/>
  <c r="GT29" i="2" a="1"/>
  <c r="GT29" i="2" s="1"/>
  <c r="GT76" i="2" a="1"/>
  <c r="GT76" i="2" s="1"/>
  <c r="GT150" i="2" a="1"/>
  <c r="GT150" i="2" s="1"/>
  <c r="GT84" i="2" a="1"/>
  <c r="GT84" i="2" s="1"/>
  <c r="GT24" i="2" a="1"/>
  <c r="GT24" i="2" s="1"/>
  <c r="GT34" i="2" a="1"/>
  <c r="GT34" i="2" s="1"/>
  <c r="GT93" i="2" a="1"/>
  <c r="GT93" i="2" s="1"/>
  <c r="GT112" i="2" a="1"/>
  <c r="GT112" i="2" s="1"/>
  <c r="GT149" i="2" a="1"/>
  <c r="GT149" i="2" s="1"/>
  <c r="GT56" i="2" a="1"/>
  <c r="GT56" i="2" s="1"/>
  <c r="GT39" i="2" a="1"/>
  <c r="GT39" i="2" s="1"/>
  <c r="GT61" i="2" a="1"/>
  <c r="GT61" i="2" s="1"/>
  <c r="GT18" i="2" a="1"/>
  <c r="GT18" i="2" s="1"/>
  <c r="GT4" i="2" a="1"/>
  <c r="GT4" i="2" s="1"/>
  <c r="GU4" i="2" s="1"/>
  <c r="GU5" i="2" s="1"/>
  <c r="GU6" i="2" s="1"/>
  <c r="GU7" i="2" s="1"/>
  <c r="GU8" i="2" s="1"/>
  <c r="GU9" i="2" s="1"/>
  <c r="GU10" i="2" s="1"/>
  <c r="GT60" i="2" a="1"/>
  <c r="GT60" i="2" s="1"/>
  <c r="GT9" i="2" a="1"/>
  <c r="GT9" i="2" s="1"/>
  <c r="GT19" i="2" a="1"/>
  <c r="GT19" i="2" s="1"/>
  <c r="GT137" i="2" a="1"/>
  <c r="GT137" i="2" s="1"/>
  <c r="GT95" i="2" a="1"/>
  <c r="GT95" i="2" s="1"/>
  <c r="GT10" i="2" a="1"/>
  <c r="GT10" i="2" s="1"/>
  <c r="FY53" i="2" a="1"/>
  <c r="FY53" i="2" s="1"/>
  <c r="DN151" i="2" a="1"/>
  <c r="DN151" i="2" s="1"/>
  <c r="EI51" i="2" a="1"/>
  <c r="EI51" i="2" s="1"/>
  <c r="AH105" i="2" a="1"/>
  <c r="AH105" i="2" s="1"/>
  <c r="AH18" i="2" a="1"/>
  <c r="AH18" i="2" s="1"/>
  <c r="AH106" i="2" a="1"/>
  <c r="AH106" i="2" s="1"/>
  <c r="AH131" i="2" a="1"/>
  <c r="AH131" i="2" s="1"/>
  <c r="AH103" i="2" a="1"/>
  <c r="AH103" i="2" s="1"/>
  <c r="AH126" i="2" a="1"/>
  <c r="AH126" i="2" s="1"/>
  <c r="AH72" i="2" a="1"/>
  <c r="AH72" i="2" s="1"/>
  <c r="AH111" i="2" a="1"/>
  <c r="AH111" i="2" s="1"/>
  <c r="AH90" i="2" a="1"/>
  <c r="AH90" i="2" s="1"/>
  <c r="AH101" i="2" a="1"/>
  <c r="AH101" i="2" s="1"/>
  <c r="AH127" i="2" a="1"/>
  <c r="AH127" i="2" s="1"/>
  <c r="AH76" i="2" a="1"/>
  <c r="AH76" i="2" s="1"/>
  <c r="AH141" i="2" a="1"/>
  <c r="AH141" i="2" s="1"/>
  <c r="AH77" i="2" a="1"/>
  <c r="AH77" i="2" s="1"/>
  <c r="AH137" i="2" a="1"/>
  <c r="AH137" i="2" s="1"/>
  <c r="AH135" i="2" a="1"/>
  <c r="AH135" i="2" s="1"/>
  <c r="AH95" i="2" a="1"/>
  <c r="AH95" i="2" s="1"/>
  <c r="AH107" i="2" a="1"/>
  <c r="AH107" i="2" s="1"/>
  <c r="AH110" i="2" a="1"/>
  <c r="AH110" i="2" s="1"/>
  <c r="AH33" i="2" a="1"/>
  <c r="AH33" i="2" s="1"/>
  <c r="AH70" i="2" a="1"/>
  <c r="AH70" i="2" s="1"/>
  <c r="AH74" i="2" a="1"/>
  <c r="AH74" i="2" s="1"/>
  <c r="AH26" i="2" a="1"/>
  <c r="AH26" i="2" s="1"/>
  <c r="AH28" i="2" a="1"/>
  <c r="AH28" i="2" s="1"/>
  <c r="AH69" i="2" a="1"/>
  <c r="AH69" i="2" s="1"/>
  <c r="AH61" i="2" a="1"/>
  <c r="AH61" i="2" s="1"/>
  <c r="AH85" i="2" a="1"/>
  <c r="AH85" i="2" s="1"/>
  <c r="AH80" i="2" a="1"/>
  <c r="AH80" i="2" s="1"/>
  <c r="AH68" i="2" a="1"/>
  <c r="AH68" i="2" s="1"/>
  <c r="AH146" i="2" a="1"/>
  <c r="AH146" i="2" s="1"/>
  <c r="AH114" i="2" a="1"/>
  <c r="AH114" i="2" s="1"/>
  <c r="AH120" i="2" a="1"/>
  <c r="AH120" i="2" s="1"/>
  <c r="AH118" i="2" a="1"/>
  <c r="AH118" i="2" s="1"/>
  <c r="AH88" i="2" a="1"/>
  <c r="AH88" i="2" s="1"/>
  <c r="AH66" i="2" a="1"/>
  <c r="AH66" i="2" s="1"/>
  <c r="AH7" i="2" a="1"/>
  <c r="AH7" i="2" s="1"/>
  <c r="AH40" i="2" a="1"/>
  <c r="AH40" i="2" s="1"/>
  <c r="AH64" i="2" a="1"/>
  <c r="AH64" i="2" s="1"/>
  <c r="AH100" i="2" a="1"/>
  <c r="AH100" i="2" s="1"/>
  <c r="AH67" i="2" a="1"/>
  <c r="AH67" i="2" s="1"/>
  <c r="AH102" i="2" a="1"/>
  <c r="AH102" i="2" s="1"/>
  <c r="AH27" i="2" a="1"/>
  <c r="AH27" i="2" s="1"/>
  <c r="AH119" i="2" a="1"/>
  <c r="AH119" i="2" s="1"/>
  <c r="AH123" i="2" a="1"/>
  <c r="AH123" i="2" s="1"/>
  <c r="AH19" i="2" a="1"/>
  <c r="AH19" i="2" s="1"/>
  <c r="AH121" i="2" a="1"/>
  <c r="AH121" i="2" s="1"/>
  <c r="AH104" i="2" a="1"/>
  <c r="AH104" i="2" s="1"/>
  <c r="AH134" i="2" a="1"/>
  <c r="AH134" i="2" s="1"/>
  <c r="AH98" i="2" a="1"/>
  <c r="AH98" i="2" s="1"/>
  <c r="AH84" i="2" a="1"/>
  <c r="AH84" i="2" s="1"/>
  <c r="AH15" i="2" a="1"/>
  <c r="AH15" i="2" s="1"/>
  <c r="AH147" i="2" a="1"/>
  <c r="AH147" i="2" s="1"/>
  <c r="AH143" i="2" a="1"/>
  <c r="AH143" i="2" s="1"/>
  <c r="AH10" i="2" a="1"/>
  <c r="AH10" i="2" s="1"/>
  <c r="AH16" i="2" a="1"/>
  <c r="AH16" i="2" s="1"/>
  <c r="AH109" i="2" a="1"/>
  <c r="AH109" i="2" s="1"/>
  <c r="AH46" i="2" a="1"/>
  <c r="AH46" i="2" s="1"/>
  <c r="AH56" i="2" a="1"/>
  <c r="AH56" i="2" s="1"/>
  <c r="AH30" i="2" a="1"/>
  <c r="AH30" i="2" s="1"/>
  <c r="AH124" i="2" a="1"/>
  <c r="AH124" i="2" s="1"/>
  <c r="AH53" i="2" a="1"/>
  <c r="AH53" i="2" s="1"/>
  <c r="AH25" i="2" a="1"/>
  <c r="AH25" i="2" s="1"/>
  <c r="AH35" i="2" a="1"/>
  <c r="AH35" i="2" s="1"/>
  <c r="AH58" i="2" a="1"/>
  <c r="AH58" i="2" s="1"/>
  <c r="AH12" i="2" a="1"/>
  <c r="AH12" i="2" s="1"/>
  <c r="AH55" i="2" a="1"/>
  <c r="AH55" i="2" s="1"/>
  <c r="AH8" i="2" a="1"/>
  <c r="AH8" i="2" s="1"/>
  <c r="AH36" i="2" a="1"/>
  <c r="AH36" i="2" s="1"/>
  <c r="AH86" i="2" a="1"/>
  <c r="AH86" i="2" s="1"/>
  <c r="AH144" i="2" a="1"/>
  <c r="AH144" i="2" s="1"/>
  <c r="AH117" i="2" a="1"/>
  <c r="AH117" i="2" s="1"/>
  <c r="AH129" i="2" a="1"/>
  <c r="AH129" i="2" s="1"/>
  <c r="AH125" i="2" a="1"/>
  <c r="AH125" i="2" s="1"/>
  <c r="AH116" i="2" a="1"/>
  <c r="AH116" i="2" s="1"/>
  <c r="AH52" i="2" a="1"/>
  <c r="AH52" i="2" s="1"/>
  <c r="AH75" i="2" a="1"/>
  <c r="AH75" i="2" s="1"/>
  <c r="AH93" i="2" a="1"/>
  <c r="AH93" i="2" s="1"/>
  <c r="AH21" i="2" a="1"/>
  <c r="AH21" i="2" s="1"/>
  <c r="AH60" i="2" a="1"/>
  <c r="AH60" i="2" s="1"/>
  <c r="AH45" i="2" a="1"/>
  <c r="AH45" i="2" s="1"/>
  <c r="AH113" i="2" a="1"/>
  <c r="AH113" i="2" s="1"/>
  <c r="AH54" i="2" a="1"/>
  <c r="AH54" i="2" s="1"/>
  <c r="AH39" i="2" a="1"/>
  <c r="AH39" i="2" s="1"/>
  <c r="AH99" i="2" a="1"/>
  <c r="AH99" i="2" s="1"/>
  <c r="AH4" i="2" a="1"/>
  <c r="AH4" i="2" s="1"/>
  <c r="AH97" i="2" a="1"/>
  <c r="AH97" i="2" s="1"/>
  <c r="AH41" i="2" a="1"/>
  <c r="AH41" i="2" s="1"/>
  <c r="AH43" i="2" a="1"/>
  <c r="AH43" i="2" s="1"/>
  <c r="AH23" i="2" a="1"/>
  <c r="AH23" i="2" s="1"/>
  <c r="M67" i="2" a="1"/>
  <c r="M67" i="2" s="1"/>
  <c r="M148" i="2" a="1"/>
  <c r="M148" i="2" s="1"/>
  <c r="M16" i="2" a="1"/>
  <c r="M16" i="2" s="1"/>
  <c r="M126" i="2" a="1"/>
  <c r="M126" i="2" s="1"/>
  <c r="M46" i="2" a="1"/>
  <c r="M46" i="2" s="1"/>
  <c r="M89" i="2" a="1"/>
  <c r="M89" i="2" s="1"/>
  <c r="M87" i="2" a="1"/>
  <c r="M87" i="2" s="1"/>
  <c r="M147" i="2" a="1"/>
  <c r="M147" i="2" s="1"/>
  <c r="M64" i="2" a="1"/>
  <c r="M64" i="2" s="1"/>
  <c r="M100" i="2" a="1"/>
  <c r="M100" i="2" s="1"/>
  <c r="M136" i="2" a="1"/>
  <c r="M136" i="2" s="1"/>
  <c r="M13" i="2" a="1"/>
  <c r="M13" i="2" s="1"/>
  <c r="M141" i="2" a="1"/>
  <c r="M141" i="2" s="1"/>
  <c r="M79" i="2" a="1"/>
  <c r="M79" i="2" s="1"/>
  <c r="M18" i="2" a="1"/>
  <c r="M18" i="2" s="1"/>
  <c r="M37" i="2" a="1"/>
  <c r="M37" i="2" s="1"/>
  <c r="M132" i="2" a="1"/>
  <c r="M132" i="2" s="1"/>
  <c r="M56" i="2" a="1"/>
  <c r="M56" i="2" s="1"/>
  <c r="M112" i="2" a="1"/>
  <c r="M112" i="2" s="1"/>
  <c r="M69" i="2" a="1"/>
  <c r="M69" i="2" s="1"/>
  <c r="M123" i="2" a="1"/>
  <c r="M123" i="2" s="1"/>
  <c r="M45" i="2" a="1"/>
  <c r="M45" i="2" s="1"/>
  <c r="M91" i="2" a="1"/>
  <c r="M91" i="2" s="1"/>
  <c r="M7" i="2" a="1"/>
  <c r="M7" i="2" s="1"/>
  <c r="M6" i="2" a="1"/>
  <c r="M6" i="2" s="1"/>
  <c r="M52" i="2" a="1"/>
  <c r="M52" i="2" s="1"/>
  <c r="M92" i="2" a="1"/>
  <c r="M92" i="2" s="1"/>
  <c r="M144" i="2" a="1"/>
  <c r="M144" i="2" s="1"/>
  <c r="M74" i="2" a="1"/>
  <c r="M74" i="2" s="1"/>
  <c r="M86" i="2" a="1"/>
  <c r="M86" i="2" s="1"/>
  <c r="M24" i="2" a="1"/>
  <c r="M24" i="2" s="1"/>
  <c r="M54" i="2" a="1"/>
  <c r="M54" i="2" s="1"/>
  <c r="M35" i="2" a="1"/>
  <c r="M35" i="2" s="1"/>
  <c r="M63" i="2" a="1"/>
  <c r="M63" i="2" s="1"/>
  <c r="M102" i="2" a="1"/>
  <c r="M102" i="2" s="1"/>
  <c r="M122" i="2" a="1"/>
  <c r="M122" i="2" s="1"/>
  <c r="M134" i="2" a="1"/>
  <c r="M134" i="2" s="1"/>
  <c r="M44" i="2" a="1"/>
  <c r="M44" i="2" s="1"/>
  <c r="M108" i="2" a="1"/>
  <c r="M108" i="2" s="1"/>
  <c r="M8" i="2" a="1"/>
  <c r="M8" i="2" s="1"/>
  <c r="M32" i="2" a="1"/>
  <c r="M32" i="2" s="1"/>
  <c r="M96" i="2" a="1"/>
  <c r="M96" i="2" s="1"/>
  <c r="M58" i="2" a="1"/>
  <c r="M58" i="2" s="1"/>
  <c r="M51" i="2" a="1"/>
  <c r="M51" i="2" s="1"/>
  <c r="M138" i="2" a="1"/>
  <c r="M138" i="2" s="1"/>
  <c r="M85" i="2" a="1"/>
  <c r="M85" i="2" s="1"/>
  <c r="M153" i="2" a="1"/>
  <c r="M153" i="2" s="1"/>
  <c r="M133" i="2" a="1"/>
  <c r="M133" i="2" s="1"/>
  <c r="M15" i="2" a="1"/>
  <c r="M15" i="2" s="1"/>
  <c r="M38" i="2" a="1"/>
  <c r="M38" i="2" s="1"/>
  <c r="M29" i="2" a="1"/>
  <c r="M29" i="2" s="1"/>
  <c r="M31" i="2" a="1"/>
  <c r="M31" i="2" s="1"/>
  <c r="M128" i="2" a="1"/>
  <c r="M128" i="2" s="1"/>
  <c r="M66" i="2" a="1"/>
  <c r="M66" i="2" s="1"/>
  <c r="M114" i="2" a="1"/>
  <c r="M114" i="2" s="1"/>
  <c r="M104" i="2" a="1"/>
  <c r="M104" i="2" s="1"/>
  <c r="M142" i="2" a="1"/>
  <c r="M142" i="2" s="1"/>
  <c r="M55" i="2" a="1"/>
  <c r="M55" i="2" s="1"/>
  <c r="M150" i="2" a="1"/>
  <c r="M150" i="2" s="1"/>
  <c r="M143" i="2" a="1"/>
  <c r="M143" i="2" s="1"/>
  <c r="M70" i="2" a="1"/>
  <c r="M70" i="2" s="1"/>
  <c r="M117" i="2" a="1"/>
  <c r="M117" i="2" s="1"/>
  <c r="M14" i="2" a="1"/>
  <c r="M14" i="2" s="1"/>
  <c r="N14" i="2" s="1"/>
  <c r="M72" i="2" a="1"/>
  <c r="M72" i="2" s="1"/>
  <c r="M41" i="2" a="1"/>
  <c r="M41" i="2" s="1"/>
  <c r="M78" i="2" a="1"/>
  <c r="M78" i="2" s="1"/>
  <c r="M25" i="2" a="1"/>
  <c r="M25" i="2" s="1"/>
  <c r="M94" i="2" a="1"/>
  <c r="M94" i="2" s="1"/>
  <c r="M151" i="2" a="1"/>
  <c r="M151" i="2" s="1"/>
  <c r="M88" i="2" a="1"/>
  <c r="M88" i="2" s="1"/>
  <c r="M149" i="2" a="1"/>
  <c r="M149" i="2" s="1"/>
  <c r="M145" i="2" a="1"/>
  <c r="M145" i="2" s="1"/>
  <c r="M110" i="2" a="1"/>
  <c r="M110" i="2" s="1"/>
  <c r="M130" i="2" a="1"/>
  <c r="M130" i="2" s="1"/>
  <c r="M97" i="2" a="1"/>
  <c r="M97" i="2" s="1"/>
  <c r="M71" i="2" a="1"/>
  <c r="M71" i="2" s="1"/>
  <c r="M115" i="2" a="1"/>
  <c r="M115" i="2" s="1"/>
  <c r="M23" i="2" a="1"/>
  <c r="M23" i="2" s="1"/>
  <c r="M40" i="2" a="1"/>
  <c r="M40" i="2" s="1"/>
  <c r="M119" i="2" a="1"/>
  <c r="M119" i="2" s="1"/>
  <c r="M113" i="2" a="1"/>
  <c r="M113" i="2" s="1"/>
  <c r="M48" i="2" a="1"/>
  <c r="M48" i="2" s="1"/>
  <c r="M39" i="2" a="1"/>
  <c r="M39" i="2" s="1"/>
  <c r="M59" i="2" a="1"/>
  <c r="M59" i="2" s="1"/>
  <c r="M129" i="2" a="1"/>
  <c r="M129" i="2" s="1"/>
  <c r="M34" i="2" a="1"/>
  <c r="M34" i="2" s="1"/>
  <c r="M120" i="2" a="1"/>
  <c r="M120" i="2" s="1"/>
  <c r="M83" i="2" a="1"/>
  <c r="M83" i="2" s="1"/>
  <c r="M68" i="2" a="1"/>
  <c r="M68" i="2" s="1"/>
  <c r="M82" i="2" a="1"/>
  <c r="M82" i="2" s="1"/>
  <c r="M125" i="2" a="1"/>
  <c r="M125" i="2" s="1"/>
  <c r="M42" i="2" a="1"/>
  <c r="M42" i="2" s="1"/>
  <c r="M139" i="2" a="1"/>
  <c r="M139" i="2" s="1"/>
  <c r="M116" i="2" a="1"/>
  <c r="M116" i="2" s="1"/>
  <c r="M5" i="2" a="1"/>
  <c r="M5" i="2" s="1"/>
  <c r="M22" i="2" a="1"/>
  <c r="M22" i="2" s="1"/>
  <c r="M111" i="2" a="1"/>
  <c r="M111" i="2" s="1"/>
  <c r="M11" i="2" a="1"/>
  <c r="M11" i="2" s="1"/>
  <c r="AA153" i="2"/>
  <c r="AA154" i="2" s="1"/>
  <c r="AA155" i="2" s="1"/>
  <c r="AA156" i="2" s="1"/>
  <c r="AA157" i="2" s="1"/>
  <c r="AA158" i="2" s="1"/>
  <c r="AA159" i="2" s="1"/>
  <c r="AA160" i="2" s="1"/>
  <c r="AA161" i="2" s="1"/>
  <c r="AA162" i="2" s="1"/>
  <c r="AA163" i="2" s="1"/>
  <c r="AA164" i="2" s="1"/>
  <c r="AA165" i="2" s="1"/>
  <c r="AA166" i="2" s="1"/>
  <c r="AA167" i="2" s="1"/>
  <c r="AA168" i="2" s="1"/>
  <c r="AA169" i="2" s="1"/>
  <c r="AA170" i="2" s="1"/>
  <c r="AA171" i="2" s="1"/>
  <c r="AA172" i="2" s="1"/>
  <c r="AA173" i="2" s="1"/>
  <c r="AA174" i="2" s="1"/>
  <c r="AA175" i="2" s="1"/>
  <c r="AA176" i="2" s="1"/>
  <c r="AA177" i="2" s="1"/>
  <c r="AA178" i="2" s="1"/>
  <c r="AA179" i="2" s="1"/>
  <c r="AA180" i="2" s="1"/>
  <c r="AA181" i="2" s="1"/>
  <c r="AA182" i="2" s="1"/>
  <c r="AA183" i="2" s="1"/>
  <c r="AA184" i="2" s="1"/>
  <c r="AA185" i="2" s="1"/>
  <c r="AA186" i="2" s="1"/>
  <c r="AA187" i="2" s="1"/>
  <c r="AA188" i="2" s="1"/>
  <c r="AA189" i="2" s="1"/>
  <c r="AA190" i="2" s="1"/>
  <c r="AA191" i="2" s="1"/>
  <c r="AA192" i="2" s="1"/>
  <c r="AA193" i="2" s="1"/>
  <c r="AA194" i="2" s="1"/>
  <c r="AA195" i="2" s="1"/>
  <c r="AA196" i="2" s="1"/>
  <c r="AA197" i="2" s="1"/>
  <c r="AA198" i="2" s="1"/>
  <c r="AA199" i="2" s="1"/>
  <c r="AA200" i="2" s="1"/>
  <c r="AA201" i="2" s="1"/>
  <c r="AA202" i="2" s="1"/>
  <c r="AA203" i="2" s="1"/>
  <c r="M27" i="2" a="1"/>
  <c r="M27" i="2" s="1"/>
  <c r="M57" i="2" a="1"/>
  <c r="M57" i="2" s="1"/>
  <c r="M137" i="2" a="1"/>
  <c r="M137" i="2" s="1"/>
  <c r="M140" i="2" a="1"/>
  <c r="M140" i="2" s="1"/>
  <c r="M36" i="2" a="1"/>
  <c r="M36" i="2" s="1"/>
  <c r="M127" i="2" a="1"/>
  <c r="M127" i="2" s="1"/>
  <c r="M10" i="2" a="1"/>
  <c r="M10" i="2" s="1"/>
  <c r="M65" i="2" a="1"/>
  <c r="M65" i="2" s="1"/>
  <c r="M101" i="2" a="1"/>
  <c r="M101" i="2" s="1"/>
  <c r="M33" i="2" a="1"/>
  <c r="M33" i="2" s="1"/>
  <c r="M20" i="2" a="1"/>
  <c r="M20" i="2" s="1"/>
  <c r="M61" i="2" a="1"/>
  <c r="M61" i="2" s="1"/>
  <c r="M21" i="2" a="1"/>
  <c r="M21" i="2" s="1"/>
  <c r="M73" i="2" a="1"/>
  <c r="M73" i="2" s="1"/>
  <c r="M146" i="2" a="1"/>
  <c r="M146" i="2" s="1"/>
  <c r="M107" i="2" a="1"/>
  <c r="M107" i="2" s="1"/>
  <c r="M121" i="2" a="1"/>
  <c r="M121" i="2" s="1"/>
  <c r="M106" i="2" a="1"/>
  <c r="M106" i="2" s="1"/>
  <c r="M84" i="2" a="1"/>
  <c r="M84" i="2" s="1"/>
  <c r="M131" i="2" a="1"/>
  <c r="M131" i="2" s="1"/>
  <c r="M12" i="2" a="1"/>
  <c r="M12" i="2" s="1"/>
  <c r="M99" i="2" a="1"/>
  <c r="M99" i="2" s="1"/>
  <c r="M98" i="2" a="1"/>
  <c r="M98" i="2" s="1"/>
  <c r="M60" i="2" a="1"/>
  <c r="M60" i="2" s="1"/>
  <c r="M47" i="2" a="1"/>
  <c r="M47" i="2" s="1"/>
  <c r="M90" i="2" a="1"/>
  <c r="M90" i="2" s="1"/>
  <c r="M43" i="2" a="1"/>
  <c r="M43" i="2" s="1"/>
  <c r="M135" i="2" a="1"/>
  <c r="M135" i="2" s="1"/>
  <c r="M124" i="2" a="1"/>
  <c r="M124" i="2" s="1"/>
  <c r="M17" i="2" a="1"/>
  <c r="M17" i="2" s="1"/>
  <c r="M75" i="2" a="1"/>
  <c r="M75" i="2" s="1"/>
  <c r="M77" i="2" a="1"/>
  <c r="M77" i="2" s="1"/>
  <c r="M9" i="2" a="1"/>
  <c r="M9" i="2" s="1"/>
  <c r="M105" i="2" a="1"/>
  <c r="M105" i="2" s="1"/>
  <c r="M95" i="2" a="1"/>
  <c r="M95" i="2" s="1"/>
  <c r="M26" i="2" a="1"/>
  <c r="M26" i="2" s="1"/>
  <c r="M19" i="2" a="1"/>
  <c r="M19" i="2" s="1"/>
  <c r="M80" i="2" a="1"/>
  <c r="M80" i="2" s="1"/>
  <c r="M4" i="2" a="1"/>
  <c r="M4" i="2" s="1"/>
  <c r="M76" i="2" a="1"/>
  <c r="M76" i="2" s="1"/>
  <c r="M81" i="2" a="1"/>
  <c r="M81" i="2" s="1"/>
  <c r="M30" i="2" a="1"/>
  <c r="M30" i="2" s="1"/>
  <c r="M109" i="2" a="1"/>
  <c r="M109" i="2" s="1"/>
  <c r="M103" i="2" a="1"/>
  <c r="M103" i="2" s="1"/>
  <c r="M49" i="2" a="1"/>
  <c r="M49" i="2" s="1"/>
  <c r="M28" i="2" a="1"/>
  <c r="M28" i="2" s="1"/>
  <c r="M93" i="2" a="1"/>
  <c r="M93" i="2" s="1"/>
  <c r="M118" i="2" a="1"/>
  <c r="M118" i="2" s="1"/>
  <c r="M50" i="2" a="1"/>
  <c r="M50" i="2" s="1"/>
  <c r="M62" i="2" a="1"/>
  <c r="M62" i="2" s="1"/>
  <c r="M152" i="2" a="1"/>
  <c r="M152" i="2" s="1"/>
  <c r="AH81" i="2" a="1"/>
  <c r="AH81" i="2" s="1"/>
  <c r="AH133" i="2" a="1"/>
  <c r="AH133" i="2" s="1"/>
  <c r="AH87" i="2" a="1"/>
  <c r="AH87" i="2" s="1"/>
  <c r="AH37" i="2" a="1"/>
  <c r="AH37" i="2" s="1"/>
  <c r="AH145" i="2" a="1"/>
  <c r="AH145" i="2" s="1"/>
  <c r="AH149" i="2" a="1"/>
  <c r="AH149" i="2" s="1"/>
  <c r="AH47" i="2" a="1"/>
  <c r="AH47" i="2" s="1"/>
  <c r="AH11" i="2" a="1"/>
  <c r="AH11" i="2" s="1"/>
  <c r="AH51" i="2" a="1"/>
  <c r="AH51" i="2" s="1"/>
  <c r="AH32" i="2" a="1"/>
  <c r="AH32" i="2" s="1"/>
  <c r="AH14" i="2" a="1"/>
  <c r="AH14" i="2" s="1"/>
  <c r="AH108" i="2" a="1"/>
  <c r="AH108" i="2" s="1"/>
  <c r="AH65" i="2" a="1"/>
  <c r="AH65" i="2" s="1"/>
  <c r="AH130" i="2" a="1"/>
  <c r="AH130" i="2" s="1"/>
  <c r="AH122" i="2" a="1"/>
  <c r="AH122" i="2" s="1"/>
  <c r="AH152" i="2" a="1"/>
  <c r="AH152" i="2" s="1"/>
  <c r="AH153" i="2" a="1"/>
  <c r="AH153" i="2" s="1"/>
  <c r="AH50" i="2" a="1"/>
  <c r="AH50" i="2" s="1"/>
  <c r="AH96" i="2" a="1"/>
  <c r="AH96" i="2" s="1"/>
  <c r="AH6" i="2" a="1"/>
  <c r="AH6" i="2" s="1"/>
  <c r="AH89" i="2" a="1"/>
  <c r="AH89" i="2" s="1"/>
  <c r="AH92" i="2" a="1"/>
  <c r="AH92" i="2" s="1"/>
  <c r="AH49" i="2" a="1"/>
  <c r="AH49" i="2" s="1"/>
  <c r="AH20" i="2" a="1"/>
  <c r="AH20" i="2" s="1"/>
  <c r="AH151" i="2" a="1"/>
  <c r="AH151" i="2" s="1"/>
  <c r="AH59" i="2" a="1"/>
  <c r="AH59" i="2" s="1"/>
  <c r="AH138" i="2" a="1"/>
  <c r="AH138" i="2" s="1"/>
  <c r="AH140" i="2" a="1"/>
  <c r="AH140" i="2" s="1"/>
  <c r="AH142" i="2" a="1"/>
  <c r="AH142" i="2" s="1"/>
  <c r="AH115" i="2" a="1"/>
  <c r="AH115" i="2" s="1"/>
  <c r="AH128" i="2" a="1"/>
  <c r="AH128" i="2" s="1"/>
  <c r="AH29" i="2" a="1"/>
  <c r="AH29" i="2" s="1"/>
  <c r="AI29" i="2" s="1"/>
  <c r="AI30" i="2" s="1"/>
  <c r="AH91" i="2" a="1"/>
  <c r="AH91" i="2" s="1"/>
  <c r="AH48" i="2" a="1"/>
  <c r="AH48" i="2" s="1"/>
  <c r="AH79" i="2" a="1"/>
  <c r="AH79" i="2" s="1"/>
  <c r="AH17" i="2" a="1"/>
  <c r="AH17" i="2" s="1"/>
  <c r="AH62" i="2" a="1"/>
  <c r="AH62" i="2" s="1"/>
  <c r="AH71" i="2" a="1"/>
  <c r="AH71" i="2" s="1"/>
  <c r="AH148" i="2" a="1"/>
  <c r="AH148" i="2" s="1"/>
  <c r="AH24" i="2" a="1"/>
  <c r="AH24" i="2" s="1"/>
  <c r="AH9" i="2" a="1"/>
  <c r="AH9" i="2" s="1"/>
  <c r="AH82" i="2" a="1"/>
  <c r="AH82" i="2" s="1"/>
  <c r="AH63" i="2" a="1"/>
  <c r="AH63" i="2" s="1"/>
  <c r="AH31" i="2" a="1"/>
  <c r="AH31" i="2" s="1"/>
  <c r="AH57" i="2" a="1"/>
  <c r="AH57" i="2" s="1"/>
  <c r="AH132" i="2" a="1"/>
  <c r="AH132" i="2" s="1"/>
  <c r="AH34" i="2" a="1"/>
  <c r="AH34" i="2" s="1"/>
  <c r="AH150" i="2" a="1"/>
  <c r="AH150" i="2" s="1"/>
  <c r="AH38" i="2" a="1"/>
  <c r="AH38" i="2" s="1"/>
  <c r="AH94" i="2" a="1"/>
  <c r="AH94" i="2" s="1"/>
  <c r="AH5" i="2" a="1"/>
  <c r="AH5" i="2" s="1"/>
  <c r="AH22" i="2" a="1"/>
  <c r="AH22" i="2" s="1"/>
  <c r="AH78" i="2" a="1"/>
  <c r="AH78" i="2" s="1"/>
  <c r="AH73" i="2" a="1"/>
  <c r="AH73" i="2" s="1"/>
  <c r="AH83" i="2" a="1"/>
  <c r="AH83" i="2" s="1"/>
  <c r="AH13" i="2" a="1"/>
  <c r="AH13" i="2" s="1"/>
  <c r="AH139" i="2" a="1"/>
  <c r="AH139" i="2" s="1"/>
  <c r="AH112" i="2" a="1"/>
  <c r="AH112" i="2" s="1"/>
  <c r="AH44" i="2" a="1"/>
  <c r="AH44" i="2" s="1"/>
  <c r="AB153" i="2"/>
  <c r="AB154" i="2" s="1"/>
  <c r="AB155" i="2" s="1"/>
  <c r="AB156" i="2" s="1"/>
  <c r="AB157" i="2" s="1"/>
  <c r="AB158" i="2" s="1"/>
  <c r="AB159" i="2" s="1"/>
  <c r="AB160" i="2" s="1"/>
  <c r="AB161" i="2" s="1"/>
  <c r="AB162" i="2" s="1"/>
  <c r="AB163" i="2" s="1"/>
  <c r="AB164" i="2" s="1"/>
  <c r="AB165" i="2" s="1"/>
  <c r="AB166" i="2" s="1"/>
  <c r="AB167" i="2" s="1"/>
  <c r="AB168" i="2" s="1"/>
  <c r="AB169" i="2" s="1"/>
  <c r="AB170" i="2" s="1"/>
  <c r="AB171" i="2" s="1"/>
  <c r="AB172" i="2" s="1"/>
  <c r="AB173" i="2" s="1"/>
  <c r="AB174" i="2" s="1"/>
  <c r="AB175" i="2" s="1"/>
  <c r="AB176" i="2" s="1"/>
  <c r="AB177" i="2" s="1"/>
  <c r="AB178" i="2" s="1"/>
  <c r="AB179" i="2" s="1"/>
  <c r="AB180" i="2" s="1"/>
  <c r="AB181" i="2" s="1"/>
  <c r="AB182" i="2" s="1"/>
  <c r="AB183" i="2" s="1"/>
  <c r="AB184" i="2" s="1"/>
  <c r="AB185" i="2" s="1"/>
  <c r="AB186" i="2" s="1"/>
  <c r="AB187" i="2" s="1"/>
  <c r="AB188" i="2" s="1"/>
  <c r="AB189" i="2" s="1"/>
  <c r="AB190" i="2" s="1"/>
  <c r="AB191" i="2" s="1"/>
  <c r="AB192" i="2" s="1"/>
  <c r="AB193" i="2" s="1"/>
  <c r="AB194" i="2" s="1"/>
  <c r="AB195" i="2" s="1"/>
  <c r="AB196" i="2" s="1"/>
  <c r="AB197" i="2" s="1"/>
  <c r="AB198" i="2" s="1"/>
  <c r="AB199" i="2" s="1"/>
  <c r="AB200" i="2" s="1"/>
  <c r="AB201" i="2" s="1"/>
  <c r="AB202" i="2" s="1"/>
  <c r="AB203" i="2" s="1"/>
  <c r="AX150" i="2"/>
  <c r="AU151" i="2"/>
  <c r="Z153" i="2"/>
  <c r="Z154" i="2" s="1"/>
  <c r="AC152" i="2"/>
  <c r="GU11" i="2" l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Z5" i="2"/>
  <c r="FZ6" i="2" s="1"/>
  <c r="FZ7" i="2" s="1"/>
  <c r="FZ8" i="2" s="1"/>
  <c r="FZ9" i="2" s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FE9" i="2"/>
  <c r="FE10" i="2" s="1"/>
  <c r="FE11" i="2" s="1"/>
  <c r="FE12" i="2" s="1"/>
  <c r="FE13" i="2" s="1"/>
  <c r="FE14" i="2" s="1"/>
  <c r="FE15" i="2" s="1"/>
  <c r="FE16" i="2" s="1"/>
  <c r="FE17" i="2" s="1"/>
  <c r="FE18" i="2" s="1"/>
  <c r="FE19" i="2" s="1"/>
  <c r="FE20" i="2" s="1"/>
  <c r="FE21" i="2" s="1"/>
  <c r="FE22" i="2" s="1"/>
  <c r="FE23" i="2" s="1"/>
  <c r="FE24" i="2" s="1"/>
  <c r="FE25" i="2" s="1"/>
  <c r="FE26" i="2" s="1"/>
  <c r="FE27" i="2" s="1"/>
  <c r="FE28" i="2" s="1"/>
  <c r="FE29" i="2" s="1"/>
  <c r="FE30" i="2" s="1"/>
  <c r="FE31" i="2" s="1"/>
  <c r="FE32" i="2" s="1"/>
  <c r="FE33" i="2" s="1"/>
  <c r="FE34" i="2" s="1"/>
  <c r="FE35" i="2" s="1"/>
  <c r="FE36" i="2" s="1"/>
  <c r="FE37" i="2" s="1"/>
  <c r="FE38" i="2" s="1"/>
  <c r="FE39" i="2" s="1"/>
  <c r="FE40" i="2" s="1"/>
  <c r="FE41" i="2" s="1"/>
  <c r="FE42" i="2" s="1"/>
  <c r="FE43" i="2" s="1"/>
  <c r="FE44" i="2" s="1"/>
  <c r="FE45" i="2" s="1"/>
  <c r="FE46" i="2" s="1"/>
  <c r="FE47" i="2" s="1"/>
  <c r="FE48" i="2" s="1"/>
  <c r="FE49" i="2" s="1"/>
  <c r="FE50" i="2" s="1"/>
  <c r="FE51" i="2" s="1"/>
  <c r="FE52" i="2" s="1"/>
  <c r="FE53" i="2" s="1"/>
  <c r="FE54" i="2" s="1"/>
  <c r="FE55" i="2" s="1"/>
  <c r="FE56" i="2" s="1"/>
  <c r="FE57" i="2" s="1"/>
  <c r="FE58" i="2" s="1"/>
  <c r="FE59" i="2" s="1"/>
  <c r="FE60" i="2" s="1"/>
  <c r="FE61" i="2" s="1"/>
  <c r="FE62" i="2" s="1"/>
  <c r="FE63" i="2" s="1"/>
  <c r="FE64" i="2" s="1"/>
  <c r="FE65" i="2" s="1"/>
  <c r="FE66" i="2" s="1"/>
  <c r="FE67" i="2" s="1"/>
  <c r="FE68" i="2" s="1"/>
  <c r="FE69" i="2" s="1"/>
  <c r="FE70" i="2" s="1"/>
  <c r="FE71" i="2" s="1"/>
  <c r="FE72" i="2" s="1"/>
  <c r="FE73" i="2" s="1"/>
  <c r="FE74" i="2" s="1"/>
  <c r="FE75" i="2" s="1"/>
  <c r="FE76" i="2" s="1"/>
  <c r="FE77" i="2" s="1"/>
  <c r="FE78" i="2" s="1"/>
  <c r="FE79" i="2" s="1"/>
  <c r="FE80" i="2" s="1"/>
  <c r="FE81" i="2" s="1"/>
  <c r="FE82" i="2" s="1"/>
  <c r="FE83" i="2" s="1"/>
  <c r="FE84" i="2" s="1"/>
  <c r="FE85" i="2" s="1"/>
  <c r="FE86" i="2" s="1"/>
  <c r="FE87" i="2" s="1"/>
  <c r="FE88" i="2" s="1"/>
  <c r="FE89" i="2" s="1"/>
  <c r="FE90" i="2" s="1"/>
  <c r="FE91" i="2" s="1"/>
  <c r="FE92" i="2" s="1"/>
  <c r="FE93" i="2" s="1"/>
  <c r="FE94" i="2" s="1"/>
  <c r="FE95" i="2" s="1"/>
  <c r="FE96" i="2" s="1"/>
  <c r="FE97" i="2" s="1"/>
  <c r="FE98" i="2" s="1"/>
  <c r="FE99" i="2" s="1"/>
  <c r="FE100" i="2" s="1"/>
  <c r="FE101" i="2" s="1"/>
  <c r="FE102" i="2" s="1"/>
  <c r="FE103" i="2" s="1"/>
  <c r="FE104" i="2" s="1"/>
  <c r="FE105" i="2" s="1"/>
  <c r="FE106" i="2" s="1"/>
  <c r="FE107" i="2" s="1"/>
  <c r="FE108" i="2" s="1"/>
  <c r="FE109" i="2" s="1"/>
  <c r="FE110" i="2" s="1"/>
  <c r="FE111" i="2" s="1"/>
  <c r="FE112" i="2" s="1"/>
  <c r="FE113" i="2" s="1"/>
  <c r="FE114" i="2" s="1"/>
  <c r="FE115" i="2" s="1"/>
  <c r="FE116" i="2" s="1"/>
  <c r="FE117" i="2" s="1"/>
  <c r="FE118" i="2" s="1"/>
  <c r="FE119" i="2" s="1"/>
  <c r="FE120" i="2" s="1"/>
  <c r="FE121" i="2" s="1"/>
  <c r="FE122" i="2" s="1"/>
  <c r="FE123" i="2" s="1"/>
  <c r="FE124" i="2" s="1"/>
  <c r="FE125" i="2" s="1"/>
  <c r="FE126" i="2" s="1"/>
  <c r="FE127" i="2" s="1"/>
  <c r="FE128" i="2" s="1"/>
  <c r="FE129" i="2" s="1"/>
  <c r="FE130" i="2" s="1"/>
  <c r="FE131" i="2" s="1"/>
  <c r="FE132" i="2" s="1"/>
  <c r="FE133" i="2" s="1"/>
  <c r="FE134" i="2" s="1"/>
  <c r="FE135" i="2" s="1"/>
  <c r="FE136" i="2" s="1"/>
  <c r="FE137" i="2" s="1"/>
  <c r="FE138" i="2" s="1"/>
  <c r="FE139" i="2" s="1"/>
  <c r="FE140" i="2" s="1"/>
  <c r="FE141" i="2" s="1"/>
  <c r="FE142" i="2" s="1"/>
  <c r="FE143" i="2" s="1"/>
  <c r="FE144" i="2" s="1"/>
  <c r="FE145" i="2" s="1"/>
  <c r="FE146" i="2" s="1"/>
  <c r="FE147" i="2" s="1"/>
  <c r="FE148" i="2" s="1"/>
  <c r="FE149" i="2" s="1"/>
  <c r="FE150" i="2" s="1"/>
  <c r="FE151" i="2" s="1"/>
  <c r="FE152" i="2" s="1"/>
  <c r="FE153" i="2" s="1"/>
  <c r="FE154" i="2" s="1"/>
  <c r="FE155" i="2" s="1"/>
  <c r="FE156" i="2" s="1"/>
  <c r="FE157" i="2" s="1"/>
  <c r="FE158" i="2" s="1"/>
  <c r="FE159" i="2" s="1"/>
  <c r="FE160" i="2" s="1"/>
  <c r="FE161" i="2" s="1"/>
  <c r="FE162" i="2" s="1"/>
  <c r="FE163" i="2" s="1"/>
  <c r="FE164" i="2" s="1"/>
  <c r="FE165" i="2" s="1"/>
  <c r="FE166" i="2" s="1"/>
  <c r="FE167" i="2" s="1"/>
  <c r="FE168" i="2" s="1"/>
  <c r="FE169" i="2" s="1"/>
  <c r="FE170" i="2" s="1"/>
  <c r="FE171" i="2" s="1"/>
  <c r="FE172" i="2" s="1"/>
  <c r="FE173" i="2" s="1"/>
  <c r="FE174" i="2" s="1"/>
  <c r="FE175" i="2" s="1"/>
  <c r="FE176" i="2" s="1"/>
  <c r="FE177" i="2" s="1"/>
  <c r="FE178" i="2" s="1"/>
  <c r="FE179" i="2" s="1"/>
  <c r="FE180" i="2" s="1"/>
  <c r="FE181" i="2" s="1"/>
  <c r="FE182" i="2" s="1"/>
  <c r="FE183" i="2" s="1"/>
  <c r="FE184" i="2" s="1"/>
  <c r="FE185" i="2" s="1"/>
  <c r="FE186" i="2" s="1"/>
  <c r="FE187" i="2" s="1"/>
  <c r="FE188" i="2" s="1"/>
  <c r="FE189" i="2" s="1"/>
  <c r="FE190" i="2" s="1"/>
  <c r="FE191" i="2" s="1"/>
  <c r="FE192" i="2" s="1"/>
  <c r="FE193" i="2" s="1"/>
  <c r="FE194" i="2" s="1"/>
  <c r="FE195" i="2" s="1"/>
  <c r="FE196" i="2" s="1"/>
  <c r="FE197" i="2" s="1"/>
  <c r="FE198" i="2" s="1"/>
  <c r="FE199" i="2" s="1"/>
  <c r="FE200" i="2" s="1"/>
  <c r="FE201" i="2" s="1"/>
  <c r="FE202" i="2" s="1"/>
  <c r="FE203" i="2" s="1"/>
  <c r="EJ66" i="2"/>
  <c r="EJ67" i="2" s="1"/>
  <c r="EJ68" i="2" s="1"/>
  <c r="EJ69" i="2" s="1"/>
  <c r="EJ70" i="2" s="1"/>
  <c r="EJ71" i="2" s="1"/>
  <c r="EJ72" i="2" s="1"/>
  <c r="EJ73" i="2" s="1"/>
  <c r="EJ74" i="2" s="1"/>
  <c r="EJ75" i="2" s="1"/>
  <c r="EJ76" i="2" s="1"/>
  <c r="EJ77" i="2" s="1"/>
  <c r="EJ78" i="2" s="1"/>
  <c r="EJ79" i="2" s="1"/>
  <c r="EJ80" i="2" s="1"/>
  <c r="EJ81" i="2" s="1"/>
  <c r="EJ82" i="2" s="1"/>
  <c r="EJ83" i="2" s="1"/>
  <c r="EJ84" i="2" s="1"/>
  <c r="EJ85" i="2" s="1"/>
  <c r="EJ86" i="2" s="1"/>
  <c r="EJ87" i="2" s="1"/>
  <c r="EJ88" i="2" s="1"/>
  <c r="EJ89" i="2" s="1"/>
  <c r="EJ90" i="2" s="1"/>
  <c r="EJ91" i="2" s="1"/>
  <c r="EJ92" i="2" s="1"/>
  <c r="EJ93" i="2" s="1"/>
  <c r="EJ94" i="2" s="1"/>
  <c r="EJ95" i="2" s="1"/>
  <c r="EJ96" i="2" s="1"/>
  <c r="EJ97" i="2" s="1"/>
  <c r="EJ98" i="2" s="1"/>
  <c r="EJ99" i="2" s="1"/>
  <c r="EJ100" i="2" s="1"/>
  <c r="EJ101" i="2" s="1"/>
  <c r="EJ102" i="2" s="1"/>
  <c r="EJ103" i="2" s="1"/>
  <c r="EJ104" i="2" s="1"/>
  <c r="EJ105" i="2" s="1"/>
  <c r="EJ106" i="2" s="1"/>
  <c r="EJ107" i="2" s="1"/>
  <c r="EJ108" i="2" s="1"/>
  <c r="EJ109" i="2" s="1"/>
  <c r="EJ110" i="2" s="1"/>
  <c r="EJ111" i="2" s="1"/>
  <c r="EJ112" i="2" s="1"/>
  <c r="EJ113" i="2" s="1"/>
  <c r="EJ114" i="2" s="1"/>
  <c r="EJ115" i="2" s="1"/>
  <c r="EJ116" i="2" s="1"/>
  <c r="EJ117" i="2" s="1"/>
  <c r="EJ118" i="2" s="1"/>
  <c r="EJ119" i="2" s="1"/>
  <c r="EJ120" i="2" s="1"/>
  <c r="EJ121" i="2" s="1"/>
  <c r="EJ122" i="2" s="1"/>
  <c r="EJ123" i="2" s="1"/>
  <c r="EJ124" i="2" s="1"/>
  <c r="EJ125" i="2" s="1"/>
  <c r="EJ126" i="2" s="1"/>
  <c r="EJ127" i="2" s="1"/>
  <c r="EJ128" i="2" s="1"/>
  <c r="EJ129" i="2" s="1"/>
  <c r="EJ130" i="2" s="1"/>
  <c r="EJ131" i="2" s="1"/>
  <c r="EJ132" i="2" s="1"/>
  <c r="EJ133" i="2" s="1"/>
  <c r="EJ134" i="2" s="1"/>
  <c r="EJ135" i="2" s="1"/>
  <c r="EJ136" i="2" s="1"/>
  <c r="EJ137" i="2" s="1"/>
  <c r="EJ138" i="2" s="1"/>
  <c r="EJ139" i="2" s="1"/>
  <c r="EJ140" i="2" s="1"/>
  <c r="EJ141" i="2" s="1"/>
  <c r="EJ142" i="2" s="1"/>
  <c r="EJ143" i="2" s="1"/>
  <c r="EJ144" i="2" s="1"/>
  <c r="EJ145" i="2" s="1"/>
  <c r="EJ146" i="2" s="1"/>
  <c r="EJ147" i="2" s="1"/>
  <c r="EJ148" i="2" s="1"/>
  <c r="EJ149" i="2" s="1"/>
  <c r="EJ150" i="2" s="1"/>
  <c r="EJ151" i="2" s="1"/>
  <c r="EJ152" i="2" s="1"/>
  <c r="EJ153" i="2" s="1"/>
  <c r="EJ154" i="2" s="1"/>
  <c r="EJ155" i="2" s="1"/>
  <c r="EJ156" i="2" s="1"/>
  <c r="EJ157" i="2" s="1"/>
  <c r="EJ158" i="2" s="1"/>
  <c r="EJ159" i="2" s="1"/>
  <c r="EJ160" i="2" s="1"/>
  <c r="EJ161" i="2" s="1"/>
  <c r="EJ162" i="2" s="1"/>
  <c r="EJ163" i="2" s="1"/>
  <c r="EJ164" i="2" s="1"/>
  <c r="EJ165" i="2" s="1"/>
  <c r="EJ166" i="2" s="1"/>
  <c r="EJ167" i="2" s="1"/>
  <c r="EJ168" i="2" s="1"/>
  <c r="EJ169" i="2" s="1"/>
  <c r="EJ170" i="2" s="1"/>
  <c r="EJ171" i="2" s="1"/>
  <c r="EJ172" i="2" s="1"/>
  <c r="EJ173" i="2" s="1"/>
  <c r="EJ174" i="2" s="1"/>
  <c r="EJ175" i="2" s="1"/>
  <c r="EJ176" i="2" s="1"/>
  <c r="EJ177" i="2" s="1"/>
  <c r="EJ178" i="2" s="1"/>
  <c r="EJ179" i="2" s="1"/>
  <c r="EJ180" i="2" s="1"/>
  <c r="EJ181" i="2" s="1"/>
  <c r="EJ182" i="2" s="1"/>
  <c r="EJ183" i="2" s="1"/>
  <c r="EJ184" i="2" s="1"/>
  <c r="EJ185" i="2" s="1"/>
  <c r="EJ186" i="2" s="1"/>
  <c r="EJ187" i="2" s="1"/>
  <c r="EJ188" i="2" s="1"/>
  <c r="EJ189" i="2" s="1"/>
  <c r="EJ190" i="2" s="1"/>
  <c r="EJ191" i="2" s="1"/>
  <c r="EJ192" i="2" s="1"/>
  <c r="EJ193" i="2" s="1"/>
  <c r="EJ194" i="2" s="1"/>
  <c r="EJ195" i="2" s="1"/>
  <c r="EJ196" i="2" s="1"/>
  <c r="EJ197" i="2" s="1"/>
  <c r="EJ198" i="2" s="1"/>
  <c r="EJ199" i="2" s="1"/>
  <c r="EJ200" i="2" s="1"/>
  <c r="EJ201" i="2" s="1"/>
  <c r="EJ202" i="2" s="1"/>
  <c r="EJ203" i="2" s="1"/>
  <c r="DO46" i="2"/>
  <c r="DO47" i="2" s="1"/>
  <c r="DO48" i="2" s="1"/>
  <c r="DO49" i="2" s="1"/>
  <c r="DO50" i="2" s="1"/>
  <c r="DO51" i="2" s="1"/>
  <c r="DO52" i="2" s="1"/>
  <c r="DO53" i="2" s="1"/>
  <c r="DO54" i="2" s="1"/>
  <c r="DO55" i="2" s="1"/>
  <c r="DO56" i="2" s="1"/>
  <c r="DO57" i="2" s="1"/>
  <c r="DO58" i="2" s="1"/>
  <c r="DO59" i="2" s="1"/>
  <c r="DO60" i="2" s="1"/>
  <c r="DO61" i="2" s="1"/>
  <c r="DO62" i="2" s="1"/>
  <c r="DO63" i="2" s="1"/>
  <c r="DO64" i="2" s="1"/>
  <c r="DO65" i="2" s="1"/>
  <c r="DO66" i="2" s="1"/>
  <c r="DO67" i="2" s="1"/>
  <c r="DO68" i="2" s="1"/>
  <c r="DO69" i="2" s="1"/>
  <c r="DO70" i="2" s="1"/>
  <c r="DO71" i="2" s="1"/>
  <c r="DO72" i="2" s="1"/>
  <c r="DO73" i="2" s="1"/>
  <c r="DO74" i="2" s="1"/>
  <c r="DO75" i="2" s="1"/>
  <c r="DO76" i="2" s="1"/>
  <c r="DO77" i="2" s="1"/>
  <c r="DO78" i="2" s="1"/>
  <c r="DO79" i="2" s="1"/>
  <c r="DO80" i="2" s="1"/>
  <c r="DO81" i="2" s="1"/>
  <c r="DO82" i="2" s="1"/>
  <c r="DO83" i="2" s="1"/>
  <c r="DO84" i="2" s="1"/>
  <c r="DO85" i="2" s="1"/>
  <c r="DO86" i="2" s="1"/>
  <c r="DO87" i="2" s="1"/>
  <c r="DO88" i="2" s="1"/>
  <c r="DO89" i="2" s="1"/>
  <c r="DO90" i="2" s="1"/>
  <c r="DO91" i="2" s="1"/>
  <c r="DO92" i="2" s="1"/>
  <c r="DO93" i="2" s="1"/>
  <c r="DO94" i="2" s="1"/>
  <c r="DO95" i="2" s="1"/>
  <c r="DO96" i="2" s="1"/>
  <c r="DO97" i="2" s="1"/>
  <c r="DO98" i="2" s="1"/>
  <c r="DO99" i="2" s="1"/>
  <c r="DO100" i="2" s="1"/>
  <c r="DO101" i="2" s="1"/>
  <c r="DO102" i="2" s="1"/>
  <c r="DO103" i="2" s="1"/>
  <c r="DO104" i="2" s="1"/>
  <c r="DO105" i="2" s="1"/>
  <c r="DO106" i="2" s="1"/>
  <c r="DO107" i="2" s="1"/>
  <c r="DO108" i="2" s="1"/>
  <c r="DO109" i="2" s="1"/>
  <c r="DO110" i="2" s="1"/>
  <c r="DO111" i="2" s="1"/>
  <c r="DO112" i="2" s="1"/>
  <c r="DO113" i="2" s="1"/>
  <c r="DO114" i="2" s="1"/>
  <c r="DO115" i="2" s="1"/>
  <c r="DO116" i="2" s="1"/>
  <c r="DO117" i="2" s="1"/>
  <c r="DO118" i="2" s="1"/>
  <c r="DO119" i="2" s="1"/>
  <c r="DO120" i="2" s="1"/>
  <c r="DO121" i="2" s="1"/>
  <c r="DO122" i="2" s="1"/>
  <c r="DO123" i="2" s="1"/>
  <c r="DO124" i="2" s="1"/>
  <c r="DO125" i="2" s="1"/>
  <c r="DO126" i="2" s="1"/>
  <c r="DO127" i="2" s="1"/>
  <c r="DO128" i="2" s="1"/>
  <c r="DO129" i="2" s="1"/>
  <c r="DO130" i="2" s="1"/>
  <c r="DO131" i="2" s="1"/>
  <c r="DO132" i="2" s="1"/>
  <c r="DO133" i="2" s="1"/>
  <c r="DO134" i="2" s="1"/>
  <c r="DO135" i="2" s="1"/>
  <c r="DO136" i="2" s="1"/>
  <c r="DO137" i="2" s="1"/>
  <c r="DO138" i="2" s="1"/>
  <c r="DO139" i="2" s="1"/>
  <c r="DO140" i="2" s="1"/>
  <c r="DO141" i="2" s="1"/>
  <c r="DO142" i="2" s="1"/>
  <c r="DO143" i="2" s="1"/>
  <c r="DO144" i="2" s="1"/>
  <c r="DO145" i="2" s="1"/>
  <c r="DO146" i="2" s="1"/>
  <c r="DO147" i="2" s="1"/>
  <c r="DO148" i="2" s="1"/>
  <c r="DO149" i="2" s="1"/>
  <c r="DO150" i="2" s="1"/>
  <c r="DO151" i="2" s="1"/>
  <c r="DO152" i="2" s="1"/>
  <c r="DO153" i="2" s="1"/>
  <c r="DO154" i="2" s="1"/>
  <c r="DO155" i="2" s="1"/>
  <c r="DO156" i="2" s="1"/>
  <c r="DO157" i="2" s="1"/>
  <c r="DO158" i="2" s="1"/>
  <c r="DO159" i="2" s="1"/>
  <c r="DO160" i="2" s="1"/>
  <c r="DO161" i="2" s="1"/>
  <c r="DO162" i="2" s="1"/>
  <c r="DO163" i="2" s="1"/>
  <c r="DO164" i="2" s="1"/>
  <c r="DO165" i="2" s="1"/>
  <c r="DO166" i="2" s="1"/>
  <c r="DO167" i="2" s="1"/>
  <c r="DO168" i="2" s="1"/>
  <c r="DO169" i="2" s="1"/>
  <c r="DO170" i="2" s="1"/>
  <c r="DO171" i="2" s="1"/>
  <c r="DO172" i="2" s="1"/>
  <c r="DO173" i="2" s="1"/>
  <c r="DO174" i="2" s="1"/>
  <c r="DO175" i="2" s="1"/>
  <c r="DO176" i="2" s="1"/>
  <c r="DO177" i="2" s="1"/>
  <c r="DO178" i="2" s="1"/>
  <c r="DO179" i="2" s="1"/>
  <c r="DO180" i="2" s="1"/>
  <c r="DO181" i="2" s="1"/>
  <c r="DO182" i="2" s="1"/>
  <c r="DO183" i="2" s="1"/>
  <c r="DO184" i="2" s="1"/>
  <c r="DO185" i="2" s="1"/>
  <c r="DO186" i="2" s="1"/>
  <c r="DO187" i="2" s="1"/>
  <c r="DO188" i="2" s="1"/>
  <c r="DO189" i="2" s="1"/>
  <c r="DO190" i="2" s="1"/>
  <c r="DO191" i="2" s="1"/>
  <c r="DO192" i="2" s="1"/>
  <c r="DO193" i="2" s="1"/>
  <c r="DO194" i="2" s="1"/>
  <c r="DO195" i="2" s="1"/>
  <c r="DO196" i="2" s="1"/>
  <c r="DO197" i="2" s="1"/>
  <c r="DO198" i="2" s="1"/>
  <c r="DO199" i="2" s="1"/>
  <c r="DO200" i="2" s="1"/>
  <c r="DO201" i="2" s="1"/>
  <c r="DO202" i="2" s="1"/>
  <c r="DO203" i="2" s="1"/>
  <c r="CT30" i="2"/>
  <c r="CT31" i="2" s="1"/>
  <c r="CT32" i="2" s="1"/>
  <c r="CT33" i="2" s="1"/>
  <c r="CT34" i="2" s="1"/>
  <c r="CT35" i="2" s="1"/>
  <c r="CT36" i="2" s="1"/>
  <c r="CT37" i="2" s="1"/>
  <c r="CT38" i="2" s="1"/>
  <c r="CT39" i="2" s="1"/>
  <c r="CT40" i="2" s="1"/>
  <c r="CT41" i="2" s="1"/>
  <c r="CT42" i="2" s="1"/>
  <c r="CT43" i="2" s="1"/>
  <c r="CT44" i="2" s="1"/>
  <c r="CT45" i="2" s="1"/>
  <c r="CT46" i="2" s="1"/>
  <c r="CT47" i="2" s="1"/>
  <c r="CT48" i="2" s="1"/>
  <c r="CT49" i="2" s="1"/>
  <c r="CT50" i="2" s="1"/>
  <c r="CT51" i="2" s="1"/>
  <c r="CT52" i="2" s="1"/>
  <c r="CT53" i="2" s="1"/>
  <c r="CT54" i="2" s="1"/>
  <c r="CT55" i="2" s="1"/>
  <c r="CT56" i="2" s="1"/>
  <c r="CT57" i="2" s="1"/>
  <c r="CT58" i="2" s="1"/>
  <c r="CT59" i="2" s="1"/>
  <c r="CT60" i="2" s="1"/>
  <c r="CT61" i="2" s="1"/>
  <c r="CT62" i="2" s="1"/>
  <c r="CT63" i="2" s="1"/>
  <c r="CT64" i="2" s="1"/>
  <c r="CT65" i="2" s="1"/>
  <c r="CT66" i="2" s="1"/>
  <c r="CT67" i="2" s="1"/>
  <c r="CT68" i="2" s="1"/>
  <c r="CT69" i="2" s="1"/>
  <c r="CT70" i="2" s="1"/>
  <c r="CT71" i="2" s="1"/>
  <c r="CT72" i="2" s="1"/>
  <c r="CT73" i="2" s="1"/>
  <c r="CT74" i="2" s="1"/>
  <c r="CT75" i="2" s="1"/>
  <c r="CT76" i="2" s="1"/>
  <c r="CT77" i="2" s="1"/>
  <c r="CT78" i="2" s="1"/>
  <c r="CT79" i="2" s="1"/>
  <c r="CT80" i="2" s="1"/>
  <c r="CT81" i="2" s="1"/>
  <c r="CT82" i="2" s="1"/>
  <c r="CT83" i="2" s="1"/>
  <c r="CT84" i="2" s="1"/>
  <c r="CT85" i="2" s="1"/>
  <c r="CT86" i="2" s="1"/>
  <c r="CT87" i="2" s="1"/>
  <c r="CT88" i="2" s="1"/>
  <c r="CT89" i="2" s="1"/>
  <c r="CT90" i="2" s="1"/>
  <c r="CT91" i="2" s="1"/>
  <c r="CT92" i="2" s="1"/>
  <c r="CT93" i="2" s="1"/>
  <c r="CT94" i="2" s="1"/>
  <c r="CT95" i="2" s="1"/>
  <c r="CT96" i="2" s="1"/>
  <c r="CT97" i="2" s="1"/>
  <c r="CT98" i="2" s="1"/>
  <c r="CT99" i="2" s="1"/>
  <c r="CT100" i="2" s="1"/>
  <c r="CT101" i="2" s="1"/>
  <c r="CT102" i="2" s="1"/>
  <c r="CT103" i="2" s="1"/>
  <c r="CT104" i="2" s="1"/>
  <c r="CT105" i="2" s="1"/>
  <c r="CT106" i="2" s="1"/>
  <c r="CT107" i="2" s="1"/>
  <c r="CT108" i="2" s="1"/>
  <c r="CT109" i="2" s="1"/>
  <c r="CT110" i="2" s="1"/>
  <c r="CT111" i="2" s="1"/>
  <c r="CT112" i="2" s="1"/>
  <c r="CT113" i="2" s="1"/>
  <c r="CT114" i="2" s="1"/>
  <c r="CT115" i="2" s="1"/>
  <c r="CT116" i="2" s="1"/>
  <c r="CT117" i="2" s="1"/>
  <c r="CT118" i="2" s="1"/>
  <c r="CT119" i="2" s="1"/>
  <c r="CT120" i="2" s="1"/>
  <c r="CT121" i="2" s="1"/>
  <c r="CT122" i="2" s="1"/>
  <c r="CT123" i="2" s="1"/>
  <c r="CT124" i="2" s="1"/>
  <c r="CT125" i="2" s="1"/>
  <c r="CT126" i="2" s="1"/>
  <c r="CT127" i="2" s="1"/>
  <c r="CT128" i="2" s="1"/>
  <c r="CT129" i="2" s="1"/>
  <c r="CT130" i="2" s="1"/>
  <c r="CT131" i="2" s="1"/>
  <c r="CT132" i="2" s="1"/>
  <c r="CT133" i="2" s="1"/>
  <c r="CT134" i="2" s="1"/>
  <c r="CT135" i="2" s="1"/>
  <c r="CT136" i="2" s="1"/>
  <c r="CT137" i="2" s="1"/>
  <c r="CT138" i="2" s="1"/>
  <c r="CT139" i="2" s="1"/>
  <c r="CT140" i="2" s="1"/>
  <c r="CT141" i="2" s="1"/>
  <c r="CT142" i="2" s="1"/>
  <c r="CT143" i="2" s="1"/>
  <c r="CT144" i="2" s="1"/>
  <c r="CT145" i="2" s="1"/>
  <c r="CT146" i="2" s="1"/>
  <c r="CT147" i="2" s="1"/>
  <c r="CT148" i="2" s="1"/>
  <c r="CT149" i="2" s="1"/>
  <c r="CT150" i="2" s="1"/>
  <c r="CT151" i="2" s="1"/>
  <c r="CT152" i="2" s="1"/>
  <c r="CT153" i="2" s="1"/>
  <c r="CT154" i="2" s="1"/>
  <c r="CT155" i="2" s="1"/>
  <c r="CT156" i="2" s="1"/>
  <c r="CT157" i="2" s="1"/>
  <c r="CT158" i="2" s="1"/>
  <c r="CT159" i="2" s="1"/>
  <c r="CT160" i="2" s="1"/>
  <c r="CT161" i="2" s="1"/>
  <c r="CT162" i="2" s="1"/>
  <c r="CT163" i="2" s="1"/>
  <c r="CT164" i="2" s="1"/>
  <c r="CT165" i="2" s="1"/>
  <c r="CT166" i="2" s="1"/>
  <c r="CT167" i="2" s="1"/>
  <c r="CT168" i="2" s="1"/>
  <c r="CT169" i="2" s="1"/>
  <c r="CT170" i="2" s="1"/>
  <c r="CT171" i="2" s="1"/>
  <c r="CT172" i="2" s="1"/>
  <c r="CT173" i="2" s="1"/>
  <c r="CT174" i="2" s="1"/>
  <c r="CT175" i="2" s="1"/>
  <c r="CT176" i="2" s="1"/>
  <c r="CT177" i="2" s="1"/>
  <c r="CT178" i="2" s="1"/>
  <c r="CT179" i="2" s="1"/>
  <c r="CT180" i="2" s="1"/>
  <c r="CT181" i="2" s="1"/>
  <c r="CT182" i="2" s="1"/>
  <c r="CT183" i="2" s="1"/>
  <c r="CT184" i="2" s="1"/>
  <c r="CT185" i="2" s="1"/>
  <c r="CT186" i="2" s="1"/>
  <c r="CT187" i="2" s="1"/>
  <c r="CT188" i="2" s="1"/>
  <c r="CT189" i="2" s="1"/>
  <c r="CT190" i="2" s="1"/>
  <c r="CT191" i="2" s="1"/>
  <c r="CT192" i="2" s="1"/>
  <c r="CT193" i="2" s="1"/>
  <c r="CT194" i="2" s="1"/>
  <c r="CT195" i="2" s="1"/>
  <c r="CT196" i="2" s="1"/>
  <c r="CT197" i="2" s="1"/>
  <c r="CT198" i="2" s="1"/>
  <c r="CT199" i="2" s="1"/>
  <c r="CT200" i="2" s="1"/>
  <c r="CT201" i="2" s="1"/>
  <c r="CT202" i="2" s="1"/>
  <c r="CT203" i="2" s="1"/>
  <c r="BY30" i="2"/>
  <c r="BY31" i="2" s="1"/>
  <c r="BY32" i="2" s="1"/>
  <c r="BY33" i="2" s="1"/>
  <c r="BY34" i="2" s="1"/>
  <c r="BY35" i="2" s="1"/>
  <c r="BY36" i="2" s="1"/>
  <c r="BY37" i="2" s="1"/>
  <c r="BY38" i="2" s="1"/>
  <c r="BY39" i="2" s="1"/>
  <c r="BY40" i="2" s="1"/>
  <c r="BY41" i="2" s="1"/>
  <c r="BY42" i="2" s="1"/>
  <c r="BY43" i="2" s="1"/>
  <c r="BY44" i="2" s="1"/>
  <c r="BY45" i="2" s="1"/>
  <c r="BY46" i="2" s="1"/>
  <c r="BY47" i="2" s="1"/>
  <c r="BY48" i="2" s="1"/>
  <c r="BY49" i="2" s="1"/>
  <c r="BY50" i="2" s="1"/>
  <c r="BY51" i="2" s="1"/>
  <c r="BY52" i="2" s="1"/>
  <c r="BY53" i="2" s="1"/>
  <c r="BY54" i="2" s="1"/>
  <c r="BY55" i="2" s="1"/>
  <c r="BY56" i="2" s="1"/>
  <c r="BY57" i="2" s="1"/>
  <c r="BY58" i="2" s="1"/>
  <c r="BY59" i="2" s="1"/>
  <c r="BY60" i="2" s="1"/>
  <c r="BY61" i="2" s="1"/>
  <c r="BY62" i="2" s="1"/>
  <c r="BY63" i="2" s="1"/>
  <c r="BY64" i="2" s="1"/>
  <c r="BY65" i="2" s="1"/>
  <c r="BY66" i="2" s="1"/>
  <c r="BY67" i="2" s="1"/>
  <c r="BY68" i="2" s="1"/>
  <c r="BY69" i="2" s="1"/>
  <c r="BY70" i="2" s="1"/>
  <c r="BY71" i="2" s="1"/>
  <c r="BY72" i="2" s="1"/>
  <c r="BY73" i="2" s="1"/>
  <c r="BY74" i="2" s="1"/>
  <c r="BY75" i="2" s="1"/>
  <c r="BY76" i="2" s="1"/>
  <c r="BY77" i="2" s="1"/>
  <c r="BY78" i="2" s="1"/>
  <c r="BY79" i="2" s="1"/>
  <c r="BY80" i="2" s="1"/>
  <c r="BY81" i="2" s="1"/>
  <c r="BY82" i="2" s="1"/>
  <c r="BY83" i="2" s="1"/>
  <c r="BY84" i="2" s="1"/>
  <c r="BY85" i="2" s="1"/>
  <c r="BY86" i="2" s="1"/>
  <c r="BY87" i="2" s="1"/>
  <c r="BY88" i="2" s="1"/>
  <c r="BY89" i="2" s="1"/>
  <c r="BY90" i="2" s="1"/>
  <c r="BY91" i="2" s="1"/>
  <c r="BY92" i="2" s="1"/>
  <c r="BY93" i="2" s="1"/>
  <c r="BY94" i="2" s="1"/>
  <c r="BY95" i="2" s="1"/>
  <c r="BY96" i="2" s="1"/>
  <c r="BY97" i="2" s="1"/>
  <c r="BY98" i="2" s="1"/>
  <c r="BY99" i="2" s="1"/>
  <c r="BY100" i="2" s="1"/>
  <c r="BY101" i="2" s="1"/>
  <c r="BY102" i="2" s="1"/>
  <c r="BY103" i="2" s="1"/>
  <c r="BY104" i="2" s="1"/>
  <c r="BY105" i="2" s="1"/>
  <c r="BY106" i="2" s="1"/>
  <c r="BY107" i="2" s="1"/>
  <c r="BY108" i="2" s="1"/>
  <c r="BY109" i="2" s="1"/>
  <c r="BY110" i="2" s="1"/>
  <c r="BY111" i="2" s="1"/>
  <c r="BY112" i="2" s="1"/>
  <c r="BY113" i="2" s="1"/>
  <c r="BY114" i="2" s="1"/>
  <c r="BY115" i="2" s="1"/>
  <c r="BY116" i="2" s="1"/>
  <c r="BY117" i="2" s="1"/>
  <c r="BY118" i="2" s="1"/>
  <c r="BY119" i="2" s="1"/>
  <c r="BY120" i="2" s="1"/>
  <c r="BY121" i="2" s="1"/>
  <c r="BY122" i="2" s="1"/>
  <c r="BY123" i="2" s="1"/>
  <c r="BY124" i="2" s="1"/>
  <c r="BY125" i="2" s="1"/>
  <c r="BY126" i="2" s="1"/>
  <c r="BY127" i="2" s="1"/>
  <c r="BY128" i="2" s="1"/>
  <c r="BY129" i="2" s="1"/>
  <c r="BY130" i="2" s="1"/>
  <c r="BY131" i="2" s="1"/>
  <c r="BY132" i="2" s="1"/>
  <c r="BY133" i="2" s="1"/>
  <c r="BY134" i="2" s="1"/>
  <c r="BY135" i="2" s="1"/>
  <c r="BY136" i="2" s="1"/>
  <c r="BY137" i="2" s="1"/>
  <c r="BY138" i="2" s="1"/>
  <c r="BY139" i="2" s="1"/>
  <c r="BY140" i="2" s="1"/>
  <c r="BY141" i="2" s="1"/>
  <c r="BY142" i="2" s="1"/>
  <c r="BY143" i="2" s="1"/>
  <c r="BY144" i="2" s="1"/>
  <c r="BY145" i="2" s="1"/>
  <c r="BY146" i="2" s="1"/>
  <c r="BY147" i="2" s="1"/>
  <c r="BY148" i="2" s="1"/>
  <c r="BY149" i="2" s="1"/>
  <c r="BY150" i="2" s="1"/>
  <c r="BY151" i="2" s="1"/>
  <c r="BY152" i="2" s="1"/>
  <c r="BY153" i="2" s="1"/>
  <c r="BY154" i="2" s="1"/>
  <c r="BY155" i="2" s="1"/>
  <c r="BY156" i="2" s="1"/>
  <c r="BY157" i="2" s="1"/>
  <c r="BY158" i="2" s="1"/>
  <c r="BY159" i="2" s="1"/>
  <c r="BY160" i="2" s="1"/>
  <c r="BY161" i="2" s="1"/>
  <c r="BY162" i="2" s="1"/>
  <c r="BY163" i="2" s="1"/>
  <c r="BY164" i="2" s="1"/>
  <c r="BY165" i="2" s="1"/>
  <c r="BY166" i="2" s="1"/>
  <c r="BY167" i="2" s="1"/>
  <c r="BY168" i="2" s="1"/>
  <c r="BY169" i="2" s="1"/>
  <c r="BY170" i="2" s="1"/>
  <c r="BY171" i="2" s="1"/>
  <c r="BY172" i="2" s="1"/>
  <c r="BY173" i="2" s="1"/>
  <c r="BY174" i="2" s="1"/>
  <c r="BY175" i="2" s="1"/>
  <c r="BY176" i="2" s="1"/>
  <c r="BY177" i="2" s="1"/>
  <c r="BY178" i="2" s="1"/>
  <c r="BY179" i="2" s="1"/>
  <c r="BY180" i="2" s="1"/>
  <c r="BY181" i="2" s="1"/>
  <c r="BY182" i="2" s="1"/>
  <c r="BY183" i="2" s="1"/>
  <c r="BY184" i="2" s="1"/>
  <c r="BY185" i="2" s="1"/>
  <c r="BY186" i="2" s="1"/>
  <c r="BY187" i="2" s="1"/>
  <c r="BY188" i="2" s="1"/>
  <c r="BY189" i="2" s="1"/>
  <c r="BY190" i="2" s="1"/>
  <c r="BY191" i="2" s="1"/>
  <c r="BY192" i="2" s="1"/>
  <c r="BY193" i="2" s="1"/>
  <c r="BY194" i="2" s="1"/>
  <c r="BY195" i="2" s="1"/>
  <c r="BY196" i="2" s="1"/>
  <c r="BY197" i="2" s="1"/>
  <c r="BY198" i="2" s="1"/>
  <c r="BY199" i="2" s="1"/>
  <c r="BY200" i="2" s="1"/>
  <c r="BY201" i="2" s="1"/>
  <c r="BY202" i="2" s="1"/>
  <c r="BY203" i="2" s="1"/>
  <c r="BD30" i="2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D155" i="2" s="1"/>
  <c r="BD156" i="2" s="1"/>
  <c r="BD157" i="2" s="1"/>
  <c r="BD158" i="2" s="1"/>
  <c r="BD159" i="2" s="1"/>
  <c r="BD160" i="2" s="1"/>
  <c r="BD161" i="2" s="1"/>
  <c r="BD162" i="2" s="1"/>
  <c r="BD163" i="2" s="1"/>
  <c r="BD164" i="2" s="1"/>
  <c r="BD165" i="2" s="1"/>
  <c r="BD166" i="2" s="1"/>
  <c r="BD167" i="2" s="1"/>
  <c r="BD168" i="2" s="1"/>
  <c r="BD169" i="2" s="1"/>
  <c r="BD170" i="2" s="1"/>
  <c r="BD171" i="2" s="1"/>
  <c r="BD172" i="2" s="1"/>
  <c r="BD173" i="2" s="1"/>
  <c r="BD174" i="2" s="1"/>
  <c r="BD175" i="2" s="1"/>
  <c r="BD176" i="2" s="1"/>
  <c r="BD177" i="2" s="1"/>
  <c r="BD178" i="2" s="1"/>
  <c r="BD179" i="2" s="1"/>
  <c r="BD180" i="2" s="1"/>
  <c r="BD181" i="2" s="1"/>
  <c r="BD182" i="2" s="1"/>
  <c r="BD183" i="2" s="1"/>
  <c r="BD184" i="2" s="1"/>
  <c r="BD185" i="2" s="1"/>
  <c r="BD186" i="2" s="1"/>
  <c r="BD187" i="2" s="1"/>
  <c r="BD188" i="2" s="1"/>
  <c r="BD189" i="2" s="1"/>
  <c r="BD190" i="2" s="1"/>
  <c r="BD191" i="2" s="1"/>
  <c r="BD192" i="2" s="1"/>
  <c r="BD193" i="2" s="1"/>
  <c r="BD194" i="2" s="1"/>
  <c r="BD195" i="2" s="1"/>
  <c r="BD196" i="2" s="1"/>
  <c r="BD197" i="2" s="1"/>
  <c r="BD198" i="2" s="1"/>
  <c r="BD199" i="2" s="1"/>
  <c r="BD200" i="2" s="1"/>
  <c r="BD201" i="2" s="1"/>
  <c r="BD202" i="2" s="1"/>
  <c r="BD203" i="2" s="1"/>
  <c r="AI31" i="2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O14" i="2"/>
  <c r="N15" i="2"/>
  <c r="H193" i="2"/>
  <c r="Z155" i="2"/>
  <c r="AC154" i="2"/>
  <c r="HJ154" i="2"/>
  <c r="HG155" i="2"/>
  <c r="CN154" i="2"/>
  <c r="CK155" i="2"/>
  <c r="EV155" i="2"/>
  <c r="EY154" i="2"/>
  <c r="EA155" i="2"/>
  <c r="ED154" i="2"/>
  <c r="GO154" i="2"/>
  <c r="GL155" i="2"/>
  <c r="FT154" i="2"/>
  <c r="FQ155" i="2"/>
  <c r="D194" i="2"/>
  <c r="G194" i="2" s="1"/>
  <c r="DF155" i="2"/>
  <c r="DI154" i="2"/>
  <c r="DI153" i="2"/>
  <c r="FT153" i="2"/>
  <c r="CN153" i="2"/>
  <c r="HJ153" i="2"/>
  <c r="GO153" i="2"/>
  <c r="EY153" i="2"/>
  <c r="GV4" i="2"/>
  <c r="GW4" i="2" s="1"/>
  <c r="GX4" i="2" s="1"/>
  <c r="GY4" i="2" s="1"/>
  <c r="ED153" i="2"/>
  <c r="CU5" i="2"/>
  <c r="CV5" i="2" s="1"/>
  <c r="CW5" i="2" s="1"/>
  <c r="CX5" i="2" s="1"/>
  <c r="DP5" i="2"/>
  <c r="DQ5" i="2" s="1"/>
  <c r="DR5" i="2" s="1"/>
  <c r="DS5" i="2" s="1"/>
  <c r="EK4" i="2"/>
  <c r="EL4" i="2" s="1"/>
  <c r="EM4" i="2" s="1"/>
  <c r="EN4" i="2" s="1"/>
  <c r="GA5" i="2"/>
  <c r="GB5" i="2" s="1"/>
  <c r="GC5" i="2" s="1"/>
  <c r="GD5" i="2" s="1"/>
  <c r="FF4" i="2"/>
  <c r="FG4" i="2" s="1"/>
  <c r="FH4" i="2" s="1"/>
  <c r="FI4" i="2" s="1"/>
  <c r="AJ4" i="2"/>
  <c r="AK4" i="2" s="1"/>
  <c r="AL4" i="2" s="1"/>
  <c r="AM4" i="2" s="1"/>
  <c r="AW152" i="2"/>
  <c r="AW153" i="2" s="1"/>
  <c r="AW154" i="2" s="1"/>
  <c r="AW155" i="2" s="1"/>
  <c r="AW156" i="2" s="1"/>
  <c r="AW157" i="2" s="1"/>
  <c r="AW158" i="2" s="1"/>
  <c r="AW159" i="2" s="1"/>
  <c r="AW160" i="2" s="1"/>
  <c r="AW161" i="2" s="1"/>
  <c r="AW162" i="2" s="1"/>
  <c r="AW163" i="2" s="1"/>
  <c r="AW164" i="2" s="1"/>
  <c r="AW165" i="2" s="1"/>
  <c r="AW166" i="2" s="1"/>
  <c r="AW167" i="2" s="1"/>
  <c r="AW168" i="2" s="1"/>
  <c r="AW169" i="2" s="1"/>
  <c r="AW170" i="2" s="1"/>
  <c r="AW171" i="2" s="1"/>
  <c r="AW172" i="2" s="1"/>
  <c r="AW173" i="2" s="1"/>
  <c r="AW174" i="2" s="1"/>
  <c r="AW175" i="2" s="1"/>
  <c r="AW176" i="2" s="1"/>
  <c r="AW177" i="2" s="1"/>
  <c r="AW178" i="2" s="1"/>
  <c r="AW179" i="2" s="1"/>
  <c r="AW180" i="2" s="1"/>
  <c r="AW181" i="2" s="1"/>
  <c r="AW182" i="2" s="1"/>
  <c r="AW183" i="2" s="1"/>
  <c r="AW184" i="2" s="1"/>
  <c r="AW185" i="2" s="1"/>
  <c r="AW186" i="2" s="1"/>
  <c r="AW187" i="2" s="1"/>
  <c r="AW188" i="2" s="1"/>
  <c r="AW189" i="2" s="1"/>
  <c r="AW190" i="2" s="1"/>
  <c r="AW191" i="2" s="1"/>
  <c r="AW192" i="2" s="1"/>
  <c r="AW193" i="2" s="1"/>
  <c r="AW194" i="2" s="1"/>
  <c r="AW195" i="2" s="1"/>
  <c r="AW196" i="2" s="1"/>
  <c r="AW197" i="2" s="1"/>
  <c r="AW198" i="2" s="1"/>
  <c r="AW199" i="2" s="1"/>
  <c r="AW200" i="2" s="1"/>
  <c r="AW201" i="2" s="1"/>
  <c r="AW202" i="2" s="1"/>
  <c r="AW203" i="2" s="1"/>
  <c r="AV152" i="2"/>
  <c r="AC153" i="2"/>
  <c r="AX151" i="2"/>
  <c r="AU152" i="2"/>
  <c r="O15" i="2" l="1"/>
  <c r="N16" i="2"/>
  <c r="P14" i="2"/>
  <c r="Q14" i="2" s="1"/>
  <c r="R14" i="2" s="1"/>
  <c r="GV154" i="2"/>
  <c r="GA154" i="2"/>
  <c r="H194" i="2"/>
  <c r="D195" i="2"/>
  <c r="G195" i="2" s="1"/>
  <c r="EY155" i="2"/>
  <c r="EV156" i="2"/>
  <c r="FQ156" i="2"/>
  <c r="FT155" i="2"/>
  <c r="CN155" i="2"/>
  <c r="CK156" i="2"/>
  <c r="GL156" i="2"/>
  <c r="GO155" i="2"/>
  <c r="HG156" i="2"/>
  <c r="HJ155" i="2"/>
  <c r="EA156" i="2"/>
  <c r="ED155" i="2"/>
  <c r="Z156" i="2"/>
  <c r="AC155" i="2"/>
  <c r="DF156" i="2"/>
  <c r="DI155" i="2"/>
  <c r="FF154" i="2"/>
  <c r="EK154" i="2"/>
  <c r="DP154" i="2"/>
  <c r="CU154" i="2"/>
  <c r="BZ154" i="2"/>
  <c r="BE154" i="2"/>
  <c r="AJ154" i="2"/>
  <c r="BZ5" i="2"/>
  <c r="CA5" i="2" s="1"/>
  <c r="CB5" i="2" s="1"/>
  <c r="CC5" i="2" s="1"/>
  <c r="BE5" i="2"/>
  <c r="BF5" i="2" s="1"/>
  <c r="BG5" i="2" s="1"/>
  <c r="BH5" i="2" s="1"/>
  <c r="FF5" i="2"/>
  <c r="FG5" i="2" s="1"/>
  <c r="FH5" i="2" s="1"/>
  <c r="FI5" i="2" s="1"/>
  <c r="EK5" i="2"/>
  <c r="EL5" i="2" s="1"/>
  <c r="EM5" i="2" s="1"/>
  <c r="EN5" i="2" s="1"/>
  <c r="CU6" i="2"/>
  <c r="CV6" i="2" s="1"/>
  <c r="CW6" i="2" s="1"/>
  <c r="CX6" i="2" s="1"/>
  <c r="BE6" i="2"/>
  <c r="BF6" i="2" s="1"/>
  <c r="BG6" i="2" s="1"/>
  <c r="BH6" i="2" s="1"/>
  <c r="GA6" i="2"/>
  <c r="GB6" i="2" s="1"/>
  <c r="GC6" i="2" s="1"/>
  <c r="GD6" i="2" s="1"/>
  <c r="DP6" i="2"/>
  <c r="DQ6" i="2" s="1"/>
  <c r="DR6" i="2" s="1"/>
  <c r="DS6" i="2" s="1"/>
  <c r="BZ6" i="2"/>
  <c r="CA6" i="2" s="1"/>
  <c r="CB6" i="2" s="1"/>
  <c r="CC6" i="2" s="1"/>
  <c r="GV5" i="2"/>
  <c r="GW5" i="2" s="1"/>
  <c r="GX5" i="2" s="1"/>
  <c r="GY5" i="2" s="1"/>
  <c r="AJ5" i="2"/>
  <c r="AK5" i="2" s="1"/>
  <c r="AL5" i="2" s="1"/>
  <c r="AM5" i="2" s="1"/>
  <c r="AV153" i="2"/>
  <c r="AV154" i="2" s="1"/>
  <c r="AV155" i="2" s="1"/>
  <c r="AV156" i="2" s="1"/>
  <c r="AV157" i="2" s="1"/>
  <c r="AV158" i="2" s="1"/>
  <c r="AV159" i="2" s="1"/>
  <c r="AV160" i="2" s="1"/>
  <c r="AV161" i="2" s="1"/>
  <c r="AV162" i="2" s="1"/>
  <c r="AV163" i="2" s="1"/>
  <c r="AV164" i="2" s="1"/>
  <c r="AV165" i="2" s="1"/>
  <c r="AV166" i="2" s="1"/>
  <c r="AV167" i="2" s="1"/>
  <c r="AV168" i="2" s="1"/>
  <c r="AV169" i="2" s="1"/>
  <c r="AV170" i="2" s="1"/>
  <c r="AV171" i="2" s="1"/>
  <c r="AV172" i="2" s="1"/>
  <c r="AV173" i="2" s="1"/>
  <c r="AV174" i="2" s="1"/>
  <c r="AV175" i="2" s="1"/>
  <c r="AV176" i="2" s="1"/>
  <c r="AV177" i="2" s="1"/>
  <c r="AV178" i="2" s="1"/>
  <c r="AV179" i="2" s="1"/>
  <c r="AV180" i="2" s="1"/>
  <c r="AV181" i="2" s="1"/>
  <c r="AV182" i="2" s="1"/>
  <c r="AV183" i="2" s="1"/>
  <c r="AV184" i="2" s="1"/>
  <c r="AV185" i="2" s="1"/>
  <c r="AV186" i="2" s="1"/>
  <c r="AV187" i="2" s="1"/>
  <c r="AV188" i="2" s="1"/>
  <c r="AV189" i="2" s="1"/>
  <c r="AV190" i="2" s="1"/>
  <c r="AV191" i="2" s="1"/>
  <c r="AV192" i="2" s="1"/>
  <c r="AV193" i="2" s="1"/>
  <c r="AV194" i="2" s="1"/>
  <c r="AV195" i="2" s="1"/>
  <c r="AV196" i="2" s="1"/>
  <c r="AV197" i="2" s="1"/>
  <c r="AV198" i="2" s="1"/>
  <c r="AV199" i="2" s="1"/>
  <c r="AV200" i="2" s="1"/>
  <c r="AV201" i="2" s="1"/>
  <c r="AV202" i="2" s="1"/>
  <c r="AV203" i="2" s="1"/>
  <c r="AX152" i="2"/>
  <c r="AU153" i="2"/>
  <c r="AU154" i="2" s="1"/>
  <c r="O16" i="2" l="1"/>
  <c r="N17" i="2"/>
  <c r="P15" i="2"/>
  <c r="Q15" i="2" s="1"/>
  <c r="R15" i="2" s="1"/>
  <c r="GV155" i="2"/>
  <c r="GW155" i="2" s="1"/>
  <c r="GX155" i="2" s="1"/>
  <c r="GY155" i="2" s="1"/>
  <c r="GW154" i="2"/>
  <c r="GX154" i="2" s="1"/>
  <c r="GY154" i="2" s="1"/>
  <c r="GA155" i="2"/>
  <c r="GB154" i="2"/>
  <c r="GC154" i="2" s="1"/>
  <c r="GD154" i="2" s="1"/>
  <c r="H195" i="2"/>
  <c r="AX154" i="2"/>
  <c r="AU155" i="2"/>
  <c r="AC156" i="2"/>
  <c r="Z157" i="2"/>
  <c r="ED156" i="2"/>
  <c r="EA157" i="2"/>
  <c r="FT156" i="2"/>
  <c r="FQ157" i="2"/>
  <c r="CN156" i="2"/>
  <c r="CK157" i="2"/>
  <c r="EY156" i="2"/>
  <c r="EV157" i="2"/>
  <c r="HJ156" i="2"/>
  <c r="HG157" i="2"/>
  <c r="GO156" i="2"/>
  <c r="GL157" i="2"/>
  <c r="D196" i="2"/>
  <c r="G196" i="2" s="1"/>
  <c r="DI156" i="2"/>
  <c r="DF157" i="2"/>
  <c r="FG154" i="2"/>
  <c r="FH154" i="2" s="1"/>
  <c r="FI154" i="2" s="1"/>
  <c r="FF155" i="2"/>
  <c r="EL154" i="2"/>
  <c r="EM154" i="2" s="1"/>
  <c r="EN154" i="2" s="1"/>
  <c r="EK155" i="2"/>
  <c r="DQ154" i="2"/>
  <c r="DR154" i="2" s="1"/>
  <c r="DS154" i="2" s="1"/>
  <c r="DP155" i="2"/>
  <c r="CU155" i="2"/>
  <c r="CV154" i="2"/>
  <c r="CW154" i="2" s="1"/>
  <c r="CX154" i="2" s="1"/>
  <c r="CA154" i="2"/>
  <c r="CB154" i="2" s="1"/>
  <c r="CC154" i="2" s="1"/>
  <c r="BZ155" i="2"/>
  <c r="BE155" i="2"/>
  <c r="BF154" i="2"/>
  <c r="BG154" i="2" s="1"/>
  <c r="BH154" i="2" s="1"/>
  <c r="AJ155" i="2"/>
  <c r="AK154" i="2"/>
  <c r="AL154" i="2" s="1"/>
  <c r="AM154" i="2" s="1"/>
  <c r="GV6" i="2"/>
  <c r="GW6" i="2" s="1"/>
  <c r="GX6" i="2" s="1"/>
  <c r="GY6" i="2" s="1"/>
  <c r="DP7" i="2"/>
  <c r="DQ7" i="2" s="1"/>
  <c r="DR7" i="2" s="1"/>
  <c r="DS7" i="2" s="1"/>
  <c r="BE7" i="2"/>
  <c r="BF7" i="2" s="1"/>
  <c r="BG7" i="2" s="1"/>
  <c r="BH7" i="2" s="1"/>
  <c r="EK6" i="2"/>
  <c r="EL6" i="2" s="1"/>
  <c r="EM6" i="2" s="1"/>
  <c r="EN6" i="2" s="1"/>
  <c r="BZ7" i="2"/>
  <c r="CA7" i="2" s="1"/>
  <c r="CB7" i="2" s="1"/>
  <c r="CC7" i="2" s="1"/>
  <c r="GA7" i="2"/>
  <c r="GB7" i="2" s="1"/>
  <c r="GC7" i="2" s="1"/>
  <c r="GD7" i="2" s="1"/>
  <c r="CU7" i="2"/>
  <c r="CV7" i="2" s="1"/>
  <c r="CW7" i="2" s="1"/>
  <c r="CX7" i="2" s="1"/>
  <c r="FF6" i="2"/>
  <c r="FG6" i="2" s="1"/>
  <c r="FH6" i="2" s="1"/>
  <c r="FI6" i="2" s="1"/>
  <c r="AJ6" i="2"/>
  <c r="AK6" i="2" s="1"/>
  <c r="AL6" i="2" s="1"/>
  <c r="AM6" i="2" s="1"/>
  <c r="AX153" i="2"/>
  <c r="O17" i="2" l="1"/>
  <c r="N18" i="2"/>
  <c r="P16" i="2"/>
  <c r="Q16" i="2"/>
  <c r="R16" i="2" s="1"/>
  <c r="GV156" i="2"/>
  <c r="GA156" i="2"/>
  <c r="GB155" i="2"/>
  <c r="GC155" i="2" s="1"/>
  <c r="GD155" i="2" s="1"/>
  <c r="H196" i="2"/>
  <c r="HG158" i="2"/>
  <c r="HJ157" i="2"/>
  <c r="EA158" i="2"/>
  <c r="ED157" i="2"/>
  <c r="GL158" i="2"/>
  <c r="GO157" i="2"/>
  <c r="FT157" i="2"/>
  <c r="FQ158" i="2"/>
  <c r="EV158" i="2"/>
  <c r="EY157" i="2"/>
  <c r="AC157" i="2"/>
  <c r="Z158" i="2"/>
  <c r="CK158" i="2"/>
  <c r="CN157" i="2"/>
  <c r="AX155" i="2"/>
  <c r="AU156" i="2"/>
  <c r="D197" i="2"/>
  <c r="G197" i="2" s="1"/>
  <c r="DF158" i="2"/>
  <c r="DI157" i="2"/>
  <c r="FF156" i="2"/>
  <c r="FG155" i="2"/>
  <c r="FH155" i="2" s="1"/>
  <c r="FI155" i="2" s="1"/>
  <c r="EK156" i="2"/>
  <c r="EL155" i="2"/>
  <c r="EM155" i="2" s="1"/>
  <c r="EN155" i="2" s="1"/>
  <c r="DP156" i="2"/>
  <c r="DQ155" i="2"/>
  <c r="DR155" i="2" s="1"/>
  <c r="DS155" i="2" s="1"/>
  <c r="CV155" i="2"/>
  <c r="CW155" i="2" s="1"/>
  <c r="CX155" i="2" s="1"/>
  <c r="CU156" i="2"/>
  <c r="CA155" i="2"/>
  <c r="CB155" i="2" s="1"/>
  <c r="CC155" i="2" s="1"/>
  <c r="BZ156" i="2"/>
  <c r="BE156" i="2"/>
  <c r="BF155" i="2"/>
  <c r="BG155" i="2" s="1"/>
  <c r="BH155" i="2" s="1"/>
  <c r="AJ156" i="2"/>
  <c r="AK155" i="2"/>
  <c r="AL155" i="2" s="1"/>
  <c r="AM155" i="2" s="1"/>
  <c r="FF7" i="2"/>
  <c r="FG7" i="2" s="1"/>
  <c r="FH7" i="2" s="1"/>
  <c r="FI7" i="2" s="1"/>
  <c r="GA8" i="2"/>
  <c r="GB8" i="2" s="1"/>
  <c r="GC8" i="2" s="1"/>
  <c r="GD8" i="2" s="1"/>
  <c r="EK7" i="2"/>
  <c r="EL7" i="2" s="1"/>
  <c r="EM7" i="2" s="1"/>
  <c r="EN7" i="2" s="1"/>
  <c r="DP8" i="2"/>
  <c r="DQ8" i="2" s="1"/>
  <c r="DR8" i="2" s="1"/>
  <c r="DS8" i="2" s="1"/>
  <c r="CU8" i="2"/>
  <c r="CV8" i="2" s="1"/>
  <c r="CW8" i="2" s="1"/>
  <c r="CX8" i="2" s="1"/>
  <c r="BZ8" i="2"/>
  <c r="CA8" i="2" s="1"/>
  <c r="CB8" i="2" s="1"/>
  <c r="CC8" i="2" s="1"/>
  <c r="BE8" i="2"/>
  <c r="BF8" i="2" s="1"/>
  <c r="BG8" i="2" s="1"/>
  <c r="BH8" i="2" s="1"/>
  <c r="GV7" i="2"/>
  <c r="GW7" i="2" s="1"/>
  <c r="GX7" i="2" s="1"/>
  <c r="GY7" i="2" s="1"/>
  <c r="AJ7" i="2"/>
  <c r="AK7" i="2" s="1"/>
  <c r="AL7" i="2" s="1"/>
  <c r="AM7" i="2" s="1"/>
  <c r="O18" i="2" l="1"/>
  <c r="N19" i="2"/>
  <c r="P17" i="2"/>
  <c r="Q17" i="2" s="1"/>
  <c r="R17" i="2" s="1"/>
  <c r="GV157" i="2"/>
  <c r="GW157" i="2" s="1"/>
  <c r="GX157" i="2" s="1"/>
  <c r="GY157" i="2" s="1"/>
  <c r="GW156" i="2"/>
  <c r="GX156" i="2" s="1"/>
  <c r="GY156" i="2" s="1"/>
  <c r="GA157" i="2"/>
  <c r="GB156" i="2"/>
  <c r="GC156" i="2" s="1"/>
  <c r="GD156" i="2" s="1"/>
  <c r="H197" i="2"/>
  <c r="AX156" i="2"/>
  <c r="AU157" i="2"/>
  <c r="CN158" i="2"/>
  <c r="CK159" i="2"/>
  <c r="GO158" i="2"/>
  <c r="GL159" i="2"/>
  <c r="AC158" i="2"/>
  <c r="Z159" i="2"/>
  <c r="FQ159" i="2"/>
  <c r="FT158" i="2"/>
  <c r="ED158" i="2"/>
  <c r="EA159" i="2"/>
  <c r="D198" i="2"/>
  <c r="G198" i="2" s="1"/>
  <c r="EY158" i="2"/>
  <c r="EV159" i="2"/>
  <c r="HJ158" i="2"/>
  <c r="HG159" i="2"/>
  <c r="DI158" i="2"/>
  <c r="DF159" i="2"/>
  <c r="FF157" i="2"/>
  <c r="FG156" i="2"/>
  <c r="FH156" i="2" s="1"/>
  <c r="FI156" i="2" s="1"/>
  <c r="EL156" i="2"/>
  <c r="EM156" i="2" s="1"/>
  <c r="EN156" i="2" s="1"/>
  <c r="EK157" i="2"/>
  <c r="DQ156" i="2"/>
  <c r="DR156" i="2" s="1"/>
  <c r="DS156" i="2" s="1"/>
  <c r="DP157" i="2"/>
  <c r="CV156" i="2"/>
  <c r="CW156" i="2" s="1"/>
  <c r="CX156" i="2" s="1"/>
  <c r="CU157" i="2"/>
  <c r="BZ157" i="2"/>
  <c r="CA156" i="2"/>
  <c r="CB156" i="2" s="1"/>
  <c r="CC156" i="2" s="1"/>
  <c r="BE157" i="2"/>
  <c r="BF156" i="2"/>
  <c r="BG156" i="2" s="1"/>
  <c r="BH156" i="2" s="1"/>
  <c r="AK156" i="2"/>
  <c r="AL156" i="2" s="1"/>
  <c r="AM156" i="2" s="1"/>
  <c r="AJ157" i="2"/>
  <c r="BE9" i="2"/>
  <c r="BF9" i="2" s="1"/>
  <c r="BG9" i="2" s="1"/>
  <c r="BH9" i="2" s="1"/>
  <c r="GV8" i="2"/>
  <c r="GW8" i="2" s="1"/>
  <c r="GX8" i="2" s="1"/>
  <c r="GY8" i="2" s="1"/>
  <c r="BZ9" i="2"/>
  <c r="CA9" i="2" s="1"/>
  <c r="CB9" i="2" s="1"/>
  <c r="CC9" i="2" s="1"/>
  <c r="DP9" i="2"/>
  <c r="DQ9" i="2" s="1"/>
  <c r="DR9" i="2" s="1"/>
  <c r="DS9" i="2" s="1"/>
  <c r="GA9" i="2"/>
  <c r="GB9" i="2" s="1"/>
  <c r="GC9" i="2" s="1"/>
  <c r="GD9" i="2" s="1"/>
  <c r="CU9" i="2"/>
  <c r="CV9" i="2" s="1"/>
  <c r="CW9" i="2" s="1"/>
  <c r="CX9" i="2" s="1"/>
  <c r="EK8" i="2"/>
  <c r="EL8" i="2" s="1"/>
  <c r="EM8" i="2" s="1"/>
  <c r="EN8" i="2" s="1"/>
  <c r="FF8" i="2"/>
  <c r="FG8" i="2" s="1"/>
  <c r="FH8" i="2" s="1"/>
  <c r="FI8" i="2" s="1"/>
  <c r="AJ8" i="2"/>
  <c r="AK8" i="2" s="1"/>
  <c r="AL8" i="2" s="1"/>
  <c r="AM8" i="2" s="1"/>
  <c r="O19" i="2" l="1"/>
  <c r="N20" i="2"/>
  <c r="P18" i="2"/>
  <c r="Q18" i="2" s="1"/>
  <c r="R18" i="2" s="1"/>
  <c r="GV158" i="2"/>
  <c r="GW158" i="2" s="1"/>
  <c r="GX158" i="2" s="1"/>
  <c r="GY158" i="2" s="1"/>
  <c r="GA158" i="2"/>
  <c r="GB157" i="2"/>
  <c r="GC157" i="2" s="1"/>
  <c r="GD157" i="2" s="1"/>
  <c r="H198" i="2"/>
  <c r="AC159" i="2"/>
  <c r="Z160" i="2"/>
  <c r="GL160" i="2"/>
  <c r="GO159" i="2"/>
  <c r="D199" i="2"/>
  <c r="G199" i="2" s="1"/>
  <c r="EA160" i="2"/>
  <c r="ED159" i="2"/>
  <c r="CN159" i="2"/>
  <c r="CK160" i="2"/>
  <c r="HG160" i="2"/>
  <c r="HJ159" i="2"/>
  <c r="AX157" i="2"/>
  <c r="AU158" i="2"/>
  <c r="EY159" i="2"/>
  <c r="EV160" i="2"/>
  <c r="FQ160" i="2"/>
  <c r="FT159" i="2"/>
  <c r="DF160" i="2"/>
  <c r="DI159" i="2"/>
  <c r="FF158" i="2"/>
  <c r="FG157" i="2"/>
  <c r="FH157" i="2" s="1"/>
  <c r="FI157" i="2" s="1"/>
  <c r="EK158" i="2"/>
  <c r="EL157" i="2"/>
  <c r="EM157" i="2" s="1"/>
  <c r="EN157" i="2" s="1"/>
  <c r="DP158" i="2"/>
  <c r="DQ157" i="2"/>
  <c r="DR157" i="2" s="1"/>
  <c r="DS157" i="2" s="1"/>
  <c r="CV157" i="2"/>
  <c r="CW157" i="2" s="1"/>
  <c r="CX157" i="2" s="1"/>
  <c r="CU158" i="2"/>
  <c r="BZ158" i="2"/>
  <c r="CA157" i="2"/>
  <c r="CB157" i="2" s="1"/>
  <c r="CC157" i="2" s="1"/>
  <c r="BF157" i="2"/>
  <c r="BG157" i="2" s="1"/>
  <c r="BH157" i="2" s="1"/>
  <c r="BE158" i="2"/>
  <c r="AJ158" i="2"/>
  <c r="AK157" i="2"/>
  <c r="AL157" i="2" s="1"/>
  <c r="AM157" i="2" s="1"/>
  <c r="FF9" i="2"/>
  <c r="FG9" i="2" s="1"/>
  <c r="FH9" i="2" s="1"/>
  <c r="FI9" i="2" s="1"/>
  <c r="CU10" i="2"/>
  <c r="CV10" i="2" s="1"/>
  <c r="CW10" i="2" s="1"/>
  <c r="CX10" i="2" s="1"/>
  <c r="DP10" i="2"/>
  <c r="DQ10" i="2" s="1"/>
  <c r="DR10" i="2" s="1"/>
  <c r="DS10" i="2" s="1"/>
  <c r="GV9" i="2"/>
  <c r="GW9" i="2" s="1"/>
  <c r="GX9" i="2" s="1"/>
  <c r="GY9" i="2" s="1"/>
  <c r="EK9" i="2"/>
  <c r="EL9" i="2" s="1"/>
  <c r="EM9" i="2" s="1"/>
  <c r="EN9" i="2" s="1"/>
  <c r="GA10" i="2"/>
  <c r="GB10" i="2" s="1"/>
  <c r="GC10" i="2" s="1"/>
  <c r="GD10" i="2" s="1"/>
  <c r="BZ10" i="2"/>
  <c r="CA10" i="2" s="1"/>
  <c r="CB10" i="2" s="1"/>
  <c r="CC10" i="2" s="1"/>
  <c r="BE10" i="2"/>
  <c r="BF10" i="2" s="1"/>
  <c r="BG10" i="2" s="1"/>
  <c r="BH10" i="2" s="1"/>
  <c r="AJ9" i="2"/>
  <c r="AK9" i="2" s="1"/>
  <c r="AL9" i="2" s="1"/>
  <c r="AM9" i="2" s="1"/>
  <c r="O20" i="2" l="1"/>
  <c r="N21" i="2"/>
  <c r="P19" i="2"/>
  <c r="Q19" i="2" s="1"/>
  <c r="R19" i="2" s="1"/>
  <c r="GV159" i="2"/>
  <c r="GA159" i="2"/>
  <c r="GB158" i="2"/>
  <c r="GC158" i="2" s="1"/>
  <c r="GD158" i="2" s="1"/>
  <c r="H199" i="2"/>
  <c r="EA161" i="2"/>
  <c r="ED160" i="2"/>
  <c r="AX158" i="2"/>
  <c r="AU159" i="2"/>
  <c r="D200" i="2"/>
  <c r="G200" i="2" s="1"/>
  <c r="HG161" i="2"/>
  <c r="HJ160" i="2"/>
  <c r="CN160" i="2"/>
  <c r="CK161" i="2"/>
  <c r="GO160" i="2"/>
  <c r="GL161" i="2"/>
  <c r="FT160" i="2"/>
  <c r="FQ161" i="2"/>
  <c r="AC160" i="2"/>
  <c r="Z161" i="2"/>
  <c r="EY160" i="2"/>
  <c r="EV161" i="2"/>
  <c r="DI160" i="2"/>
  <c r="DF161" i="2"/>
  <c r="FG158" i="2"/>
  <c r="FH158" i="2" s="1"/>
  <c r="FI158" i="2" s="1"/>
  <c r="FF159" i="2"/>
  <c r="EL158" i="2"/>
  <c r="EM158" i="2" s="1"/>
  <c r="EN158" i="2" s="1"/>
  <c r="EK159" i="2"/>
  <c r="DQ158" i="2"/>
  <c r="DR158" i="2" s="1"/>
  <c r="DS158" i="2" s="1"/>
  <c r="DP159" i="2"/>
  <c r="CV158" i="2"/>
  <c r="CW158" i="2" s="1"/>
  <c r="CX158" i="2" s="1"/>
  <c r="CU159" i="2"/>
  <c r="BZ159" i="2"/>
  <c r="CA158" i="2"/>
  <c r="CB158" i="2" s="1"/>
  <c r="CC158" i="2" s="1"/>
  <c r="BE159" i="2"/>
  <c r="BF158" i="2"/>
  <c r="BG158" i="2" s="1"/>
  <c r="BH158" i="2" s="1"/>
  <c r="AJ159" i="2"/>
  <c r="AK158" i="2"/>
  <c r="AL158" i="2" s="1"/>
  <c r="AM158" i="2" s="1"/>
  <c r="BE11" i="2"/>
  <c r="BF11" i="2" s="1"/>
  <c r="BG11" i="2" s="1"/>
  <c r="BH11" i="2" s="1"/>
  <c r="GA11" i="2"/>
  <c r="GB11" i="2" s="1"/>
  <c r="GC11" i="2" s="1"/>
  <c r="GD11" i="2" s="1"/>
  <c r="GV10" i="2"/>
  <c r="GW10" i="2" s="1"/>
  <c r="GX10" i="2" s="1"/>
  <c r="GY10" i="2" s="1"/>
  <c r="CU11" i="2"/>
  <c r="CV11" i="2" s="1"/>
  <c r="CW11" i="2" s="1"/>
  <c r="CX11" i="2" s="1"/>
  <c r="BZ11" i="2"/>
  <c r="CA11" i="2" s="1"/>
  <c r="CB11" i="2" s="1"/>
  <c r="CC11" i="2" s="1"/>
  <c r="EK10" i="2"/>
  <c r="EL10" i="2" s="1"/>
  <c r="EM10" i="2" s="1"/>
  <c r="EN10" i="2" s="1"/>
  <c r="DP11" i="2"/>
  <c r="DQ11" i="2" s="1"/>
  <c r="DR11" i="2" s="1"/>
  <c r="DS11" i="2" s="1"/>
  <c r="FF10" i="2"/>
  <c r="FG10" i="2" s="1"/>
  <c r="FH10" i="2" s="1"/>
  <c r="FI10" i="2" s="1"/>
  <c r="AJ10" i="2"/>
  <c r="AK10" i="2" s="1"/>
  <c r="AL10" i="2" s="1"/>
  <c r="AM10" i="2" s="1"/>
  <c r="N22" i="2" l="1"/>
  <c r="O21" i="2"/>
  <c r="P20" i="2"/>
  <c r="Q20" i="2" s="1"/>
  <c r="R20" i="2" s="1"/>
  <c r="GV160" i="2"/>
  <c r="GW160" i="2" s="1"/>
  <c r="GX160" i="2" s="1"/>
  <c r="GY160" i="2" s="1"/>
  <c r="GW159" i="2"/>
  <c r="GX159" i="2" s="1"/>
  <c r="GY159" i="2" s="1"/>
  <c r="GA160" i="2"/>
  <c r="GB159" i="2"/>
  <c r="GC159" i="2" s="1"/>
  <c r="GD159" i="2" s="1"/>
  <c r="H200" i="2"/>
  <c r="HJ161" i="2"/>
  <c r="HG162" i="2"/>
  <c r="FQ162" i="2"/>
  <c r="FT161" i="2"/>
  <c r="D201" i="2"/>
  <c r="G201" i="2" s="1"/>
  <c r="GL162" i="2"/>
  <c r="GO161" i="2"/>
  <c r="AU160" i="2"/>
  <c r="AX159" i="2"/>
  <c r="EV162" i="2"/>
  <c r="EY161" i="2"/>
  <c r="CN161" i="2"/>
  <c r="CK162" i="2"/>
  <c r="AC161" i="2"/>
  <c r="Z162" i="2"/>
  <c r="ED161" i="2"/>
  <c r="EA162" i="2"/>
  <c r="DF162" i="2"/>
  <c r="DI161" i="2"/>
  <c r="FF160" i="2"/>
  <c r="FG159" i="2"/>
  <c r="FH159" i="2" s="1"/>
  <c r="FI159" i="2" s="1"/>
  <c r="EK160" i="2"/>
  <c r="EL159" i="2"/>
  <c r="EM159" i="2" s="1"/>
  <c r="EN159" i="2" s="1"/>
  <c r="DP160" i="2"/>
  <c r="DQ159" i="2"/>
  <c r="DR159" i="2" s="1"/>
  <c r="DS159" i="2" s="1"/>
  <c r="CV159" i="2"/>
  <c r="CW159" i="2" s="1"/>
  <c r="CX159" i="2" s="1"/>
  <c r="CU160" i="2"/>
  <c r="BZ160" i="2"/>
  <c r="CA159" i="2"/>
  <c r="CB159" i="2" s="1"/>
  <c r="CC159" i="2" s="1"/>
  <c r="BE160" i="2"/>
  <c r="BF159" i="2"/>
  <c r="BG159" i="2" s="1"/>
  <c r="BH159" i="2" s="1"/>
  <c r="AJ160" i="2"/>
  <c r="AK159" i="2"/>
  <c r="AL159" i="2" s="1"/>
  <c r="AM159" i="2" s="1"/>
  <c r="FF11" i="2"/>
  <c r="FG11" i="2" s="1"/>
  <c r="FH11" i="2" s="1"/>
  <c r="FI11" i="2" s="1"/>
  <c r="EK11" i="2"/>
  <c r="EL11" i="2" s="1"/>
  <c r="EM11" i="2" s="1"/>
  <c r="EN11" i="2" s="1"/>
  <c r="CU12" i="2"/>
  <c r="CV12" i="2" s="1"/>
  <c r="CW12" i="2" s="1"/>
  <c r="CX12" i="2" s="1"/>
  <c r="GA12" i="2"/>
  <c r="GB12" i="2" s="1"/>
  <c r="GC12" i="2" s="1"/>
  <c r="GD12" i="2" s="1"/>
  <c r="DP12" i="2"/>
  <c r="DQ12" i="2" s="1"/>
  <c r="DR12" i="2" s="1"/>
  <c r="DS12" i="2" s="1"/>
  <c r="BZ12" i="2"/>
  <c r="CA12" i="2" s="1"/>
  <c r="CB12" i="2" s="1"/>
  <c r="CC12" i="2" s="1"/>
  <c r="GV11" i="2"/>
  <c r="GW11" i="2" s="1"/>
  <c r="GX11" i="2" s="1"/>
  <c r="GY11" i="2" s="1"/>
  <c r="BE12" i="2"/>
  <c r="BF12" i="2" s="1"/>
  <c r="BG12" i="2" s="1"/>
  <c r="BH12" i="2" s="1"/>
  <c r="AJ11" i="2"/>
  <c r="AK11" i="2" s="1"/>
  <c r="AL11" i="2" s="1"/>
  <c r="AM11" i="2" s="1"/>
  <c r="P21" i="2" l="1"/>
  <c r="Q21" i="2" s="1"/>
  <c r="R21" i="2" s="1"/>
  <c r="N23" i="2"/>
  <c r="O22" i="2"/>
  <c r="GV161" i="2"/>
  <c r="GW161" i="2" s="1"/>
  <c r="GX161" i="2" s="1"/>
  <c r="GY161" i="2" s="1"/>
  <c r="GA161" i="2"/>
  <c r="GB160" i="2"/>
  <c r="GC160" i="2" s="1"/>
  <c r="GD160" i="2" s="1"/>
  <c r="H201" i="2"/>
  <c r="GO162" i="2"/>
  <c r="GL163" i="2"/>
  <c r="CN162" i="2"/>
  <c r="CK163" i="2"/>
  <c r="D202" i="2"/>
  <c r="G202" i="2" s="1"/>
  <c r="EY162" i="2"/>
  <c r="EV163" i="2"/>
  <c r="ED162" i="2"/>
  <c r="EA163" i="2"/>
  <c r="FT162" i="2"/>
  <c r="FQ163" i="2"/>
  <c r="AX160" i="2"/>
  <c r="AU161" i="2"/>
  <c r="HJ162" i="2"/>
  <c r="HG163" i="2"/>
  <c r="AC162" i="2"/>
  <c r="Z163" i="2"/>
  <c r="DI162" i="2"/>
  <c r="DF163" i="2"/>
  <c r="FG160" i="2"/>
  <c r="FH160" i="2" s="1"/>
  <c r="FI160" i="2" s="1"/>
  <c r="FF161" i="2"/>
  <c r="EK161" i="2"/>
  <c r="EL160" i="2"/>
  <c r="EM160" i="2" s="1"/>
  <c r="EN160" i="2" s="1"/>
  <c r="DQ160" i="2"/>
  <c r="DR160" i="2" s="1"/>
  <c r="DS160" i="2" s="1"/>
  <c r="DP161" i="2"/>
  <c r="CV160" i="2"/>
  <c r="CW160" i="2" s="1"/>
  <c r="CX160" i="2" s="1"/>
  <c r="CU161" i="2"/>
  <c r="CA160" i="2"/>
  <c r="CB160" i="2" s="1"/>
  <c r="CC160" i="2" s="1"/>
  <c r="BZ161" i="2"/>
  <c r="BE161" i="2"/>
  <c r="BF160" i="2"/>
  <c r="BG160" i="2" s="1"/>
  <c r="BH160" i="2" s="1"/>
  <c r="AJ161" i="2"/>
  <c r="AK160" i="2"/>
  <c r="AL160" i="2" s="1"/>
  <c r="AM160" i="2" s="1"/>
  <c r="BZ13" i="2"/>
  <c r="CA13" i="2" s="1"/>
  <c r="CB13" i="2" s="1"/>
  <c r="CC13" i="2" s="1"/>
  <c r="GA13" i="2"/>
  <c r="GB13" i="2" s="1"/>
  <c r="GC13" i="2" s="1"/>
  <c r="GD13" i="2" s="1"/>
  <c r="EK12" i="2"/>
  <c r="EL12" i="2" s="1"/>
  <c r="EM12" i="2" s="1"/>
  <c r="EN12" i="2" s="1"/>
  <c r="BE13" i="2"/>
  <c r="BF13" i="2" s="1"/>
  <c r="BG13" i="2" s="1"/>
  <c r="BH13" i="2" s="1"/>
  <c r="GV12" i="2"/>
  <c r="GW12" i="2" s="1"/>
  <c r="GX12" i="2" s="1"/>
  <c r="GY12" i="2" s="1"/>
  <c r="DP13" i="2"/>
  <c r="DQ13" i="2" s="1"/>
  <c r="DR13" i="2" s="1"/>
  <c r="DS13" i="2" s="1"/>
  <c r="CU13" i="2"/>
  <c r="CV13" i="2" s="1"/>
  <c r="CW13" i="2" s="1"/>
  <c r="CX13" i="2" s="1"/>
  <c r="FF12" i="2"/>
  <c r="FG12" i="2" s="1"/>
  <c r="FH12" i="2" s="1"/>
  <c r="FI12" i="2" s="1"/>
  <c r="AJ12" i="2"/>
  <c r="AK12" i="2" s="1"/>
  <c r="AL12" i="2" s="1"/>
  <c r="AM12" i="2" s="1"/>
  <c r="P22" i="2" l="1"/>
  <c r="Q22" i="2" s="1"/>
  <c r="R22" i="2" s="1"/>
  <c r="N24" i="2"/>
  <c r="O23" i="2"/>
  <c r="GV162" i="2"/>
  <c r="GW162" i="2" s="1"/>
  <c r="GX162" i="2" s="1"/>
  <c r="GY162" i="2" s="1"/>
  <c r="GA162" i="2"/>
  <c r="GB161" i="2"/>
  <c r="GC161" i="2" s="1"/>
  <c r="GD161" i="2" s="1"/>
  <c r="H202" i="2"/>
  <c r="AX161" i="2"/>
  <c r="AU162" i="2"/>
  <c r="FQ164" i="2"/>
  <c r="FT163" i="2"/>
  <c r="D203" i="2"/>
  <c r="G203" i="2" s="1"/>
  <c r="CK164" i="2"/>
  <c r="CN163" i="2"/>
  <c r="AC163" i="2"/>
  <c r="Z164" i="2"/>
  <c r="EA164" i="2"/>
  <c r="ED163" i="2"/>
  <c r="GL164" i="2"/>
  <c r="GO163" i="2"/>
  <c r="HJ163" i="2"/>
  <c r="HG164" i="2"/>
  <c r="EV164" i="2"/>
  <c r="EY163" i="2"/>
  <c r="DF164" i="2"/>
  <c r="DI163" i="2"/>
  <c r="FG161" i="2"/>
  <c r="FH161" i="2" s="1"/>
  <c r="FI161" i="2" s="1"/>
  <c r="FF162" i="2"/>
  <c r="EL161" i="2"/>
  <c r="EM161" i="2" s="1"/>
  <c r="EN161" i="2" s="1"/>
  <c r="EK162" i="2"/>
  <c r="DP162" i="2"/>
  <c r="DQ161" i="2"/>
  <c r="DR161" i="2" s="1"/>
  <c r="DS161" i="2" s="1"/>
  <c r="CU162" i="2"/>
  <c r="CV161" i="2"/>
  <c r="CW161" i="2" s="1"/>
  <c r="CX161" i="2" s="1"/>
  <c r="BZ162" i="2"/>
  <c r="CA161" i="2"/>
  <c r="CB161" i="2" s="1"/>
  <c r="CC161" i="2" s="1"/>
  <c r="BE162" i="2"/>
  <c r="BF161" i="2"/>
  <c r="BG161" i="2" s="1"/>
  <c r="BH161" i="2" s="1"/>
  <c r="AJ162" i="2"/>
  <c r="AK161" i="2"/>
  <c r="AL161" i="2" s="1"/>
  <c r="AM161" i="2" s="1"/>
  <c r="FF13" i="2"/>
  <c r="FG13" i="2" s="1"/>
  <c r="FH13" i="2" s="1"/>
  <c r="FI13" i="2" s="1"/>
  <c r="DP14" i="2"/>
  <c r="DQ14" i="2" s="1"/>
  <c r="DR14" i="2" s="1"/>
  <c r="DS14" i="2" s="1"/>
  <c r="BE14" i="2"/>
  <c r="BF14" i="2" s="1"/>
  <c r="BG14" i="2" s="1"/>
  <c r="BH14" i="2" s="1"/>
  <c r="GA14" i="2"/>
  <c r="GB14" i="2" s="1"/>
  <c r="GC14" i="2" s="1"/>
  <c r="GD14" i="2" s="1"/>
  <c r="CU14" i="2"/>
  <c r="CV14" i="2" s="1"/>
  <c r="CW14" i="2" s="1"/>
  <c r="CX14" i="2" s="1"/>
  <c r="GV13" i="2"/>
  <c r="GW13" i="2" s="1"/>
  <c r="GX13" i="2" s="1"/>
  <c r="GY13" i="2" s="1"/>
  <c r="EK13" i="2"/>
  <c r="EL13" i="2" s="1"/>
  <c r="EM13" i="2" s="1"/>
  <c r="EN13" i="2" s="1"/>
  <c r="BZ14" i="2"/>
  <c r="CA14" i="2" s="1"/>
  <c r="CB14" i="2" s="1"/>
  <c r="CC14" i="2" s="1"/>
  <c r="AJ13" i="2"/>
  <c r="AK13" i="2" s="1"/>
  <c r="AL13" i="2" s="1"/>
  <c r="AM13" i="2" s="1"/>
  <c r="P23" i="2" l="1"/>
  <c r="Q23" i="2"/>
  <c r="R23" i="2" s="1"/>
  <c r="N25" i="2"/>
  <c r="O24" i="2"/>
  <c r="GV163" i="2"/>
  <c r="GW163" i="2" s="1"/>
  <c r="GX163" i="2" s="1"/>
  <c r="GY163" i="2" s="1"/>
  <c r="GA163" i="2"/>
  <c r="GB162" i="2"/>
  <c r="GC162" i="2" s="1"/>
  <c r="GD162" i="2" s="1"/>
  <c r="H203" i="2"/>
  <c r="HJ164" i="2"/>
  <c r="HG165" i="2"/>
  <c r="CN164" i="2"/>
  <c r="CK165" i="2"/>
  <c r="GO164" i="2"/>
  <c r="GL165" i="2"/>
  <c r="FT164" i="2"/>
  <c r="FQ165" i="2"/>
  <c r="EA165" i="2"/>
  <c r="ED164" i="2"/>
  <c r="AC164" i="2"/>
  <c r="Z165" i="2"/>
  <c r="AX162" i="2"/>
  <c r="AU163" i="2"/>
  <c r="EY164" i="2"/>
  <c r="EV165" i="2"/>
  <c r="DI164" i="2"/>
  <c r="DF165" i="2"/>
  <c r="FF163" i="2"/>
  <c r="FG162" i="2"/>
  <c r="FH162" i="2" s="1"/>
  <c r="FI162" i="2" s="1"/>
  <c r="EL162" i="2"/>
  <c r="EM162" i="2" s="1"/>
  <c r="EN162" i="2" s="1"/>
  <c r="EK163" i="2"/>
  <c r="DQ162" i="2"/>
  <c r="DR162" i="2" s="1"/>
  <c r="DS162" i="2" s="1"/>
  <c r="DP163" i="2"/>
  <c r="CV162" i="2"/>
  <c r="CW162" i="2" s="1"/>
  <c r="CX162" i="2" s="1"/>
  <c r="CU163" i="2"/>
  <c r="CA162" i="2"/>
  <c r="CB162" i="2" s="1"/>
  <c r="CC162" i="2" s="1"/>
  <c r="BZ163" i="2"/>
  <c r="BE163" i="2"/>
  <c r="BF162" i="2"/>
  <c r="BG162" i="2" s="1"/>
  <c r="BH162" i="2" s="1"/>
  <c r="AJ163" i="2"/>
  <c r="AK162" i="2"/>
  <c r="AL162" i="2" s="1"/>
  <c r="AM162" i="2" s="1"/>
  <c r="BZ15" i="2"/>
  <c r="CA15" i="2" s="1"/>
  <c r="CB15" i="2" s="1"/>
  <c r="CC15" i="2" s="1"/>
  <c r="GV14" i="2"/>
  <c r="GW14" i="2" s="1"/>
  <c r="GX14" i="2" s="1"/>
  <c r="GY14" i="2" s="1"/>
  <c r="GA15" i="2"/>
  <c r="GB15" i="2" s="1"/>
  <c r="GC15" i="2" s="1"/>
  <c r="GD15" i="2" s="1"/>
  <c r="DP15" i="2"/>
  <c r="DQ15" i="2" s="1"/>
  <c r="DR15" i="2" s="1"/>
  <c r="DS15" i="2" s="1"/>
  <c r="BE15" i="2"/>
  <c r="BF15" i="2" s="1"/>
  <c r="BG15" i="2" s="1"/>
  <c r="BH15" i="2" s="1"/>
  <c r="EK14" i="2"/>
  <c r="EL14" i="2" s="1"/>
  <c r="EM14" i="2" s="1"/>
  <c r="EN14" i="2" s="1"/>
  <c r="CU15" i="2"/>
  <c r="CV15" i="2" s="1"/>
  <c r="CW15" i="2" s="1"/>
  <c r="CX15" i="2" s="1"/>
  <c r="FF14" i="2"/>
  <c r="FG14" i="2" s="1"/>
  <c r="FH14" i="2" s="1"/>
  <c r="FI14" i="2" s="1"/>
  <c r="AJ14" i="2"/>
  <c r="AK14" i="2" s="1"/>
  <c r="AL14" i="2" s="1"/>
  <c r="AM14" i="2" s="1"/>
  <c r="P24" i="2" l="1"/>
  <c r="Q24" i="2"/>
  <c r="R24" i="2" s="1"/>
  <c r="N26" i="2"/>
  <c r="O25" i="2"/>
  <c r="GV164" i="2"/>
  <c r="GW164" i="2" s="1"/>
  <c r="GX164" i="2" s="1"/>
  <c r="GY164" i="2" s="1"/>
  <c r="GA164" i="2"/>
  <c r="GB163" i="2"/>
  <c r="GC163" i="2" s="1"/>
  <c r="GD163" i="2" s="1"/>
  <c r="EV166" i="2"/>
  <c r="EY165" i="2"/>
  <c r="FQ166" i="2"/>
  <c r="FT165" i="2"/>
  <c r="AX163" i="2"/>
  <c r="AU164" i="2"/>
  <c r="GL166" i="2"/>
  <c r="GO165" i="2"/>
  <c r="AC165" i="2"/>
  <c r="Z166" i="2"/>
  <c r="CK166" i="2"/>
  <c r="CN165" i="2"/>
  <c r="HJ165" i="2"/>
  <c r="HG166" i="2"/>
  <c r="ED165" i="2"/>
  <c r="EA166" i="2"/>
  <c r="DF166" i="2"/>
  <c r="DI165" i="2"/>
  <c r="FF164" i="2"/>
  <c r="FG163" i="2"/>
  <c r="FH163" i="2" s="1"/>
  <c r="FI163" i="2" s="1"/>
  <c r="EK164" i="2"/>
  <c r="EL163" i="2"/>
  <c r="EM163" i="2" s="1"/>
  <c r="EN163" i="2" s="1"/>
  <c r="DP164" i="2"/>
  <c r="DQ163" i="2"/>
  <c r="DR163" i="2" s="1"/>
  <c r="DS163" i="2" s="1"/>
  <c r="CU164" i="2"/>
  <c r="CV163" i="2"/>
  <c r="CW163" i="2" s="1"/>
  <c r="CX163" i="2" s="1"/>
  <c r="CA163" i="2"/>
  <c r="CB163" i="2" s="1"/>
  <c r="CC163" i="2" s="1"/>
  <c r="BZ164" i="2"/>
  <c r="BE164" i="2"/>
  <c r="BF163" i="2"/>
  <c r="BG163" i="2" s="1"/>
  <c r="BH163" i="2" s="1"/>
  <c r="AJ164" i="2"/>
  <c r="AK163" i="2"/>
  <c r="AL163" i="2" s="1"/>
  <c r="AM163" i="2" s="1"/>
  <c r="FF15" i="2"/>
  <c r="FG15" i="2" s="1"/>
  <c r="FH15" i="2" s="1"/>
  <c r="FI15" i="2" s="1"/>
  <c r="EK15" i="2"/>
  <c r="EL15" i="2" s="1"/>
  <c r="EM15" i="2" s="1"/>
  <c r="EN15" i="2" s="1"/>
  <c r="DP16" i="2"/>
  <c r="DQ16" i="2" s="1"/>
  <c r="DR16" i="2" s="1"/>
  <c r="DS16" i="2" s="1"/>
  <c r="GV15" i="2"/>
  <c r="GW15" i="2" s="1"/>
  <c r="GX15" i="2" s="1"/>
  <c r="GY15" i="2" s="1"/>
  <c r="CU16" i="2"/>
  <c r="CV16" i="2" s="1"/>
  <c r="CW16" i="2" s="1"/>
  <c r="CX16" i="2" s="1"/>
  <c r="BE16" i="2"/>
  <c r="BF16" i="2" s="1"/>
  <c r="BG16" i="2" s="1"/>
  <c r="BH16" i="2" s="1"/>
  <c r="GA16" i="2"/>
  <c r="GB16" i="2" s="1"/>
  <c r="GC16" i="2" s="1"/>
  <c r="GD16" i="2" s="1"/>
  <c r="BZ16" i="2"/>
  <c r="CA16" i="2" s="1"/>
  <c r="CB16" i="2" s="1"/>
  <c r="CC16" i="2" s="1"/>
  <c r="AJ15" i="2"/>
  <c r="AK15" i="2" s="1"/>
  <c r="AL15" i="2" s="1"/>
  <c r="AM15" i="2" s="1"/>
  <c r="P25" i="2" l="1"/>
  <c r="Q25" i="2" s="1"/>
  <c r="R25" i="2" s="1"/>
  <c r="N27" i="2"/>
  <c r="O26" i="2"/>
  <c r="GV165" i="2"/>
  <c r="GW165" i="2" s="1"/>
  <c r="GX165" i="2" s="1"/>
  <c r="GY165" i="2" s="1"/>
  <c r="GA165" i="2"/>
  <c r="GB164" i="2"/>
  <c r="GC164" i="2" s="1"/>
  <c r="GD164" i="2" s="1"/>
  <c r="GL167" i="2"/>
  <c r="GO166" i="2"/>
  <c r="ED166" i="2"/>
  <c r="EA167" i="2"/>
  <c r="HG167" i="2"/>
  <c r="HJ166" i="2"/>
  <c r="AU165" i="2"/>
  <c r="AX164" i="2"/>
  <c r="CK167" i="2"/>
  <c r="CN166" i="2"/>
  <c r="FT166" i="2"/>
  <c r="FQ167" i="2"/>
  <c r="AC166" i="2"/>
  <c r="Z167" i="2"/>
  <c r="EY166" i="2"/>
  <c r="EV167" i="2"/>
  <c r="DI166" i="2"/>
  <c r="DF167" i="2"/>
  <c r="FG164" i="2"/>
  <c r="FH164" i="2" s="1"/>
  <c r="FI164" i="2" s="1"/>
  <c r="FF165" i="2"/>
  <c r="EL164" i="2"/>
  <c r="EM164" i="2" s="1"/>
  <c r="EN164" i="2" s="1"/>
  <c r="EK165" i="2"/>
  <c r="DQ164" i="2"/>
  <c r="DR164" i="2" s="1"/>
  <c r="DS164" i="2" s="1"/>
  <c r="DP165" i="2"/>
  <c r="CV164" i="2"/>
  <c r="CW164" i="2" s="1"/>
  <c r="CX164" i="2" s="1"/>
  <c r="CU165" i="2"/>
  <c r="CA164" i="2"/>
  <c r="CB164" i="2" s="1"/>
  <c r="CC164" i="2" s="1"/>
  <c r="BZ165" i="2"/>
  <c r="BE165" i="2"/>
  <c r="BF164" i="2"/>
  <c r="BG164" i="2" s="1"/>
  <c r="BH164" i="2" s="1"/>
  <c r="AK164" i="2"/>
  <c r="AL164" i="2" s="1"/>
  <c r="AM164" i="2" s="1"/>
  <c r="AJ165" i="2"/>
  <c r="BZ17" i="2"/>
  <c r="CA17" i="2" s="1"/>
  <c r="CB17" i="2" s="1"/>
  <c r="CC17" i="2" s="1"/>
  <c r="BE17" i="2"/>
  <c r="BF17" i="2" s="1"/>
  <c r="BG17" i="2" s="1"/>
  <c r="BH17" i="2" s="1"/>
  <c r="GV16" i="2"/>
  <c r="GW16" i="2" s="1"/>
  <c r="GX16" i="2" s="1"/>
  <c r="GY16" i="2" s="1"/>
  <c r="EK16" i="2"/>
  <c r="EL16" i="2" s="1"/>
  <c r="EM16" i="2" s="1"/>
  <c r="EN16" i="2" s="1"/>
  <c r="GA17" i="2"/>
  <c r="GB17" i="2" s="1"/>
  <c r="GC17" i="2" s="1"/>
  <c r="GD17" i="2" s="1"/>
  <c r="CU17" i="2"/>
  <c r="CV17" i="2" s="1"/>
  <c r="CW17" i="2" s="1"/>
  <c r="CX17" i="2" s="1"/>
  <c r="DP17" i="2"/>
  <c r="DQ17" i="2" s="1"/>
  <c r="DR17" i="2" s="1"/>
  <c r="DS17" i="2" s="1"/>
  <c r="FF16" i="2"/>
  <c r="FG16" i="2" s="1"/>
  <c r="FH16" i="2" s="1"/>
  <c r="FI16" i="2" s="1"/>
  <c r="AJ16" i="2"/>
  <c r="AK16" i="2" s="1"/>
  <c r="AL16" i="2" s="1"/>
  <c r="AM16" i="2" s="1"/>
  <c r="P26" i="2" l="1"/>
  <c r="Q26" i="2"/>
  <c r="R26" i="2" s="1"/>
  <c r="N28" i="2"/>
  <c r="O27" i="2"/>
  <c r="GV166" i="2"/>
  <c r="GW166" i="2" s="1"/>
  <c r="GX166" i="2" s="1"/>
  <c r="GY166" i="2" s="1"/>
  <c r="GA166" i="2"/>
  <c r="GB165" i="2"/>
  <c r="GC165" i="2" s="1"/>
  <c r="GD165" i="2" s="1"/>
  <c r="AU166" i="2"/>
  <c r="AX165" i="2"/>
  <c r="AC167" i="2"/>
  <c r="Z168" i="2"/>
  <c r="EV168" i="2"/>
  <c r="EY167" i="2"/>
  <c r="HG168" i="2"/>
  <c r="HJ167" i="2"/>
  <c r="EA168" i="2"/>
  <c r="ED167" i="2"/>
  <c r="FQ168" i="2"/>
  <c r="FT167" i="2"/>
  <c r="CN167" i="2"/>
  <c r="CK168" i="2"/>
  <c r="GO167" i="2"/>
  <c r="GL168" i="2"/>
  <c r="DF168" i="2"/>
  <c r="DI167" i="2"/>
  <c r="FF166" i="2"/>
  <c r="FG165" i="2"/>
  <c r="FH165" i="2" s="1"/>
  <c r="FI165" i="2" s="1"/>
  <c r="EK166" i="2"/>
  <c r="EL165" i="2"/>
  <c r="EM165" i="2" s="1"/>
  <c r="EN165" i="2" s="1"/>
  <c r="DP166" i="2"/>
  <c r="DQ165" i="2"/>
  <c r="DR165" i="2" s="1"/>
  <c r="DS165" i="2" s="1"/>
  <c r="CV165" i="2"/>
  <c r="CW165" i="2" s="1"/>
  <c r="CX165" i="2" s="1"/>
  <c r="CU166" i="2"/>
  <c r="CA165" i="2"/>
  <c r="CB165" i="2" s="1"/>
  <c r="CC165" i="2" s="1"/>
  <c r="BZ166" i="2"/>
  <c r="BE166" i="2"/>
  <c r="BF165" i="2"/>
  <c r="BG165" i="2" s="1"/>
  <c r="BH165" i="2" s="1"/>
  <c r="AK165" i="2"/>
  <c r="AL165" i="2" s="1"/>
  <c r="AM165" i="2" s="1"/>
  <c r="AJ166" i="2"/>
  <c r="BE19" i="2"/>
  <c r="BF19" i="2" s="1"/>
  <c r="BG19" i="2" s="1"/>
  <c r="BH19" i="2" s="1"/>
  <c r="BE18" i="2"/>
  <c r="BF18" i="2" s="1"/>
  <c r="BG18" i="2" s="1"/>
  <c r="BH18" i="2" s="1"/>
  <c r="FF17" i="2"/>
  <c r="FG17" i="2" s="1"/>
  <c r="FH17" i="2" s="1"/>
  <c r="FI17" i="2" s="1"/>
  <c r="CU18" i="2"/>
  <c r="CV18" i="2" s="1"/>
  <c r="CW18" i="2" s="1"/>
  <c r="CX18" i="2" s="1"/>
  <c r="EK17" i="2"/>
  <c r="EL17" i="2" s="1"/>
  <c r="EM17" i="2" s="1"/>
  <c r="EN17" i="2" s="1"/>
  <c r="DP18" i="2"/>
  <c r="DQ18" i="2" s="1"/>
  <c r="DR18" i="2" s="1"/>
  <c r="DS18" i="2" s="1"/>
  <c r="GA18" i="2"/>
  <c r="GB18" i="2" s="1"/>
  <c r="GC18" i="2" s="1"/>
  <c r="GD18" i="2" s="1"/>
  <c r="GV17" i="2"/>
  <c r="GW17" i="2" s="1"/>
  <c r="GX17" i="2" s="1"/>
  <c r="GY17" i="2" s="1"/>
  <c r="BZ18" i="2"/>
  <c r="CA18" i="2" s="1"/>
  <c r="CB18" i="2" s="1"/>
  <c r="CC18" i="2" s="1"/>
  <c r="AJ17" i="2"/>
  <c r="AK17" i="2" s="1"/>
  <c r="AL17" i="2" s="1"/>
  <c r="AM17" i="2" s="1"/>
  <c r="P27" i="2" l="1"/>
  <c r="Q27" i="2"/>
  <c r="R27" i="2" s="1"/>
  <c r="N29" i="2"/>
  <c r="O28" i="2"/>
  <c r="GV167" i="2"/>
  <c r="GW167" i="2" s="1"/>
  <c r="GX167" i="2" s="1"/>
  <c r="GY167" i="2" s="1"/>
  <c r="GA167" i="2"/>
  <c r="GB166" i="2"/>
  <c r="GC166" i="2" s="1"/>
  <c r="GD166" i="2" s="1"/>
  <c r="GO168" i="2"/>
  <c r="GL169" i="2"/>
  <c r="HJ168" i="2"/>
  <c r="HG169" i="2"/>
  <c r="CN168" i="2"/>
  <c r="CK169" i="2"/>
  <c r="EV169" i="2"/>
  <c r="EY168" i="2"/>
  <c r="Z169" i="2"/>
  <c r="AC168" i="2"/>
  <c r="FT168" i="2"/>
  <c r="FQ169" i="2"/>
  <c r="ED168" i="2"/>
  <c r="EA169" i="2"/>
  <c r="AU167" i="2"/>
  <c r="AX166" i="2"/>
  <c r="DI168" i="2"/>
  <c r="DF169" i="2"/>
  <c r="FG166" i="2"/>
  <c r="FH166" i="2" s="1"/>
  <c r="FI166" i="2" s="1"/>
  <c r="FF167" i="2"/>
  <c r="EL166" i="2"/>
  <c r="EM166" i="2" s="1"/>
  <c r="EN166" i="2" s="1"/>
  <c r="EK167" i="2"/>
  <c r="DQ166" i="2"/>
  <c r="DR166" i="2" s="1"/>
  <c r="DS166" i="2" s="1"/>
  <c r="DP167" i="2"/>
  <c r="CV166" i="2"/>
  <c r="CW166" i="2" s="1"/>
  <c r="CX166" i="2" s="1"/>
  <c r="CU167" i="2"/>
  <c r="BZ167" i="2"/>
  <c r="CA166" i="2"/>
  <c r="CB166" i="2" s="1"/>
  <c r="CC166" i="2" s="1"/>
  <c r="BE167" i="2"/>
  <c r="BF166" i="2"/>
  <c r="BG166" i="2" s="1"/>
  <c r="BH166" i="2" s="1"/>
  <c r="AK166" i="2"/>
  <c r="AL166" i="2" s="1"/>
  <c r="AM166" i="2" s="1"/>
  <c r="AJ167" i="2"/>
  <c r="BZ19" i="2"/>
  <c r="CA19" i="2" s="1"/>
  <c r="CB19" i="2" s="1"/>
  <c r="CC19" i="2" s="1"/>
  <c r="GA19" i="2"/>
  <c r="GB19" i="2" s="1"/>
  <c r="GC19" i="2" s="1"/>
  <c r="GD19" i="2" s="1"/>
  <c r="EK18" i="2"/>
  <c r="EL18" i="2" s="1"/>
  <c r="EM18" i="2" s="1"/>
  <c r="EN18" i="2" s="1"/>
  <c r="FF18" i="2"/>
  <c r="FG18" i="2" s="1"/>
  <c r="FH18" i="2" s="1"/>
  <c r="FI18" i="2" s="1"/>
  <c r="GV18" i="2"/>
  <c r="GW18" i="2" s="1"/>
  <c r="GX18" i="2" s="1"/>
  <c r="GY18" i="2" s="1"/>
  <c r="DP19" i="2"/>
  <c r="DQ19" i="2" s="1"/>
  <c r="DR19" i="2" s="1"/>
  <c r="DS19" i="2" s="1"/>
  <c r="CU19" i="2"/>
  <c r="CV19" i="2" s="1"/>
  <c r="CW19" i="2" s="1"/>
  <c r="CX19" i="2" s="1"/>
  <c r="AJ18" i="2"/>
  <c r="AK18" i="2" s="1"/>
  <c r="AL18" i="2" s="1"/>
  <c r="AM18" i="2" s="1"/>
  <c r="P28" i="2" l="1"/>
  <c r="Q28" i="2"/>
  <c r="R28" i="2" s="1"/>
  <c r="N30" i="2"/>
  <c r="O29" i="2"/>
  <c r="GV168" i="2"/>
  <c r="GW168" i="2" s="1"/>
  <c r="GX168" i="2" s="1"/>
  <c r="GY168" i="2" s="1"/>
  <c r="GA168" i="2"/>
  <c r="GB167" i="2"/>
  <c r="GC167" i="2" s="1"/>
  <c r="GD167" i="2" s="1"/>
  <c r="AU168" i="2"/>
  <c r="AX167" i="2"/>
  <c r="EY169" i="2"/>
  <c r="EV170" i="2"/>
  <c r="EA170" i="2"/>
  <c r="ED169" i="2"/>
  <c r="CK170" i="2"/>
  <c r="CN169" i="2"/>
  <c r="FQ170" i="2"/>
  <c r="FT169" i="2"/>
  <c r="HG170" i="2"/>
  <c r="HJ169" i="2"/>
  <c r="GL170" i="2"/>
  <c r="GO169" i="2"/>
  <c r="AC169" i="2"/>
  <c r="Z170" i="2"/>
  <c r="DI169" i="2"/>
  <c r="DF170" i="2"/>
  <c r="FF168" i="2"/>
  <c r="FG167" i="2"/>
  <c r="FH167" i="2" s="1"/>
  <c r="FI167" i="2" s="1"/>
  <c r="EK168" i="2"/>
  <c r="EL167" i="2"/>
  <c r="EM167" i="2" s="1"/>
  <c r="EN167" i="2" s="1"/>
  <c r="DP168" i="2"/>
  <c r="DQ167" i="2"/>
  <c r="DR167" i="2" s="1"/>
  <c r="DS167" i="2" s="1"/>
  <c r="CV167" i="2"/>
  <c r="CW167" i="2" s="1"/>
  <c r="CX167" i="2" s="1"/>
  <c r="CU168" i="2"/>
  <c r="BZ168" i="2"/>
  <c r="CA167" i="2"/>
  <c r="CB167" i="2" s="1"/>
  <c r="CC167" i="2" s="1"/>
  <c r="BE168" i="2"/>
  <c r="BF167" i="2"/>
  <c r="BG167" i="2" s="1"/>
  <c r="BH167" i="2" s="1"/>
  <c r="AK167" i="2"/>
  <c r="AL167" i="2" s="1"/>
  <c r="AM167" i="2" s="1"/>
  <c r="AJ168" i="2"/>
  <c r="DP20" i="2"/>
  <c r="DQ20" i="2" s="1"/>
  <c r="DR20" i="2" s="1"/>
  <c r="DS20" i="2" s="1"/>
  <c r="FF19" i="2"/>
  <c r="FG19" i="2" s="1"/>
  <c r="FH19" i="2" s="1"/>
  <c r="FI19" i="2" s="1"/>
  <c r="GA20" i="2"/>
  <c r="GB20" i="2" s="1"/>
  <c r="GC20" i="2" s="1"/>
  <c r="GD20" i="2" s="1"/>
  <c r="CU20" i="2"/>
  <c r="CV20" i="2" s="1"/>
  <c r="CW20" i="2" s="1"/>
  <c r="CX20" i="2" s="1"/>
  <c r="GV19" i="2"/>
  <c r="GW19" i="2" s="1"/>
  <c r="GX19" i="2" s="1"/>
  <c r="GY19" i="2" s="1"/>
  <c r="EK19" i="2"/>
  <c r="EL19" i="2" s="1"/>
  <c r="EM19" i="2" s="1"/>
  <c r="EN19" i="2" s="1"/>
  <c r="BZ20" i="2"/>
  <c r="CA20" i="2" s="1"/>
  <c r="CB20" i="2" s="1"/>
  <c r="CC20" i="2" s="1"/>
  <c r="AJ19" i="2"/>
  <c r="AK19" i="2" s="1"/>
  <c r="AL19" i="2" s="1"/>
  <c r="AM19" i="2" s="1"/>
  <c r="P29" i="2" l="1"/>
  <c r="Q29" i="2"/>
  <c r="R29" i="2" s="1"/>
  <c r="N31" i="2"/>
  <c r="O30" i="2"/>
  <c r="GV169" i="2"/>
  <c r="GW169" i="2" s="1"/>
  <c r="GX169" i="2" s="1"/>
  <c r="GY169" i="2" s="1"/>
  <c r="GA169" i="2"/>
  <c r="GB168" i="2"/>
  <c r="GC168" i="2" s="1"/>
  <c r="GD168" i="2" s="1"/>
  <c r="CN170" i="2"/>
  <c r="CK171" i="2"/>
  <c r="Z171" i="2"/>
  <c r="AC170" i="2"/>
  <c r="GO170" i="2"/>
  <c r="GL171" i="2"/>
  <c r="ED170" i="2"/>
  <c r="EA171" i="2"/>
  <c r="EY170" i="2"/>
  <c r="EV171" i="2"/>
  <c r="HJ170" i="2"/>
  <c r="HG171" i="2"/>
  <c r="FT170" i="2"/>
  <c r="FQ171" i="2"/>
  <c r="AU169" i="2"/>
  <c r="AX168" i="2"/>
  <c r="DI170" i="2"/>
  <c r="DF171" i="2"/>
  <c r="FG168" i="2"/>
  <c r="FH168" i="2" s="1"/>
  <c r="FI168" i="2" s="1"/>
  <c r="FF169" i="2"/>
  <c r="EL168" i="2"/>
  <c r="EM168" i="2" s="1"/>
  <c r="EN168" i="2" s="1"/>
  <c r="EK169" i="2"/>
  <c r="DQ168" i="2"/>
  <c r="DR168" i="2" s="1"/>
  <c r="DS168" i="2" s="1"/>
  <c r="DP169" i="2"/>
  <c r="CU169" i="2"/>
  <c r="CV168" i="2"/>
  <c r="CW168" i="2" s="1"/>
  <c r="CX168" i="2" s="1"/>
  <c r="CA168" i="2"/>
  <c r="CB168" i="2" s="1"/>
  <c r="CC168" i="2" s="1"/>
  <c r="BZ169" i="2"/>
  <c r="BE169" i="2"/>
  <c r="BF168" i="2"/>
  <c r="BG168" i="2" s="1"/>
  <c r="BH168" i="2" s="1"/>
  <c r="AJ169" i="2"/>
  <c r="AK168" i="2"/>
  <c r="AL168" i="2" s="1"/>
  <c r="AM168" i="2" s="1"/>
  <c r="EK20" i="2"/>
  <c r="EL20" i="2" s="1"/>
  <c r="EM20" i="2" s="1"/>
  <c r="EN20" i="2" s="1"/>
  <c r="CU21" i="2"/>
  <c r="CV21" i="2" s="1"/>
  <c r="CW21" i="2" s="1"/>
  <c r="CX21" i="2" s="1"/>
  <c r="FF20" i="2"/>
  <c r="FG20" i="2" s="1"/>
  <c r="FH20" i="2" s="1"/>
  <c r="FI20" i="2" s="1"/>
  <c r="BZ21" i="2"/>
  <c r="CA21" i="2" s="1"/>
  <c r="CB21" i="2" s="1"/>
  <c r="CC21" i="2" s="1"/>
  <c r="GV20" i="2"/>
  <c r="GW20" i="2" s="1"/>
  <c r="GX20" i="2" s="1"/>
  <c r="GY20" i="2" s="1"/>
  <c r="GA21" i="2"/>
  <c r="GB21" i="2" s="1"/>
  <c r="GC21" i="2" s="1"/>
  <c r="GD21" i="2" s="1"/>
  <c r="DP21" i="2"/>
  <c r="DQ21" i="2" s="1"/>
  <c r="DR21" i="2" s="1"/>
  <c r="DS21" i="2" s="1"/>
  <c r="AJ20" i="2"/>
  <c r="AK20" i="2" s="1"/>
  <c r="AL20" i="2" s="1"/>
  <c r="AM20" i="2" s="1"/>
  <c r="P30" i="2" l="1"/>
  <c r="Q30" i="2"/>
  <c r="R30" i="2" s="1"/>
  <c r="N32" i="2"/>
  <c r="O31" i="2"/>
  <c r="GV170" i="2"/>
  <c r="GW170" i="2" s="1"/>
  <c r="GX170" i="2" s="1"/>
  <c r="GY170" i="2" s="1"/>
  <c r="GA170" i="2"/>
  <c r="GB169" i="2"/>
  <c r="GC169" i="2" s="1"/>
  <c r="GD169" i="2" s="1"/>
  <c r="EA172" i="2"/>
  <c r="ED171" i="2"/>
  <c r="AU170" i="2"/>
  <c r="AX169" i="2"/>
  <c r="FT171" i="2"/>
  <c r="FQ172" i="2"/>
  <c r="GL172" i="2"/>
  <c r="GO171" i="2"/>
  <c r="HG172" i="2"/>
  <c r="HJ171" i="2"/>
  <c r="AC171" i="2"/>
  <c r="Z172" i="2"/>
  <c r="EV172" i="2"/>
  <c r="EY171" i="2"/>
  <c r="CK172" i="2"/>
  <c r="CN171" i="2"/>
  <c r="DF172" i="2"/>
  <c r="DI171" i="2"/>
  <c r="FF170" i="2"/>
  <c r="FG169" i="2"/>
  <c r="FH169" i="2" s="1"/>
  <c r="FI169" i="2" s="1"/>
  <c r="EK170" i="2"/>
  <c r="EL169" i="2"/>
  <c r="EM169" i="2" s="1"/>
  <c r="EN169" i="2" s="1"/>
  <c r="DQ169" i="2"/>
  <c r="DR169" i="2" s="1"/>
  <c r="DS169" i="2" s="1"/>
  <c r="DP170" i="2"/>
  <c r="CV169" i="2"/>
  <c r="CW169" i="2" s="1"/>
  <c r="CX169" i="2" s="1"/>
  <c r="CU170" i="2"/>
  <c r="BZ170" i="2"/>
  <c r="CA169" i="2"/>
  <c r="CB169" i="2" s="1"/>
  <c r="CC169" i="2" s="1"/>
  <c r="BE170" i="2"/>
  <c r="BF169" i="2"/>
  <c r="BG169" i="2" s="1"/>
  <c r="BH169" i="2" s="1"/>
  <c r="AJ170" i="2"/>
  <c r="AK169" i="2"/>
  <c r="AL169" i="2" s="1"/>
  <c r="AM169" i="2" s="1"/>
  <c r="GA22" i="2"/>
  <c r="GB22" i="2" s="1"/>
  <c r="GC22" i="2" s="1"/>
  <c r="GD22" i="2" s="1"/>
  <c r="BZ22" i="2"/>
  <c r="CA22" i="2" s="1"/>
  <c r="CB22" i="2" s="1"/>
  <c r="CC22" i="2" s="1"/>
  <c r="CU22" i="2"/>
  <c r="CV22" i="2" s="1"/>
  <c r="CW22" i="2" s="1"/>
  <c r="CX22" i="2" s="1"/>
  <c r="DP22" i="2"/>
  <c r="DQ22" i="2" s="1"/>
  <c r="DR22" i="2" s="1"/>
  <c r="DS22" i="2" s="1"/>
  <c r="GV21" i="2"/>
  <c r="GW21" i="2" s="1"/>
  <c r="GX21" i="2" s="1"/>
  <c r="GY21" i="2" s="1"/>
  <c r="FF21" i="2"/>
  <c r="FG21" i="2" s="1"/>
  <c r="FH21" i="2" s="1"/>
  <c r="FI21" i="2" s="1"/>
  <c r="EK21" i="2"/>
  <c r="EL21" i="2" s="1"/>
  <c r="EM21" i="2" s="1"/>
  <c r="EN21" i="2" s="1"/>
  <c r="AJ21" i="2"/>
  <c r="AK21" i="2" s="1"/>
  <c r="AL21" i="2" s="1"/>
  <c r="AM21" i="2" s="1"/>
  <c r="P31" i="2" l="1"/>
  <c r="Q31" i="2"/>
  <c r="R31" i="2" s="1"/>
  <c r="N33" i="2"/>
  <c r="O32" i="2"/>
  <c r="GV171" i="2"/>
  <c r="GW171" i="2" s="1"/>
  <c r="GX171" i="2" s="1"/>
  <c r="GY171" i="2" s="1"/>
  <c r="GA171" i="2"/>
  <c r="GB170" i="2"/>
  <c r="GC170" i="2" s="1"/>
  <c r="GD170" i="2" s="1"/>
  <c r="CN172" i="2"/>
  <c r="CK173" i="2"/>
  <c r="GL173" i="2"/>
  <c r="GO172" i="2"/>
  <c r="FT172" i="2"/>
  <c r="FQ173" i="2"/>
  <c r="EV173" i="2"/>
  <c r="EY172" i="2"/>
  <c r="AC172" i="2"/>
  <c r="Z173" i="2"/>
  <c r="AU171" i="2"/>
  <c r="AX170" i="2"/>
  <c r="HJ172" i="2"/>
  <c r="HG173" i="2"/>
  <c r="ED172" i="2"/>
  <c r="EA173" i="2"/>
  <c r="DI172" i="2"/>
  <c r="DF173" i="2"/>
  <c r="FG170" i="2"/>
  <c r="FH170" i="2" s="1"/>
  <c r="FI170" i="2" s="1"/>
  <c r="FF171" i="2"/>
  <c r="EL170" i="2"/>
  <c r="EM170" i="2" s="1"/>
  <c r="EN170" i="2" s="1"/>
  <c r="EK171" i="2"/>
  <c r="DP171" i="2"/>
  <c r="DQ170" i="2"/>
  <c r="DR170" i="2" s="1"/>
  <c r="DS170" i="2" s="1"/>
  <c r="CV170" i="2"/>
  <c r="CW170" i="2" s="1"/>
  <c r="CX170" i="2" s="1"/>
  <c r="CU171" i="2"/>
  <c r="CA170" i="2"/>
  <c r="CB170" i="2" s="1"/>
  <c r="CC170" i="2" s="1"/>
  <c r="BZ171" i="2"/>
  <c r="BE171" i="2"/>
  <c r="BF170" i="2"/>
  <c r="BG170" i="2" s="1"/>
  <c r="BH170" i="2" s="1"/>
  <c r="AJ171" i="2"/>
  <c r="AK170" i="2"/>
  <c r="AL170" i="2" s="1"/>
  <c r="AM170" i="2" s="1"/>
  <c r="FF22" i="2"/>
  <c r="FG22" i="2" s="1"/>
  <c r="FH22" i="2" s="1"/>
  <c r="FI22" i="2" s="1"/>
  <c r="DP23" i="2"/>
  <c r="DQ23" i="2" s="1"/>
  <c r="DR23" i="2" s="1"/>
  <c r="DS23" i="2" s="1"/>
  <c r="BZ23" i="2"/>
  <c r="CA23" i="2" s="1"/>
  <c r="CB23" i="2" s="1"/>
  <c r="CC23" i="2" s="1"/>
  <c r="EK22" i="2"/>
  <c r="EL22" i="2" s="1"/>
  <c r="EM22" i="2" s="1"/>
  <c r="EN22" i="2" s="1"/>
  <c r="GV22" i="2"/>
  <c r="GW22" i="2" s="1"/>
  <c r="GX22" i="2" s="1"/>
  <c r="GY22" i="2" s="1"/>
  <c r="CU23" i="2"/>
  <c r="CV23" i="2" s="1"/>
  <c r="CW23" i="2" s="1"/>
  <c r="CX23" i="2" s="1"/>
  <c r="GA23" i="2"/>
  <c r="GB23" i="2" s="1"/>
  <c r="GC23" i="2" s="1"/>
  <c r="GD23" i="2" s="1"/>
  <c r="AJ22" i="2"/>
  <c r="AK22" i="2" s="1"/>
  <c r="AL22" i="2" s="1"/>
  <c r="AM22" i="2" s="1"/>
  <c r="P32" i="2" l="1"/>
  <c r="Q32" i="2"/>
  <c r="R32" i="2" s="1"/>
  <c r="N34" i="2"/>
  <c r="O33" i="2"/>
  <c r="GV172" i="2"/>
  <c r="GW172" i="2" s="1"/>
  <c r="GX172" i="2" s="1"/>
  <c r="GY172" i="2" s="1"/>
  <c r="GA172" i="2"/>
  <c r="GB171" i="2"/>
  <c r="GC171" i="2" s="1"/>
  <c r="GD171" i="2" s="1"/>
  <c r="EV174" i="2"/>
  <c r="EY173" i="2"/>
  <c r="HG174" i="2"/>
  <c r="HJ173" i="2"/>
  <c r="FQ174" i="2"/>
  <c r="FT173" i="2"/>
  <c r="EA174" i="2"/>
  <c r="ED173" i="2"/>
  <c r="AX171" i="2"/>
  <c r="AU172" i="2"/>
  <c r="GO173" i="2"/>
  <c r="GL174" i="2"/>
  <c r="Z174" i="2"/>
  <c r="AC173" i="2"/>
  <c r="CK174" i="2"/>
  <c r="CN173" i="2"/>
  <c r="DF174" i="2"/>
  <c r="DI173" i="2"/>
  <c r="FF172" i="2"/>
  <c r="FG171" i="2"/>
  <c r="FH171" i="2" s="1"/>
  <c r="FI171" i="2" s="1"/>
  <c r="EK172" i="2"/>
  <c r="EL171" i="2"/>
  <c r="EM171" i="2" s="1"/>
  <c r="EN171" i="2" s="1"/>
  <c r="DP172" i="2"/>
  <c r="DQ171" i="2"/>
  <c r="DR171" i="2" s="1"/>
  <c r="DS171" i="2" s="1"/>
  <c r="CV171" i="2"/>
  <c r="CW171" i="2" s="1"/>
  <c r="CX171" i="2" s="1"/>
  <c r="CU172" i="2"/>
  <c r="BZ172" i="2"/>
  <c r="CA171" i="2"/>
  <c r="CB171" i="2" s="1"/>
  <c r="CC171" i="2" s="1"/>
  <c r="BE172" i="2"/>
  <c r="BF171" i="2"/>
  <c r="BG171" i="2" s="1"/>
  <c r="BH171" i="2" s="1"/>
  <c r="AJ172" i="2"/>
  <c r="AK171" i="2"/>
  <c r="AL171" i="2" s="1"/>
  <c r="AM171" i="2" s="1"/>
  <c r="CU24" i="2"/>
  <c r="CV24" i="2" s="1"/>
  <c r="CW24" i="2" s="1"/>
  <c r="CX24" i="2" s="1"/>
  <c r="EK23" i="2"/>
  <c r="EL23" i="2" s="1"/>
  <c r="EM23" i="2" s="1"/>
  <c r="EN23" i="2" s="1"/>
  <c r="DP24" i="2"/>
  <c r="DQ24" i="2" s="1"/>
  <c r="DR24" i="2" s="1"/>
  <c r="DS24" i="2" s="1"/>
  <c r="GA24" i="2"/>
  <c r="GB24" i="2" s="1"/>
  <c r="GC24" i="2" s="1"/>
  <c r="GD24" i="2" s="1"/>
  <c r="GV23" i="2"/>
  <c r="GW23" i="2" s="1"/>
  <c r="GX23" i="2" s="1"/>
  <c r="GY23" i="2" s="1"/>
  <c r="BZ24" i="2"/>
  <c r="CA24" i="2" s="1"/>
  <c r="CB24" i="2" s="1"/>
  <c r="CC24" i="2" s="1"/>
  <c r="FF23" i="2"/>
  <c r="FG23" i="2" s="1"/>
  <c r="FH23" i="2" s="1"/>
  <c r="FI23" i="2" s="1"/>
  <c r="AJ23" i="2"/>
  <c r="AK23" i="2" s="1"/>
  <c r="AL23" i="2" s="1"/>
  <c r="AM23" i="2" s="1"/>
  <c r="P33" i="2" l="1"/>
  <c r="Q33" i="2" s="1"/>
  <c r="R33" i="2" s="1"/>
  <c r="N35" i="2"/>
  <c r="O34" i="2"/>
  <c r="GV173" i="2"/>
  <c r="GW173" i="2" s="1"/>
  <c r="GX173" i="2" s="1"/>
  <c r="GY173" i="2" s="1"/>
  <c r="GA173" i="2"/>
  <c r="GB173" i="2" s="1"/>
  <c r="GC173" i="2" s="1"/>
  <c r="GD173" i="2" s="1"/>
  <c r="GB172" i="2"/>
  <c r="GC172" i="2" s="1"/>
  <c r="GD172" i="2" s="1"/>
  <c r="CK175" i="2"/>
  <c r="CN174" i="2"/>
  <c r="ED174" i="2"/>
  <c r="EA175" i="2"/>
  <c r="AC174" i="2"/>
  <c r="Z175" i="2"/>
  <c r="FQ175" i="2"/>
  <c r="FT174" i="2"/>
  <c r="GL175" i="2"/>
  <c r="GO174" i="2"/>
  <c r="HJ174" i="2"/>
  <c r="HG175" i="2"/>
  <c r="AU173" i="2"/>
  <c r="AX172" i="2"/>
  <c r="EV175" i="2"/>
  <c r="EY174" i="2"/>
  <c r="DI174" i="2"/>
  <c r="DF175" i="2"/>
  <c r="FG172" i="2"/>
  <c r="FH172" i="2" s="1"/>
  <c r="FI172" i="2" s="1"/>
  <c r="FF173" i="2"/>
  <c r="EL172" i="2"/>
  <c r="EM172" i="2" s="1"/>
  <c r="EN172" i="2" s="1"/>
  <c r="EK173" i="2"/>
  <c r="DQ172" i="2"/>
  <c r="DR172" i="2" s="1"/>
  <c r="DS172" i="2" s="1"/>
  <c r="DP173" i="2"/>
  <c r="CV172" i="2"/>
  <c r="CW172" i="2" s="1"/>
  <c r="CX172" i="2" s="1"/>
  <c r="CU173" i="2"/>
  <c r="CA172" i="2"/>
  <c r="CB172" i="2" s="1"/>
  <c r="CC172" i="2" s="1"/>
  <c r="BZ173" i="2"/>
  <c r="BE173" i="2"/>
  <c r="BF172" i="2"/>
  <c r="BG172" i="2" s="1"/>
  <c r="BH172" i="2" s="1"/>
  <c r="AK172" i="2"/>
  <c r="AL172" i="2" s="1"/>
  <c r="AM172" i="2" s="1"/>
  <c r="AJ173" i="2"/>
  <c r="BZ25" i="2"/>
  <c r="CA25" i="2" s="1"/>
  <c r="CB25" i="2" s="1"/>
  <c r="CC25" i="2" s="1"/>
  <c r="GA25" i="2"/>
  <c r="GB25" i="2" s="1"/>
  <c r="GC25" i="2" s="1"/>
  <c r="GD25" i="2" s="1"/>
  <c r="EK24" i="2"/>
  <c r="EL24" i="2" s="1"/>
  <c r="EM24" i="2" s="1"/>
  <c r="EN24" i="2" s="1"/>
  <c r="FF24" i="2"/>
  <c r="FG24" i="2" s="1"/>
  <c r="FH24" i="2" s="1"/>
  <c r="FI24" i="2" s="1"/>
  <c r="GV24" i="2"/>
  <c r="GW24" i="2" s="1"/>
  <c r="GX24" i="2" s="1"/>
  <c r="GY24" i="2" s="1"/>
  <c r="DP25" i="2"/>
  <c r="DQ25" i="2" s="1"/>
  <c r="DR25" i="2" s="1"/>
  <c r="DS25" i="2" s="1"/>
  <c r="CU25" i="2"/>
  <c r="CV25" i="2" s="1"/>
  <c r="CW25" i="2" s="1"/>
  <c r="CX25" i="2" s="1"/>
  <c r="AJ24" i="2"/>
  <c r="AK24" i="2" s="1"/>
  <c r="AL24" i="2" s="1"/>
  <c r="AM24" i="2" s="1"/>
  <c r="T157" i="2" l="1"/>
  <c r="T72" i="2"/>
  <c r="T179" i="2"/>
  <c r="T194" i="2"/>
  <c r="T87" i="2"/>
  <c r="T201" i="2"/>
  <c r="T50" i="2"/>
  <c r="T31" i="2"/>
  <c r="T145" i="2"/>
  <c r="T186" i="2"/>
  <c r="T110" i="2"/>
  <c r="T25" i="2"/>
  <c r="T124" i="2"/>
  <c r="T125" i="2"/>
  <c r="T40" i="2"/>
  <c r="T147" i="2"/>
  <c r="T77" i="2"/>
  <c r="T191" i="2"/>
  <c r="T99" i="2"/>
  <c r="T5" i="2"/>
  <c r="T133" i="2"/>
  <c r="T192" i="2"/>
  <c r="T140" i="2"/>
  <c r="T107" i="2"/>
  <c r="T112" i="2"/>
  <c r="T185" i="2"/>
  <c r="T121" i="2"/>
  <c r="T22" i="2"/>
  <c r="T136" i="2"/>
  <c r="T36" i="2"/>
  <c r="T37" i="2"/>
  <c r="T151" i="2"/>
  <c r="T59" i="2"/>
  <c r="T130" i="2"/>
  <c r="T95" i="2"/>
  <c r="T3" i="2"/>
  <c r="T66" i="2"/>
  <c r="T174" i="2"/>
  <c r="T89" i="2"/>
  <c r="T188" i="2"/>
  <c r="T189" i="2"/>
  <c r="T104" i="2"/>
  <c r="T4" i="2"/>
  <c r="T141" i="2"/>
  <c r="T56" i="2"/>
  <c r="T163" i="2"/>
  <c r="T62" i="2"/>
  <c r="T43" i="2"/>
  <c r="T156" i="2"/>
  <c r="T169" i="2"/>
  <c r="T28" i="2"/>
  <c r="T64" i="2"/>
  <c r="T171" i="2"/>
  <c r="T29" i="2"/>
  <c r="T158" i="2"/>
  <c r="T172" i="2"/>
  <c r="T17" i="2"/>
  <c r="T181" i="2"/>
  <c r="T203" i="2"/>
  <c r="T111" i="2"/>
  <c r="T106" i="2"/>
  <c r="T177" i="2"/>
  <c r="T178" i="2"/>
  <c r="T78" i="2"/>
  <c r="T41" i="2"/>
  <c r="T34" i="2"/>
  <c r="T197" i="2"/>
  <c r="T71" i="2"/>
  <c r="T8" i="2"/>
  <c r="T137" i="2"/>
  <c r="T166" i="2"/>
  <c r="T46" i="2"/>
  <c r="T61" i="2"/>
  <c r="T35" i="2"/>
  <c r="T57" i="2"/>
  <c r="T55" i="2"/>
  <c r="T86" i="2"/>
  <c r="T200" i="2"/>
  <c r="T100" i="2"/>
  <c r="T101" i="2"/>
  <c r="T16" i="2"/>
  <c r="T123" i="2"/>
  <c r="T154" i="2"/>
  <c r="T45" i="2"/>
  <c r="T159" i="2"/>
  <c r="T67" i="2"/>
  <c r="T39" i="2"/>
  <c r="T153" i="2"/>
  <c r="T122" i="2"/>
  <c r="T54" i="2"/>
  <c r="T168" i="2"/>
  <c r="T68" i="2"/>
  <c r="T6" i="2"/>
  <c r="T120" i="2"/>
  <c r="T20" i="2"/>
  <c r="T119" i="2"/>
  <c r="T92" i="2"/>
  <c r="T26" i="2"/>
  <c r="T12" i="2"/>
  <c r="T150" i="2"/>
  <c r="T65" i="2"/>
  <c r="T164" i="2"/>
  <c r="T165" i="2"/>
  <c r="T80" i="2"/>
  <c r="T187" i="2"/>
  <c r="T109" i="2"/>
  <c r="T24" i="2"/>
  <c r="T131" i="2"/>
  <c r="T90" i="2"/>
  <c r="T146" i="2"/>
  <c r="T103" i="2"/>
  <c r="T11" i="2"/>
  <c r="T170" i="2"/>
  <c r="T118" i="2"/>
  <c r="T33" i="2"/>
  <c r="T132" i="2"/>
  <c r="T70" i="2"/>
  <c r="T184" i="2"/>
  <c r="T84" i="2"/>
  <c r="T176" i="2"/>
  <c r="T42" i="2"/>
  <c r="T69" i="2"/>
  <c r="T190" i="2"/>
  <c r="T105" i="2"/>
  <c r="T7" i="2"/>
  <c r="T143" i="2"/>
  <c r="T51" i="2"/>
  <c r="T73" i="2"/>
  <c r="T102" i="2"/>
  <c r="T116" i="2"/>
  <c r="T96" i="2"/>
  <c r="T82" i="2"/>
  <c r="T19" i="2"/>
  <c r="T63" i="2"/>
  <c r="T199" i="2"/>
  <c r="T93" i="2"/>
  <c r="T115" i="2"/>
  <c r="T23" i="2"/>
  <c r="T81" i="2"/>
  <c r="T160" i="2"/>
  <c r="T175" i="2"/>
  <c r="T127" i="2"/>
  <c r="T162" i="2"/>
  <c r="T135" i="2"/>
  <c r="T15" i="2"/>
  <c r="T129" i="2"/>
  <c r="T10" i="2"/>
  <c r="T30" i="2"/>
  <c r="T144" i="2"/>
  <c r="T44" i="2"/>
  <c r="T173" i="2"/>
  <c r="T88" i="2"/>
  <c r="T195" i="2"/>
  <c r="T53" i="2"/>
  <c r="T167" i="2"/>
  <c r="T75" i="2"/>
  <c r="T182" i="2"/>
  <c r="T97" i="2"/>
  <c r="T196" i="2"/>
  <c r="T134" i="2"/>
  <c r="T49" i="2"/>
  <c r="T148" i="2"/>
  <c r="T27" i="2"/>
  <c r="T126" i="2"/>
  <c r="T155" i="2"/>
  <c r="T85" i="2"/>
  <c r="T149" i="2"/>
  <c r="T60" i="2"/>
  <c r="T13" i="2"/>
  <c r="T128" i="2"/>
  <c r="T18" i="2"/>
  <c r="T79" i="2"/>
  <c r="T193" i="2"/>
  <c r="T114" i="2"/>
  <c r="T94" i="2"/>
  <c r="T9" i="2"/>
  <c r="T108" i="2"/>
  <c r="T38" i="2"/>
  <c r="T152" i="2"/>
  <c r="T52" i="2"/>
  <c r="T117" i="2"/>
  <c r="T32" i="2"/>
  <c r="T139" i="2"/>
  <c r="T47" i="2"/>
  <c r="T161" i="2"/>
  <c r="T58" i="2"/>
  <c r="T198" i="2"/>
  <c r="T113" i="2"/>
  <c r="T138" i="2"/>
  <c r="T76" i="2"/>
  <c r="T21" i="2"/>
  <c r="T48" i="2"/>
  <c r="T183" i="2"/>
  <c r="T98" i="2"/>
  <c r="T202" i="2"/>
  <c r="T142" i="2"/>
  <c r="T14" i="2"/>
  <c r="T74" i="2"/>
  <c r="T180" i="2"/>
  <c r="T83" i="2"/>
  <c r="T91" i="2"/>
  <c r="P34" i="2"/>
  <c r="Q34" i="2" s="1"/>
  <c r="R34" i="2" s="1"/>
  <c r="N36" i="2"/>
  <c r="O35" i="2"/>
  <c r="GV174" i="2"/>
  <c r="GW174" i="2" s="1"/>
  <c r="GX174" i="2" s="1"/>
  <c r="GY174" i="2" s="1"/>
  <c r="GA174" i="2"/>
  <c r="GB174" i="2" s="1"/>
  <c r="GC174" i="2" s="1"/>
  <c r="GD174" i="2" s="1"/>
  <c r="EV176" i="2"/>
  <c r="EY175" i="2"/>
  <c r="FQ176" i="2"/>
  <c r="FT175" i="2"/>
  <c r="Z176" i="2"/>
  <c r="AC175" i="2"/>
  <c r="AU174" i="2"/>
  <c r="AX173" i="2"/>
  <c r="HG176" i="2"/>
  <c r="HJ175" i="2"/>
  <c r="EA176" i="2"/>
  <c r="ED175" i="2"/>
  <c r="GO175" i="2"/>
  <c r="GL176" i="2"/>
  <c r="CK176" i="2"/>
  <c r="CN175" i="2"/>
  <c r="DI175" i="2"/>
  <c r="DF176" i="2"/>
  <c r="FF174" i="2"/>
  <c r="FG173" i="2"/>
  <c r="FH173" i="2" s="1"/>
  <c r="FI173" i="2" s="1"/>
  <c r="EK174" i="2"/>
  <c r="EL173" i="2"/>
  <c r="EM173" i="2" s="1"/>
  <c r="EN173" i="2" s="1"/>
  <c r="DP174" i="2"/>
  <c r="DQ173" i="2"/>
  <c r="DR173" i="2" s="1"/>
  <c r="DS173" i="2" s="1"/>
  <c r="CU174" i="2"/>
  <c r="CV173" i="2"/>
  <c r="CW173" i="2" s="1"/>
  <c r="CX173" i="2" s="1"/>
  <c r="CA173" i="2"/>
  <c r="CB173" i="2" s="1"/>
  <c r="CC173" i="2" s="1"/>
  <c r="BZ174" i="2"/>
  <c r="BF173" i="2"/>
  <c r="BG173" i="2" s="1"/>
  <c r="BH173" i="2" s="1"/>
  <c r="BE174" i="2"/>
  <c r="AJ174" i="2"/>
  <c r="AK173" i="2"/>
  <c r="AL173" i="2" s="1"/>
  <c r="AM173" i="2" s="1"/>
  <c r="DP26" i="2"/>
  <c r="DQ26" i="2" s="1"/>
  <c r="DR26" i="2" s="1"/>
  <c r="DS26" i="2" s="1"/>
  <c r="FF25" i="2"/>
  <c r="FG25" i="2" s="1"/>
  <c r="FH25" i="2" s="1"/>
  <c r="FI25" i="2" s="1"/>
  <c r="GA26" i="2"/>
  <c r="GB26" i="2" s="1"/>
  <c r="GC26" i="2" s="1"/>
  <c r="GD26" i="2" s="1"/>
  <c r="CU26" i="2"/>
  <c r="CV26" i="2" s="1"/>
  <c r="CW26" i="2" s="1"/>
  <c r="CX26" i="2" s="1"/>
  <c r="GV25" i="2"/>
  <c r="GW25" i="2" s="1"/>
  <c r="GX25" i="2" s="1"/>
  <c r="GY25" i="2" s="1"/>
  <c r="EK25" i="2"/>
  <c r="EL25" i="2" s="1"/>
  <c r="EM25" i="2" s="1"/>
  <c r="EN25" i="2" s="1"/>
  <c r="BZ26" i="2"/>
  <c r="CA26" i="2" s="1"/>
  <c r="CB26" i="2" s="1"/>
  <c r="CC26" i="2" s="1"/>
  <c r="AJ25" i="2"/>
  <c r="AK25" i="2" s="1"/>
  <c r="AL25" i="2" s="1"/>
  <c r="AM25" i="2" s="1"/>
  <c r="P35" i="2" l="1"/>
  <c r="Q35" i="2"/>
  <c r="R35" i="2" s="1"/>
  <c r="N37" i="2"/>
  <c r="O36" i="2"/>
  <c r="GV175" i="2"/>
  <c r="GW175" i="2" s="1"/>
  <c r="GX175" i="2" s="1"/>
  <c r="GY175" i="2" s="1"/>
  <c r="GA175" i="2"/>
  <c r="GB175" i="2" s="1"/>
  <c r="GC175" i="2" s="1"/>
  <c r="GD175" i="2" s="1"/>
  <c r="CK177" i="2"/>
  <c r="CN176" i="2"/>
  <c r="AX174" i="2"/>
  <c r="AU175" i="2"/>
  <c r="GL177" i="2"/>
  <c r="GO176" i="2"/>
  <c r="AC176" i="2"/>
  <c r="Z177" i="2"/>
  <c r="ED176" i="2"/>
  <c r="EA177" i="2"/>
  <c r="FT176" i="2"/>
  <c r="FQ177" i="2"/>
  <c r="HJ176" i="2"/>
  <c r="HG177" i="2"/>
  <c r="EY176" i="2"/>
  <c r="EV177" i="2"/>
  <c r="DI176" i="2"/>
  <c r="DF177" i="2"/>
  <c r="FG174" i="2"/>
  <c r="FH174" i="2" s="1"/>
  <c r="FI174" i="2" s="1"/>
  <c r="FF175" i="2"/>
  <c r="EL174" i="2"/>
  <c r="EM174" i="2" s="1"/>
  <c r="EN174" i="2" s="1"/>
  <c r="EK175" i="2"/>
  <c r="DQ174" i="2"/>
  <c r="DR174" i="2" s="1"/>
  <c r="DS174" i="2" s="1"/>
  <c r="DP175" i="2"/>
  <c r="CV174" i="2"/>
  <c r="CW174" i="2" s="1"/>
  <c r="CX174" i="2" s="1"/>
  <c r="CU175" i="2"/>
  <c r="BZ175" i="2"/>
  <c r="CA174" i="2"/>
  <c r="CB174" i="2" s="1"/>
  <c r="CC174" i="2" s="1"/>
  <c r="BF174" i="2"/>
  <c r="BG174" i="2" s="1"/>
  <c r="BH174" i="2" s="1"/>
  <c r="BE175" i="2"/>
  <c r="AJ175" i="2"/>
  <c r="AK174" i="2"/>
  <c r="AL174" i="2" s="1"/>
  <c r="AM174" i="2" s="1"/>
  <c r="EK26" i="2"/>
  <c r="EL26" i="2" s="1"/>
  <c r="EM26" i="2" s="1"/>
  <c r="EN26" i="2" s="1"/>
  <c r="CU27" i="2"/>
  <c r="CV27" i="2" s="1"/>
  <c r="CW27" i="2" s="1"/>
  <c r="CX27" i="2" s="1"/>
  <c r="FF26" i="2"/>
  <c r="FG26" i="2" s="1"/>
  <c r="FH26" i="2" s="1"/>
  <c r="FI26" i="2" s="1"/>
  <c r="BZ27" i="2"/>
  <c r="CA27" i="2" s="1"/>
  <c r="CB27" i="2" s="1"/>
  <c r="CC27" i="2" s="1"/>
  <c r="GV26" i="2"/>
  <c r="GW26" i="2" s="1"/>
  <c r="GX26" i="2" s="1"/>
  <c r="GY26" i="2" s="1"/>
  <c r="GA27" i="2"/>
  <c r="GB27" i="2" s="1"/>
  <c r="GC27" i="2" s="1"/>
  <c r="GD27" i="2" s="1"/>
  <c r="DP27" i="2"/>
  <c r="DQ27" i="2" s="1"/>
  <c r="DR27" i="2" s="1"/>
  <c r="DS27" i="2" s="1"/>
  <c r="AJ26" i="2"/>
  <c r="AK26" i="2" s="1"/>
  <c r="AL26" i="2" s="1"/>
  <c r="AM26" i="2" s="1"/>
  <c r="P36" i="2" l="1"/>
  <c r="Q36" i="2"/>
  <c r="R36" i="2" s="1"/>
  <c r="N38" i="2"/>
  <c r="O37" i="2"/>
  <c r="GV176" i="2"/>
  <c r="GA176" i="2"/>
  <c r="AC177" i="2"/>
  <c r="Z178" i="2"/>
  <c r="HG178" i="2"/>
  <c r="HJ177" i="2"/>
  <c r="GO177" i="2"/>
  <c r="GL178" i="2"/>
  <c r="AU176" i="2"/>
  <c r="AX175" i="2"/>
  <c r="FQ178" i="2"/>
  <c r="FT177" i="2"/>
  <c r="EA178" i="2"/>
  <c r="ED177" i="2"/>
  <c r="EV178" i="2"/>
  <c r="EY177" i="2"/>
  <c r="CK178" i="2"/>
  <c r="CN177" i="2"/>
  <c r="DF178" i="2"/>
  <c r="DI177" i="2"/>
  <c r="FG175" i="2"/>
  <c r="FH175" i="2" s="1"/>
  <c r="FI175" i="2" s="1"/>
  <c r="FF176" i="2"/>
  <c r="EK176" i="2"/>
  <c r="EL175" i="2"/>
  <c r="EM175" i="2" s="1"/>
  <c r="EN175" i="2" s="1"/>
  <c r="DP176" i="2"/>
  <c r="DQ175" i="2"/>
  <c r="DR175" i="2" s="1"/>
  <c r="DS175" i="2" s="1"/>
  <c r="CV175" i="2"/>
  <c r="CW175" i="2" s="1"/>
  <c r="CX175" i="2" s="1"/>
  <c r="CU176" i="2"/>
  <c r="BZ176" i="2"/>
  <c r="CA175" i="2"/>
  <c r="CB175" i="2" s="1"/>
  <c r="CC175" i="2" s="1"/>
  <c r="BF175" i="2"/>
  <c r="BG175" i="2" s="1"/>
  <c r="BH175" i="2" s="1"/>
  <c r="BE176" i="2"/>
  <c r="AJ176" i="2"/>
  <c r="AK175" i="2"/>
  <c r="AL175" i="2" s="1"/>
  <c r="AM175" i="2" s="1"/>
  <c r="GA28" i="2"/>
  <c r="GB28" i="2" s="1"/>
  <c r="GC28" i="2" s="1"/>
  <c r="GD28" i="2" s="1"/>
  <c r="BZ28" i="2"/>
  <c r="CA28" i="2" s="1"/>
  <c r="CB28" i="2" s="1"/>
  <c r="CC28" i="2" s="1"/>
  <c r="CU28" i="2"/>
  <c r="CV28" i="2" s="1"/>
  <c r="CW28" i="2" s="1"/>
  <c r="CX28" i="2" s="1"/>
  <c r="DP28" i="2"/>
  <c r="DQ28" i="2" s="1"/>
  <c r="DR28" i="2" s="1"/>
  <c r="DS28" i="2" s="1"/>
  <c r="GV27" i="2"/>
  <c r="GW27" i="2" s="1"/>
  <c r="GX27" i="2" s="1"/>
  <c r="GY27" i="2" s="1"/>
  <c r="FF27" i="2"/>
  <c r="FG27" i="2" s="1"/>
  <c r="FH27" i="2" s="1"/>
  <c r="FI27" i="2" s="1"/>
  <c r="EK27" i="2"/>
  <c r="EL27" i="2" s="1"/>
  <c r="EM27" i="2" s="1"/>
  <c r="EN27" i="2" s="1"/>
  <c r="AJ27" i="2"/>
  <c r="AK27" i="2" s="1"/>
  <c r="AL27" i="2" s="1"/>
  <c r="AM27" i="2" s="1"/>
  <c r="P37" i="2" l="1"/>
  <c r="Q37" i="2" s="1"/>
  <c r="R37" i="2" s="1"/>
  <c r="N39" i="2"/>
  <c r="O38" i="2"/>
  <c r="GV177" i="2"/>
  <c r="GW176" i="2"/>
  <c r="GX176" i="2" s="1"/>
  <c r="GY176" i="2" s="1"/>
  <c r="GA177" i="2"/>
  <c r="GB176" i="2"/>
  <c r="GC176" i="2" s="1"/>
  <c r="GD176" i="2" s="1"/>
  <c r="CK179" i="2"/>
  <c r="CN178" i="2"/>
  <c r="AX176" i="2"/>
  <c r="AU177" i="2"/>
  <c r="GL179" i="2"/>
  <c r="GO178" i="2"/>
  <c r="EY178" i="2"/>
  <c r="EV179" i="2"/>
  <c r="ED178" i="2"/>
  <c r="EA179" i="2"/>
  <c r="HJ178" i="2"/>
  <c r="HG179" i="2"/>
  <c r="Z179" i="2"/>
  <c r="AC178" i="2"/>
  <c r="FT178" i="2"/>
  <c r="FQ179" i="2"/>
  <c r="DI178" i="2"/>
  <c r="DF179" i="2"/>
  <c r="FG176" i="2"/>
  <c r="FH176" i="2" s="1"/>
  <c r="FI176" i="2" s="1"/>
  <c r="FF177" i="2"/>
  <c r="EL176" i="2"/>
  <c r="EM176" i="2" s="1"/>
  <c r="EN176" i="2" s="1"/>
  <c r="EK177" i="2"/>
  <c r="DQ176" i="2"/>
  <c r="DR176" i="2" s="1"/>
  <c r="DS176" i="2" s="1"/>
  <c r="DP177" i="2"/>
  <c r="CV176" i="2"/>
  <c r="CW176" i="2" s="1"/>
  <c r="CX176" i="2" s="1"/>
  <c r="CU177" i="2"/>
  <c r="CA176" i="2"/>
  <c r="CB176" i="2" s="1"/>
  <c r="CC176" i="2" s="1"/>
  <c r="BZ177" i="2"/>
  <c r="BF176" i="2"/>
  <c r="BG176" i="2" s="1"/>
  <c r="BH176" i="2" s="1"/>
  <c r="BE177" i="2"/>
  <c r="AK176" i="2"/>
  <c r="AL176" i="2" s="1"/>
  <c r="AM176" i="2" s="1"/>
  <c r="AJ177" i="2"/>
  <c r="FF28" i="2"/>
  <c r="FG28" i="2" s="1"/>
  <c r="FH28" i="2" s="1"/>
  <c r="FI28" i="2" s="1"/>
  <c r="DP29" i="2"/>
  <c r="DQ29" i="2" s="1"/>
  <c r="DR29" i="2" s="1"/>
  <c r="DS29" i="2" s="1"/>
  <c r="BZ29" i="2"/>
  <c r="CA29" i="2" s="1"/>
  <c r="CB29" i="2" s="1"/>
  <c r="CC29" i="2" s="1"/>
  <c r="EK28" i="2"/>
  <c r="EL28" i="2" s="1"/>
  <c r="EM28" i="2" s="1"/>
  <c r="EN28" i="2" s="1"/>
  <c r="GV28" i="2"/>
  <c r="GW28" i="2" s="1"/>
  <c r="GX28" i="2" s="1"/>
  <c r="GY28" i="2" s="1"/>
  <c r="CU29" i="2"/>
  <c r="CV29" i="2" s="1"/>
  <c r="CW29" i="2" s="1"/>
  <c r="CX29" i="2" s="1"/>
  <c r="GA29" i="2"/>
  <c r="GB29" i="2" s="1"/>
  <c r="GC29" i="2" s="1"/>
  <c r="GD29" i="2" s="1"/>
  <c r="AJ28" i="2"/>
  <c r="AK28" i="2" s="1"/>
  <c r="AL28" i="2" s="1"/>
  <c r="AM28" i="2" s="1"/>
  <c r="P38" i="2" l="1"/>
  <c r="Q38" i="2" s="1"/>
  <c r="R38" i="2" s="1"/>
  <c r="N40" i="2"/>
  <c r="O39" i="2"/>
  <c r="GV178" i="2"/>
  <c r="GW178" i="2" s="1"/>
  <c r="GX178" i="2" s="1"/>
  <c r="GY178" i="2" s="1"/>
  <c r="GW177" i="2"/>
  <c r="GX177" i="2" s="1"/>
  <c r="GY177" i="2" s="1"/>
  <c r="GA178" i="2"/>
  <c r="GB177" i="2"/>
  <c r="GC177" i="2" s="1"/>
  <c r="GD177" i="2" s="1"/>
  <c r="EV180" i="2"/>
  <c r="EY179" i="2"/>
  <c r="AC179" i="2"/>
  <c r="Z180" i="2"/>
  <c r="GO179" i="2"/>
  <c r="GL180" i="2"/>
  <c r="HG180" i="2"/>
  <c r="HJ179" i="2"/>
  <c r="AU178" i="2"/>
  <c r="AX177" i="2"/>
  <c r="FQ180" i="2"/>
  <c r="FT179" i="2"/>
  <c r="EA180" i="2"/>
  <c r="ED179" i="2"/>
  <c r="CK180" i="2"/>
  <c r="CN179" i="2"/>
  <c r="DI179" i="2"/>
  <c r="DF180" i="2"/>
  <c r="FF178" i="2"/>
  <c r="FG177" i="2"/>
  <c r="FH177" i="2" s="1"/>
  <c r="FI177" i="2" s="1"/>
  <c r="EK178" i="2"/>
  <c r="EL177" i="2"/>
  <c r="EM177" i="2" s="1"/>
  <c r="EN177" i="2" s="1"/>
  <c r="DP178" i="2"/>
  <c r="DQ177" i="2"/>
  <c r="DR177" i="2" s="1"/>
  <c r="DS177" i="2" s="1"/>
  <c r="CV177" i="2"/>
  <c r="CW177" i="2" s="1"/>
  <c r="CX177" i="2" s="1"/>
  <c r="CU178" i="2"/>
  <c r="CA177" i="2"/>
  <c r="CB177" i="2" s="1"/>
  <c r="CC177" i="2" s="1"/>
  <c r="BZ178" i="2"/>
  <c r="BE178" i="2"/>
  <c r="BF177" i="2"/>
  <c r="BG177" i="2" s="1"/>
  <c r="BH177" i="2" s="1"/>
  <c r="AK177" i="2"/>
  <c r="AL177" i="2" s="1"/>
  <c r="AM177" i="2" s="1"/>
  <c r="AJ178" i="2"/>
  <c r="CU30" i="2"/>
  <c r="CV30" i="2" s="1"/>
  <c r="CW30" i="2" s="1"/>
  <c r="CX30" i="2" s="1"/>
  <c r="EK29" i="2"/>
  <c r="EL29" i="2" s="1"/>
  <c r="EM29" i="2" s="1"/>
  <c r="EN29" i="2" s="1"/>
  <c r="DP30" i="2"/>
  <c r="DQ30" i="2" s="1"/>
  <c r="DR30" i="2" s="1"/>
  <c r="DS30" i="2" s="1"/>
  <c r="GA30" i="2"/>
  <c r="GB30" i="2" s="1"/>
  <c r="GC30" i="2" s="1"/>
  <c r="GD30" i="2" s="1"/>
  <c r="GV29" i="2"/>
  <c r="GW29" i="2" s="1"/>
  <c r="GX29" i="2" s="1"/>
  <c r="GY29" i="2" s="1"/>
  <c r="BZ30" i="2"/>
  <c r="CA30" i="2" s="1"/>
  <c r="CB30" i="2" s="1"/>
  <c r="CC30" i="2" s="1"/>
  <c r="FF29" i="2"/>
  <c r="FG29" i="2" s="1"/>
  <c r="FH29" i="2" s="1"/>
  <c r="FI29" i="2" s="1"/>
  <c r="AJ29" i="2"/>
  <c r="AK29" i="2" s="1"/>
  <c r="AL29" i="2" s="1"/>
  <c r="AM29" i="2" s="1"/>
  <c r="P39" i="2" l="1"/>
  <c r="Q39" i="2" s="1"/>
  <c r="R39" i="2" s="1"/>
  <c r="N41" i="2"/>
  <c r="O40" i="2"/>
  <c r="GV179" i="2"/>
  <c r="GW179" i="2" s="1"/>
  <c r="GX179" i="2" s="1"/>
  <c r="GY179" i="2" s="1"/>
  <c r="GA179" i="2"/>
  <c r="GB179" i="2" s="1"/>
  <c r="GC179" i="2" s="1"/>
  <c r="GD179" i="2" s="1"/>
  <c r="GB178" i="2"/>
  <c r="GC178" i="2" s="1"/>
  <c r="GD178" i="2" s="1"/>
  <c r="CK181" i="2"/>
  <c r="CN180" i="2"/>
  <c r="HJ180" i="2"/>
  <c r="HG181" i="2"/>
  <c r="GL181" i="2"/>
  <c r="GO180" i="2"/>
  <c r="ED180" i="2"/>
  <c r="EA181" i="2"/>
  <c r="AC180" i="2"/>
  <c r="Z181" i="2"/>
  <c r="FT180" i="2"/>
  <c r="FQ181" i="2"/>
  <c r="AU179" i="2"/>
  <c r="AX178" i="2"/>
  <c r="EY180" i="2"/>
  <c r="EV181" i="2"/>
  <c r="DI180" i="2"/>
  <c r="DF181" i="2"/>
  <c r="FG178" i="2"/>
  <c r="FH178" i="2" s="1"/>
  <c r="FI178" i="2" s="1"/>
  <c r="FF179" i="2"/>
  <c r="EL178" i="2"/>
  <c r="EM178" i="2" s="1"/>
  <c r="EN178" i="2" s="1"/>
  <c r="EK179" i="2"/>
  <c r="DQ178" i="2"/>
  <c r="DR178" i="2" s="1"/>
  <c r="DS178" i="2" s="1"/>
  <c r="DP179" i="2"/>
  <c r="CV178" i="2"/>
  <c r="CW178" i="2" s="1"/>
  <c r="CX178" i="2" s="1"/>
  <c r="CU179" i="2"/>
  <c r="CA178" i="2"/>
  <c r="CB178" i="2" s="1"/>
  <c r="CC178" i="2" s="1"/>
  <c r="BZ179" i="2"/>
  <c r="BE179" i="2"/>
  <c r="BF178" i="2"/>
  <c r="BG178" i="2" s="1"/>
  <c r="BH178" i="2" s="1"/>
  <c r="AK178" i="2"/>
  <c r="AL178" i="2" s="1"/>
  <c r="AM178" i="2" s="1"/>
  <c r="AJ179" i="2"/>
  <c r="BZ31" i="2"/>
  <c r="CA31" i="2" s="1"/>
  <c r="CB31" i="2" s="1"/>
  <c r="CC31" i="2" s="1"/>
  <c r="GA31" i="2"/>
  <c r="GB31" i="2" s="1"/>
  <c r="GC31" i="2" s="1"/>
  <c r="GD31" i="2" s="1"/>
  <c r="EK30" i="2"/>
  <c r="EL30" i="2" s="1"/>
  <c r="EM30" i="2" s="1"/>
  <c r="EN30" i="2" s="1"/>
  <c r="FF30" i="2"/>
  <c r="FG30" i="2" s="1"/>
  <c r="FH30" i="2" s="1"/>
  <c r="FI30" i="2" s="1"/>
  <c r="GV30" i="2"/>
  <c r="GW30" i="2" s="1"/>
  <c r="GX30" i="2" s="1"/>
  <c r="GY30" i="2" s="1"/>
  <c r="DP31" i="2"/>
  <c r="DQ31" i="2" s="1"/>
  <c r="DR31" i="2" s="1"/>
  <c r="DS31" i="2" s="1"/>
  <c r="CU31" i="2"/>
  <c r="CV31" i="2" s="1"/>
  <c r="CW31" i="2" s="1"/>
  <c r="CX31" i="2" s="1"/>
  <c r="AJ30" i="2"/>
  <c r="AK30" i="2" s="1"/>
  <c r="AL30" i="2" s="1"/>
  <c r="AM30" i="2" s="1"/>
  <c r="P40" i="2" l="1"/>
  <c r="Q40" i="2"/>
  <c r="R40" i="2" s="1"/>
  <c r="N42" i="2"/>
  <c r="O41" i="2"/>
  <c r="GV180" i="2"/>
  <c r="GA180" i="2"/>
  <c r="EY181" i="2"/>
  <c r="EV182" i="2"/>
  <c r="EA182" i="2"/>
  <c r="ED181" i="2"/>
  <c r="AX179" i="2"/>
  <c r="AU180" i="2"/>
  <c r="GO181" i="2"/>
  <c r="GL182" i="2"/>
  <c r="FQ182" i="2"/>
  <c r="FT181" i="2"/>
  <c r="HG182" i="2"/>
  <c r="HJ181" i="2"/>
  <c r="Z182" i="2"/>
  <c r="AC181" i="2"/>
  <c r="CK182" i="2"/>
  <c r="CN181" i="2"/>
  <c r="DF182" i="2"/>
  <c r="DI181" i="2"/>
  <c r="FF180" i="2"/>
  <c r="FG179" i="2"/>
  <c r="FH179" i="2" s="1"/>
  <c r="FI179" i="2" s="1"/>
  <c r="EK180" i="2"/>
  <c r="EL179" i="2"/>
  <c r="EM179" i="2" s="1"/>
  <c r="EN179" i="2" s="1"/>
  <c r="DP180" i="2"/>
  <c r="DQ179" i="2"/>
  <c r="DR179" i="2" s="1"/>
  <c r="DS179" i="2" s="1"/>
  <c r="CV179" i="2"/>
  <c r="CW179" i="2" s="1"/>
  <c r="CX179" i="2" s="1"/>
  <c r="CU180" i="2"/>
  <c r="CA179" i="2"/>
  <c r="CB179" i="2" s="1"/>
  <c r="CC179" i="2" s="1"/>
  <c r="BZ180" i="2"/>
  <c r="BE180" i="2"/>
  <c r="BF179" i="2"/>
  <c r="BG179" i="2" s="1"/>
  <c r="BH179" i="2" s="1"/>
  <c r="AK179" i="2"/>
  <c r="AL179" i="2" s="1"/>
  <c r="AM179" i="2" s="1"/>
  <c r="AJ180" i="2"/>
  <c r="DP32" i="2"/>
  <c r="DQ32" i="2" s="1"/>
  <c r="DR32" i="2" s="1"/>
  <c r="DS32" i="2" s="1"/>
  <c r="FF31" i="2"/>
  <c r="FG31" i="2" s="1"/>
  <c r="FH31" i="2" s="1"/>
  <c r="FI31" i="2" s="1"/>
  <c r="GA32" i="2"/>
  <c r="GB32" i="2" s="1"/>
  <c r="GC32" i="2" s="1"/>
  <c r="GD32" i="2" s="1"/>
  <c r="CU32" i="2"/>
  <c r="CV32" i="2" s="1"/>
  <c r="CW32" i="2" s="1"/>
  <c r="CX32" i="2" s="1"/>
  <c r="GV31" i="2"/>
  <c r="GW31" i="2" s="1"/>
  <c r="GX31" i="2" s="1"/>
  <c r="GY31" i="2" s="1"/>
  <c r="EK31" i="2"/>
  <c r="EL31" i="2" s="1"/>
  <c r="EM31" i="2" s="1"/>
  <c r="EN31" i="2" s="1"/>
  <c r="BZ32" i="2"/>
  <c r="CA32" i="2" s="1"/>
  <c r="CB32" i="2" s="1"/>
  <c r="CC32" i="2" s="1"/>
  <c r="AJ31" i="2"/>
  <c r="AK31" i="2" s="1"/>
  <c r="AL31" i="2" s="1"/>
  <c r="AM31" i="2" s="1"/>
  <c r="P41" i="2" l="1"/>
  <c r="Q41" i="2" s="1"/>
  <c r="R41" i="2" s="1"/>
  <c r="N43" i="2"/>
  <c r="O42" i="2"/>
  <c r="GV181" i="2"/>
  <c r="GW181" i="2" s="1"/>
  <c r="GX181" i="2" s="1"/>
  <c r="GY181" i="2" s="1"/>
  <c r="GW180" i="2"/>
  <c r="GX180" i="2" s="1"/>
  <c r="GY180" i="2" s="1"/>
  <c r="GA181" i="2"/>
  <c r="GB180" i="2"/>
  <c r="GC180" i="2" s="1"/>
  <c r="GD180" i="2" s="1"/>
  <c r="GL183" i="2"/>
  <c r="GO182" i="2"/>
  <c r="CN182" i="2"/>
  <c r="CK183" i="2"/>
  <c r="AX180" i="2"/>
  <c r="AU181" i="2"/>
  <c r="Z183" i="2"/>
  <c r="AC182" i="2"/>
  <c r="HJ182" i="2"/>
  <c r="HG183" i="2"/>
  <c r="ED182" i="2"/>
  <c r="EA183" i="2"/>
  <c r="EV183" i="2"/>
  <c r="EY182" i="2"/>
  <c r="FT182" i="2"/>
  <c r="FQ183" i="2"/>
  <c r="DI182" i="2"/>
  <c r="DF183" i="2"/>
  <c r="FG180" i="2"/>
  <c r="FH180" i="2" s="1"/>
  <c r="FI180" i="2" s="1"/>
  <c r="FF181" i="2"/>
  <c r="EL180" i="2"/>
  <c r="EM180" i="2" s="1"/>
  <c r="EN180" i="2" s="1"/>
  <c r="EK181" i="2"/>
  <c r="DQ180" i="2"/>
  <c r="DR180" i="2" s="1"/>
  <c r="DS180" i="2" s="1"/>
  <c r="DP181" i="2"/>
  <c r="CU181" i="2"/>
  <c r="CV180" i="2"/>
  <c r="CW180" i="2" s="1"/>
  <c r="CX180" i="2" s="1"/>
  <c r="CA180" i="2"/>
  <c r="CB180" i="2" s="1"/>
  <c r="CC180" i="2" s="1"/>
  <c r="BZ181" i="2"/>
  <c r="BE181" i="2"/>
  <c r="BF180" i="2"/>
  <c r="BG180" i="2" s="1"/>
  <c r="BH180" i="2" s="1"/>
  <c r="AK180" i="2"/>
  <c r="AL180" i="2" s="1"/>
  <c r="AM180" i="2" s="1"/>
  <c r="AJ181" i="2"/>
  <c r="EK32" i="2"/>
  <c r="EL32" i="2" s="1"/>
  <c r="EM32" i="2" s="1"/>
  <c r="EN32" i="2" s="1"/>
  <c r="CU33" i="2"/>
  <c r="CV33" i="2" s="1"/>
  <c r="CW33" i="2" s="1"/>
  <c r="CX33" i="2" s="1"/>
  <c r="FF32" i="2"/>
  <c r="FG32" i="2" s="1"/>
  <c r="FH32" i="2" s="1"/>
  <c r="FI32" i="2" s="1"/>
  <c r="BZ33" i="2"/>
  <c r="CA33" i="2" s="1"/>
  <c r="CB33" i="2" s="1"/>
  <c r="CC33" i="2" s="1"/>
  <c r="GV32" i="2"/>
  <c r="GW32" i="2" s="1"/>
  <c r="GX32" i="2" s="1"/>
  <c r="GY32" i="2" s="1"/>
  <c r="GA33" i="2"/>
  <c r="GB33" i="2" s="1"/>
  <c r="GC33" i="2" s="1"/>
  <c r="GD33" i="2" s="1"/>
  <c r="DP33" i="2"/>
  <c r="DQ33" i="2" s="1"/>
  <c r="DR33" i="2" s="1"/>
  <c r="DS33" i="2" s="1"/>
  <c r="AJ32" i="2"/>
  <c r="AK32" i="2" s="1"/>
  <c r="AL32" i="2" s="1"/>
  <c r="AM32" i="2" s="1"/>
  <c r="GF138" i="2" l="1"/>
  <c r="GF22" i="2"/>
  <c r="GF192" i="2"/>
  <c r="GF154" i="2"/>
  <c r="GF34" i="2"/>
  <c r="GF200" i="2"/>
  <c r="GF177" i="2"/>
  <c r="GF21" i="2"/>
  <c r="GF199" i="2"/>
  <c r="GF59" i="2"/>
  <c r="GF66" i="2"/>
  <c r="GF173" i="2"/>
  <c r="GF152" i="2"/>
  <c r="GF37" i="2"/>
  <c r="GF107" i="2"/>
  <c r="GF150" i="2"/>
  <c r="GF123" i="2"/>
  <c r="GF161" i="2"/>
  <c r="GF98" i="2"/>
  <c r="GF185" i="2"/>
  <c r="GF75" i="2"/>
  <c r="GF184" i="2"/>
  <c r="GF131" i="2"/>
  <c r="GF42" i="2"/>
  <c r="GF156" i="2"/>
  <c r="GF102" i="2"/>
  <c r="GF73" i="2"/>
  <c r="GF180" i="2"/>
  <c r="GF110" i="2"/>
  <c r="GF83" i="2"/>
  <c r="GF202" i="2"/>
  <c r="GF101" i="2"/>
  <c r="GF78" i="2"/>
  <c r="GF30" i="2"/>
  <c r="GF151" i="2"/>
  <c r="GF54" i="2"/>
  <c r="GF19" i="2"/>
  <c r="GF92" i="2"/>
  <c r="GF15" i="2"/>
  <c r="GF25" i="2"/>
  <c r="GF187" i="2"/>
  <c r="GF23" i="2"/>
  <c r="GF158" i="2"/>
  <c r="GF169" i="2"/>
  <c r="GF71" i="2"/>
  <c r="GF8" i="2"/>
  <c r="GF56" i="2"/>
  <c r="GF114" i="2"/>
  <c r="GF201" i="2"/>
  <c r="GF166" i="2"/>
  <c r="GF139" i="2"/>
  <c r="GF38" i="2"/>
  <c r="GF174" i="2"/>
  <c r="GF147" i="2"/>
  <c r="GF121" i="2"/>
  <c r="GF165" i="2"/>
  <c r="GF144" i="2"/>
  <c r="GF6" i="2"/>
  <c r="GF29" i="2"/>
  <c r="GF126" i="2"/>
  <c r="GF99" i="2"/>
  <c r="GF178" i="2"/>
  <c r="GF79" i="2"/>
  <c r="GF103" i="2"/>
  <c r="GF145" i="2"/>
  <c r="GF72" i="2"/>
  <c r="GF53" i="2"/>
  <c r="GF141" i="2"/>
  <c r="GF26" i="2"/>
  <c r="GF90" i="2"/>
  <c r="GF189" i="2"/>
  <c r="GF12" i="2"/>
  <c r="GF111" i="2"/>
  <c r="GF162" i="2"/>
  <c r="GF31" i="2"/>
  <c r="GF45" i="2"/>
  <c r="GF203" i="2"/>
  <c r="GF39" i="2"/>
  <c r="GF57" i="2"/>
  <c r="GF20" i="2"/>
  <c r="GF43" i="2"/>
  <c r="GF44" i="2"/>
  <c r="GF9" i="2"/>
  <c r="GF196" i="2"/>
  <c r="GF100" i="2"/>
  <c r="GF190" i="2"/>
  <c r="GF163" i="2"/>
  <c r="GF48" i="2"/>
  <c r="GF64" i="2"/>
  <c r="GF167" i="2"/>
  <c r="GF146" i="2"/>
  <c r="GF94" i="2"/>
  <c r="GF142" i="2"/>
  <c r="GF35" i="2"/>
  <c r="GF115" i="2"/>
  <c r="GF17" i="2"/>
  <c r="GF87" i="2"/>
  <c r="GF95" i="2"/>
  <c r="GF89" i="2"/>
  <c r="GF10" i="2"/>
  <c r="GF16" i="2"/>
  <c r="GF119" i="2"/>
  <c r="GF186" i="2"/>
  <c r="GF24" i="2"/>
  <c r="GF127" i="2"/>
  <c r="GF27" i="2"/>
  <c r="GF134" i="2"/>
  <c r="GF118" i="2"/>
  <c r="GF91" i="2"/>
  <c r="GF140" i="2"/>
  <c r="GF55" i="2"/>
  <c r="GF77" i="2"/>
  <c r="GF81" i="2"/>
  <c r="GF181" i="2"/>
  <c r="GF65" i="2"/>
  <c r="GF36" i="2"/>
  <c r="GF148" i="2"/>
  <c r="GF159" i="2"/>
  <c r="GF175" i="2"/>
  <c r="GF104" i="2"/>
  <c r="GF124" i="2"/>
  <c r="GF7" i="2"/>
  <c r="GF120" i="2"/>
  <c r="GF168" i="2"/>
  <c r="GF49" i="2"/>
  <c r="GF18" i="2"/>
  <c r="GF80" i="2"/>
  <c r="GF183" i="2"/>
  <c r="GF188" i="2"/>
  <c r="GF11" i="2"/>
  <c r="GF191" i="2"/>
  <c r="GF28" i="2"/>
  <c r="GF96" i="2"/>
  <c r="GF182" i="2"/>
  <c r="GF155" i="2"/>
  <c r="GF69" i="2"/>
  <c r="GF40" i="2"/>
  <c r="GF143" i="2"/>
  <c r="GF82" i="2"/>
  <c r="GF198" i="2"/>
  <c r="GF133" i="2"/>
  <c r="GF112" i="2"/>
  <c r="GF130" i="2"/>
  <c r="GF41" i="2"/>
  <c r="GF61" i="2"/>
  <c r="GF171" i="2"/>
  <c r="GF62" i="2"/>
  <c r="GF125" i="2"/>
  <c r="GF179" i="2"/>
  <c r="GF195" i="2"/>
  <c r="GF74" i="2"/>
  <c r="GF85" i="2"/>
  <c r="GF58" i="2"/>
  <c r="GF193" i="2"/>
  <c r="GF93" i="2"/>
  <c r="GF68" i="2"/>
  <c r="GF5" i="2"/>
  <c r="GF47" i="2"/>
  <c r="GF67" i="2"/>
  <c r="GF50" i="2"/>
  <c r="GF63" i="2"/>
  <c r="GF33" i="2"/>
  <c r="GF4" i="2"/>
  <c r="GF84" i="2"/>
  <c r="GF14" i="2"/>
  <c r="GF197" i="2"/>
  <c r="GF176" i="2"/>
  <c r="GF113" i="2"/>
  <c r="GF164" i="2"/>
  <c r="GF105" i="2"/>
  <c r="GF106" i="2"/>
  <c r="GF13" i="2"/>
  <c r="GF129" i="2"/>
  <c r="GF170" i="2"/>
  <c r="GF97" i="2"/>
  <c r="GF149" i="2"/>
  <c r="GF128" i="2"/>
  <c r="GF172" i="2"/>
  <c r="GF157" i="2"/>
  <c r="GF136" i="2"/>
  <c r="GF194" i="2"/>
  <c r="GF32" i="2"/>
  <c r="GF135" i="2"/>
  <c r="GF52" i="2"/>
  <c r="GF117" i="2"/>
  <c r="GF109" i="2"/>
  <c r="GF88" i="2"/>
  <c r="GF60" i="2"/>
  <c r="GF160" i="2"/>
  <c r="GF86" i="2"/>
  <c r="GF51" i="2"/>
  <c r="GF137" i="2"/>
  <c r="GF108" i="2"/>
  <c r="GF153" i="2"/>
  <c r="GF132" i="2"/>
  <c r="GF76" i="2"/>
  <c r="GF46" i="2"/>
  <c r="GF122" i="2"/>
  <c r="GF70" i="2"/>
  <c r="GF116" i="2"/>
  <c r="CZ146" i="2"/>
  <c r="CZ56" i="2"/>
  <c r="CZ121" i="2"/>
  <c r="CZ77" i="2"/>
  <c r="CZ192" i="2"/>
  <c r="CZ187" i="2"/>
  <c r="CZ93" i="2"/>
  <c r="CZ19" i="2"/>
  <c r="CZ15" i="2"/>
  <c r="CZ173" i="2"/>
  <c r="CZ179" i="2"/>
  <c r="CZ175" i="2"/>
  <c r="CZ200" i="2"/>
  <c r="CZ88" i="2"/>
  <c r="CZ5" i="2"/>
  <c r="CZ120" i="2"/>
  <c r="CZ43" i="2"/>
  <c r="CZ141" i="2"/>
  <c r="CZ115" i="2"/>
  <c r="CZ111" i="2"/>
  <c r="CZ157" i="2"/>
  <c r="CZ147" i="2"/>
  <c r="CZ143" i="2"/>
  <c r="CZ38" i="2"/>
  <c r="CZ100" i="2"/>
  <c r="CZ113" i="2"/>
  <c r="CZ52" i="2"/>
  <c r="CZ35" i="2"/>
  <c r="CZ69" i="2"/>
  <c r="CZ184" i="2"/>
  <c r="CZ171" i="2"/>
  <c r="CZ6" i="2"/>
  <c r="CZ36" i="2"/>
  <c r="CZ49" i="2"/>
  <c r="CZ22" i="2"/>
  <c r="CZ68" i="2"/>
  <c r="CZ81" i="2"/>
  <c r="CZ102" i="2"/>
  <c r="CZ23" i="2"/>
  <c r="CZ124" i="2"/>
  <c r="CZ34" i="2"/>
  <c r="CZ103" i="2"/>
  <c r="CZ84" i="2"/>
  <c r="CZ108" i="2"/>
  <c r="CZ133" i="2"/>
  <c r="CZ99" i="2"/>
  <c r="CZ95" i="2"/>
  <c r="CZ70" i="2"/>
  <c r="CZ164" i="2"/>
  <c r="CZ177" i="2"/>
  <c r="CZ86" i="2"/>
  <c r="CZ196" i="2"/>
  <c r="CZ140" i="2"/>
  <c r="CZ58" i="2"/>
  <c r="CZ166" i="2"/>
  <c r="CZ151" i="2"/>
  <c r="CZ28" i="2"/>
  <c r="CZ162" i="2"/>
  <c r="CZ153" i="2"/>
  <c r="CZ50" i="2"/>
  <c r="CZ135" i="2"/>
  <c r="CZ197" i="2"/>
  <c r="CZ20" i="2"/>
  <c r="CZ33" i="2"/>
  <c r="CZ26" i="2"/>
  <c r="CZ134" i="2"/>
  <c r="CZ87" i="2"/>
  <c r="CZ60" i="2"/>
  <c r="CZ42" i="2"/>
  <c r="CZ150" i="2"/>
  <c r="CZ119" i="2"/>
  <c r="CZ44" i="2"/>
  <c r="CZ122" i="2"/>
  <c r="CZ32" i="2"/>
  <c r="CZ73" i="2"/>
  <c r="CZ85" i="2"/>
  <c r="CZ203" i="2"/>
  <c r="CZ178" i="2"/>
  <c r="CZ185" i="2"/>
  <c r="CZ62" i="2"/>
  <c r="CZ148" i="2"/>
  <c r="CZ161" i="2"/>
  <c r="CZ90" i="2"/>
  <c r="CZ198" i="2"/>
  <c r="CZ9" i="2"/>
  <c r="CZ106" i="2"/>
  <c r="CZ16" i="2"/>
  <c r="CZ41" i="2"/>
  <c r="CZ186" i="2"/>
  <c r="CZ96" i="2"/>
  <c r="CZ201" i="2"/>
  <c r="CZ14" i="2"/>
  <c r="CZ65" i="2"/>
  <c r="CZ101" i="2"/>
  <c r="CZ31" i="2"/>
  <c r="CZ18" i="2"/>
  <c r="CZ126" i="2"/>
  <c r="CZ71" i="2"/>
  <c r="CZ188" i="2"/>
  <c r="CZ154" i="2"/>
  <c r="CZ64" i="2"/>
  <c r="CZ137" i="2"/>
  <c r="CZ170" i="2"/>
  <c r="CZ80" i="2"/>
  <c r="CZ169" i="2"/>
  <c r="CZ45" i="2"/>
  <c r="CZ160" i="2"/>
  <c r="CZ123" i="2"/>
  <c r="CZ142" i="2"/>
  <c r="CZ172" i="2"/>
  <c r="CZ30" i="2"/>
  <c r="CZ97" i="2"/>
  <c r="CZ82" i="2"/>
  <c r="CZ190" i="2"/>
  <c r="CZ199" i="2"/>
  <c r="CZ13" i="2"/>
  <c r="CZ128" i="2"/>
  <c r="CZ59" i="2"/>
  <c r="CZ29" i="2"/>
  <c r="CZ144" i="2"/>
  <c r="CZ91" i="2"/>
  <c r="CZ109" i="2"/>
  <c r="CZ51" i="2"/>
  <c r="CZ47" i="2"/>
  <c r="CZ72" i="2"/>
  <c r="CZ98" i="2"/>
  <c r="CZ158" i="2"/>
  <c r="CZ156" i="2"/>
  <c r="CZ117" i="2"/>
  <c r="CZ63" i="2"/>
  <c r="CZ127" i="2"/>
  <c r="CZ182" i="2"/>
  <c r="CZ8" i="2"/>
  <c r="CZ40" i="2"/>
  <c r="CZ10" i="2"/>
  <c r="CZ55" i="2"/>
  <c r="CZ152" i="2"/>
  <c r="CZ12" i="2"/>
  <c r="CZ46" i="2"/>
  <c r="CZ129" i="2"/>
  <c r="CZ193" i="2"/>
  <c r="CZ112" i="2"/>
  <c r="CZ168" i="2"/>
  <c r="CZ138" i="2"/>
  <c r="CZ105" i="2"/>
  <c r="CZ149" i="2"/>
  <c r="CZ174" i="2"/>
  <c r="CZ21" i="2"/>
  <c r="CZ83" i="2"/>
  <c r="CZ195" i="2"/>
  <c r="CZ61" i="2"/>
  <c r="CZ155" i="2"/>
  <c r="CZ24" i="2"/>
  <c r="CZ75" i="2"/>
  <c r="CZ104" i="2"/>
  <c r="CZ78" i="2"/>
  <c r="CZ132" i="2"/>
  <c r="CZ39" i="2"/>
  <c r="CZ189" i="2"/>
  <c r="CZ17" i="2"/>
  <c r="CZ163" i="2"/>
  <c r="CZ67" i="2"/>
  <c r="CZ136" i="2"/>
  <c r="CZ74" i="2"/>
  <c r="CZ183" i="2"/>
  <c r="CZ130" i="2"/>
  <c r="CZ89" i="2"/>
  <c r="CZ118" i="2"/>
  <c r="CZ76" i="2"/>
  <c r="CZ114" i="2"/>
  <c r="CZ165" i="2"/>
  <c r="CZ116" i="2"/>
  <c r="CZ131" i="2"/>
  <c r="CZ202" i="2"/>
  <c r="CZ27" i="2"/>
  <c r="CZ53" i="2"/>
  <c r="CZ139" i="2"/>
  <c r="CZ48" i="2"/>
  <c r="CZ37" i="2"/>
  <c r="CZ57" i="2"/>
  <c r="CZ159" i="2"/>
  <c r="CZ66" i="2"/>
  <c r="CZ167" i="2"/>
  <c r="CZ180" i="2"/>
  <c r="CZ125" i="2"/>
  <c r="CZ79" i="2"/>
  <c r="CZ181" i="2"/>
  <c r="CZ191" i="2"/>
  <c r="CZ176" i="2"/>
  <c r="CZ107" i="2"/>
  <c r="CZ194" i="2"/>
  <c r="CZ11" i="2"/>
  <c r="CZ25" i="2"/>
  <c r="CZ54" i="2"/>
  <c r="CZ145" i="2"/>
  <c r="CZ110" i="2"/>
  <c r="CZ92" i="2"/>
  <c r="CZ4" i="2"/>
  <c r="CZ7" i="2"/>
  <c r="CZ94" i="2"/>
  <c r="DU181" i="2"/>
  <c r="DU37" i="2"/>
  <c r="DU86" i="2"/>
  <c r="DU81" i="2"/>
  <c r="DU195" i="2"/>
  <c r="DU23" i="2"/>
  <c r="DU18" i="2"/>
  <c r="DU12" i="2"/>
  <c r="DU39" i="2"/>
  <c r="DU34" i="2"/>
  <c r="DU76" i="2"/>
  <c r="DU119" i="2"/>
  <c r="DU114" i="2"/>
  <c r="DU135" i="2"/>
  <c r="DU31" i="2"/>
  <c r="DU44" i="2"/>
  <c r="DU147" i="2"/>
  <c r="DU118" i="2"/>
  <c r="DU93" i="2"/>
  <c r="DU116" i="2"/>
  <c r="DU150" i="2"/>
  <c r="DU145" i="2"/>
  <c r="DU189" i="2"/>
  <c r="DU87" i="2"/>
  <c r="DU82" i="2"/>
  <c r="DU13" i="2"/>
  <c r="DU103" i="2"/>
  <c r="DU98" i="2"/>
  <c r="DU77" i="2"/>
  <c r="DU64" i="2"/>
  <c r="DU178" i="2"/>
  <c r="DU141" i="2"/>
  <c r="DU40" i="2"/>
  <c r="DU53" i="2"/>
  <c r="DU47" i="2"/>
  <c r="DU108" i="2"/>
  <c r="DU20" i="2"/>
  <c r="DU15" i="2"/>
  <c r="DU10" i="2"/>
  <c r="DU191" i="2"/>
  <c r="DU32" i="2"/>
  <c r="DU146" i="2"/>
  <c r="DU21" i="2"/>
  <c r="DU48" i="2"/>
  <c r="DU162" i="2"/>
  <c r="DU85" i="2"/>
  <c r="DU128" i="2"/>
  <c r="DU43" i="2"/>
  <c r="DU165" i="2"/>
  <c r="DU168" i="2"/>
  <c r="DU5" i="2"/>
  <c r="DU56" i="2"/>
  <c r="DU117" i="2"/>
  <c r="DU140" i="2"/>
  <c r="DU79" i="2"/>
  <c r="DU74" i="2"/>
  <c r="DU197" i="2"/>
  <c r="DU96" i="2"/>
  <c r="DU11" i="2"/>
  <c r="DU60" i="2"/>
  <c r="DU112" i="2"/>
  <c r="DU27" i="2"/>
  <c r="DU124" i="2"/>
  <c r="DU192" i="2"/>
  <c r="DU107" i="2"/>
  <c r="DU97" i="2"/>
  <c r="DU184" i="2"/>
  <c r="DU101" i="2"/>
  <c r="DU24" i="2"/>
  <c r="DU138" i="2"/>
  <c r="DU199" i="2"/>
  <c r="DU160" i="2"/>
  <c r="DU75" i="2"/>
  <c r="DU132" i="2"/>
  <c r="DU176" i="2"/>
  <c r="DU91" i="2"/>
  <c r="DU196" i="2"/>
  <c r="DU62" i="2"/>
  <c r="DU57" i="2"/>
  <c r="DU171" i="2"/>
  <c r="DU26" i="2"/>
  <c r="DU113" i="2"/>
  <c r="DU69" i="2"/>
  <c r="DU88" i="2"/>
  <c r="DU202" i="2"/>
  <c r="DU28" i="2"/>
  <c r="DU30" i="2"/>
  <c r="DU25" i="2"/>
  <c r="DU139" i="2"/>
  <c r="DU46" i="2"/>
  <c r="DU41" i="2"/>
  <c r="DU155" i="2"/>
  <c r="DU126" i="2"/>
  <c r="DU121" i="2"/>
  <c r="DU125" i="2"/>
  <c r="DU154" i="2"/>
  <c r="DU42" i="2"/>
  <c r="DU173" i="2"/>
  <c r="DU152" i="2"/>
  <c r="DU67" i="2"/>
  <c r="DU52" i="2"/>
  <c r="DU94" i="2"/>
  <c r="DU89" i="2"/>
  <c r="DU203" i="2"/>
  <c r="DU110" i="2"/>
  <c r="DU105" i="2"/>
  <c r="DU61" i="2"/>
  <c r="DU190" i="2"/>
  <c r="DU185" i="2"/>
  <c r="DU127" i="2"/>
  <c r="DU83" i="2"/>
  <c r="DU170" i="2"/>
  <c r="DU84" i="2"/>
  <c r="DU151" i="2"/>
  <c r="DU22" i="2"/>
  <c r="DU17" i="2"/>
  <c r="DU131" i="2"/>
  <c r="DU158" i="2"/>
  <c r="DU153" i="2"/>
  <c r="DU4" i="2"/>
  <c r="DU174" i="2"/>
  <c r="DU169" i="2"/>
  <c r="DU68" i="2"/>
  <c r="DU55" i="2"/>
  <c r="DU50" i="2"/>
  <c r="DU133" i="2"/>
  <c r="DU102" i="2"/>
  <c r="DU29" i="2"/>
  <c r="DU99" i="2"/>
  <c r="DU58" i="2"/>
  <c r="DU14" i="2"/>
  <c r="DU123" i="2"/>
  <c r="DU70" i="2"/>
  <c r="DU179" i="2"/>
  <c r="DU144" i="2"/>
  <c r="DU159" i="2"/>
  <c r="DU120" i="2"/>
  <c r="DU54" i="2"/>
  <c r="DU163" i="2"/>
  <c r="DU186" i="2"/>
  <c r="DU142" i="2"/>
  <c r="DU167" i="2"/>
  <c r="DU36" i="2"/>
  <c r="DU198" i="2"/>
  <c r="DU149" i="2"/>
  <c r="DU73" i="2"/>
  <c r="DU182" i="2"/>
  <c r="DU143" i="2"/>
  <c r="DU35" i="2"/>
  <c r="DU6" i="2"/>
  <c r="DU115" i="2"/>
  <c r="DU38" i="2"/>
  <c r="DU71" i="2"/>
  <c r="DU175" i="2"/>
  <c r="DU8" i="2"/>
  <c r="DU157" i="2"/>
  <c r="DU201" i="2"/>
  <c r="DU100" i="2"/>
  <c r="DU134" i="2"/>
  <c r="DU148" i="2"/>
  <c r="DU95" i="2"/>
  <c r="DU80" i="2"/>
  <c r="DU183" i="2"/>
  <c r="DU136" i="2"/>
  <c r="DU188" i="2"/>
  <c r="DU130" i="2"/>
  <c r="DU166" i="2"/>
  <c r="DU63" i="2"/>
  <c r="DU156" i="2"/>
  <c r="DU104" i="2"/>
  <c r="DU9" i="2"/>
  <c r="DU65" i="2"/>
  <c r="DU59" i="2"/>
  <c r="DU111" i="2"/>
  <c r="DU33" i="2"/>
  <c r="DU72" i="2"/>
  <c r="DU164" i="2"/>
  <c r="DU161" i="2"/>
  <c r="DU137" i="2"/>
  <c r="DU193" i="2"/>
  <c r="DU78" i="2"/>
  <c r="DU187" i="2"/>
  <c r="DU109" i="2"/>
  <c r="DU90" i="2"/>
  <c r="DU200" i="2"/>
  <c r="DU19" i="2"/>
  <c r="DU66" i="2"/>
  <c r="DU122" i="2"/>
  <c r="DU7" i="2"/>
  <c r="DU172" i="2"/>
  <c r="DU49" i="2"/>
  <c r="DU106" i="2"/>
  <c r="DU92" i="2"/>
  <c r="DU129" i="2"/>
  <c r="DU45" i="2"/>
  <c r="DU194" i="2"/>
  <c r="DU51" i="2"/>
  <c r="DU16" i="2"/>
  <c r="DU180" i="2"/>
  <c r="DU177" i="2"/>
  <c r="CE114" i="2"/>
  <c r="CE56" i="2"/>
  <c r="CE187" i="2"/>
  <c r="CE4" i="2"/>
  <c r="CE158" i="2"/>
  <c r="CE14" i="2"/>
  <c r="CE20" i="2"/>
  <c r="CE176" i="2"/>
  <c r="CE57" i="2"/>
  <c r="CE100" i="2"/>
  <c r="CE138" i="2"/>
  <c r="CE190" i="2"/>
  <c r="CE12" i="2"/>
  <c r="CE37" i="2"/>
  <c r="CE27" i="2"/>
  <c r="CE30" i="2"/>
  <c r="CE59" i="2"/>
  <c r="CE120" i="2"/>
  <c r="CE117" i="2"/>
  <c r="CE68" i="2"/>
  <c r="CE65" i="2"/>
  <c r="CE155" i="2"/>
  <c r="CE84" i="2"/>
  <c r="CE109" i="2"/>
  <c r="CE174" i="2"/>
  <c r="CE164" i="2"/>
  <c r="CE5" i="2"/>
  <c r="CE136" i="2"/>
  <c r="CE140" i="2"/>
  <c r="CE81" i="2"/>
  <c r="CE28" i="2"/>
  <c r="CE78" i="2"/>
  <c r="CE173" i="2"/>
  <c r="CE123" i="2"/>
  <c r="CE147" i="2"/>
  <c r="CE196" i="2"/>
  <c r="CE132" i="2"/>
  <c r="CE177" i="2"/>
  <c r="CE61" i="2"/>
  <c r="CE148" i="2"/>
  <c r="CE193" i="2"/>
  <c r="CE102" i="2"/>
  <c r="CE63" i="2"/>
  <c r="CE150" i="2"/>
  <c r="CE197" i="2"/>
  <c r="CE181" i="2"/>
  <c r="CE103" i="2"/>
  <c r="CE156" i="2"/>
  <c r="CE125" i="2"/>
  <c r="CE60" i="2"/>
  <c r="CE45" i="2"/>
  <c r="CE145" i="2"/>
  <c r="CE31" i="2"/>
  <c r="CE89" i="2"/>
  <c r="CE175" i="2"/>
  <c r="CE47" i="2"/>
  <c r="CE129" i="2"/>
  <c r="CE191" i="2"/>
  <c r="CE26" i="2"/>
  <c r="CE127" i="2"/>
  <c r="CE29" i="2"/>
  <c r="CE72" i="2"/>
  <c r="CE119" i="2"/>
  <c r="CE54" i="2"/>
  <c r="CE124" i="2"/>
  <c r="CE169" i="2"/>
  <c r="CE38" i="2"/>
  <c r="CE95" i="2"/>
  <c r="CE186" i="2"/>
  <c r="CE77" i="2"/>
  <c r="CE10" i="2"/>
  <c r="CE111" i="2"/>
  <c r="CE202" i="2"/>
  <c r="CE90" i="2"/>
  <c r="CE32" i="2"/>
  <c r="CE162" i="2"/>
  <c r="CE168" i="2"/>
  <c r="CE88" i="2"/>
  <c r="CE33" i="2"/>
  <c r="CE133" i="2"/>
  <c r="CE13" i="2"/>
  <c r="CE23" i="2"/>
  <c r="CE69" i="2"/>
  <c r="CE167" i="2"/>
  <c r="CE58" i="2"/>
  <c r="CE159" i="2"/>
  <c r="CE113" i="2"/>
  <c r="CE74" i="2"/>
  <c r="CE16" i="2"/>
  <c r="CE141" i="2"/>
  <c r="CE35" i="2"/>
  <c r="CE96" i="2"/>
  <c r="CE53" i="2"/>
  <c r="CE185" i="2"/>
  <c r="CE184" i="2"/>
  <c r="CE165" i="2"/>
  <c r="CE87" i="2"/>
  <c r="CE178" i="2"/>
  <c r="CE122" i="2"/>
  <c r="CE64" i="2"/>
  <c r="CE195" i="2"/>
  <c r="CE19" i="2"/>
  <c r="CE80" i="2"/>
  <c r="CE9" i="2"/>
  <c r="CE99" i="2"/>
  <c r="CE105" i="2"/>
  <c r="CE172" i="2"/>
  <c r="CE194" i="2"/>
  <c r="CE201" i="2"/>
  <c r="CE50" i="2"/>
  <c r="CE151" i="2"/>
  <c r="CE93" i="2"/>
  <c r="CE67" i="2"/>
  <c r="CE21" i="2"/>
  <c r="CE131" i="2"/>
  <c r="CE83" i="2"/>
  <c r="CE62" i="2"/>
  <c r="CE153" i="2"/>
  <c r="CE36" i="2"/>
  <c r="CE192" i="2"/>
  <c r="CE101" i="2"/>
  <c r="CE11" i="2"/>
  <c r="CE203" i="2"/>
  <c r="CE18" i="2"/>
  <c r="CE6" i="2"/>
  <c r="CE200" i="2"/>
  <c r="CE75" i="2"/>
  <c r="CE166" i="2"/>
  <c r="CE42" i="2"/>
  <c r="CE70" i="2"/>
  <c r="CE98" i="2"/>
  <c r="CE171" i="2"/>
  <c r="CE97" i="2"/>
  <c r="CE79" i="2"/>
  <c r="CE76" i="2"/>
  <c r="CE25" i="2"/>
  <c r="CE39" i="2"/>
  <c r="CE183" i="2"/>
  <c r="CE51" i="2"/>
  <c r="CE94" i="2"/>
  <c r="CE107" i="2"/>
  <c r="CE180" i="2"/>
  <c r="CE48" i="2"/>
  <c r="CE92" i="2"/>
  <c r="CE34" i="2"/>
  <c r="CE49" i="2"/>
  <c r="CE8" i="2"/>
  <c r="CE52" i="2"/>
  <c r="CE134" i="2"/>
  <c r="CE108" i="2"/>
  <c r="CE198" i="2"/>
  <c r="CE137" i="2"/>
  <c r="CE182" i="2"/>
  <c r="CE43" i="2"/>
  <c r="CE73" i="2"/>
  <c r="CE41" i="2"/>
  <c r="CE15" i="2"/>
  <c r="CE157" i="2"/>
  <c r="CE189" i="2"/>
  <c r="CE71" i="2"/>
  <c r="CE118" i="2"/>
  <c r="CE160" i="2"/>
  <c r="CE24" i="2"/>
  <c r="CE128" i="2"/>
  <c r="CE44" i="2"/>
  <c r="CE121" i="2"/>
  <c r="CE86" i="2"/>
  <c r="CE143" i="2"/>
  <c r="CE40" i="2"/>
  <c r="CE170" i="2"/>
  <c r="CE85" i="2"/>
  <c r="CE7" i="2"/>
  <c r="CE146" i="2"/>
  <c r="CE110" i="2"/>
  <c r="CE112" i="2"/>
  <c r="CE126" i="2"/>
  <c r="CE106" i="2"/>
  <c r="CE179" i="2"/>
  <c r="CE55" i="2"/>
  <c r="CE144" i="2"/>
  <c r="CE135" i="2"/>
  <c r="CE130" i="2"/>
  <c r="CE22" i="2"/>
  <c r="CE149" i="2"/>
  <c r="CE115" i="2"/>
  <c r="CE188" i="2"/>
  <c r="CE91" i="2"/>
  <c r="CE199" i="2"/>
  <c r="CE139" i="2"/>
  <c r="CE104" i="2"/>
  <c r="CE66" i="2"/>
  <c r="CE142" i="2"/>
  <c r="CE154" i="2"/>
  <c r="CE46" i="2"/>
  <c r="CE161" i="2"/>
  <c r="CE116" i="2"/>
  <c r="CE17" i="2"/>
  <c r="CE163" i="2"/>
  <c r="CE82" i="2"/>
  <c r="CE152" i="2"/>
  <c r="P42" i="2"/>
  <c r="Q42" i="2" s="1"/>
  <c r="R42" i="2" s="1"/>
  <c r="N44" i="2"/>
  <c r="O43" i="2"/>
  <c r="GV182" i="2"/>
  <c r="GA182" i="2"/>
  <c r="GB181" i="2"/>
  <c r="GC181" i="2" s="1"/>
  <c r="GD181" i="2" s="1"/>
  <c r="Z184" i="2"/>
  <c r="AC183" i="2"/>
  <c r="FT183" i="2"/>
  <c r="FQ184" i="2"/>
  <c r="AX181" i="2"/>
  <c r="AU182" i="2"/>
  <c r="EY183" i="2"/>
  <c r="EV184" i="2"/>
  <c r="EA184" i="2"/>
  <c r="ED183" i="2"/>
  <c r="CK184" i="2"/>
  <c r="CN183" i="2"/>
  <c r="HG184" i="2"/>
  <c r="HJ183" i="2"/>
  <c r="GO183" i="2"/>
  <c r="GL184" i="2"/>
  <c r="DI183" i="2"/>
  <c r="DF184" i="2"/>
  <c r="GF3" i="2"/>
  <c r="D14" i="4" s="1"/>
  <c r="FF182" i="2"/>
  <c r="FG181" i="2"/>
  <c r="FH181" i="2" s="1"/>
  <c r="FI181" i="2" s="1"/>
  <c r="EK182" i="2"/>
  <c r="EL181" i="2"/>
  <c r="EM181" i="2" s="1"/>
  <c r="EN181" i="2" s="1"/>
  <c r="DP182" i="2"/>
  <c r="DQ181" i="2"/>
  <c r="DR181" i="2" s="1"/>
  <c r="DS181" i="2" s="1"/>
  <c r="DU3" i="2"/>
  <c r="D11" i="4" s="1"/>
  <c r="CV181" i="2"/>
  <c r="CW181" i="2" s="1"/>
  <c r="CX181" i="2" s="1"/>
  <c r="CU182" i="2"/>
  <c r="CZ3" i="2"/>
  <c r="D10" i="4" s="1"/>
  <c r="BZ182" i="2"/>
  <c r="CA181" i="2"/>
  <c r="CB181" i="2" s="1"/>
  <c r="CC181" i="2" s="1"/>
  <c r="CE3" i="2"/>
  <c r="D9" i="4" s="1"/>
  <c r="BF181" i="2"/>
  <c r="BG181" i="2" s="1"/>
  <c r="BH181" i="2" s="1"/>
  <c r="BE182" i="2"/>
  <c r="AK181" i="2"/>
  <c r="AL181" i="2" s="1"/>
  <c r="AM181" i="2" s="1"/>
  <c r="AJ182" i="2"/>
  <c r="GA34" i="2"/>
  <c r="GB34" i="2" s="1"/>
  <c r="GC34" i="2" s="1"/>
  <c r="GD34" i="2" s="1"/>
  <c r="BZ34" i="2"/>
  <c r="CA34" i="2" s="1"/>
  <c r="CB34" i="2" s="1"/>
  <c r="CC34" i="2" s="1"/>
  <c r="CU34" i="2"/>
  <c r="CV34" i="2" s="1"/>
  <c r="CW34" i="2" s="1"/>
  <c r="CX34" i="2" s="1"/>
  <c r="DP34" i="2"/>
  <c r="DQ34" i="2" s="1"/>
  <c r="DR34" i="2" s="1"/>
  <c r="DS34" i="2" s="1"/>
  <c r="GV33" i="2"/>
  <c r="GW33" i="2" s="1"/>
  <c r="GX33" i="2" s="1"/>
  <c r="GY33" i="2" s="1"/>
  <c r="FF33" i="2"/>
  <c r="FG33" i="2" s="1"/>
  <c r="FH33" i="2" s="1"/>
  <c r="FI33" i="2" s="1"/>
  <c r="EK33" i="2"/>
  <c r="EL33" i="2" s="1"/>
  <c r="EM33" i="2" s="1"/>
  <c r="EN33" i="2" s="1"/>
  <c r="AJ33" i="2"/>
  <c r="AK33" i="2" s="1"/>
  <c r="AL33" i="2" s="1"/>
  <c r="AM33" i="2" s="1"/>
  <c r="HA43" i="2" l="1"/>
  <c r="HA179" i="2"/>
  <c r="HA157" i="2"/>
  <c r="HA72" i="2"/>
  <c r="HA186" i="2"/>
  <c r="HA165" i="2"/>
  <c r="HA80" i="2"/>
  <c r="HA194" i="2"/>
  <c r="HA173" i="2"/>
  <c r="HA88" i="2"/>
  <c r="HA202" i="2"/>
  <c r="HA181" i="2"/>
  <c r="HA96" i="2"/>
  <c r="HA203" i="2"/>
  <c r="HA6" i="2"/>
  <c r="HA120" i="2"/>
  <c r="HA11" i="2"/>
  <c r="HA168" i="2"/>
  <c r="HA199" i="2"/>
  <c r="HA64" i="2"/>
  <c r="HA40" i="2"/>
  <c r="HA156" i="2"/>
  <c r="HA149" i="2"/>
  <c r="HA104" i="2"/>
  <c r="HA135" i="2"/>
  <c r="HA163" i="2"/>
  <c r="HA34" i="2"/>
  <c r="HA50" i="2"/>
  <c r="HA195" i="2"/>
  <c r="HA19" i="2"/>
  <c r="HA22" i="2"/>
  <c r="HA136" i="2"/>
  <c r="HA187" i="2"/>
  <c r="HA30" i="2"/>
  <c r="HA144" i="2"/>
  <c r="HA123" i="2"/>
  <c r="HA38" i="2"/>
  <c r="HA152" i="2"/>
  <c r="HA59" i="2"/>
  <c r="HA46" i="2"/>
  <c r="HA160" i="2"/>
  <c r="HA35" i="2"/>
  <c r="HA70" i="2"/>
  <c r="HA184" i="2"/>
  <c r="HA190" i="2"/>
  <c r="HA121" i="2"/>
  <c r="HA176" i="2"/>
  <c r="HA41" i="2"/>
  <c r="HA192" i="2"/>
  <c r="HA133" i="2"/>
  <c r="HA26" i="2"/>
  <c r="HA57" i="2"/>
  <c r="HA112" i="2"/>
  <c r="HA49" i="2"/>
  <c r="HA51" i="2"/>
  <c r="HA91" i="2"/>
  <c r="HA86" i="2"/>
  <c r="HA200" i="2"/>
  <c r="HA27" i="2"/>
  <c r="HA94" i="2"/>
  <c r="HA9" i="2"/>
  <c r="HA147" i="2"/>
  <c r="HA102" i="2"/>
  <c r="HA17" i="2"/>
  <c r="HA83" i="2"/>
  <c r="HA110" i="2"/>
  <c r="HA25" i="2"/>
  <c r="HA20" i="2"/>
  <c r="HA134" i="2"/>
  <c r="HA161" i="2"/>
  <c r="HA67" i="2"/>
  <c r="HA36" i="2"/>
  <c r="HA150" i="2"/>
  <c r="HA65" i="2"/>
  <c r="HA44" i="2"/>
  <c r="HA158" i="2"/>
  <c r="HA73" i="2"/>
  <c r="HA52" i="2"/>
  <c r="HA166" i="2"/>
  <c r="HA81" i="2"/>
  <c r="HA60" i="2"/>
  <c r="HA174" i="2"/>
  <c r="HA89" i="2"/>
  <c r="HA84" i="2"/>
  <c r="HA198" i="2"/>
  <c r="HA113" i="2"/>
  <c r="HA92" i="2"/>
  <c r="HA99" i="2"/>
  <c r="HA114" i="2"/>
  <c r="HA28" i="2"/>
  <c r="HA107" i="2"/>
  <c r="HA100" i="2"/>
  <c r="HA15" i="2"/>
  <c r="HA129" i="2"/>
  <c r="HA108" i="2"/>
  <c r="HA23" i="2"/>
  <c r="HA137" i="2"/>
  <c r="HA116" i="2"/>
  <c r="HA31" i="2"/>
  <c r="HA145" i="2"/>
  <c r="HA124" i="2"/>
  <c r="HA39" i="2"/>
  <c r="HA153" i="2"/>
  <c r="HA148" i="2"/>
  <c r="HA63" i="2"/>
  <c r="HA177" i="2"/>
  <c r="HA69" i="2"/>
  <c r="HA132" i="2"/>
  <c r="HA12" i="2"/>
  <c r="HA140" i="2"/>
  <c r="HA76" i="2"/>
  <c r="HA48" i="2"/>
  <c r="HA5" i="2"/>
  <c r="HA68" i="2"/>
  <c r="HA75" i="2"/>
  <c r="HA178" i="2"/>
  <c r="HA154" i="2"/>
  <c r="HA115" i="2"/>
  <c r="HA164" i="2"/>
  <c r="HA79" i="2"/>
  <c r="HA193" i="2"/>
  <c r="HA172" i="2"/>
  <c r="HA87" i="2"/>
  <c r="HA201" i="2"/>
  <c r="HA180" i="2"/>
  <c r="HA95" i="2"/>
  <c r="HA10" i="2"/>
  <c r="HA188" i="2"/>
  <c r="HA103" i="2"/>
  <c r="HA18" i="2"/>
  <c r="HA13" i="2"/>
  <c r="HA127" i="2"/>
  <c r="HA42" i="2"/>
  <c r="HA54" i="2"/>
  <c r="HA85" i="2"/>
  <c r="HA196" i="2"/>
  <c r="HA125" i="2"/>
  <c r="HA14" i="2"/>
  <c r="HA33" i="2"/>
  <c r="HA189" i="2"/>
  <c r="HA21" i="2"/>
  <c r="HA61" i="2"/>
  <c r="HA118" i="2"/>
  <c r="HA155" i="2"/>
  <c r="HA131" i="2"/>
  <c r="HA29" i="2"/>
  <c r="HA143" i="2"/>
  <c r="HA58" i="2"/>
  <c r="HA37" i="2"/>
  <c r="HA151" i="2"/>
  <c r="HA66" i="2"/>
  <c r="HA45" i="2"/>
  <c r="HA159" i="2"/>
  <c r="HA74" i="2"/>
  <c r="HA53" i="2"/>
  <c r="HA167" i="2"/>
  <c r="HA82" i="2"/>
  <c r="HA77" i="2"/>
  <c r="HA191" i="2"/>
  <c r="HA106" i="2"/>
  <c r="HA7" i="2"/>
  <c r="HA62" i="2"/>
  <c r="HA126" i="2"/>
  <c r="HA78" i="2"/>
  <c r="HA105" i="2"/>
  <c r="HA185" i="2"/>
  <c r="HA142" i="2"/>
  <c r="HA197" i="2"/>
  <c r="HA175" i="2"/>
  <c r="HA98" i="2"/>
  <c r="HA97" i="2"/>
  <c r="HA139" i="2"/>
  <c r="HA171" i="2"/>
  <c r="HA93" i="2"/>
  <c r="HA8" i="2"/>
  <c r="HA122" i="2"/>
  <c r="HA101" i="2"/>
  <c r="HA16" i="2"/>
  <c r="HA130" i="2"/>
  <c r="HA109" i="2"/>
  <c r="HA24" i="2"/>
  <c r="HA138" i="2"/>
  <c r="HA117" i="2"/>
  <c r="HA32" i="2"/>
  <c r="HA146" i="2"/>
  <c r="HA141" i="2"/>
  <c r="HA56" i="2"/>
  <c r="HA170" i="2"/>
  <c r="HA183" i="2"/>
  <c r="HA47" i="2"/>
  <c r="HA111" i="2"/>
  <c r="HA55" i="2"/>
  <c r="HA4" i="2"/>
  <c r="HA162" i="2"/>
  <c r="HA119" i="2"/>
  <c r="HA182" i="2"/>
  <c r="HA90" i="2"/>
  <c r="HA169" i="2"/>
  <c r="HA128" i="2"/>
  <c r="HA71" i="2"/>
  <c r="EP187" i="2"/>
  <c r="EP68" i="2"/>
  <c r="EP156" i="2"/>
  <c r="EP7" i="2"/>
  <c r="EP134" i="2"/>
  <c r="EP133" i="2"/>
  <c r="EP23" i="2"/>
  <c r="EP150" i="2"/>
  <c r="EP8" i="2"/>
  <c r="EP54" i="2"/>
  <c r="EP168" i="2"/>
  <c r="EP142" i="2"/>
  <c r="EP201" i="2"/>
  <c r="EP188" i="2"/>
  <c r="EP57" i="2"/>
  <c r="EP29" i="2"/>
  <c r="EP40" i="2"/>
  <c r="EP71" i="2"/>
  <c r="EP198" i="2"/>
  <c r="EP104" i="2"/>
  <c r="EP87" i="2"/>
  <c r="EP27" i="2"/>
  <c r="EP106" i="2"/>
  <c r="EP135" i="2"/>
  <c r="EP121" i="2"/>
  <c r="EP91" i="2"/>
  <c r="EP11" i="2"/>
  <c r="EP137" i="2"/>
  <c r="EP158" i="2"/>
  <c r="EP157" i="2"/>
  <c r="EP38" i="2"/>
  <c r="EP93" i="2"/>
  <c r="EP126" i="2"/>
  <c r="EP58" i="2"/>
  <c r="EP103" i="2"/>
  <c r="EP32" i="2"/>
  <c r="EP83" i="2"/>
  <c r="EP170" i="2"/>
  <c r="EP199" i="2"/>
  <c r="EP183" i="2"/>
  <c r="EP111" i="2"/>
  <c r="EP125" i="2"/>
  <c r="EP63" i="2"/>
  <c r="EP190" i="2"/>
  <c r="EP138" i="2"/>
  <c r="EP167" i="2"/>
  <c r="EP154" i="2"/>
  <c r="EP9" i="2"/>
  <c r="EP49" i="2"/>
  <c r="EP160" i="2"/>
  <c r="EP84" i="2"/>
  <c r="EP176" i="2"/>
  <c r="EP191" i="2"/>
  <c r="EP189" i="2"/>
  <c r="EP155" i="2"/>
  <c r="EP86" i="2"/>
  <c r="EP46" i="2"/>
  <c r="EP202" i="2"/>
  <c r="EP94" i="2"/>
  <c r="EP24" i="2"/>
  <c r="EP44" i="2"/>
  <c r="EP132" i="2"/>
  <c r="EP129" i="2"/>
  <c r="EP15" i="2"/>
  <c r="EP177" i="2"/>
  <c r="EP100" i="2"/>
  <c r="EP192" i="2"/>
  <c r="EP64" i="2"/>
  <c r="EP130" i="2"/>
  <c r="EP12" i="2"/>
  <c r="EP99" i="2"/>
  <c r="EP43" i="2"/>
  <c r="EP28" i="2"/>
  <c r="EP116" i="2"/>
  <c r="EP5" i="2"/>
  <c r="EP196" i="2"/>
  <c r="EP98" i="2"/>
  <c r="EP72" i="2"/>
  <c r="EP195" i="2"/>
  <c r="EP31" i="2"/>
  <c r="EP22" i="2"/>
  <c r="EP34" i="2"/>
  <c r="EP141" i="2"/>
  <c r="EP194" i="2"/>
  <c r="EP76" i="2"/>
  <c r="EP164" i="2"/>
  <c r="EP193" i="2"/>
  <c r="EP92" i="2"/>
  <c r="EP180" i="2"/>
  <c r="EP69" i="2"/>
  <c r="EP102" i="2"/>
  <c r="EP50" i="2"/>
  <c r="EP10" i="2"/>
  <c r="EP30" i="2"/>
  <c r="EP97" i="2"/>
  <c r="EP25" i="2"/>
  <c r="EP123" i="2"/>
  <c r="EP4" i="2"/>
  <c r="EP88" i="2"/>
  <c r="EP37" i="2"/>
  <c r="EP51" i="2"/>
  <c r="EP163" i="2"/>
  <c r="EP53" i="2"/>
  <c r="EP78" i="2"/>
  <c r="EP39" i="2"/>
  <c r="EP166" i="2"/>
  <c r="EP197" i="2"/>
  <c r="EP172" i="2"/>
  <c r="EP6" i="2"/>
  <c r="EP35" i="2"/>
  <c r="EP56" i="2"/>
  <c r="EP45" i="2"/>
  <c r="EP47" i="2"/>
  <c r="EP48" i="2"/>
  <c r="EP20" i="2"/>
  <c r="EP74" i="2"/>
  <c r="EP120" i="2"/>
  <c r="EP140" i="2"/>
  <c r="EP184" i="2"/>
  <c r="EP175" i="2"/>
  <c r="EP113" i="2"/>
  <c r="EP112" i="2"/>
  <c r="EP131" i="2"/>
  <c r="EP146" i="2"/>
  <c r="EP114" i="2"/>
  <c r="EP75" i="2"/>
  <c r="EP79" i="2"/>
  <c r="EP26" i="2"/>
  <c r="EP105" i="2"/>
  <c r="EP110" i="2"/>
  <c r="EP169" i="2"/>
  <c r="EP60" i="2"/>
  <c r="EP144" i="2"/>
  <c r="EP124" i="2"/>
  <c r="EP16" i="2"/>
  <c r="EP62" i="2"/>
  <c r="EP81" i="2"/>
  <c r="EP108" i="2"/>
  <c r="EP182" i="2"/>
  <c r="EP203" i="2"/>
  <c r="EP65" i="2"/>
  <c r="EP66" i="2"/>
  <c r="EP173" i="2"/>
  <c r="EP85" i="2"/>
  <c r="EP161" i="2"/>
  <c r="EP151" i="2"/>
  <c r="EP152" i="2"/>
  <c r="EP162" i="2"/>
  <c r="EP67" i="2"/>
  <c r="EP14" i="2"/>
  <c r="EP82" i="2"/>
  <c r="EP143" i="2"/>
  <c r="EP127" i="2"/>
  <c r="EP115" i="2"/>
  <c r="EP159" i="2"/>
  <c r="EP33" i="2"/>
  <c r="EP179" i="2"/>
  <c r="EP90" i="2"/>
  <c r="EP149" i="2"/>
  <c r="EP136" i="2"/>
  <c r="EP174" i="2"/>
  <c r="EP89" i="2"/>
  <c r="EP96" i="2"/>
  <c r="EP107" i="2"/>
  <c r="EP42" i="2"/>
  <c r="EP52" i="2"/>
  <c r="EP128" i="2"/>
  <c r="EP186" i="2"/>
  <c r="EP181" i="2"/>
  <c r="EP153" i="2"/>
  <c r="EP119" i="2"/>
  <c r="EP117" i="2"/>
  <c r="EP21" i="2"/>
  <c r="EP70" i="2"/>
  <c r="EP77" i="2"/>
  <c r="EP145" i="2"/>
  <c r="EP148" i="2"/>
  <c r="EP200" i="2"/>
  <c r="EP171" i="2"/>
  <c r="EP17" i="2"/>
  <c r="EP139" i="2"/>
  <c r="EP55" i="2"/>
  <c r="EP73" i="2"/>
  <c r="EP19" i="2"/>
  <c r="EP147" i="2"/>
  <c r="EP118" i="2"/>
  <c r="EP185" i="2"/>
  <c r="EP41" i="2"/>
  <c r="EP61" i="2"/>
  <c r="EP13" i="2"/>
  <c r="EP18" i="2"/>
  <c r="EP122" i="2"/>
  <c r="EP101" i="2"/>
  <c r="EP178" i="2"/>
  <c r="EP165" i="2"/>
  <c r="EP80" i="2"/>
  <c r="EP109" i="2"/>
  <c r="EP59" i="2"/>
  <c r="EP36" i="2"/>
  <c r="EP95" i="2"/>
  <c r="FK185" i="2"/>
  <c r="FK24" i="2"/>
  <c r="FK113" i="2"/>
  <c r="FK189" i="2"/>
  <c r="FK75" i="2"/>
  <c r="FK133" i="2"/>
  <c r="FK67" i="2"/>
  <c r="FK155" i="2"/>
  <c r="FK135" i="2"/>
  <c r="FK89" i="2"/>
  <c r="FK82" i="2"/>
  <c r="FK161" i="2"/>
  <c r="FK197" i="2"/>
  <c r="FK15" i="2"/>
  <c r="FK111" i="2"/>
  <c r="FK199" i="2"/>
  <c r="FK175" i="2"/>
  <c r="FK19" i="2"/>
  <c r="FK168" i="2"/>
  <c r="FK46" i="2"/>
  <c r="FK33" i="2"/>
  <c r="FK39" i="2"/>
  <c r="FK59" i="2"/>
  <c r="FK153" i="2"/>
  <c r="FK177" i="2"/>
  <c r="FK60" i="2"/>
  <c r="FK51" i="2"/>
  <c r="FK130" i="2"/>
  <c r="FK27" i="2"/>
  <c r="FK12" i="2"/>
  <c r="FK103" i="2"/>
  <c r="FK195" i="2"/>
  <c r="FK47" i="2"/>
  <c r="FK124" i="2"/>
  <c r="FK137" i="2"/>
  <c r="FK25" i="2"/>
  <c r="FK68" i="2"/>
  <c r="FK57" i="2"/>
  <c r="FK145" i="2"/>
  <c r="FK91" i="2"/>
  <c r="FK49" i="2"/>
  <c r="FK188" i="2"/>
  <c r="FK21" i="2"/>
  <c r="FK112" i="2"/>
  <c r="FK132" i="2"/>
  <c r="FK99" i="2"/>
  <c r="FK187" i="2"/>
  <c r="FK26" i="2"/>
  <c r="FK61" i="2"/>
  <c r="FK106" i="2"/>
  <c r="FK198" i="2"/>
  <c r="FK196" i="2"/>
  <c r="FK143" i="2"/>
  <c r="FK71" i="2"/>
  <c r="FK131" i="2"/>
  <c r="FK125" i="2"/>
  <c r="FK192" i="2"/>
  <c r="FK69" i="2"/>
  <c r="FK118" i="2"/>
  <c r="FK163" i="2"/>
  <c r="FK64" i="2"/>
  <c r="FK140" i="2"/>
  <c r="FK159" i="2"/>
  <c r="FK48" i="2"/>
  <c r="FK93" i="2"/>
  <c r="FK85" i="2"/>
  <c r="FK138" i="2"/>
  <c r="FK79" i="2"/>
  <c r="FK179" i="2"/>
  <c r="FK109" i="2"/>
  <c r="FK170" i="2"/>
  <c r="FK11" i="2"/>
  <c r="FK158" i="2"/>
  <c r="FK34" i="2"/>
  <c r="FK50" i="2"/>
  <c r="FK202" i="2"/>
  <c r="FK88" i="2"/>
  <c r="FK9" i="2"/>
  <c r="FK42" i="2"/>
  <c r="FK134" i="2"/>
  <c r="FK40" i="2"/>
  <c r="FK149" i="2"/>
  <c r="FK22" i="2"/>
  <c r="FK119" i="2"/>
  <c r="FK173" i="2"/>
  <c r="FK55" i="2"/>
  <c r="FK52" i="2"/>
  <c r="FK41" i="2"/>
  <c r="FK129" i="2"/>
  <c r="FK100" i="2"/>
  <c r="FK36" i="2"/>
  <c r="FK164" i="2"/>
  <c r="FK101" i="2"/>
  <c r="FK87" i="2"/>
  <c r="FK35" i="2"/>
  <c r="FK77" i="2"/>
  <c r="FK128" i="2"/>
  <c r="FK121" i="2"/>
  <c r="FK95" i="2"/>
  <c r="FK30" i="2"/>
  <c r="FK107" i="2"/>
  <c r="FK174" i="2"/>
  <c r="FK62" i="2"/>
  <c r="FK139" i="2"/>
  <c r="FK116" i="2"/>
  <c r="FK127" i="2"/>
  <c r="FK166" i="2"/>
  <c r="FK105" i="2"/>
  <c r="FK17" i="2"/>
  <c r="FK191" i="2"/>
  <c r="FK94" i="2"/>
  <c r="FK171" i="2"/>
  <c r="FK141" i="2"/>
  <c r="FK7" i="2"/>
  <c r="FK150" i="2"/>
  <c r="FK123" i="2"/>
  <c r="FK114" i="2"/>
  <c r="FK193" i="2"/>
  <c r="FK154" i="2"/>
  <c r="FK13" i="2"/>
  <c r="FK146" i="2"/>
  <c r="FK23" i="2"/>
  <c r="FK180" i="2"/>
  <c r="FK6" i="2"/>
  <c r="FK160" i="2"/>
  <c r="FK120" i="2"/>
  <c r="FK5" i="2"/>
  <c r="FK80" i="2"/>
  <c r="FK98" i="2"/>
  <c r="FK184" i="2"/>
  <c r="FK178" i="2"/>
  <c r="FK56" i="2"/>
  <c r="FK16" i="2"/>
  <c r="FK97" i="2"/>
  <c r="FK203" i="2"/>
  <c r="FK18" i="2"/>
  <c r="FK200" i="2"/>
  <c r="FK78" i="2"/>
  <c r="FK81" i="2"/>
  <c r="FK44" i="2"/>
  <c r="FK31" i="2"/>
  <c r="FK110" i="2"/>
  <c r="FK53" i="2"/>
  <c r="FK96" i="2"/>
  <c r="FK136" i="2"/>
  <c r="FK37" i="2"/>
  <c r="FK63" i="2"/>
  <c r="FK142" i="2"/>
  <c r="FK28" i="2"/>
  <c r="FK167" i="2"/>
  <c r="FK104" i="2"/>
  <c r="FK183" i="2"/>
  <c r="FK70" i="2"/>
  <c r="FK84" i="2"/>
  <c r="FK83" i="2"/>
  <c r="FK162" i="2"/>
  <c r="FK156" i="2"/>
  <c r="FK108" i="2"/>
  <c r="FK115" i="2"/>
  <c r="FK194" i="2"/>
  <c r="FK117" i="2"/>
  <c r="FK182" i="2"/>
  <c r="FK165" i="2"/>
  <c r="FK10" i="2"/>
  <c r="FK74" i="2"/>
  <c r="FK147" i="2"/>
  <c r="FK38" i="2"/>
  <c r="FK29" i="2"/>
  <c r="FK8" i="2"/>
  <c r="FK190" i="2"/>
  <c r="FK66" i="2"/>
  <c r="FK148" i="2"/>
  <c r="FK169" i="2"/>
  <c r="FK58" i="2"/>
  <c r="FK157" i="2"/>
  <c r="FK172" i="2"/>
  <c r="FK201" i="2"/>
  <c r="FK90" i="2"/>
  <c r="FK181" i="2"/>
  <c r="FK65" i="2"/>
  <c r="FK43" i="2"/>
  <c r="FK186" i="2"/>
  <c r="FK14" i="2"/>
  <c r="FK32" i="2"/>
  <c r="FK122" i="2"/>
  <c r="FK126" i="2"/>
  <c r="FK76" i="2"/>
  <c r="FK73" i="2"/>
  <c r="FK152" i="2"/>
  <c r="FK92" i="2"/>
  <c r="FK20" i="2"/>
  <c r="FK54" i="2"/>
  <c r="FK144" i="2"/>
  <c r="FK4" i="2"/>
  <c r="FK45" i="2"/>
  <c r="FK86" i="2"/>
  <c r="FK176" i="2"/>
  <c r="FK72" i="2"/>
  <c r="FK151" i="2"/>
  <c r="FK102" i="2"/>
  <c r="AO33" i="2"/>
  <c r="AO6" i="2"/>
  <c r="AO162" i="2"/>
  <c r="AO178" i="2"/>
  <c r="AO105" i="2"/>
  <c r="AO78" i="2"/>
  <c r="AO80" i="2"/>
  <c r="AO113" i="2"/>
  <c r="AO148" i="2"/>
  <c r="AO56" i="2"/>
  <c r="AO72" i="2"/>
  <c r="AO100" i="2"/>
  <c r="AO160" i="2"/>
  <c r="AO197" i="2"/>
  <c r="AO96" i="2"/>
  <c r="AO147" i="2"/>
  <c r="AO128" i="2"/>
  <c r="AO108" i="2"/>
  <c r="AO45" i="2"/>
  <c r="AO12" i="2"/>
  <c r="AO130" i="2"/>
  <c r="AO7" i="2"/>
  <c r="AO44" i="2"/>
  <c r="AO69" i="2"/>
  <c r="AO107" i="2"/>
  <c r="AO21" i="2"/>
  <c r="AO28" i="2"/>
  <c r="AO97" i="2"/>
  <c r="AO70" i="2"/>
  <c r="AO58" i="2"/>
  <c r="AO169" i="2"/>
  <c r="AO142" i="2"/>
  <c r="AO109" i="2"/>
  <c r="AO57" i="2"/>
  <c r="AO30" i="2"/>
  <c r="AO200" i="2"/>
  <c r="AO88" i="2"/>
  <c r="AO9" i="2"/>
  <c r="AO164" i="2"/>
  <c r="AO98" i="2"/>
  <c r="AO114" i="2"/>
  <c r="AO192" i="2"/>
  <c r="AO92" i="2"/>
  <c r="AO189" i="2"/>
  <c r="AO54" i="2"/>
  <c r="AO140" i="2"/>
  <c r="AO50" i="2"/>
  <c r="AO135" i="2"/>
  <c r="AO172" i="2"/>
  <c r="AO136" i="2"/>
  <c r="AO52" i="2"/>
  <c r="AO90" i="2"/>
  <c r="AO26" i="2"/>
  <c r="AO129" i="2"/>
  <c r="AO161" i="2"/>
  <c r="AO134" i="2"/>
  <c r="AO201" i="2"/>
  <c r="AO59" i="2"/>
  <c r="AO23" i="2"/>
  <c r="AO168" i="2"/>
  <c r="AO121" i="2"/>
  <c r="AO94" i="2"/>
  <c r="AO122" i="2"/>
  <c r="AO73" i="2"/>
  <c r="AO46" i="2"/>
  <c r="AO196" i="2"/>
  <c r="AO177" i="2"/>
  <c r="AO18" i="2"/>
  <c r="AO38" i="2"/>
  <c r="AO188" i="2"/>
  <c r="AO182" i="2"/>
  <c r="AO86" i="2"/>
  <c r="AO191" i="2"/>
  <c r="AO118" i="2"/>
  <c r="AO180" i="2"/>
  <c r="AO157" i="2"/>
  <c r="AO102" i="2"/>
  <c r="AO47" i="2"/>
  <c r="AO202" i="2"/>
  <c r="AO144" i="2"/>
  <c r="AO51" i="2"/>
  <c r="AO15" i="2"/>
  <c r="AO146" i="2"/>
  <c r="AO123" i="2"/>
  <c r="AO87" i="2"/>
  <c r="AO64" i="2"/>
  <c r="AO11" i="2"/>
  <c r="AO158" i="2"/>
  <c r="AO40" i="2"/>
  <c r="AO137" i="2"/>
  <c r="AO110" i="2"/>
  <c r="AO165" i="2"/>
  <c r="AO131" i="2"/>
  <c r="AO85" i="2"/>
  <c r="AO166" i="2"/>
  <c r="AO127" i="2"/>
  <c r="AO31" i="2"/>
  <c r="AO65" i="2"/>
  <c r="AO37" i="2"/>
  <c r="AO63" i="2"/>
  <c r="AO126" i="2"/>
  <c r="AO115" i="2"/>
  <c r="AO79" i="2"/>
  <c r="AO42" i="2"/>
  <c r="AO4" i="2"/>
  <c r="AO151" i="2"/>
  <c r="AO203" i="2"/>
  <c r="AO75" i="2"/>
  <c r="AO39" i="2"/>
  <c r="AO194" i="2"/>
  <c r="AO27" i="2"/>
  <c r="AO174" i="2"/>
  <c r="AO82" i="2"/>
  <c r="AO76" i="2"/>
  <c r="AO154" i="2"/>
  <c r="AO111" i="2"/>
  <c r="AO181" i="2"/>
  <c r="AO159" i="2"/>
  <c r="AO43" i="2"/>
  <c r="AO125" i="2"/>
  <c r="AO10" i="2"/>
  <c r="AO71" i="2"/>
  <c r="AO25" i="2"/>
  <c r="AO179" i="2"/>
  <c r="AO143" i="2"/>
  <c r="AO195" i="2"/>
  <c r="AO68" i="2"/>
  <c r="AO74" i="2"/>
  <c r="AO133" i="2"/>
  <c r="AO139" i="2"/>
  <c r="AO103" i="2"/>
  <c r="AO106" i="2"/>
  <c r="AO91" i="2"/>
  <c r="AO55" i="2"/>
  <c r="AO24" i="2"/>
  <c r="AO22" i="2"/>
  <c r="AO198" i="2"/>
  <c r="AO138" i="2"/>
  <c r="AO17" i="2"/>
  <c r="AO16" i="2"/>
  <c r="AO34" i="2"/>
  <c r="AO171" i="2"/>
  <c r="AO187" i="2"/>
  <c r="AO120" i="2"/>
  <c r="AO32" i="2"/>
  <c r="AO156" i="2"/>
  <c r="AO77" i="2"/>
  <c r="AO89" i="2"/>
  <c r="AO60" i="2"/>
  <c r="AO53" i="2"/>
  <c r="AO112" i="2"/>
  <c r="AO132" i="2"/>
  <c r="AO13" i="2"/>
  <c r="AO29" i="2"/>
  <c r="AO20" i="2"/>
  <c r="AO167" i="2"/>
  <c r="AO5" i="2"/>
  <c r="AO155" i="2"/>
  <c r="AO119" i="2"/>
  <c r="AO149" i="2"/>
  <c r="AO150" i="2"/>
  <c r="AO66" i="2"/>
  <c r="AO35" i="2"/>
  <c r="AO104" i="2"/>
  <c r="AO81" i="2"/>
  <c r="AO101" i="2"/>
  <c r="AO116" i="2"/>
  <c r="AO173" i="2"/>
  <c r="AO145" i="2"/>
  <c r="AO185" i="2"/>
  <c r="AO141" i="2"/>
  <c r="AO93" i="2"/>
  <c r="AO124" i="2"/>
  <c r="AO199" i="2"/>
  <c r="AO8" i="2"/>
  <c r="AO41" i="2"/>
  <c r="AO14" i="2"/>
  <c r="AO184" i="2"/>
  <c r="AO190" i="2"/>
  <c r="AO49" i="2"/>
  <c r="AO84" i="2"/>
  <c r="AO117" i="2"/>
  <c r="AO176" i="2"/>
  <c r="AO36" i="2"/>
  <c r="AO183" i="2"/>
  <c r="AO48" i="2"/>
  <c r="AO95" i="2"/>
  <c r="AO19" i="2"/>
  <c r="AO61" i="2"/>
  <c r="AO163" i="2"/>
  <c r="AO170" i="2"/>
  <c r="AO67" i="2"/>
  <c r="AO186" i="2"/>
  <c r="AO62" i="2"/>
  <c r="AO99" i="2"/>
  <c r="AO152" i="2"/>
  <c r="AO153" i="2"/>
  <c r="AO193" i="2"/>
  <c r="AO83" i="2"/>
  <c r="AO175" i="2"/>
  <c r="P43" i="2"/>
  <c r="Q43" i="2" s="1"/>
  <c r="R43" i="2" s="1"/>
  <c r="N45" i="2"/>
  <c r="O44" i="2"/>
  <c r="GV183" i="2"/>
  <c r="GW183" i="2" s="1"/>
  <c r="GX183" i="2" s="1"/>
  <c r="GY183" i="2" s="1"/>
  <c r="GW182" i="2"/>
  <c r="GX182" i="2" s="1"/>
  <c r="GY182" i="2" s="1"/>
  <c r="GA183" i="2"/>
  <c r="GB182" i="2"/>
  <c r="GC182" i="2" s="1"/>
  <c r="GD182" i="2" s="1"/>
  <c r="EY184" i="2"/>
  <c r="EV185" i="2"/>
  <c r="GL185" i="2"/>
  <c r="GO184" i="2"/>
  <c r="AU183" i="2"/>
  <c r="AX182" i="2"/>
  <c r="HJ184" i="2"/>
  <c r="HG185" i="2"/>
  <c r="FT184" i="2"/>
  <c r="FQ185" i="2"/>
  <c r="CK185" i="2"/>
  <c r="CN184" i="2"/>
  <c r="ED184" i="2"/>
  <c r="EA185" i="2"/>
  <c r="AC184" i="2"/>
  <c r="Z185" i="2"/>
  <c r="DF185" i="2"/>
  <c r="DI184" i="2"/>
  <c r="HA3" i="2"/>
  <c r="D15" i="4" s="1"/>
  <c r="FG182" i="2"/>
  <c r="FH182" i="2" s="1"/>
  <c r="FI182" i="2" s="1"/>
  <c r="FF183" i="2"/>
  <c r="FK3" i="2"/>
  <c r="D13" i="4" s="1"/>
  <c r="EL182" i="2"/>
  <c r="EM182" i="2" s="1"/>
  <c r="EN182" i="2" s="1"/>
  <c r="EK183" i="2"/>
  <c r="EP3" i="2"/>
  <c r="D12" i="4" s="1"/>
  <c r="DP183" i="2"/>
  <c r="DQ182" i="2"/>
  <c r="DR182" i="2" s="1"/>
  <c r="DS182" i="2" s="1"/>
  <c r="CV182" i="2"/>
  <c r="CW182" i="2" s="1"/>
  <c r="CX182" i="2" s="1"/>
  <c r="CU183" i="2"/>
  <c r="CA182" i="2"/>
  <c r="CB182" i="2" s="1"/>
  <c r="CC182" i="2" s="1"/>
  <c r="BZ183" i="2"/>
  <c r="BF182" i="2"/>
  <c r="BG182" i="2" s="1"/>
  <c r="BH182" i="2" s="1"/>
  <c r="BE183" i="2"/>
  <c r="AJ183" i="2"/>
  <c r="AK182" i="2"/>
  <c r="AL182" i="2" s="1"/>
  <c r="AM182" i="2" s="1"/>
  <c r="AO3" i="2"/>
  <c r="D7" i="4" s="1"/>
  <c r="FF34" i="2"/>
  <c r="FG34" i="2" s="1"/>
  <c r="FH34" i="2" s="1"/>
  <c r="FI34" i="2" s="1"/>
  <c r="DP35" i="2"/>
  <c r="DQ35" i="2" s="1"/>
  <c r="DR35" i="2" s="1"/>
  <c r="DS35" i="2" s="1"/>
  <c r="BZ35" i="2"/>
  <c r="CA35" i="2" s="1"/>
  <c r="CB35" i="2" s="1"/>
  <c r="CC35" i="2" s="1"/>
  <c r="EK34" i="2"/>
  <c r="EL34" i="2" s="1"/>
  <c r="EM34" i="2" s="1"/>
  <c r="EN34" i="2" s="1"/>
  <c r="GV34" i="2"/>
  <c r="GW34" i="2" s="1"/>
  <c r="GX34" i="2" s="1"/>
  <c r="GY34" i="2" s="1"/>
  <c r="CU35" i="2"/>
  <c r="CV35" i="2" s="1"/>
  <c r="CW35" i="2" s="1"/>
  <c r="CX35" i="2" s="1"/>
  <c r="GA35" i="2"/>
  <c r="GB35" i="2" s="1"/>
  <c r="GC35" i="2" s="1"/>
  <c r="GD35" i="2" s="1"/>
  <c r="AJ34" i="2"/>
  <c r="AK34" i="2" s="1"/>
  <c r="AL34" i="2" s="1"/>
  <c r="AM34" i="2" s="1"/>
  <c r="P44" i="2" l="1"/>
  <c r="Q44" i="2"/>
  <c r="R44" i="2" s="1"/>
  <c r="N46" i="2"/>
  <c r="O45" i="2"/>
  <c r="GV184" i="2"/>
  <c r="GW184" i="2" s="1"/>
  <c r="GX184" i="2" s="1"/>
  <c r="GY184" i="2" s="1"/>
  <c r="GA184" i="2"/>
  <c r="GB183" i="2"/>
  <c r="GC183" i="2" s="1"/>
  <c r="GD183" i="2" s="1"/>
  <c r="HG186" i="2"/>
  <c r="HJ185" i="2"/>
  <c r="EA186" i="2"/>
  <c r="ED185" i="2"/>
  <c r="Z186" i="2"/>
  <c r="AC185" i="2"/>
  <c r="AU184" i="2"/>
  <c r="AX183" i="2"/>
  <c r="CK186" i="2"/>
  <c r="CN185" i="2"/>
  <c r="GO185" i="2"/>
  <c r="GL186" i="2"/>
  <c r="FQ186" i="2"/>
  <c r="FT185" i="2"/>
  <c r="EV186" i="2"/>
  <c r="EY185" i="2"/>
  <c r="DF186" i="2"/>
  <c r="DI185" i="2"/>
  <c r="FF184" i="2"/>
  <c r="FG183" i="2"/>
  <c r="FH183" i="2" s="1"/>
  <c r="FI183" i="2" s="1"/>
  <c r="EK184" i="2"/>
  <c r="EL183" i="2"/>
  <c r="EM183" i="2" s="1"/>
  <c r="EN183" i="2" s="1"/>
  <c r="DQ183" i="2"/>
  <c r="DR183" i="2" s="1"/>
  <c r="DS183" i="2" s="1"/>
  <c r="DP184" i="2"/>
  <c r="CV183" i="2"/>
  <c r="CW183" i="2" s="1"/>
  <c r="CX183" i="2" s="1"/>
  <c r="CU184" i="2"/>
  <c r="BZ184" i="2"/>
  <c r="CA183" i="2"/>
  <c r="CB183" i="2" s="1"/>
  <c r="CC183" i="2" s="1"/>
  <c r="BE184" i="2"/>
  <c r="BF183" i="2"/>
  <c r="BG183" i="2" s="1"/>
  <c r="BH183" i="2" s="1"/>
  <c r="AJ184" i="2"/>
  <c r="AK183" i="2"/>
  <c r="AL183" i="2" s="1"/>
  <c r="AM183" i="2" s="1"/>
  <c r="CU36" i="2"/>
  <c r="CV36" i="2" s="1"/>
  <c r="CW36" i="2" s="1"/>
  <c r="CX36" i="2" s="1"/>
  <c r="EK35" i="2"/>
  <c r="EL35" i="2" s="1"/>
  <c r="EM35" i="2" s="1"/>
  <c r="EN35" i="2" s="1"/>
  <c r="DP36" i="2"/>
  <c r="DQ36" i="2" s="1"/>
  <c r="DR36" i="2" s="1"/>
  <c r="DS36" i="2" s="1"/>
  <c r="GA36" i="2"/>
  <c r="GB36" i="2" s="1"/>
  <c r="GC36" i="2" s="1"/>
  <c r="GD36" i="2" s="1"/>
  <c r="GV35" i="2"/>
  <c r="GW35" i="2" s="1"/>
  <c r="GX35" i="2" s="1"/>
  <c r="GY35" i="2" s="1"/>
  <c r="BZ36" i="2"/>
  <c r="CA36" i="2" s="1"/>
  <c r="CB36" i="2" s="1"/>
  <c r="CC36" i="2" s="1"/>
  <c r="FF35" i="2"/>
  <c r="FG35" i="2" s="1"/>
  <c r="FH35" i="2" s="1"/>
  <c r="FI35" i="2" s="1"/>
  <c r="AJ35" i="2"/>
  <c r="AK35" i="2" s="1"/>
  <c r="AL35" i="2" s="1"/>
  <c r="AM35" i="2" s="1"/>
  <c r="P45" i="2" l="1"/>
  <c r="Q45" i="2"/>
  <c r="R45" i="2" s="1"/>
  <c r="N47" i="2"/>
  <c r="O46" i="2"/>
  <c r="GV185" i="2"/>
  <c r="GA185" i="2"/>
  <c r="GB185" i="2" s="1"/>
  <c r="GC185" i="2" s="1"/>
  <c r="GD185" i="2" s="1"/>
  <c r="GB184" i="2"/>
  <c r="GC184" i="2" s="1"/>
  <c r="GD184" i="2" s="1"/>
  <c r="EY186" i="2"/>
  <c r="EV187" i="2"/>
  <c r="AU185" i="2"/>
  <c r="AX184" i="2"/>
  <c r="FQ187" i="2"/>
  <c r="FT186" i="2"/>
  <c r="Z187" i="2"/>
  <c r="AC186" i="2"/>
  <c r="GL187" i="2"/>
  <c r="GO186" i="2"/>
  <c r="ED186" i="2"/>
  <c r="EA187" i="2"/>
  <c r="CN186" i="2"/>
  <c r="CK187" i="2"/>
  <c r="HJ186" i="2"/>
  <c r="HG187" i="2"/>
  <c r="DF187" i="2"/>
  <c r="DI186" i="2"/>
  <c r="FG184" i="2"/>
  <c r="FH184" i="2" s="1"/>
  <c r="FI184" i="2" s="1"/>
  <c r="FF185" i="2"/>
  <c r="EL184" i="2"/>
  <c r="EM184" i="2" s="1"/>
  <c r="EN184" i="2" s="1"/>
  <c r="EK185" i="2"/>
  <c r="DQ184" i="2"/>
  <c r="DR184" i="2" s="1"/>
  <c r="DS184" i="2" s="1"/>
  <c r="DP185" i="2"/>
  <c r="CU185" i="2"/>
  <c r="CV184" i="2"/>
  <c r="CW184" i="2" s="1"/>
  <c r="CX184" i="2" s="1"/>
  <c r="CA184" i="2"/>
  <c r="CB184" i="2" s="1"/>
  <c r="CC184" i="2" s="1"/>
  <c r="BZ185" i="2"/>
  <c r="BE185" i="2"/>
  <c r="BF184" i="2"/>
  <c r="BG184" i="2" s="1"/>
  <c r="BH184" i="2" s="1"/>
  <c r="AK184" i="2"/>
  <c r="AL184" i="2" s="1"/>
  <c r="AM184" i="2" s="1"/>
  <c r="AJ185" i="2"/>
  <c r="BZ37" i="2"/>
  <c r="CA37" i="2" s="1"/>
  <c r="CB37" i="2" s="1"/>
  <c r="CC37" i="2" s="1"/>
  <c r="GA37" i="2"/>
  <c r="GB37" i="2" s="1"/>
  <c r="GC37" i="2" s="1"/>
  <c r="GD37" i="2" s="1"/>
  <c r="EK36" i="2"/>
  <c r="EL36" i="2" s="1"/>
  <c r="EM36" i="2" s="1"/>
  <c r="EN36" i="2" s="1"/>
  <c r="FF36" i="2"/>
  <c r="FG36" i="2" s="1"/>
  <c r="FH36" i="2" s="1"/>
  <c r="FI36" i="2" s="1"/>
  <c r="GV36" i="2"/>
  <c r="GW36" i="2" s="1"/>
  <c r="GX36" i="2" s="1"/>
  <c r="GY36" i="2" s="1"/>
  <c r="DP37" i="2"/>
  <c r="DQ37" i="2" s="1"/>
  <c r="DR37" i="2" s="1"/>
  <c r="DS37" i="2" s="1"/>
  <c r="CU37" i="2"/>
  <c r="CV37" i="2" s="1"/>
  <c r="CW37" i="2" s="1"/>
  <c r="CX37" i="2" s="1"/>
  <c r="AJ36" i="2"/>
  <c r="AK36" i="2" s="1"/>
  <c r="AL36" i="2" s="1"/>
  <c r="AM36" i="2" s="1"/>
  <c r="P46" i="2" l="1"/>
  <c r="Q46" i="2" s="1"/>
  <c r="R46" i="2" s="1"/>
  <c r="N48" i="2"/>
  <c r="O47" i="2"/>
  <c r="GV186" i="2"/>
  <c r="GW185" i="2"/>
  <c r="GX185" i="2" s="1"/>
  <c r="GY185" i="2" s="1"/>
  <c r="GA186" i="2"/>
  <c r="HG188" i="2"/>
  <c r="HJ187" i="2"/>
  <c r="AC187" i="2"/>
  <c r="Z188" i="2"/>
  <c r="CK188" i="2"/>
  <c r="CN187" i="2"/>
  <c r="FQ188" i="2"/>
  <c r="FT187" i="2"/>
  <c r="EA188" i="2"/>
  <c r="ED187" i="2"/>
  <c r="AU186" i="2"/>
  <c r="AX185" i="2"/>
  <c r="EV188" i="2"/>
  <c r="EY187" i="2"/>
  <c r="GO187" i="2"/>
  <c r="GL188" i="2"/>
  <c r="DI187" i="2"/>
  <c r="DF188" i="2"/>
  <c r="FG185" i="2"/>
  <c r="FH185" i="2" s="1"/>
  <c r="FI185" i="2" s="1"/>
  <c r="FF186" i="2"/>
  <c r="EK186" i="2"/>
  <c r="EL185" i="2"/>
  <c r="EM185" i="2" s="1"/>
  <c r="EN185" i="2" s="1"/>
  <c r="DP186" i="2"/>
  <c r="DQ185" i="2"/>
  <c r="DR185" i="2" s="1"/>
  <c r="DS185" i="2" s="1"/>
  <c r="CV185" i="2"/>
  <c r="CW185" i="2" s="1"/>
  <c r="CX185" i="2" s="1"/>
  <c r="CU186" i="2"/>
  <c r="BZ186" i="2"/>
  <c r="CA185" i="2"/>
  <c r="CB185" i="2"/>
  <c r="CC185" i="2" s="1"/>
  <c r="BE186" i="2"/>
  <c r="BF185" i="2"/>
  <c r="BG185" i="2" s="1"/>
  <c r="BH185" i="2" s="1"/>
  <c r="AJ186" i="2"/>
  <c r="AK185" i="2"/>
  <c r="AL185" i="2" s="1"/>
  <c r="AM185" i="2" s="1"/>
  <c r="DP38" i="2"/>
  <c r="DQ38" i="2" s="1"/>
  <c r="DR38" i="2" s="1"/>
  <c r="DS38" i="2" s="1"/>
  <c r="FF37" i="2"/>
  <c r="FG37" i="2" s="1"/>
  <c r="FH37" i="2" s="1"/>
  <c r="FI37" i="2" s="1"/>
  <c r="GA38" i="2"/>
  <c r="GB38" i="2" s="1"/>
  <c r="GC38" i="2" s="1"/>
  <c r="GD38" i="2" s="1"/>
  <c r="CU38" i="2"/>
  <c r="CV38" i="2" s="1"/>
  <c r="CW38" i="2" s="1"/>
  <c r="CX38" i="2" s="1"/>
  <c r="GV37" i="2"/>
  <c r="GW37" i="2" s="1"/>
  <c r="GX37" i="2" s="1"/>
  <c r="GY37" i="2" s="1"/>
  <c r="EK37" i="2"/>
  <c r="EL37" i="2" s="1"/>
  <c r="EM37" i="2" s="1"/>
  <c r="EN37" i="2" s="1"/>
  <c r="BZ38" i="2"/>
  <c r="CA38" i="2" s="1"/>
  <c r="CB38" i="2" s="1"/>
  <c r="CC38" i="2" s="1"/>
  <c r="AJ37" i="2"/>
  <c r="AK37" i="2" s="1"/>
  <c r="AL37" i="2" s="1"/>
  <c r="AM37" i="2" s="1"/>
  <c r="P47" i="2" l="1"/>
  <c r="Q47" i="2"/>
  <c r="R47" i="2" s="1"/>
  <c r="N49" i="2"/>
  <c r="O48" i="2"/>
  <c r="GV187" i="2"/>
  <c r="GW187" i="2" s="1"/>
  <c r="GX187" i="2" s="1"/>
  <c r="GY187" i="2" s="1"/>
  <c r="GW186" i="2"/>
  <c r="GX186" i="2" s="1"/>
  <c r="GY186" i="2" s="1"/>
  <c r="GA187" i="2"/>
  <c r="GB186" i="2"/>
  <c r="GC186" i="2" s="1"/>
  <c r="GD186" i="2" s="1"/>
  <c r="GL189" i="2"/>
  <c r="GO188" i="2"/>
  <c r="FQ189" i="2"/>
  <c r="FT188" i="2"/>
  <c r="EY188" i="2"/>
  <c r="EV189" i="2"/>
  <c r="CK189" i="2"/>
  <c r="CN188" i="2"/>
  <c r="AC188" i="2"/>
  <c r="Z189" i="2"/>
  <c r="AU187" i="2"/>
  <c r="AX186" i="2"/>
  <c r="ED188" i="2"/>
  <c r="EA189" i="2"/>
  <c r="HJ188" i="2"/>
  <c r="HG189" i="2"/>
  <c r="DI188" i="2"/>
  <c r="DF189" i="2"/>
  <c r="FG186" i="2"/>
  <c r="FH186" i="2" s="1"/>
  <c r="FI186" i="2" s="1"/>
  <c r="FF187" i="2"/>
  <c r="EL186" i="2"/>
  <c r="EM186" i="2" s="1"/>
  <c r="EN186" i="2" s="1"/>
  <c r="EK187" i="2"/>
  <c r="DQ186" i="2"/>
  <c r="DR186" i="2" s="1"/>
  <c r="DS186" i="2" s="1"/>
  <c r="DP187" i="2"/>
  <c r="CV186" i="2"/>
  <c r="CW186" i="2" s="1"/>
  <c r="CX186" i="2" s="1"/>
  <c r="CU187" i="2"/>
  <c r="CA186" i="2"/>
  <c r="CB186" i="2" s="1"/>
  <c r="CC186" i="2" s="1"/>
  <c r="BZ187" i="2"/>
  <c r="BE187" i="2"/>
  <c r="BF186" i="2"/>
  <c r="BG186" i="2" s="1"/>
  <c r="BH186" i="2" s="1"/>
  <c r="AK186" i="2"/>
  <c r="AL186" i="2" s="1"/>
  <c r="AM186" i="2" s="1"/>
  <c r="AJ187" i="2"/>
  <c r="EK38" i="2"/>
  <c r="EL38" i="2" s="1"/>
  <c r="EM38" i="2" s="1"/>
  <c r="EN38" i="2" s="1"/>
  <c r="CU39" i="2"/>
  <c r="CV39" i="2" s="1"/>
  <c r="CW39" i="2" s="1"/>
  <c r="CX39" i="2" s="1"/>
  <c r="FF38" i="2"/>
  <c r="FG38" i="2" s="1"/>
  <c r="FH38" i="2" s="1"/>
  <c r="FI38" i="2" s="1"/>
  <c r="BZ39" i="2"/>
  <c r="CA39" i="2" s="1"/>
  <c r="CB39" i="2" s="1"/>
  <c r="CC39" i="2" s="1"/>
  <c r="GV38" i="2"/>
  <c r="GW38" i="2" s="1"/>
  <c r="GX38" i="2" s="1"/>
  <c r="GY38" i="2" s="1"/>
  <c r="GA39" i="2"/>
  <c r="GB39" i="2" s="1"/>
  <c r="GC39" i="2" s="1"/>
  <c r="GD39" i="2" s="1"/>
  <c r="DP39" i="2"/>
  <c r="DQ39" i="2" s="1"/>
  <c r="DR39" i="2" s="1"/>
  <c r="DS39" i="2" s="1"/>
  <c r="AJ38" i="2"/>
  <c r="AK38" i="2" s="1"/>
  <c r="AL38" i="2" s="1"/>
  <c r="AM38" i="2" s="1"/>
  <c r="P48" i="2" l="1"/>
  <c r="Q48" i="2" s="1"/>
  <c r="R48" i="2" s="1"/>
  <c r="N50" i="2"/>
  <c r="O49" i="2"/>
  <c r="GV188" i="2"/>
  <c r="GW188" i="2" s="1"/>
  <c r="GX188" i="2" s="1"/>
  <c r="GY188" i="2" s="1"/>
  <c r="GA188" i="2"/>
  <c r="GB188" i="2" s="1"/>
  <c r="GC188" i="2" s="1"/>
  <c r="GD188" i="2" s="1"/>
  <c r="GB187" i="2"/>
  <c r="GC187" i="2" s="1"/>
  <c r="GD187" i="2" s="1"/>
  <c r="HG190" i="2"/>
  <c r="HJ189" i="2"/>
  <c r="CK190" i="2"/>
  <c r="CN189" i="2"/>
  <c r="EA190" i="2"/>
  <c r="ED189" i="2"/>
  <c r="EV190" i="2"/>
  <c r="EY189" i="2"/>
  <c r="AU188" i="2"/>
  <c r="AX187" i="2"/>
  <c r="FT189" i="2"/>
  <c r="FQ190" i="2"/>
  <c r="AC189" i="2"/>
  <c r="Z190" i="2"/>
  <c r="GO189" i="2"/>
  <c r="GL190" i="2"/>
  <c r="DF190" i="2"/>
  <c r="DI189" i="2"/>
  <c r="FG187" i="2"/>
  <c r="FH187" i="2" s="1"/>
  <c r="FI187" i="2" s="1"/>
  <c r="FF188" i="2"/>
  <c r="EK188" i="2"/>
  <c r="EL187" i="2"/>
  <c r="EM187" i="2" s="1"/>
  <c r="EN187" i="2" s="1"/>
  <c r="DP188" i="2"/>
  <c r="DQ187" i="2"/>
  <c r="DR187" i="2" s="1"/>
  <c r="DS187" i="2" s="1"/>
  <c r="CV187" i="2"/>
  <c r="CW187" i="2" s="1"/>
  <c r="CX187" i="2" s="1"/>
  <c r="CU188" i="2"/>
  <c r="BZ188" i="2"/>
  <c r="CA187" i="2"/>
  <c r="CB187" i="2" s="1"/>
  <c r="CC187" i="2" s="1"/>
  <c r="BE188" i="2"/>
  <c r="BF187" i="2"/>
  <c r="BG187" i="2" s="1"/>
  <c r="BH187" i="2" s="1"/>
  <c r="AK187" i="2"/>
  <c r="AL187" i="2" s="1"/>
  <c r="AM187" i="2" s="1"/>
  <c r="AJ188" i="2"/>
  <c r="GA40" i="2"/>
  <c r="GB40" i="2" s="1"/>
  <c r="GC40" i="2" s="1"/>
  <c r="GD40" i="2" s="1"/>
  <c r="BZ40" i="2"/>
  <c r="CA40" i="2" s="1"/>
  <c r="CB40" i="2" s="1"/>
  <c r="CC40" i="2" s="1"/>
  <c r="CU40" i="2"/>
  <c r="CV40" i="2" s="1"/>
  <c r="CW40" i="2" s="1"/>
  <c r="CX40" i="2" s="1"/>
  <c r="DP40" i="2"/>
  <c r="DQ40" i="2" s="1"/>
  <c r="DR40" i="2" s="1"/>
  <c r="DS40" i="2" s="1"/>
  <c r="GV39" i="2"/>
  <c r="GW39" i="2" s="1"/>
  <c r="GX39" i="2" s="1"/>
  <c r="GY39" i="2" s="1"/>
  <c r="FF39" i="2"/>
  <c r="FG39" i="2" s="1"/>
  <c r="FH39" i="2" s="1"/>
  <c r="FI39" i="2" s="1"/>
  <c r="EK39" i="2"/>
  <c r="EL39" i="2" s="1"/>
  <c r="EM39" i="2" s="1"/>
  <c r="EN39" i="2" s="1"/>
  <c r="AJ39" i="2"/>
  <c r="AK39" i="2" s="1"/>
  <c r="AL39" i="2" s="1"/>
  <c r="AM39" i="2" s="1"/>
  <c r="N51" i="2" l="1"/>
  <c r="O50" i="2"/>
  <c r="P49" i="2"/>
  <c r="Q49" i="2" s="1"/>
  <c r="R49" i="2" s="1"/>
  <c r="GV189" i="2"/>
  <c r="GW189" i="2" s="1"/>
  <c r="GX189" i="2" s="1"/>
  <c r="GY189" i="2" s="1"/>
  <c r="GA189" i="2"/>
  <c r="GO190" i="2"/>
  <c r="GL191" i="2"/>
  <c r="EV191" i="2"/>
  <c r="EY190" i="2"/>
  <c r="Z191" i="2"/>
  <c r="AC190" i="2"/>
  <c r="ED190" i="2"/>
  <c r="EA191" i="2"/>
  <c r="FT190" i="2"/>
  <c r="FQ191" i="2"/>
  <c r="CN190" i="2"/>
  <c r="CK191" i="2"/>
  <c r="AX188" i="2"/>
  <c r="AU189" i="2"/>
  <c r="HJ190" i="2"/>
  <c r="HG191" i="2"/>
  <c r="DI190" i="2"/>
  <c r="DF191" i="2"/>
  <c r="FF189" i="2"/>
  <c r="FG188" i="2"/>
  <c r="FH188" i="2" s="1"/>
  <c r="FI188" i="2" s="1"/>
  <c r="EL188" i="2"/>
  <c r="EM188" i="2" s="1"/>
  <c r="EN188" i="2" s="1"/>
  <c r="EK189" i="2"/>
  <c r="DQ188" i="2"/>
  <c r="DR188" i="2" s="1"/>
  <c r="DS188" i="2" s="1"/>
  <c r="DP189" i="2"/>
  <c r="CV188" i="2"/>
  <c r="CW188" i="2" s="1"/>
  <c r="CX188" i="2" s="1"/>
  <c r="CU189" i="2"/>
  <c r="CA188" i="2"/>
  <c r="CB188" i="2" s="1"/>
  <c r="CC188" i="2" s="1"/>
  <c r="BZ189" i="2"/>
  <c r="BE189" i="2"/>
  <c r="BF188" i="2"/>
  <c r="BG188" i="2" s="1"/>
  <c r="BH188" i="2" s="1"/>
  <c r="AJ189" i="2"/>
  <c r="AK188" i="2"/>
  <c r="AL188" i="2" s="1"/>
  <c r="AM188" i="2" s="1"/>
  <c r="FF40" i="2"/>
  <c r="FG40" i="2" s="1"/>
  <c r="FH40" i="2" s="1"/>
  <c r="FI40" i="2" s="1"/>
  <c r="DP41" i="2"/>
  <c r="DQ41" i="2" s="1"/>
  <c r="DR41" i="2" s="1"/>
  <c r="DS41" i="2" s="1"/>
  <c r="BZ41" i="2"/>
  <c r="CA41" i="2" s="1"/>
  <c r="CB41" i="2" s="1"/>
  <c r="CC41" i="2" s="1"/>
  <c r="EK40" i="2"/>
  <c r="EL40" i="2" s="1"/>
  <c r="EM40" i="2" s="1"/>
  <c r="EN40" i="2" s="1"/>
  <c r="GV40" i="2"/>
  <c r="GW40" i="2" s="1"/>
  <c r="GX40" i="2" s="1"/>
  <c r="GY40" i="2" s="1"/>
  <c r="CU41" i="2"/>
  <c r="CV41" i="2" s="1"/>
  <c r="CW41" i="2" s="1"/>
  <c r="CX41" i="2" s="1"/>
  <c r="GA41" i="2"/>
  <c r="GB41" i="2" s="1"/>
  <c r="GC41" i="2" s="1"/>
  <c r="GD41" i="2" s="1"/>
  <c r="AJ40" i="2"/>
  <c r="AK40" i="2" s="1"/>
  <c r="AL40" i="2" s="1"/>
  <c r="AM40" i="2" s="1"/>
  <c r="P50" i="2" l="1"/>
  <c r="Q50" i="2"/>
  <c r="R50" i="2" s="1"/>
  <c r="N52" i="2"/>
  <c r="O51" i="2"/>
  <c r="GV190" i="2"/>
  <c r="GA190" i="2"/>
  <c r="GB189" i="2"/>
  <c r="GC189" i="2" s="1"/>
  <c r="GD189" i="2" s="1"/>
  <c r="AU190" i="2"/>
  <c r="AX189" i="2"/>
  <c r="HG192" i="2"/>
  <c r="HJ191" i="2"/>
  <c r="AC191" i="2"/>
  <c r="Z192" i="2"/>
  <c r="EA192" i="2"/>
  <c r="ED191" i="2"/>
  <c r="CK192" i="2"/>
  <c r="CN191" i="2"/>
  <c r="EY191" i="2"/>
  <c r="EV192" i="2"/>
  <c r="FQ192" i="2"/>
  <c r="FT191" i="2"/>
  <c r="GL192" i="2"/>
  <c r="GO191" i="2"/>
  <c r="DF192" i="2"/>
  <c r="DI191" i="2"/>
  <c r="FF190" i="2"/>
  <c r="FG189" i="2"/>
  <c r="FH189" i="2" s="1"/>
  <c r="FI189" i="2" s="1"/>
  <c r="EK190" i="2"/>
  <c r="EL189" i="2"/>
  <c r="EM189" i="2" s="1"/>
  <c r="EN189" i="2" s="1"/>
  <c r="DP190" i="2"/>
  <c r="DQ189" i="2"/>
  <c r="DR189" i="2" s="1"/>
  <c r="DS189" i="2" s="1"/>
  <c r="CU190" i="2"/>
  <c r="CV189" i="2"/>
  <c r="CW189" i="2" s="1"/>
  <c r="CX189" i="2" s="1"/>
  <c r="BZ190" i="2"/>
  <c r="CA189" i="2"/>
  <c r="CB189" i="2" s="1"/>
  <c r="CC189" i="2" s="1"/>
  <c r="BF189" i="2"/>
  <c r="BG189" i="2" s="1"/>
  <c r="BH189" i="2" s="1"/>
  <c r="BE190" i="2"/>
  <c r="AJ190" i="2"/>
  <c r="AK189" i="2"/>
  <c r="AL189" i="2" s="1"/>
  <c r="AM189" i="2" s="1"/>
  <c r="CU42" i="2"/>
  <c r="CV42" i="2" s="1"/>
  <c r="CW42" i="2" s="1"/>
  <c r="CX42" i="2" s="1"/>
  <c r="EK41" i="2"/>
  <c r="EL41" i="2" s="1"/>
  <c r="EM41" i="2" s="1"/>
  <c r="EN41" i="2" s="1"/>
  <c r="DP42" i="2"/>
  <c r="DQ42" i="2" s="1"/>
  <c r="DR42" i="2" s="1"/>
  <c r="DS42" i="2" s="1"/>
  <c r="GA42" i="2"/>
  <c r="GB42" i="2" s="1"/>
  <c r="GC42" i="2" s="1"/>
  <c r="GD42" i="2" s="1"/>
  <c r="GV41" i="2"/>
  <c r="GW41" i="2" s="1"/>
  <c r="GX41" i="2" s="1"/>
  <c r="GY41" i="2" s="1"/>
  <c r="BZ42" i="2"/>
  <c r="CA42" i="2" s="1"/>
  <c r="CB42" i="2" s="1"/>
  <c r="CC42" i="2" s="1"/>
  <c r="FF41" i="2"/>
  <c r="FG41" i="2" s="1"/>
  <c r="FH41" i="2" s="1"/>
  <c r="FI41" i="2" s="1"/>
  <c r="AJ41" i="2"/>
  <c r="AK41" i="2" s="1"/>
  <c r="AL41" i="2" s="1"/>
  <c r="AM41" i="2" s="1"/>
  <c r="P51" i="2" l="1"/>
  <c r="Q51" i="2"/>
  <c r="R51" i="2" s="1"/>
  <c r="N53" i="2"/>
  <c r="O52" i="2"/>
  <c r="GV191" i="2"/>
  <c r="GW191" i="2" s="1"/>
  <c r="GX191" i="2" s="1"/>
  <c r="GY191" i="2" s="1"/>
  <c r="GW190" i="2"/>
  <c r="GX190" i="2" s="1"/>
  <c r="GY190" i="2" s="1"/>
  <c r="GA191" i="2"/>
  <c r="GB190" i="2"/>
  <c r="GC190" i="2" s="1"/>
  <c r="GD190" i="2" s="1"/>
  <c r="GO192" i="2"/>
  <c r="GL193" i="2"/>
  <c r="ED192" i="2"/>
  <c r="EA193" i="2"/>
  <c r="Z193" i="2"/>
  <c r="AC192" i="2"/>
  <c r="FT192" i="2"/>
  <c r="FQ193" i="2"/>
  <c r="EV193" i="2"/>
  <c r="EY192" i="2"/>
  <c r="HJ192" i="2"/>
  <c r="HG193" i="2"/>
  <c r="CN192" i="2"/>
  <c r="CK193" i="2"/>
  <c r="AX190" i="2"/>
  <c r="AU191" i="2"/>
  <c r="DI192" i="2"/>
  <c r="DF193" i="2"/>
  <c r="FG190" i="2"/>
  <c r="FH190" i="2" s="1"/>
  <c r="FI190" i="2" s="1"/>
  <c r="FF191" i="2"/>
  <c r="EL190" i="2"/>
  <c r="EM190" i="2" s="1"/>
  <c r="EN190" i="2" s="1"/>
  <c r="EK191" i="2"/>
  <c r="DQ190" i="2"/>
  <c r="DR190" i="2" s="1"/>
  <c r="DS190" i="2" s="1"/>
  <c r="DP191" i="2"/>
  <c r="CV190" i="2"/>
  <c r="CW190" i="2" s="1"/>
  <c r="CX190" i="2" s="1"/>
  <c r="CU191" i="2"/>
  <c r="CA190" i="2"/>
  <c r="CB190" i="2" s="1"/>
  <c r="CC190" i="2" s="1"/>
  <c r="BZ191" i="2"/>
  <c r="BF190" i="2"/>
  <c r="BG190" i="2" s="1"/>
  <c r="BH190" i="2" s="1"/>
  <c r="BE191" i="2"/>
  <c r="AK190" i="2"/>
  <c r="AL190" i="2" s="1"/>
  <c r="AM190" i="2" s="1"/>
  <c r="AJ191" i="2"/>
  <c r="BZ43" i="2"/>
  <c r="CA43" i="2" s="1"/>
  <c r="CB43" i="2" s="1"/>
  <c r="CC43" i="2" s="1"/>
  <c r="GA43" i="2"/>
  <c r="GB43" i="2" s="1"/>
  <c r="GC43" i="2" s="1"/>
  <c r="GD43" i="2" s="1"/>
  <c r="EK42" i="2"/>
  <c r="EL42" i="2" s="1"/>
  <c r="EM42" i="2" s="1"/>
  <c r="EN42" i="2" s="1"/>
  <c r="FF42" i="2"/>
  <c r="FG42" i="2" s="1"/>
  <c r="FH42" i="2" s="1"/>
  <c r="FI42" i="2" s="1"/>
  <c r="GV42" i="2"/>
  <c r="GW42" i="2" s="1"/>
  <c r="GX42" i="2" s="1"/>
  <c r="GY42" i="2" s="1"/>
  <c r="DP43" i="2"/>
  <c r="DQ43" i="2" s="1"/>
  <c r="DR43" i="2" s="1"/>
  <c r="DS43" i="2" s="1"/>
  <c r="CU43" i="2"/>
  <c r="CV43" i="2" s="1"/>
  <c r="CW43" i="2" s="1"/>
  <c r="CX43" i="2" s="1"/>
  <c r="AJ42" i="2"/>
  <c r="AK42" i="2" s="1"/>
  <c r="AL42" i="2" s="1"/>
  <c r="AM42" i="2" s="1"/>
  <c r="P52" i="2" l="1"/>
  <c r="Q52" i="2"/>
  <c r="R52" i="2" s="1"/>
  <c r="N54" i="2"/>
  <c r="O53" i="2"/>
  <c r="GV192" i="2"/>
  <c r="GA192" i="2"/>
  <c r="GB191" i="2"/>
  <c r="GC191" i="2" s="1"/>
  <c r="GD191" i="2" s="1"/>
  <c r="CK194" i="2"/>
  <c r="CN193" i="2"/>
  <c r="FQ194" i="2"/>
  <c r="FT193" i="2"/>
  <c r="Z194" i="2"/>
  <c r="AC193" i="2"/>
  <c r="AU192" i="2"/>
  <c r="AX191" i="2"/>
  <c r="HG194" i="2"/>
  <c r="HJ193" i="2"/>
  <c r="EA194" i="2"/>
  <c r="ED193" i="2"/>
  <c r="GL194" i="2"/>
  <c r="GO193" i="2"/>
  <c r="EY193" i="2"/>
  <c r="EV194" i="2"/>
  <c r="DF194" i="2"/>
  <c r="DI193" i="2"/>
  <c r="FG191" i="2"/>
  <c r="FH191" i="2" s="1"/>
  <c r="FI191" i="2" s="1"/>
  <c r="FF192" i="2"/>
  <c r="EK192" i="2"/>
  <c r="EL191" i="2"/>
  <c r="EM191" i="2" s="1"/>
  <c r="EN191" i="2" s="1"/>
  <c r="DP192" i="2"/>
  <c r="DQ191" i="2"/>
  <c r="DR191" i="2" s="1"/>
  <c r="DS191" i="2" s="1"/>
  <c r="CU192" i="2"/>
  <c r="CV191" i="2"/>
  <c r="CW191" i="2" s="1"/>
  <c r="CX191" i="2" s="1"/>
  <c r="CA191" i="2"/>
  <c r="CB191" i="2" s="1"/>
  <c r="CC191" i="2" s="1"/>
  <c r="BZ192" i="2"/>
  <c r="BE192" i="2"/>
  <c r="BF191" i="2"/>
  <c r="BG191" i="2" s="1"/>
  <c r="BH191" i="2" s="1"/>
  <c r="AJ192" i="2"/>
  <c r="AK191" i="2"/>
  <c r="AL191" i="2" s="1"/>
  <c r="AM191" i="2" s="1"/>
  <c r="DP44" i="2"/>
  <c r="DQ44" i="2" s="1"/>
  <c r="DR44" i="2" s="1"/>
  <c r="DS44" i="2" s="1"/>
  <c r="FF43" i="2"/>
  <c r="FG43" i="2" s="1"/>
  <c r="FH43" i="2" s="1"/>
  <c r="FI43" i="2" s="1"/>
  <c r="GA44" i="2"/>
  <c r="GB44" i="2" s="1"/>
  <c r="GC44" i="2" s="1"/>
  <c r="GD44" i="2" s="1"/>
  <c r="CU44" i="2"/>
  <c r="CV44" i="2" s="1"/>
  <c r="CW44" i="2" s="1"/>
  <c r="CX44" i="2" s="1"/>
  <c r="GV43" i="2"/>
  <c r="GW43" i="2" s="1"/>
  <c r="GX43" i="2" s="1"/>
  <c r="GY43" i="2" s="1"/>
  <c r="EK43" i="2"/>
  <c r="EL43" i="2" s="1"/>
  <c r="EM43" i="2" s="1"/>
  <c r="EN43" i="2" s="1"/>
  <c r="BZ44" i="2"/>
  <c r="CA44" i="2" s="1"/>
  <c r="CB44" i="2" s="1"/>
  <c r="CC44" i="2" s="1"/>
  <c r="AJ43" i="2"/>
  <c r="AK43" i="2" s="1"/>
  <c r="AL43" i="2" s="1"/>
  <c r="AM43" i="2" s="1"/>
  <c r="P53" i="2" l="1"/>
  <c r="Q53" i="2"/>
  <c r="R53" i="2" s="1"/>
  <c r="N55" i="2"/>
  <c r="O54" i="2"/>
  <c r="GV193" i="2"/>
  <c r="GW193" i="2" s="1"/>
  <c r="GX193" i="2" s="1"/>
  <c r="GY193" i="2" s="1"/>
  <c r="GW192" i="2"/>
  <c r="GX192" i="2" s="1"/>
  <c r="GY192" i="2" s="1"/>
  <c r="GA193" i="2"/>
  <c r="GB193" i="2" s="1"/>
  <c r="GC193" i="2" s="1"/>
  <c r="GD193" i="2" s="1"/>
  <c r="GB192" i="2"/>
  <c r="GC192" i="2" s="1"/>
  <c r="GD192" i="2" s="1"/>
  <c r="AU193" i="2"/>
  <c r="AX192" i="2"/>
  <c r="Z195" i="2"/>
  <c r="AC194" i="2"/>
  <c r="ED194" i="2"/>
  <c r="EA195" i="2"/>
  <c r="FT194" i="2"/>
  <c r="FQ195" i="2"/>
  <c r="EV195" i="2"/>
  <c r="EY194" i="2"/>
  <c r="GO194" i="2"/>
  <c r="GL195" i="2"/>
  <c r="HJ194" i="2"/>
  <c r="HG195" i="2"/>
  <c r="CN194" i="2"/>
  <c r="CK195" i="2"/>
  <c r="DI194" i="2"/>
  <c r="DF195" i="2"/>
  <c r="FF193" i="2"/>
  <c r="FG192" i="2"/>
  <c r="FH192" i="2" s="1"/>
  <c r="FI192" i="2" s="1"/>
  <c r="EL192" i="2"/>
  <c r="EM192" i="2" s="1"/>
  <c r="EN192" i="2" s="1"/>
  <c r="EK193" i="2"/>
  <c r="DQ192" i="2"/>
  <c r="DR192" i="2" s="1"/>
  <c r="DS192" i="2" s="1"/>
  <c r="DP193" i="2"/>
  <c r="CV192" i="2"/>
  <c r="CW192" i="2" s="1"/>
  <c r="CX192" i="2" s="1"/>
  <c r="CU193" i="2"/>
  <c r="BZ193" i="2"/>
  <c r="CA192" i="2"/>
  <c r="CB192" i="2" s="1"/>
  <c r="CC192" i="2" s="1"/>
  <c r="BE193" i="2"/>
  <c r="BF192" i="2"/>
  <c r="BG192" i="2" s="1"/>
  <c r="BH192" i="2" s="1"/>
  <c r="AK192" i="2"/>
  <c r="AL192" i="2" s="1"/>
  <c r="AM192" i="2" s="1"/>
  <c r="AJ193" i="2"/>
  <c r="EK44" i="2"/>
  <c r="EL44" i="2" s="1"/>
  <c r="EM44" i="2" s="1"/>
  <c r="EN44" i="2" s="1"/>
  <c r="CU45" i="2"/>
  <c r="CV45" i="2" s="1"/>
  <c r="CW45" i="2" s="1"/>
  <c r="CX45" i="2" s="1"/>
  <c r="FF44" i="2"/>
  <c r="FG44" i="2" s="1"/>
  <c r="FH44" i="2" s="1"/>
  <c r="FI44" i="2" s="1"/>
  <c r="BZ45" i="2"/>
  <c r="CA45" i="2" s="1"/>
  <c r="CB45" i="2" s="1"/>
  <c r="CC45" i="2" s="1"/>
  <c r="GV44" i="2"/>
  <c r="GW44" i="2" s="1"/>
  <c r="GX44" i="2" s="1"/>
  <c r="GY44" i="2" s="1"/>
  <c r="GA45" i="2"/>
  <c r="GB45" i="2" s="1"/>
  <c r="GC45" i="2" s="1"/>
  <c r="GD45" i="2" s="1"/>
  <c r="DP45" i="2"/>
  <c r="DQ45" i="2" s="1"/>
  <c r="DR45" i="2" s="1"/>
  <c r="DS45" i="2" s="1"/>
  <c r="AJ44" i="2"/>
  <c r="AK44" i="2" s="1"/>
  <c r="AL44" i="2" s="1"/>
  <c r="AM44" i="2" s="1"/>
  <c r="P54" i="2" l="1"/>
  <c r="Q54" i="2"/>
  <c r="R54" i="2" s="1"/>
  <c r="N56" i="2"/>
  <c r="O55" i="2"/>
  <c r="GV194" i="2"/>
  <c r="GA194" i="2"/>
  <c r="HG196" i="2"/>
  <c r="HJ195" i="2"/>
  <c r="EA196" i="2"/>
  <c r="ED195" i="2"/>
  <c r="GL196" i="2"/>
  <c r="GO195" i="2"/>
  <c r="FQ196" i="2"/>
  <c r="FT195" i="2"/>
  <c r="Z196" i="2"/>
  <c r="AC195" i="2"/>
  <c r="CK196" i="2"/>
  <c r="CN195" i="2"/>
  <c r="EY195" i="2"/>
  <c r="EV196" i="2"/>
  <c r="AX193" i="2"/>
  <c r="AU194" i="2"/>
  <c r="DF196" i="2"/>
  <c r="DI195" i="2"/>
  <c r="FF194" i="2"/>
  <c r="FG193" i="2"/>
  <c r="FH193" i="2" s="1"/>
  <c r="FI193" i="2" s="1"/>
  <c r="EK194" i="2"/>
  <c r="EL193" i="2"/>
  <c r="EM193" i="2" s="1"/>
  <c r="EN193" i="2" s="1"/>
  <c r="DP194" i="2"/>
  <c r="DQ193" i="2"/>
  <c r="DR193" i="2" s="1"/>
  <c r="DS193" i="2" s="1"/>
  <c r="CV193" i="2"/>
  <c r="CW193" i="2" s="1"/>
  <c r="CX193" i="2" s="1"/>
  <c r="CU194" i="2"/>
  <c r="BZ194" i="2"/>
  <c r="CA193" i="2"/>
  <c r="CB193" i="2" s="1"/>
  <c r="CC193" i="2" s="1"/>
  <c r="BE194" i="2"/>
  <c r="BF193" i="2"/>
  <c r="BG193" i="2" s="1"/>
  <c r="BH193" i="2" s="1"/>
  <c r="AJ194" i="2"/>
  <c r="AK193" i="2"/>
  <c r="AL193" i="2" s="1"/>
  <c r="AM193" i="2" s="1"/>
  <c r="GA46" i="2"/>
  <c r="GB46" i="2" s="1"/>
  <c r="GC46" i="2" s="1"/>
  <c r="GD46" i="2" s="1"/>
  <c r="BZ46" i="2"/>
  <c r="CA46" i="2" s="1"/>
  <c r="CB46" i="2" s="1"/>
  <c r="CC46" i="2" s="1"/>
  <c r="CU46" i="2"/>
  <c r="CV46" i="2" s="1"/>
  <c r="CW46" i="2" s="1"/>
  <c r="CX46" i="2" s="1"/>
  <c r="DP46" i="2"/>
  <c r="DQ46" i="2" s="1"/>
  <c r="DR46" i="2" s="1"/>
  <c r="DS46" i="2" s="1"/>
  <c r="GV45" i="2"/>
  <c r="GW45" i="2" s="1"/>
  <c r="GX45" i="2" s="1"/>
  <c r="GY45" i="2" s="1"/>
  <c r="FF45" i="2"/>
  <c r="FG45" i="2" s="1"/>
  <c r="FH45" i="2" s="1"/>
  <c r="FI45" i="2" s="1"/>
  <c r="EK45" i="2"/>
  <c r="EL45" i="2" s="1"/>
  <c r="EM45" i="2" s="1"/>
  <c r="EN45" i="2" s="1"/>
  <c r="AJ45" i="2"/>
  <c r="AK45" i="2" s="1"/>
  <c r="AL45" i="2" s="1"/>
  <c r="AM45" i="2" s="1"/>
  <c r="P55" i="2" l="1"/>
  <c r="Q55" i="2"/>
  <c r="R55" i="2" s="1"/>
  <c r="N57" i="2"/>
  <c r="O56" i="2"/>
  <c r="GV195" i="2"/>
  <c r="GW194" i="2"/>
  <c r="GX194" i="2" s="1"/>
  <c r="GY194" i="2" s="1"/>
  <c r="GA195" i="2"/>
  <c r="GB194" i="2"/>
  <c r="GC194" i="2" s="1"/>
  <c r="GD194" i="2" s="1"/>
  <c r="AX194" i="2"/>
  <c r="AU195" i="2"/>
  <c r="FT196" i="2"/>
  <c r="FQ197" i="2"/>
  <c r="GO196" i="2"/>
  <c r="GL197" i="2"/>
  <c r="EV197" i="2"/>
  <c r="EY196" i="2"/>
  <c r="CN196" i="2"/>
  <c r="CK197" i="2"/>
  <c r="ED196" i="2"/>
  <c r="EA197" i="2"/>
  <c r="Z197" i="2"/>
  <c r="AC196" i="2"/>
  <c r="HJ196" i="2"/>
  <c r="HG197" i="2"/>
  <c r="DI196" i="2"/>
  <c r="DF197" i="2"/>
  <c r="FG194" i="2"/>
  <c r="FH194" i="2" s="1"/>
  <c r="FI194" i="2" s="1"/>
  <c r="FF195" i="2"/>
  <c r="EL194" i="2"/>
  <c r="EM194" i="2" s="1"/>
  <c r="EN194" i="2" s="1"/>
  <c r="EK195" i="2"/>
  <c r="DQ194" i="2"/>
  <c r="DR194" i="2" s="1"/>
  <c r="DS194" i="2" s="1"/>
  <c r="DP195" i="2"/>
  <c r="CV194" i="2"/>
  <c r="CW194" i="2" s="1"/>
  <c r="CX194" i="2" s="1"/>
  <c r="CU195" i="2"/>
  <c r="CA194" i="2"/>
  <c r="CB194" i="2" s="1"/>
  <c r="CC194" i="2" s="1"/>
  <c r="BZ195" i="2"/>
  <c r="BE195" i="2"/>
  <c r="BF194" i="2"/>
  <c r="BG194" i="2" s="1"/>
  <c r="BH194" i="2" s="1"/>
  <c r="AJ195" i="2"/>
  <c r="AK194" i="2"/>
  <c r="AL194" i="2" s="1"/>
  <c r="AM194" i="2" s="1"/>
  <c r="FF46" i="2"/>
  <c r="FG46" i="2" s="1"/>
  <c r="FH46" i="2" s="1"/>
  <c r="FI46" i="2" s="1"/>
  <c r="DP47" i="2"/>
  <c r="DQ47" i="2" s="1"/>
  <c r="DR47" i="2" s="1"/>
  <c r="DS47" i="2" s="1"/>
  <c r="BZ47" i="2"/>
  <c r="CA47" i="2" s="1"/>
  <c r="CB47" i="2" s="1"/>
  <c r="CC47" i="2" s="1"/>
  <c r="EK46" i="2"/>
  <c r="EL46" i="2" s="1"/>
  <c r="EM46" i="2" s="1"/>
  <c r="EN46" i="2" s="1"/>
  <c r="GV46" i="2"/>
  <c r="GW46" i="2" s="1"/>
  <c r="GX46" i="2" s="1"/>
  <c r="GY46" i="2" s="1"/>
  <c r="CU47" i="2"/>
  <c r="CV47" i="2" s="1"/>
  <c r="CW47" i="2" s="1"/>
  <c r="CX47" i="2" s="1"/>
  <c r="GA47" i="2"/>
  <c r="GB47" i="2" s="1"/>
  <c r="GC47" i="2" s="1"/>
  <c r="GD47" i="2" s="1"/>
  <c r="AJ46" i="2"/>
  <c r="AK46" i="2" s="1"/>
  <c r="AL46" i="2" s="1"/>
  <c r="AM46" i="2" s="1"/>
  <c r="P56" i="2" l="1"/>
  <c r="Q56" i="2"/>
  <c r="R56" i="2" s="1"/>
  <c r="N58" i="2"/>
  <c r="O57" i="2"/>
  <c r="GV196" i="2"/>
  <c r="GW195" i="2"/>
  <c r="GX195" i="2" s="1"/>
  <c r="GY195" i="2" s="1"/>
  <c r="GA196" i="2"/>
  <c r="GB196" i="2" s="1"/>
  <c r="GC196" i="2" s="1"/>
  <c r="GD196" i="2" s="1"/>
  <c r="GB195" i="2"/>
  <c r="GC195" i="2" s="1"/>
  <c r="GD195" i="2" s="1"/>
  <c r="EY197" i="2"/>
  <c r="EV198" i="2"/>
  <c r="HG198" i="2"/>
  <c r="HJ197" i="2"/>
  <c r="GL198" i="2"/>
  <c r="GO197" i="2"/>
  <c r="Z198" i="2"/>
  <c r="AC197" i="2"/>
  <c r="EA198" i="2"/>
  <c r="ED197" i="2"/>
  <c r="FQ198" i="2"/>
  <c r="FT197" i="2"/>
  <c r="CK198" i="2"/>
  <c r="CN197" i="2"/>
  <c r="AX195" i="2"/>
  <c r="AU196" i="2"/>
  <c r="DF198" i="2"/>
  <c r="DI197" i="2"/>
  <c r="FF196" i="2"/>
  <c r="FG195" i="2"/>
  <c r="FH195" i="2" s="1"/>
  <c r="FI195" i="2" s="1"/>
  <c r="EK196" i="2"/>
  <c r="EL195" i="2"/>
  <c r="EM195" i="2" s="1"/>
  <c r="EN195" i="2" s="1"/>
  <c r="DQ195" i="2"/>
  <c r="DR195" i="2" s="1"/>
  <c r="DS195" i="2" s="1"/>
  <c r="DP196" i="2"/>
  <c r="CU196" i="2"/>
  <c r="CV195" i="2"/>
  <c r="CW195" i="2" s="1"/>
  <c r="CX195" i="2" s="1"/>
  <c r="CA195" i="2"/>
  <c r="CB195" i="2" s="1"/>
  <c r="CC195" i="2" s="1"/>
  <c r="BZ196" i="2"/>
  <c r="BF195" i="2"/>
  <c r="BG195" i="2" s="1"/>
  <c r="BH195" i="2" s="1"/>
  <c r="BE196" i="2"/>
  <c r="AJ196" i="2"/>
  <c r="AK195" i="2"/>
  <c r="AL195" i="2" s="1"/>
  <c r="AM195" i="2" s="1"/>
  <c r="CU48" i="2"/>
  <c r="CV48" i="2" s="1"/>
  <c r="CW48" i="2" s="1"/>
  <c r="CX48" i="2" s="1"/>
  <c r="EK47" i="2"/>
  <c r="EL47" i="2" s="1"/>
  <c r="EM47" i="2" s="1"/>
  <c r="EN47" i="2" s="1"/>
  <c r="DP48" i="2"/>
  <c r="DQ48" i="2" s="1"/>
  <c r="DR48" i="2" s="1"/>
  <c r="DS48" i="2" s="1"/>
  <c r="GA48" i="2"/>
  <c r="GB48" i="2" s="1"/>
  <c r="GC48" i="2" s="1"/>
  <c r="GD48" i="2" s="1"/>
  <c r="GV47" i="2"/>
  <c r="GW47" i="2" s="1"/>
  <c r="GX47" i="2" s="1"/>
  <c r="GY47" i="2" s="1"/>
  <c r="BZ48" i="2"/>
  <c r="CA48" i="2" s="1"/>
  <c r="CB48" i="2" s="1"/>
  <c r="CC48" i="2" s="1"/>
  <c r="FF47" i="2"/>
  <c r="FG47" i="2" s="1"/>
  <c r="FH47" i="2" s="1"/>
  <c r="FI47" i="2" s="1"/>
  <c r="AJ47" i="2"/>
  <c r="AK47" i="2" s="1"/>
  <c r="AL47" i="2" s="1"/>
  <c r="AM47" i="2" s="1"/>
  <c r="P57" i="2" l="1"/>
  <c r="Q57" i="2" s="1"/>
  <c r="R57" i="2" s="1"/>
  <c r="N59" i="2"/>
  <c r="O58" i="2"/>
  <c r="GV197" i="2"/>
  <c r="GW196" i="2"/>
  <c r="GX196" i="2" s="1"/>
  <c r="GY196" i="2" s="1"/>
  <c r="GA197" i="2"/>
  <c r="GB197" i="2" s="1"/>
  <c r="GC197" i="2" s="1"/>
  <c r="GD197" i="2" s="1"/>
  <c r="Z199" i="2"/>
  <c r="AC198" i="2"/>
  <c r="AX196" i="2"/>
  <c r="AU197" i="2"/>
  <c r="CN198" i="2"/>
  <c r="CK199" i="2"/>
  <c r="GO198" i="2"/>
  <c r="GL199" i="2"/>
  <c r="FT198" i="2"/>
  <c r="FQ199" i="2"/>
  <c r="HJ198" i="2"/>
  <c r="HG199" i="2"/>
  <c r="EV199" i="2"/>
  <c r="EY198" i="2"/>
  <c r="ED198" i="2"/>
  <c r="EA199" i="2"/>
  <c r="DI198" i="2"/>
  <c r="DF199" i="2"/>
  <c r="FG196" i="2"/>
  <c r="FH196" i="2" s="1"/>
  <c r="FI196" i="2" s="1"/>
  <c r="FF197" i="2"/>
  <c r="EL196" i="2"/>
  <c r="EM196" i="2" s="1"/>
  <c r="EN196" i="2" s="1"/>
  <c r="EK197" i="2"/>
  <c r="DP197" i="2"/>
  <c r="DQ196" i="2"/>
  <c r="DR196" i="2" s="1"/>
  <c r="DS196" i="2" s="1"/>
  <c r="CV196" i="2"/>
  <c r="CW196" i="2" s="1"/>
  <c r="CX196" i="2" s="1"/>
  <c r="CU197" i="2"/>
  <c r="CA196" i="2"/>
  <c r="CB196" i="2" s="1"/>
  <c r="CC196" i="2" s="1"/>
  <c r="BZ197" i="2"/>
  <c r="BE197" i="2"/>
  <c r="BF196" i="2"/>
  <c r="BG196" i="2" s="1"/>
  <c r="BH196" i="2" s="1"/>
  <c r="AK196" i="2"/>
  <c r="AL196" i="2" s="1"/>
  <c r="AM196" i="2" s="1"/>
  <c r="AJ197" i="2"/>
  <c r="BZ49" i="2"/>
  <c r="CA49" i="2" s="1"/>
  <c r="CB49" i="2" s="1"/>
  <c r="CC49" i="2" s="1"/>
  <c r="GA49" i="2"/>
  <c r="GB49" i="2" s="1"/>
  <c r="GC49" i="2" s="1"/>
  <c r="GD49" i="2" s="1"/>
  <c r="EK48" i="2"/>
  <c r="EL48" i="2" s="1"/>
  <c r="EM48" i="2" s="1"/>
  <c r="EN48" i="2" s="1"/>
  <c r="FF48" i="2"/>
  <c r="FG48" i="2" s="1"/>
  <c r="FH48" i="2" s="1"/>
  <c r="FI48" i="2" s="1"/>
  <c r="GV48" i="2"/>
  <c r="GW48" i="2" s="1"/>
  <c r="GX48" i="2" s="1"/>
  <c r="GY48" i="2" s="1"/>
  <c r="DP49" i="2"/>
  <c r="DQ49" i="2" s="1"/>
  <c r="DR49" i="2" s="1"/>
  <c r="DS49" i="2" s="1"/>
  <c r="CU49" i="2"/>
  <c r="CV49" i="2" s="1"/>
  <c r="CW49" i="2" s="1"/>
  <c r="CX49" i="2" s="1"/>
  <c r="AJ48" i="2"/>
  <c r="AK48" i="2" s="1"/>
  <c r="AL48" i="2" s="1"/>
  <c r="AM48" i="2" s="1"/>
  <c r="P58" i="2" l="1"/>
  <c r="Q58" i="2"/>
  <c r="R58" i="2" s="1"/>
  <c r="N60" i="2"/>
  <c r="O59" i="2"/>
  <c r="GV198" i="2"/>
  <c r="GW198" i="2" s="1"/>
  <c r="GX198" i="2" s="1"/>
  <c r="GY198" i="2" s="1"/>
  <c r="GW197" i="2"/>
  <c r="GX197" i="2" s="1"/>
  <c r="GY197" i="2" s="1"/>
  <c r="GA198" i="2"/>
  <c r="GB198" i="2" s="1"/>
  <c r="GC198" i="2" s="1"/>
  <c r="GD198" i="2" s="1"/>
  <c r="EA200" i="2"/>
  <c r="ED199" i="2"/>
  <c r="CK200" i="2"/>
  <c r="CN199" i="2"/>
  <c r="GL200" i="2"/>
  <c r="GO199" i="2"/>
  <c r="EY199" i="2"/>
  <c r="EV200" i="2"/>
  <c r="HG200" i="2"/>
  <c r="HJ199" i="2"/>
  <c r="AX197" i="2"/>
  <c r="AU198" i="2"/>
  <c r="FQ200" i="2"/>
  <c r="FT199" i="2"/>
  <c r="AC199" i="2"/>
  <c r="Z200" i="2"/>
  <c r="DF200" i="2"/>
  <c r="DI199" i="2"/>
  <c r="FF198" i="2"/>
  <c r="FG197" i="2"/>
  <c r="FH197" i="2" s="1"/>
  <c r="FI197" i="2" s="1"/>
  <c r="EK198" i="2"/>
  <c r="EL197" i="2"/>
  <c r="EM197" i="2" s="1"/>
  <c r="EN197" i="2" s="1"/>
  <c r="DP198" i="2"/>
  <c r="DQ197" i="2"/>
  <c r="DR197" i="2" s="1"/>
  <c r="DS197" i="2" s="1"/>
  <c r="CV197" i="2"/>
  <c r="CW197" i="2" s="1"/>
  <c r="CX197" i="2" s="1"/>
  <c r="CU198" i="2"/>
  <c r="CA197" i="2"/>
  <c r="CB197" i="2" s="1"/>
  <c r="CC197" i="2" s="1"/>
  <c r="BZ198" i="2"/>
  <c r="BE198" i="2"/>
  <c r="BF197" i="2"/>
  <c r="BG197" i="2" s="1"/>
  <c r="BH197" i="2" s="1"/>
  <c r="AK197" i="2"/>
  <c r="AL197" i="2" s="1"/>
  <c r="AM197" i="2" s="1"/>
  <c r="AJ198" i="2"/>
  <c r="DP50" i="2"/>
  <c r="DQ50" i="2" s="1"/>
  <c r="DR50" i="2" s="1"/>
  <c r="DS50" i="2" s="1"/>
  <c r="FF49" i="2"/>
  <c r="FG49" i="2" s="1"/>
  <c r="FH49" i="2" s="1"/>
  <c r="FI49" i="2" s="1"/>
  <c r="GA50" i="2"/>
  <c r="GB50" i="2" s="1"/>
  <c r="GC50" i="2" s="1"/>
  <c r="GD50" i="2" s="1"/>
  <c r="CU50" i="2"/>
  <c r="CV50" i="2" s="1"/>
  <c r="CW50" i="2" s="1"/>
  <c r="CX50" i="2" s="1"/>
  <c r="GV49" i="2"/>
  <c r="GW49" i="2" s="1"/>
  <c r="GX49" i="2" s="1"/>
  <c r="GY49" i="2" s="1"/>
  <c r="EK49" i="2"/>
  <c r="EL49" i="2" s="1"/>
  <c r="EM49" i="2" s="1"/>
  <c r="EN49" i="2" s="1"/>
  <c r="BZ50" i="2"/>
  <c r="CA50" i="2" s="1"/>
  <c r="CB50" i="2" s="1"/>
  <c r="CC50" i="2" s="1"/>
  <c r="AJ49" i="2"/>
  <c r="AK49" i="2" s="1"/>
  <c r="AL49" i="2" s="1"/>
  <c r="AM49" i="2" s="1"/>
  <c r="P59" i="2" l="1"/>
  <c r="Q59" i="2"/>
  <c r="R59" i="2" s="1"/>
  <c r="N61" i="2"/>
  <c r="O60" i="2"/>
  <c r="GV199" i="2"/>
  <c r="GW199" i="2" s="1"/>
  <c r="GX199" i="2" s="1"/>
  <c r="GY199" i="2" s="1"/>
  <c r="GA199" i="2"/>
  <c r="GB199" i="2" s="1"/>
  <c r="GC199" i="2" s="1"/>
  <c r="GD199" i="2" s="1"/>
  <c r="FT200" i="2"/>
  <c r="FQ201" i="2"/>
  <c r="GO200" i="2"/>
  <c r="GL201" i="2"/>
  <c r="Z201" i="2"/>
  <c r="AC200" i="2"/>
  <c r="AX198" i="2"/>
  <c r="AU199" i="2"/>
  <c r="CN200" i="2"/>
  <c r="CK201" i="2"/>
  <c r="EV201" i="2"/>
  <c r="EY200" i="2"/>
  <c r="HJ200" i="2"/>
  <c r="HG201" i="2"/>
  <c r="ED200" i="2"/>
  <c r="EA201" i="2"/>
  <c r="DI200" i="2"/>
  <c r="DF201" i="2"/>
  <c r="FG198" i="2"/>
  <c r="FH198" i="2" s="1"/>
  <c r="FI198" i="2" s="1"/>
  <c r="FF199" i="2"/>
  <c r="EL198" i="2"/>
  <c r="EM198" i="2" s="1"/>
  <c r="EN198" i="2" s="1"/>
  <c r="EK199" i="2"/>
  <c r="DP199" i="2"/>
  <c r="DQ198" i="2"/>
  <c r="DR198" i="2" s="1"/>
  <c r="DS198" i="2" s="1"/>
  <c r="CV198" i="2"/>
  <c r="CW198" i="2" s="1"/>
  <c r="CX198" i="2" s="1"/>
  <c r="CU199" i="2"/>
  <c r="CA198" i="2"/>
  <c r="CB198" i="2" s="1"/>
  <c r="CC198" i="2" s="1"/>
  <c r="BZ199" i="2"/>
  <c r="BE199" i="2"/>
  <c r="BF198" i="2"/>
  <c r="BG198" i="2" s="1"/>
  <c r="BH198" i="2" s="1"/>
  <c r="AJ199" i="2"/>
  <c r="AK198" i="2"/>
  <c r="AL198" i="2" s="1"/>
  <c r="AM198" i="2" s="1"/>
  <c r="EK50" i="2"/>
  <c r="EL50" i="2" s="1"/>
  <c r="EM50" i="2" s="1"/>
  <c r="EN50" i="2" s="1"/>
  <c r="CU51" i="2"/>
  <c r="CV51" i="2" s="1"/>
  <c r="CW51" i="2" s="1"/>
  <c r="CX51" i="2" s="1"/>
  <c r="FF50" i="2"/>
  <c r="FG50" i="2" s="1"/>
  <c r="FH50" i="2" s="1"/>
  <c r="FI50" i="2" s="1"/>
  <c r="BZ51" i="2"/>
  <c r="CA51" i="2" s="1"/>
  <c r="CB51" i="2" s="1"/>
  <c r="CC51" i="2" s="1"/>
  <c r="GV50" i="2"/>
  <c r="GW50" i="2" s="1"/>
  <c r="GX50" i="2" s="1"/>
  <c r="GY50" i="2" s="1"/>
  <c r="GA51" i="2"/>
  <c r="GB51" i="2" s="1"/>
  <c r="GC51" i="2" s="1"/>
  <c r="GD51" i="2" s="1"/>
  <c r="DP51" i="2"/>
  <c r="DQ51" i="2" s="1"/>
  <c r="DR51" i="2" s="1"/>
  <c r="DS51" i="2" s="1"/>
  <c r="AJ50" i="2"/>
  <c r="AK50" i="2" s="1"/>
  <c r="AL50" i="2" s="1"/>
  <c r="AM50" i="2" s="1"/>
  <c r="P60" i="2" l="1"/>
  <c r="Q60" i="2"/>
  <c r="R60" i="2" s="1"/>
  <c r="N62" i="2"/>
  <c r="O61" i="2"/>
  <c r="GV200" i="2"/>
  <c r="GW200" i="2" s="1"/>
  <c r="GX200" i="2" s="1"/>
  <c r="GY200" i="2" s="1"/>
  <c r="GA200" i="2"/>
  <c r="EA202" i="2"/>
  <c r="ED201" i="2"/>
  <c r="AU200" i="2"/>
  <c r="AX199" i="2"/>
  <c r="HG202" i="2"/>
  <c r="HJ201" i="2"/>
  <c r="Z202" i="2"/>
  <c r="AC201" i="2"/>
  <c r="GL202" i="2"/>
  <c r="GO201" i="2"/>
  <c r="EY201" i="2"/>
  <c r="EV202" i="2"/>
  <c r="CK202" i="2"/>
  <c r="CN201" i="2"/>
  <c r="FQ202" i="2"/>
  <c r="FT201" i="2"/>
  <c r="DF202" i="2"/>
  <c r="DI201" i="2"/>
  <c r="FG199" i="2"/>
  <c r="FH199" i="2" s="1"/>
  <c r="FI199" i="2" s="1"/>
  <c r="FF200" i="2"/>
  <c r="EK200" i="2"/>
  <c r="EL199" i="2"/>
  <c r="EM199" i="2" s="1"/>
  <c r="EN199" i="2" s="1"/>
  <c r="DQ199" i="2"/>
  <c r="DR199" i="2" s="1"/>
  <c r="DS199" i="2" s="1"/>
  <c r="DP200" i="2"/>
  <c r="CV199" i="2"/>
  <c r="CW199" i="2" s="1"/>
  <c r="CX199" i="2" s="1"/>
  <c r="CU200" i="2"/>
  <c r="CA199" i="2"/>
  <c r="CB199" i="2" s="1"/>
  <c r="CC199" i="2" s="1"/>
  <c r="BZ200" i="2"/>
  <c r="BE200" i="2"/>
  <c r="BF199" i="2"/>
  <c r="BG199" i="2" s="1"/>
  <c r="BH199" i="2" s="1"/>
  <c r="AJ200" i="2"/>
  <c r="AK199" i="2"/>
  <c r="AL199" i="2" s="1"/>
  <c r="AM199" i="2" s="1"/>
  <c r="GA52" i="2"/>
  <c r="GB52" i="2" s="1"/>
  <c r="GC52" i="2" s="1"/>
  <c r="GD52" i="2" s="1"/>
  <c r="BZ52" i="2"/>
  <c r="CA52" i="2" s="1"/>
  <c r="CB52" i="2" s="1"/>
  <c r="CC52" i="2" s="1"/>
  <c r="CU52" i="2"/>
  <c r="CV52" i="2" s="1"/>
  <c r="CW52" i="2" s="1"/>
  <c r="CX52" i="2" s="1"/>
  <c r="DP52" i="2"/>
  <c r="DQ52" i="2" s="1"/>
  <c r="DR52" i="2" s="1"/>
  <c r="DS52" i="2" s="1"/>
  <c r="GV51" i="2"/>
  <c r="GW51" i="2" s="1"/>
  <c r="GX51" i="2" s="1"/>
  <c r="GY51" i="2" s="1"/>
  <c r="FF51" i="2"/>
  <c r="FG51" i="2" s="1"/>
  <c r="FH51" i="2" s="1"/>
  <c r="FI51" i="2" s="1"/>
  <c r="EK51" i="2"/>
  <c r="EL51" i="2" s="1"/>
  <c r="EM51" i="2" s="1"/>
  <c r="EN51" i="2" s="1"/>
  <c r="AJ51" i="2"/>
  <c r="AK51" i="2" s="1"/>
  <c r="AL51" i="2" s="1"/>
  <c r="AM51" i="2" s="1"/>
  <c r="P61" i="2" l="1"/>
  <c r="Q61" i="2"/>
  <c r="R61" i="2" s="1"/>
  <c r="N63" i="2"/>
  <c r="O62" i="2"/>
  <c r="GV201" i="2"/>
  <c r="GW201" i="2" s="1"/>
  <c r="GX201" i="2" s="1"/>
  <c r="GY201" i="2" s="1"/>
  <c r="GA201" i="2"/>
  <c r="GB200" i="2"/>
  <c r="GC200" i="2" s="1"/>
  <c r="GD200" i="2" s="1"/>
  <c r="FT202" i="2"/>
  <c r="FQ203" i="2"/>
  <c r="FT203" i="2" s="1"/>
  <c r="Z203" i="2"/>
  <c r="AC203" i="2" s="1"/>
  <c r="AC202" i="2"/>
  <c r="CN202" i="2"/>
  <c r="CK203" i="2"/>
  <c r="CN203" i="2" s="1"/>
  <c r="HJ202" i="2"/>
  <c r="HG203" i="2"/>
  <c r="HJ203" i="2" s="1"/>
  <c r="EV203" i="2"/>
  <c r="EY203" i="2" s="1"/>
  <c r="EY202" i="2"/>
  <c r="AX200" i="2"/>
  <c r="AU201" i="2"/>
  <c r="GO202" i="2"/>
  <c r="GL203" i="2"/>
  <c r="GO203" i="2" s="1"/>
  <c r="ED202" i="2"/>
  <c r="EA203" i="2"/>
  <c r="ED203" i="2" s="1"/>
  <c r="DI202" i="2"/>
  <c r="DF203" i="2"/>
  <c r="DI203" i="2" s="1"/>
  <c r="FG200" i="2"/>
  <c r="FH200" i="2" s="1"/>
  <c r="FI200" i="2" s="1"/>
  <c r="FF201" i="2"/>
  <c r="EL200" i="2"/>
  <c r="EM200" i="2" s="1"/>
  <c r="EN200" i="2" s="1"/>
  <c r="EK201" i="2"/>
  <c r="DQ200" i="2"/>
  <c r="DR200" i="2" s="1"/>
  <c r="DS200" i="2" s="1"/>
  <c r="DP201" i="2"/>
  <c r="CV200" i="2"/>
  <c r="CW200" i="2" s="1"/>
  <c r="CX200" i="2" s="1"/>
  <c r="CU201" i="2"/>
  <c r="CA200" i="2"/>
  <c r="CB200" i="2" s="1"/>
  <c r="CC200" i="2" s="1"/>
  <c r="BZ201" i="2"/>
  <c r="BE201" i="2"/>
  <c r="BF200" i="2"/>
  <c r="BG200" i="2" s="1"/>
  <c r="BH200" i="2" s="1"/>
  <c r="AK200" i="2"/>
  <c r="AL200" i="2" s="1"/>
  <c r="AM200" i="2" s="1"/>
  <c r="AJ201" i="2"/>
  <c r="FF52" i="2"/>
  <c r="FG52" i="2" s="1"/>
  <c r="FH52" i="2" s="1"/>
  <c r="FI52" i="2" s="1"/>
  <c r="DP53" i="2"/>
  <c r="DQ53" i="2" s="1"/>
  <c r="DR53" i="2" s="1"/>
  <c r="DS53" i="2" s="1"/>
  <c r="BZ53" i="2"/>
  <c r="CA53" i="2" s="1"/>
  <c r="CB53" i="2" s="1"/>
  <c r="CC53" i="2" s="1"/>
  <c r="EK52" i="2"/>
  <c r="EL52" i="2" s="1"/>
  <c r="EM52" i="2" s="1"/>
  <c r="EN52" i="2" s="1"/>
  <c r="GV52" i="2"/>
  <c r="GW52" i="2" s="1"/>
  <c r="GX52" i="2" s="1"/>
  <c r="GY52" i="2" s="1"/>
  <c r="CU53" i="2"/>
  <c r="CV53" i="2" s="1"/>
  <c r="CW53" i="2" s="1"/>
  <c r="CX53" i="2" s="1"/>
  <c r="GA53" i="2"/>
  <c r="GB53" i="2" s="1"/>
  <c r="GC53" i="2" s="1"/>
  <c r="GD53" i="2" s="1"/>
  <c r="AJ52" i="2"/>
  <c r="AK52" i="2" s="1"/>
  <c r="AL52" i="2" s="1"/>
  <c r="AM52" i="2" s="1"/>
  <c r="P62" i="2" l="1"/>
  <c r="Q62" i="2"/>
  <c r="R62" i="2" s="1"/>
  <c r="N64" i="2"/>
  <c r="O63" i="2"/>
  <c r="GV202" i="2"/>
  <c r="GW202" i="2" s="1"/>
  <c r="GX202" i="2" s="1"/>
  <c r="GY202" i="2" s="1"/>
  <c r="GV203" i="2"/>
  <c r="GA202" i="2"/>
  <c r="GA203" i="2"/>
  <c r="GB203" i="2" s="1"/>
  <c r="GC203" i="2" s="1"/>
  <c r="GD203" i="2" s="1"/>
  <c r="GB201" i="2"/>
  <c r="GC201" i="2" s="1"/>
  <c r="GD201" i="2" s="1"/>
  <c r="AX201" i="2"/>
  <c r="AU202" i="2"/>
  <c r="FF203" i="2"/>
  <c r="FF202" i="2"/>
  <c r="FG201" i="2"/>
  <c r="FH201" i="2" s="1"/>
  <c r="FI201" i="2" s="1"/>
  <c r="EK203" i="2"/>
  <c r="EK202" i="2"/>
  <c r="EL201" i="2"/>
  <c r="EM201" i="2" s="1"/>
  <c r="EN201" i="2" s="1"/>
  <c r="DP203" i="2"/>
  <c r="DP202" i="2"/>
  <c r="DQ201" i="2"/>
  <c r="DR201" i="2" s="1"/>
  <c r="DS201" i="2" s="1"/>
  <c r="CV201" i="2"/>
  <c r="CW201" i="2" s="1"/>
  <c r="CX201" i="2" s="1"/>
  <c r="CU203" i="2"/>
  <c r="CU202" i="2"/>
  <c r="BZ203" i="2"/>
  <c r="BZ202" i="2"/>
  <c r="CA201" i="2"/>
  <c r="CB201" i="2" s="1"/>
  <c r="CC201" i="2" s="1"/>
  <c r="BE202" i="2"/>
  <c r="BE203" i="2"/>
  <c r="BF201" i="2"/>
  <c r="BG201" i="2" s="1"/>
  <c r="BH201" i="2" s="1"/>
  <c r="AJ202" i="2"/>
  <c r="AJ203" i="2"/>
  <c r="AK201" i="2"/>
  <c r="AL201" i="2" s="1"/>
  <c r="AM201" i="2" s="1"/>
  <c r="CU54" i="2"/>
  <c r="CV54" i="2" s="1"/>
  <c r="CW54" i="2" s="1"/>
  <c r="CX54" i="2" s="1"/>
  <c r="EK53" i="2"/>
  <c r="EL53" i="2" s="1"/>
  <c r="EM53" i="2" s="1"/>
  <c r="EN53" i="2" s="1"/>
  <c r="DP54" i="2"/>
  <c r="DQ54" i="2" s="1"/>
  <c r="DR54" i="2" s="1"/>
  <c r="DS54" i="2" s="1"/>
  <c r="GA54" i="2"/>
  <c r="GB54" i="2" s="1"/>
  <c r="GC54" i="2" s="1"/>
  <c r="GD54" i="2" s="1"/>
  <c r="GV53" i="2"/>
  <c r="GW53" i="2" s="1"/>
  <c r="GX53" i="2" s="1"/>
  <c r="GY53" i="2" s="1"/>
  <c r="BZ54" i="2"/>
  <c r="CA54" i="2" s="1"/>
  <c r="CB54" i="2" s="1"/>
  <c r="CC54" i="2" s="1"/>
  <c r="FF53" i="2"/>
  <c r="FG53" i="2" s="1"/>
  <c r="FH53" i="2" s="1"/>
  <c r="FI53" i="2" s="1"/>
  <c r="AJ53" i="2"/>
  <c r="AK53" i="2" s="1"/>
  <c r="AL53" i="2" s="1"/>
  <c r="AM53" i="2" s="1"/>
  <c r="P63" i="2" l="1"/>
  <c r="Q63" i="2"/>
  <c r="R63" i="2" s="1"/>
  <c r="N65" i="2"/>
  <c r="O64" i="2"/>
  <c r="GW203" i="2"/>
  <c r="GX203" i="2" s="1"/>
  <c r="GY203" i="2" s="1"/>
  <c r="GB202" i="2"/>
  <c r="GC202" i="2" s="1"/>
  <c r="GD202" i="2" s="1"/>
  <c r="AU203" i="2"/>
  <c r="AX203" i="2" s="1"/>
  <c r="AX202" i="2"/>
  <c r="FG202" i="2"/>
  <c r="FH202" i="2" s="1"/>
  <c r="FI202" i="2" s="1"/>
  <c r="FG203" i="2"/>
  <c r="FH203" i="2" s="1"/>
  <c r="FI203" i="2" s="1"/>
  <c r="EL202" i="2"/>
  <c r="EM202" i="2" s="1"/>
  <c r="EN202" i="2" s="1"/>
  <c r="EL203" i="2"/>
  <c r="EM203" i="2" s="1"/>
  <c r="EN203" i="2" s="1"/>
  <c r="DQ203" i="2"/>
  <c r="DR203" i="2" s="1"/>
  <c r="DS203" i="2" s="1"/>
  <c r="DQ202" i="2"/>
  <c r="DR202" i="2" s="1"/>
  <c r="DS202" i="2" s="1"/>
  <c r="CV203" i="2"/>
  <c r="CW203" i="2" s="1"/>
  <c r="CX203" i="2" s="1"/>
  <c r="CV202" i="2"/>
  <c r="CW202" i="2" s="1"/>
  <c r="CX202" i="2" s="1"/>
  <c r="CA202" i="2"/>
  <c r="CB202" i="2" s="1"/>
  <c r="CC202" i="2" s="1"/>
  <c r="CA203" i="2"/>
  <c r="CB203" i="2" s="1"/>
  <c r="CC203" i="2" s="1"/>
  <c r="BF203" i="2"/>
  <c r="BG203" i="2" s="1"/>
  <c r="BH203" i="2" s="1"/>
  <c r="BF202" i="2"/>
  <c r="BG202" i="2" s="1"/>
  <c r="BH202" i="2" s="1"/>
  <c r="AK203" i="2"/>
  <c r="AL203" i="2" s="1"/>
  <c r="AM203" i="2" s="1"/>
  <c r="AK202" i="2"/>
  <c r="AL202" i="2" s="1"/>
  <c r="AM202" i="2" s="1"/>
  <c r="BZ55" i="2"/>
  <c r="CA55" i="2" s="1"/>
  <c r="CB55" i="2" s="1"/>
  <c r="CC55" i="2" s="1"/>
  <c r="GA55" i="2"/>
  <c r="GB55" i="2" s="1"/>
  <c r="GC55" i="2" s="1"/>
  <c r="GD55" i="2" s="1"/>
  <c r="EK54" i="2"/>
  <c r="EL54" i="2" s="1"/>
  <c r="EM54" i="2" s="1"/>
  <c r="EN54" i="2" s="1"/>
  <c r="FF54" i="2"/>
  <c r="FG54" i="2" s="1"/>
  <c r="FH54" i="2" s="1"/>
  <c r="FI54" i="2" s="1"/>
  <c r="GV54" i="2"/>
  <c r="GW54" i="2" s="1"/>
  <c r="GX54" i="2" s="1"/>
  <c r="GY54" i="2" s="1"/>
  <c r="DP55" i="2"/>
  <c r="DQ55" i="2" s="1"/>
  <c r="DR55" i="2" s="1"/>
  <c r="DS55" i="2" s="1"/>
  <c r="CU55" i="2"/>
  <c r="CV55" i="2" s="1"/>
  <c r="CW55" i="2" s="1"/>
  <c r="CX55" i="2" s="1"/>
  <c r="AJ54" i="2"/>
  <c r="AK54" i="2" s="1"/>
  <c r="AL54" i="2" s="1"/>
  <c r="AM54" i="2" s="1"/>
  <c r="P64" i="2" l="1"/>
  <c r="Q64" i="2"/>
  <c r="R64" i="2" s="1"/>
  <c r="N66" i="2"/>
  <c r="O65" i="2"/>
  <c r="DP56" i="2"/>
  <c r="DQ56" i="2" s="1"/>
  <c r="DR56" i="2" s="1"/>
  <c r="DS56" i="2" s="1"/>
  <c r="FF55" i="2"/>
  <c r="FG55" i="2" s="1"/>
  <c r="FH55" i="2" s="1"/>
  <c r="FI55" i="2" s="1"/>
  <c r="GA56" i="2"/>
  <c r="GB56" i="2" s="1"/>
  <c r="GC56" i="2" s="1"/>
  <c r="GD56" i="2" s="1"/>
  <c r="CU56" i="2"/>
  <c r="CV56" i="2" s="1"/>
  <c r="CW56" i="2" s="1"/>
  <c r="CX56" i="2" s="1"/>
  <c r="GV55" i="2"/>
  <c r="GW55" i="2" s="1"/>
  <c r="GX55" i="2" s="1"/>
  <c r="GY55" i="2" s="1"/>
  <c r="EK55" i="2"/>
  <c r="EL55" i="2" s="1"/>
  <c r="EM55" i="2" s="1"/>
  <c r="EN55" i="2" s="1"/>
  <c r="BZ56" i="2"/>
  <c r="CA56" i="2" s="1"/>
  <c r="CB56" i="2" s="1"/>
  <c r="CC56" i="2" s="1"/>
  <c r="AJ55" i="2"/>
  <c r="AK55" i="2" s="1"/>
  <c r="AL55" i="2" s="1"/>
  <c r="AM55" i="2" s="1"/>
  <c r="P65" i="2" l="1"/>
  <c r="Q65" i="2" s="1"/>
  <c r="R65" i="2" s="1"/>
  <c r="N67" i="2"/>
  <c r="O66" i="2"/>
  <c r="EK56" i="2"/>
  <c r="EL56" i="2" s="1"/>
  <c r="EM56" i="2" s="1"/>
  <c r="EN56" i="2" s="1"/>
  <c r="CU57" i="2"/>
  <c r="CV57" i="2" s="1"/>
  <c r="CW57" i="2" s="1"/>
  <c r="CX57" i="2" s="1"/>
  <c r="FF56" i="2"/>
  <c r="FG56" i="2" s="1"/>
  <c r="FH56" i="2" s="1"/>
  <c r="FI56" i="2" s="1"/>
  <c r="BZ57" i="2"/>
  <c r="CA57" i="2" s="1"/>
  <c r="CB57" i="2" s="1"/>
  <c r="CC57" i="2" s="1"/>
  <c r="GV56" i="2"/>
  <c r="GW56" i="2" s="1"/>
  <c r="GX56" i="2" s="1"/>
  <c r="GY56" i="2" s="1"/>
  <c r="GA57" i="2"/>
  <c r="GB57" i="2" s="1"/>
  <c r="GC57" i="2" s="1"/>
  <c r="GD57" i="2" s="1"/>
  <c r="DP57" i="2"/>
  <c r="DQ57" i="2" s="1"/>
  <c r="DR57" i="2" s="1"/>
  <c r="DS57" i="2" s="1"/>
  <c r="AJ56" i="2"/>
  <c r="AK56" i="2" s="1"/>
  <c r="AL56" i="2" s="1"/>
  <c r="AM56" i="2" s="1"/>
  <c r="P66" i="2" l="1"/>
  <c r="Q66" i="2"/>
  <c r="R66" i="2" s="1"/>
  <c r="N68" i="2"/>
  <c r="O67" i="2"/>
  <c r="GA58" i="2"/>
  <c r="GB58" i="2" s="1"/>
  <c r="GC58" i="2" s="1"/>
  <c r="GD58" i="2" s="1"/>
  <c r="BZ58" i="2"/>
  <c r="CA58" i="2" s="1"/>
  <c r="CB58" i="2" s="1"/>
  <c r="CC58" i="2" s="1"/>
  <c r="CU58" i="2"/>
  <c r="CV58" i="2" s="1"/>
  <c r="CW58" i="2" s="1"/>
  <c r="CX58" i="2" s="1"/>
  <c r="DP58" i="2"/>
  <c r="DQ58" i="2" s="1"/>
  <c r="DR58" i="2" s="1"/>
  <c r="DS58" i="2" s="1"/>
  <c r="GV57" i="2"/>
  <c r="GW57" i="2" s="1"/>
  <c r="GX57" i="2" s="1"/>
  <c r="GY57" i="2" s="1"/>
  <c r="FF57" i="2"/>
  <c r="FG57" i="2" s="1"/>
  <c r="FH57" i="2" s="1"/>
  <c r="FI57" i="2" s="1"/>
  <c r="EK57" i="2"/>
  <c r="EL57" i="2" s="1"/>
  <c r="EM57" i="2" s="1"/>
  <c r="EN57" i="2" s="1"/>
  <c r="AJ57" i="2"/>
  <c r="AK57" i="2" s="1"/>
  <c r="AL57" i="2" s="1"/>
  <c r="AM57" i="2" s="1"/>
  <c r="P67" i="2" l="1"/>
  <c r="Q67" i="2"/>
  <c r="R67" i="2" s="1"/>
  <c r="N69" i="2"/>
  <c r="O68" i="2"/>
  <c r="FF58" i="2"/>
  <c r="FG58" i="2" s="1"/>
  <c r="FH58" i="2" s="1"/>
  <c r="FI58" i="2" s="1"/>
  <c r="DP59" i="2"/>
  <c r="DQ59" i="2" s="1"/>
  <c r="DR59" i="2" s="1"/>
  <c r="DS59" i="2" s="1"/>
  <c r="BZ59" i="2"/>
  <c r="CA59" i="2" s="1"/>
  <c r="CB59" i="2" s="1"/>
  <c r="CC59" i="2" s="1"/>
  <c r="EK58" i="2"/>
  <c r="EL58" i="2" s="1"/>
  <c r="EM58" i="2" s="1"/>
  <c r="EN58" i="2" s="1"/>
  <c r="GV58" i="2"/>
  <c r="GW58" i="2" s="1"/>
  <c r="GX58" i="2" s="1"/>
  <c r="GY58" i="2" s="1"/>
  <c r="CU59" i="2"/>
  <c r="CV59" i="2" s="1"/>
  <c r="CW59" i="2" s="1"/>
  <c r="CX59" i="2" s="1"/>
  <c r="GA59" i="2"/>
  <c r="GB59" i="2" s="1"/>
  <c r="GC59" i="2" s="1"/>
  <c r="GD59" i="2" s="1"/>
  <c r="AJ58" i="2"/>
  <c r="AK58" i="2" s="1"/>
  <c r="AL58" i="2" s="1"/>
  <c r="AM58" i="2" s="1"/>
  <c r="P68" i="2" l="1"/>
  <c r="Q68" i="2"/>
  <c r="R68" i="2" s="1"/>
  <c r="N70" i="2"/>
  <c r="O69" i="2"/>
  <c r="CU60" i="2"/>
  <c r="CV60" i="2" s="1"/>
  <c r="CW60" i="2" s="1"/>
  <c r="CX60" i="2" s="1"/>
  <c r="EK59" i="2"/>
  <c r="EL59" i="2" s="1"/>
  <c r="EM59" i="2" s="1"/>
  <c r="EN59" i="2" s="1"/>
  <c r="DP60" i="2"/>
  <c r="DQ60" i="2" s="1"/>
  <c r="DR60" i="2" s="1"/>
  <c r="DS60" i="2" s="1"/>
  <c r="GA60" i="2"/>
  <c r="GB60" i="2" s="1"/>
  <c r="GC60" i="2" s="1"/>
  <c r="GD60" i="2" s="1"/>
  <c r="GV59" i="2"/>
  <c r="GW59" i="2" s="1"/>
  <c r="GX59" i="2" s="1"/>
  <c r="GY59" i="2" s="1"/>
  <c r="BZ60" i="2"/>
  <c r="CA60" i="2" s="1"/>
  <c r="CB60" i="2" s="1"/>
  <c r="CC60" i="2" s="1"/>
  <c r="FF59" i="2"/>
  <c r="FG59" i="2" s="1"/>
  <c r="FH59" i="2" s="1"/>
  <c r="FI59" i="2" s="1"/>
  <c r="AJ59" i="2"/>
  <c r="AK59" i="2" s="1"/>
  <c r="AL59" i="2" s="1"/>
  <c r="AM59" i="2" s="1"/>
  <c r="P69" i="2" l="1"/>
  <c r="Q69" i="2"/>
  <c r="R69" i="2" s="1"/>
  <c r="N71" i="2"/>
  <c r="O70" i="2"/>
  <c r="BZ61" i="2"/>
  <c r="CA61" i="2" s="1"/>
  <c r="CB61" i="2" s="1"/>
  <c r="CC61" i="2" s="1"/>
  <c r="GA61" i="2"/>
  <c r="GB61" i="2" s="1"/>
  <c r="GC61" i="2" s="1"/>
  <c r="GD61" i="2" s="1"/>
  <c r="EK60" i="2"/>
  <c r="EL60" i="2" s="1"/>
  <c r="EM60" i="2" s="1"/>
  <c r="EN60" i="2" s="1"/>
  <c r="FF60" i="2"/>
  <c r="FG60" i="2" s="1"/>
  <c r="FH60" i="2" s="1"/>
  <c r="FI60" i="2" s="1"/>
  <c r="GV60" i="2"/>
  <c r="GW60" i="2" s="1"/>
  <c r="GX60" i="2" s="1"/>
  <c r="GY60" i="2" s="1"/>
  <c r="DP61" i="2"/>
  <c r="DQ61" i="2" s="1"/>
  <c r="DR61" i="2" s="1"/>
  <c r="DS61" i="2" s="1"/>
  <c r="CU61" i="2"/>
  <c r="CV61" i="2" s="1"/>
  <c r="CW61" i="2" s="1"/>
  <c r="CX61" i="2" s="1"/>
  <c r="AJ60" i="2"/>
  <c r="AK60" i="2" s="1"/>
  <c r="AL60" i="2" s="1"/>
  <c r="AM60" i="2" s="1"/>
  <c r="P70" i="2" l="1"/>
  <c r="Q70" i="2"/>
  <c r="R70" i="2" s="1"/>
  <c r="N72" i="2"/>
  <c r="O71" i="2"/>
  <c r="DP62" i="2"/>
  <c r="DQ62" i="2" s="1"/>
  <c r="DR62" i="2" s="1"/>
  <c r="DS62" i="2" s="1"/>
  <c r="FF61" i="2"/>
  <c r="FG61" i="2" s="1"/>
  <c r="FH61" i="2" s="1"/>
  <c r="FI61" i="2" s="1"/>
  <c r="GA62" i="2"/>
  <c r="GB62" i="2" s="1"/>
  <c r="GC62" i="2" s="1"/>
  <c r="GD62" i="2" s="1"/>
  <c r="CU62" i="2"/>
  <c r="CV62" i="2" s="1"/>
  <c r="CW62" i="2" s="1"/>
  <c r="CX62" i="2" s="1"/>
  <c r="GV61" i="2"/>
  <c r="GW61" i="2" s="1"/>
  <c r="GX61" i="2" s="1"/>
  <c r="GY61" i="2" s="1"/>
  <c r="EK61" i="2"/>
  <c r="EL61" i="2" s="1"/>
  <c r="EM61" i="2" s="1"/>
  <c r="EN61" i="2" s="1"/>
  <c r="BZ62" i="2"/>
  <c r="CA62" i="2" s="1"/>
  <c r="CB62" i="2" s="1"/>
  <c r="CC62" i="2" s="1"/>
  <c r="AJ61" i="2"/>
  <c r="AK61" i="2" s="1"/>
  <c r="AL61" i="2" s="1"/>
  <c r="AM61" i="2" s="1"/>
  <c r="P71" i="2" l="1"/>
  <c r="Q71" i="2"/>
  <c r="R71" i="2" s="1"/>
  <c r="N73" i="2"/>
  <c r="O72" i="2"/>
  <c r="EK62" i="2"/>
  <c r="EL62" i="2" s="1"/>
  <c r="EM62" i="2" s="1"/>
  <c r="EN62" i="2" s="1"/>
  <c r="CU63" i="2"/>
  <c r="CV63" i="2" s="1"/>
  <c r="CW63" i="2" s="1"/>
  <c r="CX63" i="2" s="1"/>
  <c r="FF62" i="2"/>
  <c r="FG62" i="2" s="1"/>
  <c r="FH62" i="2" s="1"/>
  <c r="FI62" i="2" s="1"/>
  <c r="BZ63" i="2"/>
  <c r="CA63" i="2" s="1"/>
  <c r="CB63" i="2" s="1"/>
  <c r="CC63" i="2" s="1"/>
  <c r="GV62" i="2"/>
  <c r="GW62" i="2" s="1"/>
  <c r="GX62" i="2" s="1"/>
  <c r="GY62" i="2" s="1"/>
  <c r="GA63" i="2"/>
  <c r="GB63" i="2" s="1"/>
  <c r="GC63" i="2" s="1"/>
  <c r="GD63" i="2" s="1"/>
  <c r="DP63" i="2"/>
  <c r="DQ63" i="2" s="1"/>
  <c r="DR63" i="2" s="1"/>
  <c r="DS63" i="2" s="1"/>
  <c r="AJ62" i="2"/>
  <c r="AK62" i="2" s="1"/>
  <c r="AL62" i="2" s="1"/>
  <c r="AM62" i="2" s="1"/>
  <c r="P72" i="2" l="1"/>
  <c r="Q72" i="2"/>
  <c r="R72" i="2" s="1"/>
  <c r="N74" i="2"/>
  <c r="O73" i="2"/>
  <c r="GA64" i="2"/>
  <c r="GB64" i="2" s="1"/>
  <c r="GC64" i="2" s="1"/>
  <c r="GD64" i="2" s="1"/>
  <c r="BZ64" i="2"/>
  <c r="CA64" i="2" s="1"/>
  <c r="CB64" i="2" s="1"/>
  <c r="CC64" i="2" s="1"/>
  <c r="CU64" i="2"/>
  <c r="CV64" i="2" s="1"/>
  <c r="CW64" i="2" s="1"/>
  <c r="CX64" i="2" s="1"/>
  <c r="DP64" i="2"/>
  <c r="DQ64" i="2" s="1"/>
  <c r="DR64" i="2" s="1"/>
  <c r="DS64" i="2" s="1"/>
  <c r="GV63" i="2"/>
  <c r="GW63" i="2" s="1"/>
  <c r="GX63" i="2" s="1"/>
  <c r="GY63" i="2" s="1"/>
  <c r="FF63" i="2"/>
  <c r="FG63" i="2" s="1"/>
  <c r="FH63" i="2" s="1"/>
  <c r="FI63" i="2" s="1"/>
  <c r="EK63" i="2"/>
  <c r="EL63" i="2" s="1"/>
  <c r="EM63" i="2" s="1"/>
  <c r="EN63" i="2" s="1"/>
  <c r="AJ63" i="2"/>
  <c r="AK63" i="2" s="1"/>
  <c r="AL63" i="2" s="1"/>
  <c r="AM63" i="2" s="1"/>
  <c r="P73" i="2" l="1"/>
  <c r="Q73" i="2" s="1"/>
  <c r="R73" i="2" s="1"/>
  <c r="N75" i="2"/>
  <c r="O74" i="2"/>
  <c r="FF64" i="2"/>
  <c r="FG64" i="2" s="1"/>
  <c r="FH64" i="2" s="1"/>
  <c r="FI64" i="2" s="1"/>
  <c r="DP65" i="2"/>
  <c r="DQ65" i="2" s="1"/>
  <c r="DR65" i="2" s="1"/>
  <c r="DS65" i="2" s="1"/>
  <c r="BZ65" i="2"/>
  <c r="CA65" i="2" s="1"/>
  <c r="CB65" i="2" s="1"/>
  <c r="CC65" i="2" s="1"/>
  <c r="EK64" i="2"/>
  <c r="EL64" i="2" s="1"/>
  <c r="EM64" i="2" s="1"/>
  <c r="EN64" i="2" s="1"/>
  <c r="GV64" i="2"/>
  <c r="GW64" i="2" s="1"/>
  <c r="GX64" i="2" s="1"/>
  <c r="GY64" i="2" s="1"/>
  <c r="CU65" i="2"/>
  <c r="CV65" i="2" s="1"/>
  <c r="CW65" i="2" s="1"/>
  <c r="CX65" i="2" s="1"/>
  <c r="GA65" i="2"/>
  <c r="GB65" i="2" s="1"/>
  <c r="GC65" i="2" s="1"/>
  <c r="GD65" i="2" s="1"/>
  <c r="AJ64" i="2"/>
  <c r="AK64" i="2" s="1"/>
  <c r="AL64" i="2" s="1"/>
  <c r="AM64" i="2" s="1"/>
  <c r="N76" i="2" l="1"/>
  <c r="O75" i="2"/>
  <c r="P74" i="2"/>
  <c r="Q74" i="2"/>
  <c r="R74" i="2" s="1"/>
  <c r="CU66" i="2"/>
  <c r="CV66" i="2" s="1"/>
  <c r="CW66" i="2" s="1"/>
  <c r="CX66" i="2" s="1"/>
  <c r="EK65" i="2"/>
  <c r="EL65" i="2" s="1"/>
  <c r="EM65" i="2" s="1"/>
  <c r="EN65" i="2" s="1"/>
  <c r="DP66" i="2"/>
  <c r="DQ66" i="2" s="1"/>
  <c r="DR66" i="2" s="1"/>
  <c r="DS66" i="2" s="1"/>
  <c r="GA66" i="2"/>
  <c r="GB66" i="2" s="1"/>
  <c r="GC66" i="2" s="1"/>
  <c r="GD66" i="2" s="1"/>
  <c r="GV65" i="2"/>
  <c r="GW65" i="2" s="1"/>
  <c r="GX65" i="2" s="1"/>
  <c r="GY65" i="2" s="1"/>
  <c r="BZ66" i="2"/>
  <c r="CA66" i="2" s="1"/>
  <c r="CB66" i="2" s="1"/>
  <c r="CC66" i="2" s="1"/>
  <c r="FF65" i="2"/>
  <c r="FG65" i="2" s="1"/>
  <c r="FH65" i="2" s="1"/>
  <c r="FI65" i="2" s="1"/>
  <c r="AJ65" i="2"/>
  <c r="AK65" i="2" s="1"/>
  <c r="AL65" i="2" s="1"/>
  <c r="AM65" i="2" s="1"/>
  <c r="P75" i="2" l="1"/>
  <c r="Q75" i="2"/>
  <c r="R75" i="2" s="1"/>
  <c r="N77" i="2"/>
  <c r="O76" i="2"/>
  <c r="BZ67" i="2"/>
  <c r="CA67" i="2" s="1"/>
  <c r="CB67" i="2" s="1"/>
  <c r="CC67" i="2" s="1"/>
  <c r="GA67" i="2"/>
  <c r="GB67" i="2" s="1"/>
  <c r="GC67" i="2" s="1"/>
  <c r="GD67" i="2" s="1"/>
  <c r="EK66" i="2"/>
  <c r="EL66" i="2" s="1"/>
  <c r="EM66" i="2" s="1"/>
  <c r="EN66" i="2" s="1"/>
  <c r="FF66" i="2"/>
  <c r="FG66" i="2" s="1"/>
  <c r="FH66" i="2" s="1"/>
  <c r="FI66" i="2" s="1"/>
  <c r="GV66" i="2"/>
  <c r="GW66" i="2" s="1"/>
  <c r="GX66" i="2" s="1"/>
  <c r="GY66" i="2" s="1"/>
  <c r="DP67" i="2"/>
  <c r="DQ67" i="2" s="1"/>
  <c r="DR67" i="2" s="1"/>
  <c r="DS67" i="2" s="1"/>
  <c r="CU67" i="2"/>
  <c r="CV67" i="2" s="1"/>
  <c r="CW67" i="2" s="1"/>
  <c r="CX67" i="2" s="1"/>
  <c r="AJ66" i="2"/>
  <c r="AK66" i="2" s="1"/>
  <c r="AL66" i="2" s="1"/>
  <c r="AM66" i="2" s="1"/>
  <c r="P76" i="2" l="1"/>
  <c r="Q76" i="2"/>
  <c r="R76" i="2" s="1"/>
  <c r="N78" i="2"/>
  <c r="O77" i="2"/>
  <c r="DP68" i="2"/>
  <c r="DQ68" i="2" s="1"/>
  <c r="DR68" i="2" s="1"/>
  <c r="DS68" i="2" s="1"/>
  <c r="FF67" i="2"/>
  <c r="FG67" i="2" s="1"/>
  <c r="FH67" i="2" s="1"/>
  <c r="FI67" i="2" s="1"/>
  <c r="GA68" i="2"/>
  <c r="GB68" i="2" s="1"/>
  <c r="GC68" i="2" s="1"/>
  <c r="GD68" i="2" s="1"/>
  <c r="CU68" i="2"/>
  <c r="CV68" i="2" s="1"/>
  <c r="CW68" i="2" s="1"/>
  <c r="CX68" i="2" s="1"/>
  <c r="GV67" i="2"/>
  <c r="GW67" i="2" s="1"/>
  <c r="GX67" i="2" s="1"/>
  <c r="GY67" i="2" s="1"/>
  <c r="EK67" i="2"/>
  <c r="EL67" i="2" s="1"/>
  <c r="EM67" i="2" s="1"/>
  <c r="EN67" i="2" s="1"/>
  <c r="BZ68" i="2"/>
  <c r="CA68" i="2" s="1"/>
  <c r="CB68" i="2" s="1"/>
  <c r="CC68" i="2" s="1"/>
  <c r="AJ67" i="2"/>
  <c r="AK67" i="2" s="1"/>
  <c r="AL67" i="2" s="1"/>
  <c r="AM67" i="2" s="1"/>
  <c r="P77" i="2" l="1"/>
  <c r="Q77" i="2"/>
  <c r="R77" i="2" s="1"/>
  <c r="N79" i="2"/>
  <c r="O78" i="2"/>
  <c r="EK68" i="2"/>
  <c r="EL68" i="2" s="1"/>
  <c r="EM68" i="2" s="1"/>
  <c r="EN68" i="2" s="1"/>
  <c r="CU69" i="2"/>
  <c r="CV69" i="2" s="1"/>
  <c r="CW69" i="2" s="1"/>
  <c r="CX69" i="2" s="1"/>
  <c r="FF68" i="2"/>
  <c r="FG68" i="2" s="1"/>
  <c r="FH68" i="2" s="1"/>
  <c r="FI68" i="2" s="1"/>
  <c r="BZ69" i="2"/>
  <c r="CA69" i="2" s="1"/>
  <c r="CB69" i="2" s="1"/>
  <c r="CC69" i="2" s="1"/>
  <c r="GV68" i="2"/>
  <c r="GW68" i="2" s="1"/>
  <c r="GX68" i="2" s="1"/>
  <c r="GY68" i="2" s="1"/>
  <c r="GA69" i="2"/>
  <c r="GB69" i="2" s="1"/>
  <c r="GC69" i="2" s="1"/>
  <c r="GD69" i="2" s="1"/>
  <c r="DP69" i="2"/>
  <c r="DQ69" i="2" s="1"/>
  <c r="DR69" i="2" s="1"/>
  <c r="DS69" i="2" s="1"/>
  <c r="AJ68" i="2"/>
  <c r="AK68" i="2" s="1"/>
  <c r="AL68" i="2" s="1"/>
  <c r="AM68" i="2" s="1"/>
  <c r="N80" i="2" l="1"/>
  <c r="O79" i="2"/>
  <c r="P78" i="2"/>
  <c r="Q78" i="2"/>
  <c r="R78" i="2" s="1"/>
  <c r="GA70" i="2"/>
  <c r="GB70" i="2" s="1"/>
  <c r="GC70" i="2" s="1"/>
  <c r="GD70" i="2" s="1"/>
  <c r="BZ70" i="2"/>
  <c r="CA70" i="2" s="1"/>
  <c r="CB70" i="2" s="1"/>
  <c r="CC70" i="2" s="1"/>
  <c r="CU70" i="2"/>
  <c r="CV70" i="2" s="1"/>
  <c r="CW70" i="2" s="1"/>
  <c r="CX70" i="2" s="1"/>
  <c r="DP70" i="2"/>
  <c r="DQ70" i="2" s="1"/>
  <c r="DR70" i="2" s="1"/>
  <c r="DS70" i="2" s="1"/>
  <c r="GV69" i="2"/>
  <c r="GW69" i="2" s="1"/>
  <c r="GX69" i="2" s="1"/>
  <c r="GY69" i="2" s="1"/>
  <c r="FF69" i="2"/>
  <c r="FG69" i="2" s="1"/>
  <c r="FH69" i="2" s="1"/>
  <c r="FI69" i="2" s="1"/>
  <c r="EK69" i="2"/>
  <c r="EL69" i="2" s="1"/>
  <c r="EM69" i="2" s="1"/>
  <c r="EN69" i="2" s="1"/>
  <c r="AJ69" i="2"/>
  <c r="AK69" i="2" s="1"/>
  <c r="AL69" i="2" s="1"/>
  <c r="AM69" i="2" s="1"/>
  <c r="P79" i="2" l="1"/>
  <c r="Q79" i="2"/>
  <c r="R79" i="2" s="1"/>
  <c r="N81" i="2"/>
  <c r="O80" i="2"/>
  <c r="FF70" i="2"/>
  <c r="FG70" i="2" s="1"/>
  <c r="FH70" i="2" s="1"/>
  <c r="FI70" i="2" s="1"/>
  <c r="DP71" i="2"/>
  <c r="DQ71" i="2" s="1"/>
  <c r="DR71" i="2" s="1"/>
  <c r="DS71" i="2" s="1"/>
  <c r="BZ71" i="2"/>
  <c r="CA71" i="2" s="1"/>
  <c r="CB71" i="2" s="1"/>
  <c r="CC71" i="2" s="1"/>
  <c r="EK70" i="2"/>
  <c r="EL70" i="2" s="1"/>
  <c r="EM70" i="2" s="1"/>
  <c r="EN70" i="2" s="1"/>
  <c r="GV70" i="2"/>
  <c r="GW70" i="2" s="1"/>
  <c r="GX70" i="2" s="1"/>
  <c r="GY70" i="2" s="1"/>
  <c r="CU71" i="2"/>
  <c r="CV71" i="2" s="1"/>
  <c r="CW71" i="2" s="1"/>
  <c r="CX71" i="2" s="1"/>
  <c r="GA71" i="2"/>
  <c r="GB71" i="2" s="1"/>
  <c r="GC71" i="2" s="1"/>
  <c r="GD71" i="2" s="1"/>
  <c r="AJ70" i="2"/>
  <c r="AK70" i="2" s="1"/>
  <c r="AL70" i="2" s="1"/>
  <c r="AM70" i="2" s="1"/>
  <c r="P80" i="2" l="1"/>
  <c r="Q80" i="2"/>
  <c r="R80" i="2" s="1"/>
  <c r="N82" i="2"/>
  <c r="O81" i="2"/>
  <c r="CU72" i="2"/>
  <c r="CV72" i="2" s="1"/>
  <c r="CW72" i="2" s="1"/>
  <c r="CX72" i="2" s="1"/>
  <c r="EK71" i="2"/>
  <c r="EL71" i="2" s="1"/>
  <c r="EM71" i="2" s="1"/>
  <c r="EN71" i="2" s="1"/>
  <c r="DP72" i="2"/>
  <c r="DQ72" i="2" s="1"/>
  <c r="DR72" i="2" s="1"/>
  <c r="DS72" i="2" s="1"/>
  <c r="GA72" i="2"/>
  <c r="GB72" i="2" s="1"/>
  <c r="GC72" i="2" s="1"/>
  <c r="GD72" i="2" s="1"/>
  <c r="GV71" i="2"/>
  <c r="GW71" i="2" s="1"/>
  <c r="GX71" i="2" s="1"/>
  <c r="GY71" i="2" s="1"/>
  <c r="BZ72" i="2"/>
  <c r="CA72" i="2" s="1"/>
  <c r="CB72" i="2" s="1"/>
  <c r="CC72" i="2" s="1"/>
  <c r="FF71" i="2"/>
  <c r="FG71" i="2" s="1"/>
  <c r="FH71" i="2" s="1"/>
  <c r="FI71" i="2" s="1"/>
  <c r="AJ71" i="2"/>
  <c r="AK71" i="2" s="1"/>
  <c r="AL71" i="2" s="1"/>
  <c r="AM71" i="2" s="1"/>
  <c r="P81" i="2" l="1"/>
  <c r="Q81" i="2" s="1"/>
  <c r="R81" i="2" s="1"/>
  <c r="N83" i="2"/>
  <c r="O82" i="2"/>
  <c r="BZ73" i="2"/>
  <c r="CA73" i="2" s="1"/>
  <c r="CB73" i="2" s="1"/>
  <c r="CC73" i="2" s="1"/>
  <c r="GA73" i="2"/>
  <c r="GB73" i="2" s="1"/>
  <c r="GC73" i="2" s="1"/>
  <c r="GD73" i="2" s="1"/>
  <c r="EK72" i="2"/>
  <c r="EL72" i="2" s="1"/>
  <c r="EM72" i="2" s="1"/>
  <c r="EN72" i="2" s="1"/>
  <c r="FF72" i="2"/>
  <c r="FG72" i="2" s="1"/>
  <c r="FH72" i="2" s="1"/>
  <c r="FI72" i="2" s="1"/>
  <c r="GV72" i="2"/>
  <c r="GW72" i="2" s="1"/>
  <c r="GX72" i="2" s="1"/>
  <c r="GY72" i="2" s="1"/>
  <c r="DP73" i="2"/>
  <c r="DQ73" i="2" s="1"/>
  <c r="DR73" i="2" s="1"/>
  <c r="DS73" i="2" s="1"/>
  <c r="CU73" i="2"/>
  <c r="CV73" i="2" s="1"/>
  <c r="CW73" i="2" s="1"/>
  <c r="CX73" i="2" s="1"/>
  <c r="AJ72" i="2"/>
  <c r="AK72" i="2" s="1"/>
  <c r="AL72" i="2" s="1"/>
  <c r="AM72" i="2" s="1"/>
  <c r="N84" i="2" l="1"/>
  <c r="O83" i="2"/>
  <c r="P82" i="2"/>
  <c r="Q82" i="2"/>
  <c r="R82" i="2" s="1"/>
  <c r="DP74" i="2"/>
  <c r="DQ74" i="2" s="1"/>
  <c r="DR74" i="2" s="1"/>
  <c r="DS74" i="2" s="1"/>
  <c r="FF73" i="2"/>
  <c r="FG73" i="2" s="1"/>
  <c r="FH73" i="2" s="1"/>
  <c r="FI73" i="2" s="1"/>
  <c r="GA74" i="2"/>
  <c r="GB74" i="2" s="1"/>
  <c r="GC74" i="2" s="1"/>
  <c r="GD74" i="2" s="1"/>
  <c r="CU74" i="2"/>
  <c r="CV74" i="2" s="1"/>
  <c r="CW74" i="2" s="1"/>
  <c r="CX74" i="2" s="1"/>
  <c r="GV73" i="2"/>
  <c r="GW73" i="2" s="1"/>
  <c r="GX73" i="2" s="1"/>
  <c r="GY73" i="2" s="1"/>
  <c r="EK73" i="2"/>
  <c r="EL73" i="2" s="1"/>
  <c r="EM73" i="2" s="1"/>
  <c r="EN73" i="2" s="1"/>
  <c r="BZ74" i="2"/>
  <c r="CA74" i="2" s="1"/>
  <c r="CB74" i="2" s="1"/>
  <c r="CC74" i="2" s="1"/>
  <c r="AJ73" i="2"/>
  <c r="AK73" i="2" s="1"/>
  <c r="AL73" i="2" s="1"/>
  <c r="AM73" i="2" s="1"/>
  <c r="P83" i="2" l="1"/>
  <c r="Q83" i="2"/>
  <c r="R83" i="2" s="1"/>
  <c r="N85" i="2"/>
  <c r="O84" i="2"/>
  <c r="EK74" i="2"/>
  <c r="EL74" i="2" s="1"/>
  <c r="EM74" i="2" s="1"/>
  <c r="EN74" i="2" s="1"/>
  <c r="CU75" i="2"/>
  <c r="CV75" i="2" s="1"/>
  <c r="CW75" i="2" s="1"/>
  <c r="CX75" i="2" s="1"/>
  <c r="FF74" i="2"/>
  <c r="FG74" i="2" s="1"/>
  <c r="FH74" i="2" s="1"/>
  <c r="FI74" i="2" s="1"/>
  <c r="BZ75" i="2"/>
  <c r="CA75" i="2" s="1"/>
  <c r="CB75" i="2" s="1"/>
  <c r="CC75" i="2" s="1"/>
  <c r="GV74" i="2"/>
  <c r="GW74" i="2" s="1"/>
  <c r="GX74" i="2" s="1"/>
  <c r="GY74" i="2" s="1"/>
  <c r="GA75" i="2"/>
  <c r="GB75" i="2" s="1"/>
  <c r="GC75" i="2" s="1"/>
  <c r="GD75" i="2" s="1"/>
  <c r="DP75" i="2"/>
  <c r="DQ75" i="2" s="1"/>
  <c r="DR75" i="2" s="1"/>
  <c r="DS75" i="2" s="1"/>
  <c r="AJ74" i="2"/>
  <c r="AK74" i="2" s="1"/>
  <c r="AL74" i="2" s="1"/>
  <c r="AM74" i="2" s="1"/>
  <c r="P84" i="2" l="1"/>
  <c r="Q84" i="2"/>
  <c r="R84" i="2" s="1"/>
  <c r="N86" i="2"/>
  <c r="O85" i="2"/>
  <c r="GA76" i="2"/>
  <c r="GB76" i="2" s="1"/>
  <c r="GC76" i="2" s="1"/>
  <c r="GD76" i="2" s="1"/>
  <c r="BZ76" i="2"/>
  <c r="CA76" i="2" s="1"/>
  <c r="CB76" i="2" s="1"/>
  <c r="CC76" i="2" s="1"/>
  <c r="CU76" i="2"/>
  <c r="CV76" i="2" s="1"/>
  <c r="CW76" i="2" s="1"/>
  <c r="CX76" i="2" s="1"/>
  <c r="DP76" i="2"/>
  <c r="DQ76" i="2" s="1"/>
  <c r="DR76" i="2" s="1"/>
  <c r="DS76" i="2" s="1"/>
  <c r="GV75" i="2"/>
  <c r="GW75" i="2" s="1"/>
  <c r="GX75" i="2" s="1"/>
  <c r="GY75" i="2" s="1"/>
  <c r="FF75" i="2"/>
  <c r="FG75" i="2" s="1"/>
  <c r="FH75" i="2" s="1"/>
  <c r="FI75" i="2" s="1"/>
  <c r="EK75" i="2"/>
  <c r="EL75" i="2" s="1"/>
  <c r="EM75" i="2" s="1"/>
  <c r="EN75" i="2" s="1"/>
  <c r="AJ75" i="2"/>
  <c r="AK75" i="2" s="1"/>
  <c r="AL75" i="2" s="1"/>
  <c r="AM75" i="2" s="1"/>
  <c r="P85" i="2" l="1"/>
  <c r="Q85" i="2"/>
  <c r="R85" i="2" s="1"/>
  <c r="N87" i="2"/>
  <c r="O86" i="2"/>
  <c r="FF76" i="2"/>
  <c r="FG76" i="2" s="1"/>
  <c r="FH76" i="2" s="1"/>
  <c r="FI76" i="2" s="1"/>
  <c r="DP77" i="2"/>
  <c r="DQ77" i="2" s="1"/>
  <c r="DR77" i="2" s="1"/>
  <c r="DS77" i="2" s="1"/>
  <c r="BZ77" i="2"/>
  <c r="CA77" i="2" s="1"/>
  <c r="CB77" i="2" s="1"/>
  <c r="CC77" i="2" s="1"/>
  <c r="EK76" i="2"/>
  <c r="EL76" i="2" s="1"/>
  <c r="EM76" i="2" s="1"/>
  <c r="EN76" i="2" s="1"/>
  <c r="GV76" i="2"/>
  <c r="GW76" i="2" s="1"/>
  <c r="GX76" i="2" s="1"/>
  <c r="GY76" i="2" s="1"/>
  <c r="CU77" i="2"/>
  <c r="CV77" i="2" s="1"/>
  <c r="CW77" i="2" s="1"/>
  <c r="CX77" i="2" s="1"/>
  <c r="GA77" i="2"/>
  <c r="GB77" i="2" s="1"/>
  <c r="GC77" i="2" s="1"/>
  <c r="GD77" i="2" s="1"/>
  <c r="AJ76" i="2"/>
  <c r="AK76" i="2" s="1"/>
  <c r="AL76" i="2" s="1"/>
  <c r="AM76" i="2" s="1"/>
  <c r="P86" i="2" l="1"/>
  <c r="Q86" i="2"/>
  <c r="R86" i="2" s="1"/>
  <c r="N88" i="2"/>
  <c r="O87" i="2"/>
  <c r="CU78" i="2"/>
  <c r="CV78" i="2" s="1"/>
  <c r="CW78" i="2" s="1"/>
  <c r="CX78" i="2" s="1"/>
  <c r="EK77" i="2"/>
  <c r="EL77" i="2" s="1"/>
  <c r="EM77" i="2" s="1"/>
  <c r="EN77" i="2" s="1"/>
  <c r="DP78" i="2"/>
  <c r="DQ78" i="2" s="1"/>
  <c r="DR78" i="2" s="1"/>
  <c r="DS78" i="2" s="1"/>
  <c r="GA78" i="2"/>
  <c r="GB78" i="2" s="1"/>
  <c r="GC78" i="2" s="1"/>
  <c r="GD78" i="2" s="1"/>
  <c r="GV77" i="2"/>
  <c r="GW77" i="2" s="1"/>
  <c r="GX77" i="2" s="1"/>
  <c r="GY77" i="2" s="1"/>
  <c r="BZ78" i="2"/>
  <c r="CA78" i="2" s="1"/>
  <c r="CB78" i="2" s="1"/>
  <c r="CC78" i="2" s="1"/>
  <c r="FF77" i="2"/>
  <c r="FG77" i="2" s="1"/>
  <c r="FH77" i="2" s="1"/>
  <c r="FI77" i="2" s="1"/>
  <c r="AJ77" i="2"/>
  <c r="AK77" i="2" s="1"/>
  <c r="AL77" i="2" s="1"/>
  <c r="AM77" i="2" s="1"/>
  <c r="P87" i="2" l="1"/>
  <c r="Q87" i="2"/>
  <c r="R87" i="2" s="1"/>
  <c r="N89" i="2"/>
  <c r="O88" i="2"/>
  <c r="BZ79" i="2"/>
  <c r="CA79" i="2" s="1"/>
  <c r="CB79" i="2" s="1"/>
  <c r="CC79" i="2" s="1"/>
  <c r="GA79" i="2"/>
  <c r="GB79" i="2" s="1"/>
  <c r="GC79" i="2" s="1"/>
  <c r="GD79" i="2" s="1"/>
  <c r="EK78" i="2"/>
  <c r="EL78" i="2" s="1"/>
  <c r="EM78" i="2" s="1"/>
  <c r="EN78" i="2" s="1"/>
  <c r="FF78" i="2"/>
  <c r="FG78" i="2" s="1"/>
  <c r="FH78" i="2" s="1"/>
  <c r="FI78" i="2" s="1"/>
  <c r="GV78" i="2"/>
  <c r="GW78" i="2" s="1"/>
  <c r="GX78" i="2" s="1"/>
  <c r="GY78" i="2" s="1"/>
  <c r="DP79" i="2"/>
  <c r="DQ79" i="2" s="1"/>
  <c r="DR79" i="2" s="1"/>
  <c r="DS79" i="2" s="1"/>
  <c r="CU79" i="2"/>
  <c r="CV79" i="2" s="1"/>
  <c r="CW79" i="2" s="1"/>
  <c r="CX79" i="2" s="1"/>
  <c r="AJ78" i="2"/>
  <c r="AK78" i="2" s="1"/>
  <c r="AL78" i="2" s="1"/>
  <c r="AM78" i="2" s="1"/>
  <c r="P88" i="2" l="1"/>
  <c r="Q88" i="2"/>
  <c r="R88" i="2" s="1"/>
  <c r="N90" i="2"/>
  <c r="O89" i="2"/>
  <c r="DP80" i="2"/>
  <c r="DQ80" i="2" s="1"/>
  <c r="DR80" i="2" s="1"/>
  <c r="DS80" i="2" s="1"/>
  <c r="FF79" i="2"/>
  <c r="FG79" i="2" s="1"/>
  <c r="FH79" i="2" s="1"/>
  <c r="FI79" i="2" s="1"/>
  <c r="GA80" i="2"/>
  <c r="GB80" i="2" s="1"/>
  <c r="GC80" i="2" s="1"/>
  <c r="GD80" i="2" s="1"/>
  <c r="CU80" i="2"/>
  <c r="CV80" i="2" s="1"/>
  <c r="CW80" i="2" s="1"/>
  <c r="CX80" i="2" s="1"/>
  <c r="GV79" i="2"/>
  <c r="GW79" i="2" s="1"/>
  <c r="GX79" i="2" s="1"/>
  <c r="GY79" i="2" s="1"/>
  <c r="EK79" i="2"/>
  <c r="EL79" i="2" s="1"/>
  <c r="EM79" i="2" s="1"/>
  <c r="EN79" i="2" s="1"/>
  <c r="BZ80" i="2"/>
  <c r="CA80" i="2" s="1"/>
  <c r="CB80" i="2" s="1"/>
  <c r="CC80" i="2" s="1"/>
  <c r="AJ79" i="2"/>
  <c r="AK79" i="2" s="1"/>
  <c r="AL79" i="2" s="1"/>
  <c r="AM79" i="2" s="1"/>
  <c r="P89" i="2" l="1"/>
  <c r="Q89" i="2" s="1"/>
  <c r="R89" i="2" s="1"/>
  <c r="N91" i="2"/>
  <c r="O90" i="2"/>
  <c r="EK80" i="2"/>
  <c r="EL80" i="2" s="1"/>
  <c r="EM80" i="2" s="1"/>
  <c r="EN80" i="2" s="1"/>
  <c r="CU81" i="2"/>
  <c r="CV81" i="2" s="1"/>
  <c r="CW81" i="2" s="1"/>
  <c r="CX81" i="2" s="1"/>
  <c r="FF80" i="2"/>
  <c r="FG80" i="2" s="1"/>
  <c r="FH80" i="2" s="1"/>
  <c r="FI80" i="2" s="1"/>
  <c r="BZ81" i="2"/>
  <c r="CA81" i="2" s="1"/>
  <c r="CB81" i="2" s="1"/>
  <c r="CC81" i="2" s="1"/>
  <c r="GV80" i="2"/>
  <c r="GW80" i="2" s="1"/>
  <c r="GX80" i="2" s="1"/>
  <c r="GY80" i="2" s="1"/>
  <c r="GA81" i="2"/>
  <c r="GB81" i="2" s="1"/>
  <c r="GC81" i="2" s="1"/>
  <c r="GD81" i="2" s="1"/>
  <c r="DP81" i="2"/>
  <c r="DQ81" i="2" s="1"/>
  <c r="DR81" i="2" s="1"/>
  <c r="DS81" i="2" s="1"/>
  <c r="AJ80" i="2"/>
  <c r="AK80" i="2" s="1"/>
  <c r="AL80" i="2" s="1"/>
  <c r="AM80" i="2" s="1"/>
  <c r="N92" i="2" l="1"/>
  <c r="O91" i="2"/>
  <c r="P90" i="2"/>
  <c r="Q90" i="2"/>
  <c r="R90" i="2" s="1"/>
  <c r="GA82" i="2"/>
  <c r="GB82" i="2" s="1"/>
  <c r="GC82" i="2" s="1"/>
  <c r="GD82" i="2" s="1"/>
  <c r="BZ82" i="2"/>
  <c r="CA82" i="2" s="1"/>
  <c r="CB82" i="2" s="1"/>
  <c r="CC82" i="2" s="1"/>
  <c r="CU82" i="2"/>
  <c r="CV82" i="2" s="1"/>
  <c r="CW82" i="2" s="1"/>
  <c r="CX82" i="2" s="1"/>
  <c r="DP82" i="2"/>
  <c r="DQ82" i="2" s="1"/>
  <c r="DR82" i="2" s="1"/>
  <c r="DS82" i="2" s="1"/>
  <c r="GV81" i="2"/>
  <c r="GW81" i="2" s="1"/>
  <c r="GX81" i="2" s="1"/>
  <c r="GY81" i="2" s="1"/>
  <c r="FF81" i="2"/>
  <c r="FG81" i="2" s="1"/>
  <c r="FH81" i="2" s="1"/>
  <c r="FI81" i="2" s="1"/>
  <c r="EK81" i="2"/>
  <c r="EL81" i="2" s="1"/>
  <c r="EM81" i="2" s="1"/>
  <c r="EN81" i="2" s="1"/>
  <c r="AJ81" i="2"/>
  <c r="AK81" i="2" s="1"/>
  <c r="AL81" i="2" s="1"/>
  <c r="AM81" i="2" s="1"/>
  <c r="P91" i="2" l="1"/>
  <c r="Q91" i="2"/>
  <c r="R91" i="2" s="1"/>
  <c r="N93" i="2"/>
  <c r="O92" i="2"/>
  <c r="FF82" i="2"/>
  <c r="FG82" i="2" s="1"/>
  <c r="FH82" i="2" s="1"/>
  <c r="FI82" i="2" s="1"/>
  <c r="DP83" i="2"/>
  <c r="DQ83" i="2" s="1"/>
  <c r="DR83" i="2" s="1"/>
  <c r="DS83" i="2" s="1"/>
  <c r="BZ83" i="2"/>
  <c r="CA83" i="2" s="1"/>
  <c r="CB83" i="2" s="1"/>
  <c r="CC83" i="2" s="1"/>
  <c r="EK82" i="2"/>
  <c r="EL82" i="2" s="1"/>
  <c r="EM82" i="2" s="1"/>
  <c r="EN82" i="2" s="1"/>
  <c r="GV82" i="2"/>
  <c r="GW82" i="2" s="1"/>
  <c r="GX82" i="2" s="1"/>
  <c r="GY82" i="2" s="1"/>
  <c r="CU83" i="2"/>
  <c r="CV83" i="2" s="1"/>
  <c r="CW83" i="2" s="1"/>
  <c r="CX83" i="2" s="1"/>
  <c r="GA83" i="2"/>
  <c r="GB83" i="2" s="1"/>
  <c r="GC83" i="2" s="1"/>
  <c r="GD83" i="2" s="1"/>
  <c r="AJ82" i="2"/>
  <c r="AK82" i="2" s="1"/>
  <c r="AL82" i="2" s="1"/>
  <c r="AM82" i="2" s="1"/>
  <c r="N94" i="2" l="1"/>
  <c r="O93" i="2"/>
  <c r="P92" i="2"/>
  <c r="Q92" i="2"/>
  <c r="R92" i="2" s="1"/>
  <c r="CU84" i="2"/>
  <c r="CV84" i="2" s="1"/>
  <c r="CW84" i="2" s="1"/>
  <c r="CX84" i="2" s="1"/>
  <c r="EK83" i="2"/>
  <c r="EL83" i="2" s="1"/>
  <c r="EM83" i="2" s="1"/>
  <c r="EN83" i="2" s="1"/>
  <c r="DP84" i="2"/>
  <c r="DQ84" i="2" s="1"/>
  <c r="DR84" i="2" s="1"/>
  <c r="DS84" i="2" s="1"/>
  <c r="GA84" i="2"/>
  <c r="GB84" i="2" s="1"/>
  <c r="GC84" i="2" s="1"/>
  <c r="GD84" i="2" s="1"/>
  <c r="GV83" i="2"/>
  <c r="GW83" i="2" s="1"/>
  <c r="GX83" i="2" s="1"/>
  <c r="GY83" i="2" s="1"/>
  <c r="BZ84" i="2"/>
  <c r="CA84" i="2" s="1"/>
  <c r="CB84" i="2" s="1"/>
  <c r="CC84" i="2" s="1"/>
  <c r="FF83" i="2"/>
  <c r="FG83" i="2" s="1"/>
  <c r="FH83" i="2" s="1"/>
  <c r="FI83" i="2" s="1"/>
  <c r="AJ83" i="2"/>
  <c r="AK83" i="2" s="1"/>
  <c r="AL83" i="2" s="1"/>
  <c r="AM83" i="2" s="1"/>
  <c r="P93" i="2" l="1"/>
  <c r="Q93" i="2"/>
  <c r="R93" i="2" s="1"/>
  <c r="N95" i="2"/>
  <c r="O94" i="2"/>
  <c r="BZ85" i="2"/>
  <c r="CA85" i="2" s="1"/>
  <c r="CB85" i="2" s="1"/>
  <c r="CC85" i="2" s="1"/>
  <c r="GA85" i="2"/>
  <c r="GB85" i="2" s="1"/>
  <c r="GC85" i="2" s="1"/>
  <c r="GD85" i="2" s="1"/>
  <c r="EK84" i="2"/>
  <c r="EL84" i="2" s="1"/>
  <c r="EM84" i="2" s="1"/>
  <c r="EN84" i="2" s="1"/>
  <c r="FF84" i="2"/>
  <c r="FG84" i="2" s="1"/>
  <c r="FH84" i="2" s="1"/>
  <c r="FI84" i="2" s="1"/>
  <c r="GV84" i="2"/>
  <c r="GW84" i="2" s="1"/>
  <c r="GX84" i="2" s="1"/>
  <c r="GY84" i="2" s="1"/>
  <c r="DP85" i="2"/>
  <c r="DQ85" i="2" s="1"/>
  <c r="DR85" i="2" s="1"/>
  <c r="DS85" i="2" s="1"/>
  <c r="CU85" i="2"/>
  <c r="CV85" i="2" s="1"/>
  <c r="CW85" i="2" s="1"/>
  <c r="CX85" i="2" s="1"/>
  <c r="AJ84" i="2"/>
  <c r="AK84" i="2" s="1"/>
  <c r="AL84" i="2" s="1"/>
  <c r="AM84" i="2" s="1"/>
  <c r="P94" i="2" l="1"/>
  <c r="Q94" i="2"/>
  <c r="R94" i="2" s="1"/>
  <c r="N96" i="2"/>
  <c r="O95" i="2"/>
  <c r="DP86" i="2"/>
  <c r="DQ86" i="2" s="1"/>
  <c r="DR86" i="2" s="1"/>
  <c r="DS86" i="2" s="1"/>
  <c r="FF85" i="2"/>
  <c r="FG85" i="2" s="1"/>
  <c r="FH85" i="2" s="1"/>
  <c r="FI85" i="2" s="1"/>
  <c r="GA86" i="2"/>
  <c r="GB86" i="2" s="1"/>
  <c r="GC86" i="2" s="1"/>
  <c r="GD86" i="2" s="1"/>
  <c r="CU86" i="2"/>
  <c r="CV86" i="2" s="1"/>
  <c r="CW86" i="2" s="1"/>
  <c r="CX86" i="2" s="1"/>
  <c r="GV85" i="2"/>
  <c r="GW85" i="2" s="1"/>
  <c r="GX85" i="2" s="1"/>
  <c r="GY85" i="2" s="1"/>
  <c r="EK85" i="2"/>
  <c r="EL85" i="2" s="1"/>
  <c r="EM85" i="2" s="1"/>
  <c r="EN85" i="2" s="1"/>
  <c r="BZ86" i="2"/>
  <c r="CA86" i="2" s="1"/>
  <c r="CB86" i="2" s="1"/>
  <c r="CC86" i="2" s="1"/>
  <c r="AJ85" i="2"/>
  <c r="AK85" i="2" s="1"/>
  <c r="AL85" i="2" s="1"/>
  <c r="AM85" i="2" s="1"/>
  <c r="P95" i="2" l="1"/>
  <c r="Q95" i="2"/>
  <c r="R95" i="2" s="1"/>
  <c r="N97" i="2"/>
  <c r="O96" i="2"/>
  <c r="EK86" i="2"/>
  <c r="EL86" i="2" s="1"/>
  <c r="EM86" i="2" s="1"/>
  <c r="EN86" i="2" s="1"/>
  <c r="CU87" i="2"/>
  <c r="CV87" i="2" s="1"/>
  <c r="CW87" i="2" s="1"/>
  <c r="CX87" i="2" s="1"/>
  <c r="FF86" i="2"/>
  <c r="FG86" i="2" s="1"/>
  <c r="FH86" i="2" s="1"/>
  <c r="FI86" i="2" s="1"/>
  <c r="BZ87" i="2"/>
  <c r="CA87" i="2" s="1"/>
  <c r="CB87" i="2" s="1"/>
  <c r="CC87" i="2" s="1"/>
  <c r="GV86" i="2"/>
  <c r="GW86" i="2" s="1"/>
  <c r="GX86" i="2" s="1"/>
  <c r="GY86" i="2" s="1"/>
  <c r="GA87" i="2"/>
  <c r="GB87" i="2" s="1"/>
  <c r="GC87" i="2" s="1"/>
  <c r="GD87" i="2" s="1"/>
  <c r="DP87" i="2"/>
  <c r="DQ87" i="2" s="1"/>
  <c r="DR87" i="2" s="1"/>
  <c r="DS87" i="2" s="1"/>
  <c r="AJ86" i="2"/>
  <c r="AK86" i="2" s="1"/>
  <c r="AL86" i="2" s="1"/>
  <c r="AM86" i="2" s="1"/>
  <c r="P96" i="2" l="1"/>
  <c r="Q96" i="2"/>
  <c r="R96" i="2" s="1"/>
  <c r="N98" i="2"/>
  <c r="O97" i="2"/>
  <c r="GA88" i="2"/>
  <c r="GB88" i="2" s="1"/>
  <c r="GC88" i="2" s="1"/>
  <c r="GD88" i="2" s="1"/>
  <c r="BZ88" i="2"/>
  <c r="CA88" i="2" s="1"/>
  <c r="CB88" i="2" s="1"/>
  <c r="CC88" i="2" s="1"/>
  <c r="CU88" i="2"/>
  <c r="CV88" i="2" s="1"/>
  <c r="CW88" i="2" s="1"/>
  <c r="CX88" i="2" s="1"/>
  <c r="DP88" i="2"/>
  <c r="DQ88" i="2" s="1"/>
  <c r="DR88" i="2" s="1"/>
  <c r="DS88" i="2" s="1"/>
  <c r="GV87" i="2"/>
  <c r="GW87" i="2" s="1"/>
  <c r="GX87" i="2" s="1"/>
  <c r="GY87" i="2" s="1"/>
  <c r="FF87" i="2"/>
  <c r="FG87" i="2" s="1"/>
  <c r="FH87" i="2" s="1"/>
  <c r="FI87" i="2" s="1"/>
  <c r="EK87" i="2"/>
  <c r="EL87" i="2" s="1"/>
  <c r="EM87" i="2" s="1"/>
  <c r="EN87" i="2" s="1"/>
  <c r="AJ87" i="2"/>
  <c r="AK87" i="2" s="1"/>
  <c r="AL87" i="2" s="1"/>
  <c r="AM87" i="2" s="1"/>
  <c r="P97" i="2" l="1"/>
  <c r="Q97" i="2" s="1"/>
  <c r="R97" i="2" s="1"/>
  <c r="N99" i="2"/>
  <c r="O98" i="2"/>
  <c r="FF88" i="2"/>
  <c r="FG88" i="2" s="1"/>
  <c r="FH88" i="2" s="1"/>
  <c r="FI88" i="2" s="1"/>
  <c r="DP89" i="2"/>
  <c r="DQ89" i="2" s="1"/>
  <c r="DR89" i="2" s="1"/>
  <c r="DS89" i="2" s="1"/>
  <c r="BZ89" i="2"/>
  <c r="CA89" i="2" s="1"/>
  <c r="CB89" i="2" s="1"/>
  <c r="CC89" i="2" s="1"/>
  <c r="EK88" i="2"/>
  <c r="EL88" i="2" s="1"/>
  <c r="EM88" i="2" s="1"/>
  <c r="EN88" i="2" s="1"/>
  <c r="GV88" i="2"/>
  <c r="GW88" i="2" s="1"/>
  <c r="GX88" i="2" s="1"/>
  <c r="GY88" i="2" s="1"/>
  <c r="CU89" i="2"/>
  <c r="CV89" i="2" s="1"/>
  <c r="CW89" i="2" s="1"/>
  <c r="CX89" i="2" s="1"/>
  <c r="GA89" i="2"/>
  <c r="GB89" i="2" s="1"/>
  <c r="GC89" i="2" s="1"/>
  <c r="GD89" i="2" s="1"/>
  <c r="AJ88" i="2"/>
  <c r="AK88" i="2" s="1"/>
  <c r="AL88" i="2" s="1"/>
  <c r="AM88" i="2" s="1"/>
  <c r="P98" i="2" l="1"/>
  <c r="Q98" i="2"/>
  <c r="R98" i="2" s="1"/>
  <c r="N100" i="2"/>
  <c r="O99" i="2"/>
  <c r="CU90" i="2"/>
  <c r="CV90" i="2" s="1"/>
  <c r="CW90" i="2" s="1"/>
  <c r="CX90" i="2" s="1"/>
  <c r="EK89" i="2"/>
  <c r="EL89" i="2" s="1"/>
  <c r="EM89" i="2" s="1"/>
  <c r="EN89" i="2" s="1"/>
  <c r="DP90" i="2"/>
  <c r="DQ90" i="2" s="1"/>
  <c r="DR90" i="2" s="1"/>
  <c r="DS90" i="2" s="1"/>
  <c r="GA90" i="2"/>
  <c r="GB90" i="2" s="1"/>
  <c r="GC90" i="2" s="1"/>
  <c r="GD90" i="2" s="1"/>
  <c r="GV89" i="2"/>
  <c r="GW89" i="2" s="1"/>
  <c r="GX89" i="2" s="1"/>
  <c r="GY89" i="2" s="1"/>
  <c r="BZ90" i="2"/>
  <c r="CA90" i="2" s="1"/>
  <c r="CB90" i="2" s="1"/>
  <c r="CC90" i="2" s="1"/>
  <c r="FF89" i="2"/>
  <c r="FG89" i="2" s="1"/>
  <c r="FH89" i="2" s="1"/>
  <c r="FI89" i="2" s="1"/>
  <c r="AJ89" i="2"/>
  <c r="AK89" i="2" s="1"/>
  <c r="AL89" i="2" s="1"/>
  <c r="AM89" i="2" s="1"/>
  <c r="P99" i="2" l="1"/>
  <c r="Q99" i="2" s="1"/>
  <c r="R99" i="2" s="1"/>
  <c r="N101" i="2"/>
  <c r="O100" i="2"/>
  <c r="BZ91" i="2"/>
  <c r="CA91" i="2" s="1"/>
  <c r="CB91" i="2" s="1"/>
  <c r="CC91" i="2" s="1"/>
  <c r="GA91" i="2"/>
  <c r="GB91" i="2" s="1"/>
  <c r="GC91" i="2" s="1"/>
  <c r="GD91" i="2" s="1"/>
  <c r="EK90" i="2"/>
  <c r="EL90" i="2" s="1"/>
  <c r="EM90" i="2" s="1"/>
  <c r="EN90" i="2" s="1"/>
  <c r="FF90" i="2"/>
  <c r="FG90" i="2" s="1"/>
  <c r="FH90" i="2" s="1"/>
  <c r="FI90" i="2" s="1"/>
  <c r="GV90" i="2"/>
  <c r="GW90" i="2" s="1"/>
  <c r="GX90" i="2" s="1"/>
  <c r="GY90" i="2" s="1"/>
  <c r="DP91" i="2"/>
  <c r="DQ91" i="2" s="1"/>
  <c r="DR91" i="2" s="1"/>
  <c r="DS91" i="2" s="1"/>
  <c r="CU91" i="2"/>
  <c r="CV91" i="2" s="1"/>
  <c r="CW91" i="2" s="1"/>
  <c r="CX91" i="2" s="1"/>
  <c r="AJ90" i="2"/>
  <c r="AK90" i="2" s="1"/>
  <c r="AL90" i="2" s="1"/>
  <c r="AM90" i="2" s="1"/>
  <c r="P100" i="2" l="1"/>
  <c r="Q100" i="2"/>
  <c r="R100" i="2" s="1"/>
  <c r="N102" i="2"/>
  <c r="O101" i="2"/>
  <c r="DP92" i="2"/>
  <c r="DQ92" i="2" s="1"/>
  <c r="DR92" i="2" s="1"/>
  <c r="DS92" i="2" s="1"/>
  <c r="FF91" i="2"/>
  <c r="FG91" i="2" s="1"/>
  <c r="FH91" i="2" s="1"/>
  <c r="FI91" i="2" s="1"/>
  <c r="GA92" i="2"/>
  <c r="GB92" i="2" s="1"/>
  <c r="GC92" i="2" s="1"/>
  <c r="GD92" i="2" s="1"/>
  <c r="CU92" i="2"/>
  <c r="CV92" i="2" s="1"/>
  <c r="CW92" i="2" s="1"/>
  <c r="CX92" i="2" s="1"/>
  <c r="GV91" i="2"/>
  <c r="GW91" i="2" s="1"/>
  <c r="GX91" i="2" s="1"/>
  <c r="GY91" i="2" s="1"/>
  <c r="EK91" i="2"/>
  <c r="EL91" i="2" s="1"/>
  <c r="EM91" i="2" s="1"/>
  <c r="EN91" i="2" s="1"/>
  <c r="BZ92" i="2"/>
  <c r="CA92" i="2" s="1"/>
  <c r="CB92" i="2" s="1"/>
  <c r="CC92" i="2" s="1"/>
  <c r="AJ91" i="2"/>
  <c r="AK91" i="2" s="1"/>
  <c r="AL91" i="2" s="1"/>
  <c r="AM91" i="2" s="1"/>
  <c r="P101" i="2" l="1"/>
  <c r="Q101" i="2"/>
  <c r="R101" i="2" s="1"/>
  <c r="N103" i="2"/>
  <c r="O102" i="2"/>
  <c r="EK92" i="2"/>
  <c r="EL92" i="2" s="1"/>
  <c r="EM92" i="2" s="1"/>
  <c r="EN92" i="2" s="1"/>
  <c r="CU93" i="2"/>
  <c r="CV93" i="2" s="1"/>
  <c r="CW93" i="2" s="1"/>
  <c r="CX93" i="2" s="1"/>
  <c r="FF92" i="2"/>
  <c r="FG92" i="2" s="1"/>
  <c r="FH92" i="2" s="1"/>
  <c r="FI92" i="2" s="1"/>
  <c r="BZ93" i="2"/>
  <c r="CA93" i="2" s="1"/>
  <c r="CB93" i="2" s="1"/>
  <c r="CC93" i="2" s="1"/>
  <c r="GV92" i="2"/>
  <c r="GW92" i="2" s="1"/>
  <c r="GX92" i="2" s="1"/>
  <c r="GY92" i="2" s="1"/>
  <c r="GA93" i="2"/>
  <c r="GB93" i="2" s="1"/>
  <c r="GC93" i="2" s="1"/>
  <c r="GD93" i="2" s="1"/>
  <c r="DP93" i="2"/>
  <c r="DQ93" i="2" s="1"/>
  <c r="DR93" i="2" s="1"/>
  <c r="DS93" i="2" s="1"/>
  <c r="AJ92" i="2"/>
  <c r="AK92" i="2" s="1"/>
  <c r="AL92" i="2" s="1"/>
  <c r="AM92" i="2" s="1"/>
  <c r="DT126" i="2" l="1"/>
  <c r="DT21" i="2"/>
  <c r="DT62" i="2"/>
  <c r="DT35" i="2"/>
  <c r="DT166" i="2"/>
  <c r="DT84" i="2"/>
  <c r="DT88" i="2"/>
  <c r="DT58" i="2"/>
  <c r="DT169" i="2"/>
  <c r="DT32" i="2"/>
  <c r="DT155" i="2"/>
  <c r="DT29" i="2"/>
  <c r="DT82" i="2"/>
  <c r="DT34" i="2"/>
  <c r="DT8" i="2"/>
  <c r="DT102" i="2"/>
  <c r="DT162" i="2"/>
  <c r="DT181" i="2"/>
  <c r="DT93" i="2"/>
  <c r="DT135" i="2"/>
  <c r="DT14" i="2"/>
  <c r="DT178" i="2"/>
  <c r="DT187" i="2"/>
  <c r="DT118" i="2"/>
  <c r="DT76" i="2"/>
  <c r="DT121" i="2"/>
  <c r="DT20" i="2"/>
  <c r="DT151" i="2"/>
  <c r="DT180" i="2"/>
  <c r="DT37" i="2"/>
  <c r="DT13" i="2"/>
  <c r="DT172" i="2"/>
  <c r="DT96" i="2"/>
  <c r="DT157" i="2"/>
  <c r="DT90" i="2"/>
  <c r="DT97" i="2"/>
  <c r="DT42" i="2"/>
  <c r="DT117" i="2"/>
  <c r="DT16" i="2"/>
  <c r="DT69" i="2"/>
  <c r="DT144" i="2"/>
  <c r="DT79" i="2"/>
  <c r="DT194" i="2"/>
  <c r="DT138" i="2"/>
  <c r="DT63" i="2"/>
  <c r="DT130" i="2"/>
  <c r="DT67" i="2"/>
  <c r="DT56" i="2"/>
  <c r="DT191" i="2"/>
  <c r="DT176" i="2"/>
  <c r="DT129" i="2"/>
  <c r="DT83" i="2"/>
  <c r="DT112" i="2"/>
  <c r="DT77" i="2"/>
  <c r="DT23" i="2"/>
  <c r="DT175" i="2"/>
  <c r="DT186" i="2"/>
  <c r="DT139" i="2"/>
  <c r="DT150" i="2"/>
  <c r="DT133" i="2"/>
  <c r="DT123" i="2"/>
  <c r="DT51" i="2"/>
  <c r="DT104" i="2"/>
  <c r="DT147" i="2"/>
  <c r="DT36" i="2"/>
  <c r="DT110" i="2"/>
  <c r="DT195" i="2"/>
  <c r="DT153" i="2"/>
  <c r="DT173" i="2"/>
  <c r="DT156" i="2"/>
  <c r="DT101" i="2"/>
  <c r="DT33" i="2"/>
  <c r="DT131" i="2"/>
  <c r="DT127" i="2"/>
  <c r="DT31" i="2"/>
  <c r="DT6" i="2"/>
  <c r="DT141" i="2"/>
  <c r="DT168" i="2"/>
  <c r="DT132" i="2"/>
  <c r="DT9" i="2"/>
  <c r="DT190" i="2"/>
  <c r="DT43" i="2"/>
  <c r="DT71" i="2"/>
  <c r="DT179" i="2"/>
  <c r="DT45" i="2"/>
  <c r="DT94" i="2"/>
  <c r="DT70" i="2"/>
  <c r="DT108" i="2"/>
  <c r="DT177" i="2"/>
  <c r="DT189" i="2"/>
  <c r="DT163" i="2"/>
  <c r="DT12" i="2"/>
  <c r="DT120" i="2"/>
  <c r="DT57" i="2"/>
  <c r="DT61" i="2"/>
  <c r="DT119" i="2"/>
  <c r="DT50" i="2"/>
  <c r="DT26" i="2"/>
  <c r="DT92" i="2"/>
  <c r="DT52" i="2"/>
  <c r="DT109" i="2"/>
  <c r="DT125" i="2"/>
  <c r="DT159" i="2"/>
  <c r="DT47" i="2"/>
  <c r="DT146" i="2"/>
  <c r="DT170" i="2"/>
  <c r="DT72" i="2"/>
  <c r="DT54" i="2"/>
  <c r="DT143" i="2"/>
  <c r="DT154" i="2"/>
  <c r="DT30" i="2"/>
  <c r="DT202" i="2"/>
  <c r="DT113" i="2"/>
  <c r="DT158" i="2"/>
  <c r="DT28" i="2"/>
  <c r="DT49" i="2"/>
  <c r="DT78" i="2"/>
  <c r="DT199" i="2"/>
  <c r="DT197" i="2"/>
  <c r="DT24" i="2"/>
  <c r="DT53" i="2"/>
  <c r="DT105" i="2"/>
  <c r="DT160" i="2"/>
  <c r="DT4" i="2"/>
  <c r="DT140" i="2"/>
  <c r="DT192" i="2"/>
  <c r="DT183" i="2"/>
  <c r="DT116" i="2"/>
  <c r="DT22" i="2"/>
  <c r="DT15" i="2"/>
  <c r="DT87" i="2"/>
  <c r="DT148" i="2"/>
  <c r="DT182" i="2"/>
  <c r="DT27" i="2"/>
  <c r="DT142" i="2"/>
  <c r="DT185" i="2"/>
  <c r="DT66" i="2"/>
  <c r="DT111" i="2"/>
  <c r="DT81" i="2"/>
  <c r="DT55" i="2"/>
  <c r="DT161" i="2"/>
  <c r="DT103" i="2"/>
  <c r="DT152" i="2"/>
  <c r="DT174" i="2"/>
  <c r="DT165" i="2"/>
  <c r="DT39" i="2"/>
  <c r="DT188" i="2"/>
  <c r="DT100" i="2"/>
  <c r="DT107" i="2"/>
  <c r="DT91" i="2"/>
  <c r="DT17" i="2"/>
  <c r="DT200" i="2"/>
  <c r="DT136" i="2"/>
  <c r="DT25" i="2"/>
  <c r="DT68" i="2"/>
  <c r="DT11" i="2"/>
  <c r="DT106" i="2"/>
  <c r="DT89" i="2"/>
  <c r="DT99" i="2"/>
  <c r="DT115" i="2"/>
  <c r="DT44" i="2"/>
  <c r="DT80" i="2"/>
  <c r="DT18" i="2"/>
  <c r="DT98" i="2"/>
  <c r="DT201" i="2"/>
  <c r="DT73" i="2"/>
  <c r="DT203" i="2"/>
  <c r="DT128" i="2"/>
  <c r="DT85" i="2"/>
  <c r="DT124" i="2"/>
  <c r="DT48" i="2"/>
  <c r="DT198" i="2"/>
  <c r="DT122" i="2"/>
  <c r="DT64" i="2"/>
  <c r="DT5" i="2"/>
  <c r="DT196" i="2"/>
  <c r="DT145" i="2"/>
  <c r="DT74" i="2"/>
  <c r="DT86" i="2"/>
  <c r="DT38" i="2"/>
  <c r="DT134" i="2"/>
  <c r="DT10" i="2"/>
  <c r="DT137" i="2"/>
  <c r="DT60" i="2"/>
  <c r="DT171" i="2"/>
  <c r="DT41" i="2"/>
  <c r="DT149" i="2"/>
  <c r="DT59" i="2"/>
  <c r="DT75" i="2"/>
  <c r="DT65" i="2"/>
  <c r="DT46" i="2"/>
  <c r="DT95" i="2"/>
  <c r="DT19" i="2"/>
  <c r="DT193" i="2"/>
  <c r="DT167" i="2"/>
  <c r="DT184" i="2"/>
  <c r="DT164" i="2"/>
  <c r="DT40" i="2"/>
  <c r="DT7" i="2"/>
  <c r="DT114" i="2"/>
  <c r="P102" i="2"/>
  <c r="Q102" i="2"/>
  <c r="R102" i="2" s="1"/>
  <c r="N104" i="2"/>
  <c r="O103" i="2"/>
  <c r="GA94" i="2"/>
  <c r="GB94" i="2" s="1"/>
  <c r="GC94" i="2" s="1"/>
  <c r="GD94" i="2" s="1"/>
  <c r="BZ94" i="2"/>
  <c r="CA94" i="2" s="1"/>
  <c r="CB94" i="2" s="1"/>
  <c r="CC94" i="2" s="1"/>
  <c r="CU94" i="2"/>
  <c r="CV94" i="2" s="1"/>
  <c r="CW94" i="2" s="1"/>
  <c r="CX94" i="2" s="1"/>
  <c r="DP94" i="2"/>
  <c r="DQ94" i="2" s="1"/>
  <c r="DR94" i="2" s="1"/>
  <c r="DS94" i="2" s="1"/>
  <c r="GV93" i="2"/>
  <c r="GW93" i="2" s="1"/>
  <c r="GX93" i="2" s="1"/>
  <c r="GY93" i="2" s="1"/>
  <c r="FF93" i="2"/>
  <c r="FG93" i="2" s="1"/>
  <c r="FH93" i="2" s="1"/>
  <c r="FI93" i="2" s="1"/>
  <c r="EK93" i="2"/>
  <c r="EL93" i="2" s="1"/>
  <c r="EM93" i="2" s="1"/>
  <c r="EN93" i="2" s="1"/>
  <c r="AJ93" i="2"/>
  <c r="AK93" i="2" s="1"/>
  <c r="AL93" i="2" s="1"/>
  <c r="AM93" i="2" s="1"/>
  <c r="P103" i="2" l="1"/>
  <c r="Q103" i="2"/>
  <c r="R103" i="2" s="1"/>
  <c r="N105" i="2"/>
  <c r="O104" i="2"/>
  <c r="FF94" i="2"/>
  <c r="FG94" i="2" s="1"/>
  <c r="FH94" i="2" s="1"/>
  <c r="FI94" i="2" s="1"/>
  <c r="DP95" i="2"/>
  <c r="DQ95" i="2" s="1"/>
  <c r="DR95" i="2" s="1"/>
  <c r="DS95" i="2" s="1"/>
  <c r="BZ95" i="2"/>
  <c r="CA95" i="2" s="1"/>
  <c r="CB95" i="2" s="1"/>
  <c r="CC95" i="2" s="1"/>
  <c r="EK94" i="2"/>
  <c r="EL94" i="2" s="1"/>
  <c r="EM94" i="2" s="1"/>
  <c r="EN94" i="2" s="1"/>
  <c r="GV94" i="2"/>
  <c r="GW94" i="2" s="1"/>
  <c r="GX94" i="2" s="1"/>
  <c r="GY94" i="2" s="1"/>
  <c r="CU95" i="2"/>
  <c r="CV95" i="2" s="1"/>
  <c r="CW95" i="2" s="1"/>
  <c r="CX95" i="2" s="1"/>
  <c r="GA95" i="2"/>
  <c r="GB95" i="2" s="1"/>
  <c r="GC95" i="2" s="1"/>
  <c r="GD95" i="2" s="1"/>
  <c r="AJ94" i="2"/>
  <c r="AK94" i="2" s="1"/>
  <c r="AL94" i="2" s="1"/>
  <c r="AM94" i="2" s="1"/>
  <c r="P104" i="2" l="1"/>
  <c r="Q104" i="2"/>
  <c r="R104" i="2" s="1"/>
  <c r="N106" i="2"/>
  <c r="O105" i="2"/>
  <c r="CU96" i="2"/>
  <c r="CV96" i="2" s="1"/>
  <c r="CW96" i="2" s="1"/>
  <c r="CX96" i="2" s="1"/>
  <c r="EK95" i="2"/>
  <c r="EL95" i="2" s="1"/>
  <c r="EM95" i="2" s="1"/>
  <c r="EN95" i="2" s="1"/>
  <c r="DP96" i="2"/>
  <c r="DQ96" i="2" s="1"/>
  <c r="DR96" i="2" s="1"/>
  <c r="DS96" i="2" s="1"/>
  <c r="GA96" i="2"/>
  <c r="GB96" i="2" s="1"/>
  <c r="GC96" i="2" s="1"/>
  <c r="GD96" i="2" s="1"/>
  <c r="GV95" i="2"/>
  <c r="GW95" i="2" s="1"/>
  <c r="GX95" i="2" s="1"/>
  <c r="GY95" i="2" s="1"/>
  <c r="BZ96" i="2"/>
  <c r="CA96" i="2" s="1"/>
  <c r="CB96" i="2" s="1"/>
  <c r="CC96" i="2" s="1"/>
  <c r="FF95" i="2"/>
  <c r="FG95" i="2" s="1"/>
  <c r="FH95" i="2" s="1"/>
  <c r="FI95" i="2" s="1"/>
  <c r="AJ95" i="2"/>
  <c r="AK95" i="2" s="1"/>
  <c r="AL95" i="2" s="1"/>
  <c r="AM95" i="2" s="1"/>
  <c r="P105" i="2" l="1"/>
  <c r="Q105" i="2" s="1"/>
  <c r="R105" i="2" s="1"/>
  <c r="N107" i="2"/>
  <c r="O106" i="2"/>
  <c r="BZ97" i="2"/>
  <c r="CA97" i="2" s="1"/>
  <c r="CB97" i="2" s="1"/>
  <c r="CC97" i="2" s="1"/>
  <c r="GA97" i="2"/>
  <c r="GB97" i="2" s="1"/>
  <c r="GC97" i="2" s="1"/>
  <c r="GD97" i="2" s="1"/>
  <c r="EK96" i="2"/>
  <c r="EL96" i="2" s="1"/>
  <c r="EM96" i="2" s="1"/>
  <c r="EN96" i="2" s="1"/>
  <c r="FF96" i="2"/>
  <c r="FG96" i="2" s="1"/>
  <c r="FH96" i="2" s="1"/>
  <c r="FI96" i="2" s="1"/>
  <c r="GV96" i="2"/>
  <c r="GW96" i="2" s="1"/>
  <c r="GX96" i="2" s="1"/>
  <c r="GY96" i="2" s="1"/>
  <c r="DP97" i="2"/>
  <c r="DQ97" i="2" s="1"/>
  <c r="DR97" i="2" s="1"/>
  <c r="DS97" i="2" s="1"/>
  <c r="CU97" i="2"/>
  <c r="CV97" i="2" s="1"/>
  <c r="CW97" i="2" s="1"/>
  <c r="CX97" i="2" s="1"/>
  <c r="AJ96" i="2"/>
  <c r="AK96" i="2" s="1"/>
  <c r="AL96" i="2" s="1"/>
  <c r="AM96" i="2" s="1"/>
  <c r="P106" i="2" l="1"/>
  <c r="Q106" i="2"/>
  <c r="R106" i="2" s="1"/>
  <c r="N108" i="2"/>
  <c r="O107" i="2"/>
  <c r="DP98" i="2"/>
  <c r="DQ98" i="2" s="1"/>
  <c r="DR98" i="2" s="1"/>
  <c r="DS98" i="2" s="1"/>
  <c r="FF97" i="2"/>
  <c r="FG97" i="2" s="1"/>
  <c r="FH97" i="2" s="1"/>
  <c r="FI97" i="2" s="1"/>
  <c r="GA98" i="2"/>
  <c r="GB98" i="2" s="1"/>
  <c r="GC98" i="2" s="1"/>
  <c r="GD98" i="2" s="1"/>
  <c r="CU98" i="2"/>
  <c r="CV98" i="2" s="1"/>
  <c r="CW98" i="2" s="1"/>
  <c r="CX98" i="2" s="1"/>
  <c r="GV97" i="2"/>
  <c r="GW97" i="2" s="1"/>
  <c r="GX97" i="2" s="1"/>
  <c r="GY97" i="2" s="1"/>
  <c r="EK97" i="2"/>
  <c r="EL97" i="2" s="1"/>
  <c r="EM97" i="2" s="1"/>
  <c r="EN97" i="2" s="1"/>
  <c r="BZ98" i="2"/>
  <c r="CA98" i="2" s="1"/>
  <c r="CB98" i="2" s="1"/>
  <c r="CC98" i="2" s="1"/>
  <c r="AJ97" i="2"/>
  <c r="AK97" i="2" s="1"/>
  <c r="AL97" i="2" s="1"/>
  <c r="AM97" i="2" s="1"/>
  <c r="P107" i="2" l="1"/>
  <c r="Q107" i="2"/>
  <c r="R107" i="2" s="1"/>
  <c r="N109" i="2"/>
  <c r="O108" i="2"/>
  <c r="EK98" i="2"/>
  <c r="EL98" i="2" s="1"/>
  <c r="EM98" i="2" s="1"/>
  <c r="EN98" i="2" s="1"/>
  <c r="CU99" i="2"/>
  <c r="CV99" i="2" s="1"/>
  <c r="CW99" i="2" s="1"/>
  <c r="CX99" i="2" s="1"/>
  <c r="FF98" i="2"/>
  <c r="FG98" i="2" s="1"/>
  <c r="FH98" i="2" s="1"/>
  <c r="FI98" i="2" s="1"/>
  <c r="BZ99" i="2"/>
  <c r="CA99" i="2" s="1"/>
  <c r="CB99" i="2" s="1"/>
  <c r="CC99" i="2" s="1"/>
  <c r="GV98" i="2"/>
  <c r="GW98" i="2" s="1"/>
  <c r="GX98" i="2" s="1"/>
  <c r="GY98" i="2" s="1"/>
  <c r="GA99" i="2"/>
  <c r="GB99" i="2" s="1"/>
  <c r="GC99" i="2" s="1"/>
  <c r="GD99" i="2" s="1"/>
  <c r="DP99" i="2"/>
  <c r="DQ99" i="2" s="1"/>
  <c r="DR99" i="2" s="1"/>
  <c r="DS99" i="2" s="1"/>
  <c r="AJ98" i="2"/>
  <c r="AK98" i="2" s="1"/>
  <c r="AL98" i="2" s="1"/>
  <c r="AM98" i="2" s="1"/>
  <c r="P108" i="2" l="1"/>
  <c r="Q108" i="2"/>
  <c r="R108" i="2" s="1"/>
  <c r="N110" i="2"/>
  <c r="O109" i="2"/>
  <c r="GA100" i="2"/>
  <c r="GB100" i="2" s="1"/>
  <c r="GC100" i="2" s="1"/>
  <c r="GD100" i="2" s="1"/>
  <c r="BZ100" i="2"/>
  <c r="CA100" i="2" s="1"/>
  <c r="CB100" i="2" s="1"/>
  <c r="CC100" i="2" s="1"/>
  <c r="CU100" i="2"/>
  <c r="CV100" i="2" s="1"/>
  <c r="CW100" i="2" s="1"/>
  <c r="CX100" i="2" s="1"/>
  <c r="DP100" i="2"/>
  <c r="DQ100" i="2" s="1"/>
  <c r="DR100" i="2" s="1"/>
  <c r="DS100" i="2" s="1"/>
  <c r="GV99" i="2"/>
  <c r="GW99" i="2" s="1"/>
  <c r="GX99" i="2" s="1"/>
  <c r="GY99" i="2" s="1"/>
  <c r="FF99" i="2"/>
  <c r="FG99" i="2" s="1"/>
  <c r="FH99" i="2" s="1"/>
  <c r="FI99" i="2" s="1"/>
  <c r="EK99" i="2"/>
  <c r="EL99" i="2" s="1"/>
  <c r="EM99" i="2" s="1"/>
  <c r="EN99" i="2" s="1"/>
  <c r="AJ99" i="2"/>
  <c r="AK99" i="2" s="1"/>
  <c r="AL99" i="2" s="1"/>
  <c r="AM99" i="2" s="1"/>
  <c r="P109" i="2" l="1"/>
  <c r="Q109" i="2"/>
  <c r="R109" i="2" s="1"/>
  <c r="N111" i="2"/>
  <c r="O110" i="2"/>
  <c r="FF100" i="2"/>
  <c r="FG100" i="2" s="1"/>
  <c r="FH100" i="2" s="1"/>
  <c r="FI100" i="2" s="1"/>
  <c r="DP101" i="2"/>
  <c r="DQ101" i="2" s="1"/>
  <c r="DR101" i="2" s="1"/>
  <c r="DS101" i="2" s="1"/>
  <c r="BZ101" i="2"/>
  <c r="CA101" i="2" s="1"/>
  <c r="CB101" i="2" s="1"/>
  <c r="CC101" i="2" s="1"/>
  <c r="EK100" i="2"/>
  <c r="EL100" i="2" s="1"/>
  <c r="EM100" i="2" s="1"/>
  <c r="EN100" i="2" s="1"/>
  <c r="GV100" i="2"/>
  <c r="GW100" i="2" s="1"/>
  <c r="GX100" i="2" s="1"/>
  <c r="GY100" i="2" s="1"/>
  <c r="CU101" i="2"/>
  <c r="CV101" i="2" s="1"/>
  <c r="CW101" i="2" s="1"/>
  <c r="CX101" i="2" s="1"/>
  <c r="GA101" i="2"/>
  <c r="GB101" i="2" s="1"/>
  <c r="GC101" i="2" s="1"/>
  <c r="GD101" i="2" s="1"/>
  <c r="AJ100" i="2"/>
  <c r="AK100" i="2" s="1"/>
  <c r="AL100" i="2" s="1"/>
  <c r="AM100" i="2" s="1"/>
  <c r="P110" i="2" l="1"/>
  <c r="Q110" i="2"/>
  <c r="R110" i="2" s="1"/>
  <c r="N112" i="2"/>
  <c r="O111" i="2"/>
  <c r="CU102" i="2"/>
  <c r="CV102" i="2" s="1"/>
  <c r="CW102" i="2" s="1"/>
  <c r="CX102" i="2" s="1"/>
  <c r="EK101" i="2"/>
  <c r="EL101" i="2" s="1"/>
  <c r="EM101" i="2" s="1"/>
  <c r="EN101" i="2" s="1"/>
  <c r="DP102" i="2"/>
  <c r="DQ102" i="2" s="1"/>
  <c r="DR102" i="2" s="1"/>
  <c r="DS102" i="2" s="1"/>
  <c r="GA102" i="2"/>
  <c r="GB102" i="2" s="1"/>
  <c r="GC102" i="2" s="1"/>
  <c r="GD102" i="2" s="1"/>
  <c r="GV101" i="2"/>
  <c r="GW101" i="2" s="1"/>
  <c r="GX101" i="2" s="1"/>
  <c r="GY101" i="2" s="1"/>
  <c r="BZ102" i="2"/>
  <c r="CA102" i="2" s="1"/>
  <c r="CB102" i="2" s="1"/>
  <c r="CC102" i="2" s="1"/>
  <c r="FF101" i="2"/>
  <c r="FG101" i="2" s="1"/>
  <c r="FH101" i="2" s="1"/>
  <c r="FI101" i="2" s="1"/>
  <c r="AJ101" i="2"/>
  <c r="AK101" i="2" s="1"/>
  <c r="AL101" i="2" s="1"/>
  <c r="AM101" i="2" s="1"/>
  <c r="P111" i="2" l="1"/>
  <c r="Q111" i="2" s="1"/>
  <c r="R111" i="2" s="1"/>
  <c r="N113" i="2"/>
  <c r="O112" i="2"/>
  <c r="GE3" i="2"/>
  <c r="C14" i="4" s="1"/>
  <c r="E14" i="4" s="1"/>
  <c r="F14" i="4" s="1"/>
  <c r="G14" i="4" s="1"/>
  <c r="L14" i="4" s="1"/>
  <c r="BZ103" i="2"/>
  <c r="CA103" i="2" s="1"/>
  <c r="CB103" i="2" s="1"/>
  <c r="CC103" i="2" s="1"/>
  <c r="GA103" i="2"/>
  <c r="GB103" i="2" s="1"/>
  <c r="GC103" i="2" s="1"/>
  <c r="GD103" i="2" s="1"/>
  <c r="EK102" i="2"/>
  <c r="EL102" i="2" s="1"/>
  <c r="EM102" i="2" s="1"/>
  <c r="EN102" i="2" s="1"/>
  <c r="FF102" i="2"/>
  <c r="FG102" i="2" s="1"/>
  <c r="FH102" i="2" s="1"/>
  <c r="FI102" i="2" s="1"/>
  <c r="GV102" i="2"/>
  <c r="GW102" i="2" s="1"/>
  <c r="GX102" i="2" s="1"/>
  <c r="GY102" i="2" s="1"/>
  <c r="DP103" i="2"/>
  <c r="DQ103" i="2" s="1"/>
  <c r="DR103" i="2" s="1"/>
  <c r="DS103" i="2" s="1"/>
  <c r="CU103" i="2"/>
  <c r="CV103" i="2" s="1"/>
  <c r="CW103" i="2" s="1"/>
  <c r="CX103" i="2" s="1"/>
  <c r="AJ102" i="2"/>
  <c r="AK102" i="2" s="1"/>
  <c r="AL102" i="2" s="1"/>
  <c r="AM102" i="2" s="1"/>
  <c r="P112" i="2" l="1"/>
  <c r="Q112" i="2"/>
  <c r="R112" i="2" s="1"/>
  <c r="N114" i="2"/>
  <c r="O113" i="2"/>
  <c r="GZ3" i="2"/>
  <c r="C15" i="4" s="1"/>
  <c r="E15" i="4" s="1"/>
  <c r="F15" i="4" s="1"/>
  <c r="G15" i="4" s="1"/>
  <c r="L15" i="4" s="1"/>
  <c r="FJ3" i="2"/>
  <c r="DP104" i="2"/>
  <c r="DQ104" i="2" s="1"/>
  <c r="DR104" i="2" s="1"/>
  <c r="DS104" i="2" s="1"/>
  <c r="FF103" i="2"/>
  <c r="FG103" i="2" s="1"/>
  <c r="FH103" i="2" s="1"/>
  <c r="FI103" i="2" s="1"/>
  <c r="GA104" i="2"/>
  <c r="GB104" i="2" s="1"/>
  <c r="GC104" i="2" s="1"/>
  <c r="GD104" i="2" s="1"/>
  <c r="CU104" i="2"/>
  <c r="CV104" i="2" s="1"/>
  <c r="CW104" i="2" s="1"/>
  <c r="CX104" i="2" s="1"/>
  <c r="GV103" i="2"/>
  <c r="GW103" i="2" s="1"/>
  <c r="GX103" i="2" s="1"/>
  <c r="GY103" i="2" s="1"/>
  <c r="EK103" i="2"/>
  <c r="EL103" i="2" s="1"/>
  <c r="EM103" i="2" s="1"/>
  <c r="EN103" i="2" s="1"/>
  <c r="BZ104" i="2"/>
  <c r="CA104" i="2" s="1"/>
  <c r="CB104" i="2" s="1"/>
  <c r="CC104" i="2" s="1"/>
  <c r="AJ103" i="2"/>
  <c r="AK103" i="2" s="1"/>
  <c r="AL103" i="2" s="1"/>
  <c r="AM103" i="2" s="1"/>
  <c r="P113" i="2" l="1"/>
  <c r="Q113" i="2" s="1"/>
  <c r="R113" i="2" s="1"/>
  <c r="N115" i="2"/>
  <c r="O114" i="2"/>
  <c r="C13" i="4"/>
  <c r="E13" i="4" s="1"/>
  <c r="F13" i="4" s="1"/>
  <c r="G13" i="4" s="1"/>
  <c r="L13" i="4" s="1"/>
  <c r="EK104" i="2"/>
  <c r="EL104" i="2" s="1"/>
  <c r="EM104" i="2" s="1"/>
  <c r="EN104" i="2" s="1"/>
  <c r="CU105" i="2"/>
  <c r="CV105" i="2" s="1"/>
  <c r="CW105" i="2" s="1"/>
  <c r="CX105" i="2" s="1"/>
  <c r="FF104" i="2"/>
  <c r="FG104" i="2" s="1"/>
  <c r="FH104" i="2" s="1"/>
  <c r="FI104" i="2" s="1"/>
  <c r="BZ105" i="2"/>
  <c r="CA105" i="2" s="1"/>
  <c r="CB105" i="2" s="1"/>
  <c r="CC105" i="2" s="1"/>
  <c r="GV104" i="2"/>
  <c r="GW104" i="2" s="1"/>
  <c r="GX104" i="2" s="1"/>
  <c r="GY104" i="2" s="1"/>
  <c r="GA105" i="2"/>
  <c r="GB105" i="2" s="1"/>
  <c r="GC105" i="2" s="1"/>
  <c r="GD105" i="2" s="1"/>
  <c r="DP105" i="2"/>
  <c r="DQ105" i="2" s="1"/>
  <c r="DR105" i="2" s="1"/>
  <c r="DS105" i="2" s="1"/>
  <c r="AJ104" i="2"/>
  <c r="AK104" i="2" s="1"/>
  <c r="AL104" i="2" s="1"/>
  <c r="AM104" i="2" s="1"/>
  <c r="P114" i="2" l="1"/>
  <c r="Q114" i="2"/>
  <c r="R114" i="2" s="1"/>
  <c r="N116" i="2"/>
  <c r="O115" i="2"/>
  <c r="GA106" i="2"/>
  <c r="GB106" i="2" s="1"/>
  <c r="GC106" i="2" s="1"/>
  <c r="GD106" i="2" s="1"/>
  <c r="BZ106" i="2"/>
  <c r="CA106" i="2" s="1"/>
  <c r="CB106" i="2" s="1"/>
  <c r="CC106" i="2" s="1"/>
  <c r="CU106" i="2"/>
  <c r="CV106" i="2" s="1"/>
  <c r="CW106" i="2" s="1"/>
  <c r="CX106" i="2" s="1"/>
  <c r="DP106" i="2"/>
  <c r="DQ106" i="2" s="1"/>
  <c r="DR106" i="2" s="1"/>
  <c r="DS106" i="2" s="1"/>
  <c r="GV105" i="2"/>
  <c r="GW105" i="2" s="1"/>
  <c r="GX105" i="2" s="1"/>
  <c r="GY105" i="2" s="1"/>
  <c r="FF105" i="2"/>
  <c r="FG105" i="2" s="1"/>
  <c r="FH105" i="2" s="1"/>
  <c r="FI105" i="2" s="1"/>
  <c r="EK105" i="2"/>
  <c r="EL105" i="2" s="1"/>
  <c r="EM105" i="2" s="1"/>
  <c r="EN105" i="2" s="1"/>
  <c r="AJ105" i="2"/>
  <c r="AK105" i="2" s="1"/>
  <c r="AL105" i="2" s="1"/>
  <c r="AM105" i="2" s="1"/>
  <c r="P115" i="2" l="1"/>
  <c r="Q115" i="2"/>
  <c r="R115" i="2" s="1"/>
  <c r="N117" i="2"/>
  <c r="O116" i="2"/>
  <c r="FF106" i="2"/>
  <c r="FG106" i="2" s="1"/>
  <c r="FH106" i="2" s="1"/>
  <c r="FI106" i="2" s="1"/>
  <c r="DP107" i="2"/>
  <c r="DQ107" i="2" s="1"/>
  <c r="DR107" i="2" s="1"/>
  <c r="DS107" i="2" s="1"/>
  <c r="BZ107" i="2"/>
  <c r="CA107" i="2" s="1"/>
  <c r="CB107" i="2" s="1"/>
  <c r="CC107" i="2" s="1"/>
  <c r="EK106" i="2"/>
  <c r="EL106" i="2" s="1"/>
  <c r="EM106" i="2" s="1"/>
  <c r="EN106" i="2" s="1"/>
  <c r="GV106" i="2"/>
  <c r="GW106" i="2" s="1"/>
  <c r="GX106" i="2" s="1"/>
  <c r="GY106" i="2" s="1"/>
  <c r="CU107" i="2"/>
  <c r="CV107" i="2" s="1"/>
  <c r="CW107" i="2" s="1"/>
  <c r="CX107" i="2" s="1"/>
  <c r="GA107" i="2"/>
  <c r="GB107" i="2" s="1"/>
  <c r="GC107" i="2" s="1"/>
  <c r="GD107" i="2" s="1"/>
  <c r="AJ106" i="2"/>
  <c r="AK106" i="2" s="1"/>
  <c r="AL106" i="2" s="1"/>
  <c r="AM106" i="2" s="1"/>
  <c r="P116" i="2" l="1"/>
  <c r="Q116" i="2"/>
  <c r="R116" i="2" s="1"/>
  <c r="N118" i="2"/>
  <c r="O117" i="2"/>
  <c r="CU108" i="2"/>
  <c r="CV108" i="2" s="1"/>
  <c r="CW108" i="2" s="1"/>
  <c r="CX108" i="2" s="1"/>
  <c r="EK107" i="2"/>
  <c r="EL107" i="2" s="1"/>
  <c r="EM107" i="2" s="1"/>
  <c r="EN107" i="2" s="1"/>
  <c r="DP108" i="2"/>
  <c r="DQ108" i="2" s="1"/>
  <c r="DR108" i="2" s="1"/>
  <c r="DS108" i="2" s="1"/>
  <c r="GA108" i="2"/>
  <c r="GB108" i="2" s="1"/>
  <c r="GC108" i="2" s="1"/>
  <c r="GD108" i="2" s="1"/>
  <c r="GV107" i="2"/>
  <c r="GW107" i="2" s="1"/>
  <c r="GX107" i="2" s="1"/>
  <c r="GY107" i="2" s="1"/>
  <c r="BZ108" i="2"/>
  <c r="CA108" i="2" s="1"/>
  <c r="CB108" i="2" s="1"/>
  <c r="CC108" i="2" s="1"/>
  <c r="FF107" i="2"/>
  <c r="FG107" i="2" s="1"/>
  <c r="FH107" i="2" s="1"/>
  <c r="FI107" i="2" s="1"/>
  <c r="AJ107" i="2"/>
  <c r="AK107" i="2" s="1"/>
  <c r="AL107" i="2" s="1"/>
  <c r="AM107" i="2" s="1"/>
  <c r="P117" i="2" l="1"/>
  <c r="Q117" i="2"/>
  <c r="R117" i="2" s="1"/>
  <c r="N119" i="2"/>
  <c r="O118" i="2"/>
  <c r="BZ109" i="2"/>
  <c r="CA109" i="2" s="1"/>
  <c r="CB109" i="2" s="1"/>
  <c r="CC109" i="2" s="1"/>
  <c r="GA109" i="2"/>
  <c r="GB109" i="2" s="1"/>
  <c r="GC109" i="2" s="1"/>
  <c r="GD109" i="2" s="1"/>
  <c r="EK108" i="2"/>
  <c r="EL108" i="2" s="1"/>
  <c r="EM108" i="2" s="1"/>
  <c r="EN108" i="2" s="1"/>
  <c r="FF108" i="2"/>
  <c r="FG108" i="2" s="1"/>
  <c r="FH108" i="2" s="1"/>
  <c r="FI108" i="2" s="1"/>
  <c r="GV108" i="2"/>
  <c r="GW108" i="2" s="1"/>
  <c r="GX108" i="2" s="1"/>
  <c r="GY108" i="2" s="1"/>
  <c r="DP109" i="2"/>
  <c r="DQ109" i="2" s="1"/>
  <c r="DR109" i="2" s="1"/>
  <c r="DS109" i="2" s="1"/>
  <c r="CU109" i="2"/>
  <c r="CV109" i="2" s="1"/>
  <c r="CW109" i="2" s="1"/>
  <c r="CX109" i="2" s="1"/>
  <c r="AJ108" i="2"/>
  <c r="AK108" i="2" s="1"/>
  <c r="AL108" i="2" s="1"/>
  <c r="AM108" i="2" s="1"/>
  <c r="P118" i="2" l="1"/>
  <c r="Q118" i="2" s="1"/>
  <c r="R118" i="2" s="1"/>
  <c r="N120" i="2"/>
  <c r="O119" i="2"/>
  <c r="DP110" i="2"/>
  <c r="DQ110" i="2" s="1"/>
  <c r="DR110" i="2" s="1"/>
  <c r="DS110" i="2" s="1"/>
  <c r="FF109" i="2"/>
  <c r="FG109" i="2" s="1"/>
  <c r="FH109" i="2" s="1"/>
  <c r="FI109" i="2" s="1"/>
  <c r="GA110" i="2"/>
  <c r="GB110" i="2" s="1"/>
  <c r="GC110" i="2" s="1"/>
  <c r="GD110" i="2" s="1"/>
  <c r="CU110" i="2"/>
  <c r="CV110" i="2" s="1"/>
  <c r="CW110" i="2" s="1"/>
  <c r="CX110" i="2" s="1"/>
  <c r="GV109" i="2"/>
  <c r="GW109" i="2" s="1"/>
  <c r="GX109" i="2" s="1"/>
  <c r="GY109" i="2" s="1"/>
  <c r="EK109" i="2"/>
  <c r="EL109" i="2" s="1"/>
  <c r="EM109" i="2" s="1"/>
  <c r="EN109" i="2" s="1"/>
  <c r="BZ110" i="2"/>
  <c r="CA110" i="2" s="1"/>
  <c r="CB110" i="2" s="1"/>
  <c r="CC110" i="2" s="1"/>
  <c r="AJ109" i="2"/>
  <c r="AK109" i="2" s="1"/>
  <c r="AL109" i="2" s="1"/>
  <c r="AM109" i="2" s="1"/>
  <c r="P119" i="2" l="1"/>
  <c r="Q119" i="2"/>
  <c r="R119" i="2" s="1"/>
  <c r="N121" i="2"/>
  <c r="O120" i="2"/>
  <c r="EK110" i="2"/>
  <c r="EL110" i="2" s="1"/>
  <c r="EM110" i="2" s="1"/>
  <c r="EN110" i="2" s="1"/>
  <c r="CU111" i="2"/>
  <c r="CV111" i="2" s="1"/>
  <c r="CW111" i="2" s="1"/>
  <c r="CX111" i="2" s="1"/>
  <c r="FF110" i="2"/>
  <c r="FG110" i="2" s="1"/>
  <c r="FH110" i="2" s="1"/>
  <c r="FI110" i="2" s="1"/>
  <c r="BZ111" i="2"/>
  <c r="CA111" i="2" s="1"/>
  <c r="CB111" i="2" s="1"/>
  <c r="CC111" i="2" s="1"/>
  <c r="GV110" i="2"/>
  <c r="GW110" i="2" s="1"/>
  <c r="GX110" i="2" s="1"/>
  <c r="GY110" i="2" s="1"/>
  <c r="GA111" i="2"/>
  <c r="GB111" i="2" s="1"/>
  <c r="GC111" i="2" s="1"/>
  <c r="GD111" i="2" s="1"/>
  <c r="DP111" i="2"/>
  <c r="DQ111" i="2" s="1"/>
  <c r="DR111" i="2" s="1"/>
  <c r="DS111" i="2" s="1"/>
  <c r="AJ110" i="2"/>
  <c r="AK110" i="2" s="1"/>
  <c r="AL110" i="2" s="1"/>
  <c r="AM110" i="2" s="1"/>
  <c r="P120" i="2" l="1"/>
  <c r="Q120" i="2" s="1"/>
  <c r="R120" i="2" s="1"/>
  <c r="N122" i="2"/>
  <c r="O121" i="2"/>
  <c r="GA112" i="2"/>
  <c r="GB112" i="2" s="1"/>
  <c r="GC112" i="2" s="1"/>
  <c r="GD112" i="2" s="1"/>
  <c r="BZ112" i="2"/>
  <c r="CA112" i="2" s="1"/>
  <c r="CB112" i="2" s="1"/>
  <c r="CC112" i="2" s="1"/>
  <c r="CU112" i="2"/>
  <c r="CV112" i="2" s="1"/>
  <c r="CW112" i="2" s="1"/>
  <c r="CX112" i="2" s="1"/>
  <c r="DP112" i="2"/>
  <c r="DQ112" i="2" s="1"/>
  <c r="DR112" i="2" s="1"/>
  <c r="DS112" i="2" s="1"/>
  <c r="GV111" i="2"/>
  <c r="GW111" i="2" s="1"/>
  <c r="GX111" i="2" s="1"/>
  <c r="GY111" i="2" s="1"/>
  <c r="FF111" i="2"/>
  <c r="FG111" i="2" s="1"/>
  <c r="FH111" i="2" s="1"/>
  <c r="FI111" i="2" s="1"/>
  <c r="EK111" i="2"/>
  <c r="EL111" i="2" s="1"/>
  <c r="EM111" i="2" s="1"/>
  <c r="EN111" i="2" s="1"/>
  <c r="AJ111" i="2"/>
  <c r="AK111" i="2" s="1"/>
  <c r="AL111" i="2" s="1"/>
  <c r="AM111" i="2" s="1"/>
  <c r="P121" i="2" l="1"/>
  <c r="Q121" i="2" s="1"/>
  <c r="R121" i="2" s="1"/>
  <c r="N123" i="2"/>
  <c r="O122" i="2"/>
  <c r="FF112" i="2"/>
  <c r="FG112" i="2" s="1"/>
  <c r="FH112" i="2" s="1"/>
  <c r="FI112" i="2" s="1"/>
  <c r="DP113" i="2"/>
  <c r="DQ113" i="2" s="1"/>
  <c r="DR113" i="2" s="1"/>
  <c r="DS113" i="2" s="1"/>
  <c r="BZ113" i="2"/>
  <c r="CA113" i="2" s="1"/>
  <c r="CB113" i="2" s="1"/>
  <c r="CC113" i="2" s="1"/>
  <c r="EK112" i="2"/>
  <c r="EL112" i="2" s="1"/>
  <c r="EM112" i="2" s="1"/>
  <c r="EN112" i="2" s="1"/>
  <c r="GV112" i="2"/>
  <c r="GW112" i="2" s="1"/>
  <c r="GX112" i="2" s="1"/>
  <c r="GY112" i="2" s="1"/>
  <c r="CU113" i="2"/>
  <c r="CV113" i="2" s="1"/>
  <c r="CW113" i="2" s="1"/>
  <c r="CX113" i="2" s="1"/>
  <c r="GA113" i="2"/>
  <c r="GB113" i="2" s="1"/>
  <c r="GC113" i="2" s="1"/>
  <c r="GD113" i="2" s="1"/>
  <c r="AJ112" i="2"/>
  <c r="AK112" i="2" s="1"/>
  <c r="AL112" i="2" s="1"/>
  <c r="AM112" i="2" s="1"/>
  <c r="P122" i="2" l="1"/>
  <c r="Q122" i="2" s="1"/>
  <c r="R122" i="2" s="1"/>
  <c r="N124" i="2"/>
  <c r="O123" i="2"/>
  <c r="CU114" i="2"/>
  <c r="CV114" i="2" s="1"/>
  <c r="CW114" i="2" s="1"/>
  <c r="CX114" i="2" s="1"/>
  <c r="EK113" i="2"/>
  <c r="EL113" i="2" s="1"/>
  <c r="EM113" i="2" s="1"/>
  <c r="EN113" i="2" s="1"/>
  <c r="DP114" i="2"/>
  <c r="DQ114" i="2" s="1"/>
  <c r="DR114" i="2" s="1"/>
  <c r="DS114" i="2" s="1"/>
  <c r="GA114" i="2"/>
  <c r="GB114" i="2" s="1"/>
  <c r="GC114" i="2" s="1"/>
  <c r="GD114" i="2" s="1"/>
  <c r="GV113" i="2"/>
  <c r="GW113" i="2" s="1"/>
  <c r="GX113" i="2" s="1"/>
  <c r="GY113" i="2" s="1"/>
  <c r="BZ114" i="2"/>
  <c r="CA114" i="2" s="1"/>
  <c r="CB114" i="2" s="1"/>
  <c r="CC114" i="2" s="1"/>
  <c r="FF113" i="2"/>
  <c r="FG113" i="2" s="1"/>
  <c r="FH113" i="2" s="1"/>
  <c r="FI113" i="2" s="1"/>
  <c r="AJ113" i="2"/>
  <c r="AK113" i="2" s="1"/>
  <c r="AL113" i="2" s="1"/>
  <c r="AM113" i="2" s="1"/>
  <c r="P123" i="2" l="1"/>
  <c r="Q123" i="2" s="1"/>
  <c r="R123" i="2" s="1"/>
  <c r="N125" i="2"/>
  <c r="O124" i="2"/>
  <c r="BZ115" i="2"/>
  <c r="CA115" i="2" s="1"/>
  <c r="CB115" i="2" s="1"/>
  <c r="CC115" i="2" s="1"/>
  <c r="GA115" i="2"/>
  <c r="GB115" i="2" s="1"/>
  <c r="GC115" i="2" s="1"/>
  <c r="GD115" i="2" s="1"/>
  <c r="EK114" i="2"/>
  <c r="EL114" i="2" s="1"/>
  <c r="EM114" i="2" s="1"/>
  <c r="EN114" i="2" s="1"/>
  <c r="FF114" i="2"/>
  <c r="FG114" i="2" s="1"/>
  <c r="FH114" i="2" s="1"/>
  <c r="FI114" i="2" s="1"/>
  <c r="GV114" i="2"/>
  <c r="GW114" i="2" s="1"/>
  <c r="GX114" i="2" s="1"/>
  <c r="GY114" i="2" s="1"/>
  <c r="DP115" i="2"/>
  <c r="DQ115" i="2" s="1"/>
  <c r="DR115" i="2" s="1"/>
  <c r="DS115" i="2" s="1"/>
  <c r="CU115" i="2"/>
  <c r="CV115" i="2" s="1"/>
  <c r="CW115" i="2" s="1"/>
  <c r="CX115" i="2" s="1"/>
  <c r="AJ114" i="2"/>
  <c r="AK114" i="2" s="1"/>
  <c r="AL114" i="2" s="1"/>
  <c r="AM114" i="2" s="1"/>
  <c r="N126" i="2" l="1"/>
  <c r="O125" i="2"/>
  <c r="P124" i="2"/>
  <c r="Q124" i="2"/>
  <c r="R124" i="2" s="1"/>
  <c r="DP116" i="2"/>
  <c r="DQ116" i="2" s="1"/>
  <c r="DR116" i="2" s="1"/>
  <c r="DS116" i="2" s="1"/>
  <c r="FF115" i="2"/>
  <c r="FG115" i="2" s="1"/>
  <c r="FH115" i="2" s="1"/>
  <c r="FI115" i="2" s="1"/>
  <c r="GA116" i="2"/>
  <c r="GB116" i="2" s="1"/>
  <c r="GC116" i="2" s="1"/>
  <c r="GD116" i="2" s="1"/>
  <c r="CU116" i="2"/>
  <c r="CV116" i="2" s="1"/>
  <c r="CW116" i="2" s="1"/>
  <c r="CX116" i="2" s="1"/>
  <c r="GV115" i="2"/>
  <c r="GW115" i="2" s="1"/>
  <c r="GX115" i="2" s="1"/>
  <c r="GY115" i="2" s="1"/>
  <c r="EK115" i="2"/>
  <c r="EL115" i="2" s="1"/>
  <c r="EM115" i="2" s="1"/>
  <c r="EN115" i="2" s="1"/>
  <c r="BZ116" i="2"/>
  <c r="CA116" i="2" s="1"/>
  <c r="CB116" i="2" s="1"/>
  <c r="CC116" i="2" s="1"/>
  <c r="AJ115" i="2"/>
  <c r="AK115" i="2" s="1"/>
  <c r="AL115" i="2" s="1"/>
  <c r="AM115" i="2" s="1"/>
  <c r="P125" i="2" l="1"/>
  <c r="Q125" i="2" s="1"/>
  <c r="R125" i="2" s="1"/>
  <c r="N127" i="2"/>
  <c r="O126" i="2"/>
  <c r="EK116" i="2"/>
  <c r="EL116" i="2" s="1"/>
  <c r="EM116" i="2" s="1"/>
  <c r="EN116" i="2" s="1"/>
  <c r="CU117" i="2"/>
  <c r="CV117" i="2" s="1"/>
  <c r="CW117" i="2" s="1"/>
  <c r="CX117" i="2" s="1"/>
  <c r="FF116" i="2"/>
  <c r="FG116" i="2" s="1"/>
  <c r="FH116" i="2" s="1"/>
  <c r="FI116" i="2" s="1"/>
  <c r="BZ117" i="2"/>
  <c r="CA117" i="2" s="1"/>
  <c r="CB117" i="2" s="1"/>
  <c r="CC117" i="2" s="1"/>
  <c r="GV116" i="2"/>
  <c r="GW116" i="2" s="1"/>
  <c r="GX116" i="2" s="1"/>
  <c r="GY116" i="2" s="1"/>
  <c r="GA117" i="2"/>
  <c r="GB117" i="2" s="1"/>
  <c r="GC117" i="2" s="1"/>
  <c r="GD117" i="2" s="1"/>
  <c r="DP117" i="2"/>
  <c r="DQ117" i="2" s="1"/>
  <c r="DR117" i="2" s="1"/>
  <c r="DS117" i="2" s="1"/>
  <c r="AJ116" i="2"/>
  <c r="AK116" i="2" s="1"/>
  <c r="AL116" i="2" s="1"/>
  <c r="AM116" i="2" s="1"/>
  <c r="N128" i="2" l="1"/>
  <c r="O127" i="2"/>
  <c r="P126" i="2"/>
  <c r="Q126" i="2" s="1"/>
  <c r="R126" i="2" s="1"/>
  <c r="GA118" i="2"/>
  <c r="GB118" i="2" s="1"/>
  <c r="GC118" i="2" s="1"/>
  <c r="GD118" i="2" s="1"/>
  <c r="BZ118" i="2"/>
  <c r="CA118" i="2" s="1"/>
  <c r="CB118" i="2" s="1"/>
  <c r="CC118" i="2" s="1"/>
  <c r="CU118" i="2"/>
  <c r="CV118" i="2" s="1"/>
  <c r="CW118" i="2" s="1"/>
  <c r="CX118" i="2" s="1"/>
  <c r="DP118" i="2"/>
  <c r="DQ118" i="2" s="1"/>
  <c r="DR118" i="2" s="1"/>
  <c r="DS118" i="2" s="1"/>
  <c r="GV117" i="2"/>
  <c r="GW117" i="2" s="1"/>
  <c r="GX117" i="2" s="1"/>
  <c r="GY117" i="2" s="1"/>
  <c r="FF117" i="2"/>
  <c r="FG117" i="2" s="1"/>
  <c r="FH117" i="2" s="1"/>
  <c r="FI117" i="2" s="1"/>
  <c r="EK117" i="2"/>
  <c r="EL117" i="2" s="1"/>
  <c r="EM117" i="2" s="1"/>
  <c r="EN117" i="2" s="1"/>
  <c r="AJ117" i="2"/>
  <c r="AK117" i="2" s="1"/>
  <c r="AL117" i="2" s="1"/>
  <c r="AM117" i="2" s="1"/>
  <c r="P127" i="2" l="1"/>
  <c r="Q127" i="2"/>
  <c r="R127" i="2" s="1"/>
  <c r="N129" i="2"/>
  <c r="O128" i="2"/>
  <c r="FF118" i="2"/>
  <c r="FG118" i="2" s="1"/>
  <c r="FH118" i="2" s="1"/>
  <c r="FI118" i="2" s="1"/>
  <c r="DP119" i="2"/>
  <c r="DQ119" i="2" s="1"/>
  <c r="DR119" i="2" s="1"/>
  <c r="DS119" i="2" s="1"/>
  <c r="BZ119" i="2"/>
  <c r="CA119" i="2" s="1"/>
  <c r="CB119" i="2" s="1"/>
  <c r="CC119" i="2" s="1"/>
  <c r="EK118" i="2"/>
  <c r="EL118" i="2" s="1"/>
  <c r="EM118" i="2" s="1"/>
  <c r="EN118" i="2" s="1"/>
  <c r="GV118" i="2"/>
  <c r="GW118" i="2" s="1"/>
  <c r="GX118" i="2" s="1"/>
  <c r="GY118" i="2" s="1"/>
  <c r="CU119" i="2"/>
  <c r="CV119" i="2" s="1"/>
  <c r="CW119" i="2" s="1"/>
  <c r="CX119" i="2" s="1"/>
  <c r="GA119" i="2"/>
  <c r="GB119" i="2" s="1"/>
  <c r="GC119" i="2" s="1"/>
  <c r="GD119" i="2" s="1"/>
  <c r="AJ118" i="2"/>
  <c r="AK118" i="2" s="1"/>
  <c r="AL118" i="2" s="1"/>
  <c r="AM118" i="2" s="1"/>
  <c r="P128" i="2" l="1"/>
  <c r="Q128" i="2"/>
  <c r="R128" i="2" s="1"/>
  <c r="N130" i="2"/>
  <c r="O129" i="2"/>
  <c r="CU120" i="2"/>
  <c r="CV120" i="2" s="1"/>
  <c r="CW120" i="2" s="1"/>
  <c r="CX120" i="2" s="1"/>
  <c r="EK119" i="2"/>
  <c r="EL119" i="2" s="1"/>
  <c r="EM119" i="2" s="1"/>
  <c r="EN119" i="2" s="1"/>
  <c r="DP120" i="2"/>
  <c r="DQ120" i="2" s="1"/>
  <c r="DR120" i="2" s="1"/>
  <c r="DS120" i="2" s="1"/>
  <c r="GA120" i="2"/>
  <c r="GB120" i="2" s="1"/>
  <c r="GC120" i="2" s="1"/>
  <c r="GD120" i="2" s="1"/>
  <c r="GV119" i="2"/>
  <c r="GW119" i="2" s="1"/>
  <c r="GX119" i="2" s="1"/>
  <c r="GY119" i="2" s="1"/>
  <c r="BZ120" i="2"/>
  <c r="CA120" i="2" s="1"/>
  <c r="CB120" i="2" s="1"/>
  <c r="CC120" i="2" s="1"/>
  <c r="FF119" i="2"/>
  <c r="FG119" i="2" s="1"/>
  <c r="FH119" i="2" s="1"/>
  <c r="FI119" i="2" s="1"/>
  <c r="AJ119" i="2"/>
  <c r="AK119" i="2" s="1"/>
  <c r="AL119" i="2" s="1"/>
  <c r="AM119" i="2" s="1"/>
  <c r="P129" i="2" l="1"/>
  <c r="Q129" i="2" s="1"/>
  <c r="R129" i="2" s="1"/>
  <c r="N131" i="2"/>
  <c r="O130" i="2"/>
  <c r="BZ121" i="2"/>
  <c r="CA121" i="2" s="1"/>
  <c r="CB121" i="2" s="1"/>
  <c r="CC121" i="2" s="1"/>
  <c r="GA121" i="2"/>
  <c r="GB121" i="2" s="1"/>
  <c r="GC121" i="2" s="1"/>
  <c r="GD121" i="2" s="1"/>
  <c r="EK120" i="2"/>
  <c r="EL120" i="2" s="1"/>
  <c r="EM120" i="2" s="1"/>
  <c r="EN120" i="2" s="1"/>
  <c r="FF120" i="2"/>
  <c r="FG120" i="2" s="1"/>
  <c r="FH120" i="2" s="1"/>
  <c r="FI120" i="2" s="1"/>
  <c r="GV120" i="2"/>
  <c r="GW120" i="2" s="1"/>
  <c r="GX120" i="2" s="1"/>
  <c r="GY120" i="2" s="1"/>
  <c r="DP121" i="2"/>
  <c r="DQ121" i="2" s="1"/>
  <c r="DR121" i="2" s="1"/>
  <c r="DS121" i="2" s="1"/>
  <c r="CU121" i="2"/>
  <c r="CV121" i="2" s="1"/>
  <c r="CW121" i="2" s="1"/>
  <c r="CX121" i="2" s="1"/>
  <c r="AJ120" i="2"/>
  <c r="AK120" i="2" s="1"/>
  <c r="AL120" i="2" s="1"/>
  <c r="AM120" i="2" s="1"/>
  <c r="N132" i="2" l="1"/>
  <c r="O131" i="2"/>
  <c r="P130" i="2"/>
  <c r="Q130" i="2" s="1"/>
  <c r="R130" i="2" s="1"/>
  <c r="DP122" i="2"/>
  <c r="DQ122" i="2" s="1"/>
  <c r="DR122" i="2" s="1"/>
  <c r="DS122" i="2" s="1"/>
  <c r="FF121" i="2"/>
  <c r="FG121" i="2" s="1"/>
  <c r="FH121" i="2" s="1"/>
  <c r="FI121" i="2" s="1"/>
  <c r="GA122" i="2"/>
  <c r="GB122" i="2" s="1"/>
  <c r="GC122" i="2" s="1"/>
  <c r="GD122" i="2" s="1"/>
  <c r="CU122" i="2"/>
  <c r="CV122" i="2" s="1"/>
  <c r="CW122" i="2" s="1"/>
  <c r="CX122" i="2" s="1"/>
  <c r="GV121" i="2"/>
  <c r="GW121" i="2" s="1"/>
  <c r="GX121" i="2" s="1"/>
  <c r="GY121" i="2" s="1"/>
  <c r="EK121" i="2"/>
  <c r="EL121" i="2" s="1"/>
  <c r="EM121" i="2" s="1"/>
  <c r="EN121" i="2" s="1"/>
  <c r="BZ122" i="2"/>
  <c r="CA122" i="2" s="1"/>
  <c r="CB122" i="2" s="1"/>
  <c r="CC122" i="2" s="1"/>
  <c r="AJ121" i="2"/>
  <c r="AK121" i="2" s="1"/>
  <c r="AL121" i="2" s="1"/>
  <c r="AM121" i="2" s="1"/>
  <c r="N133" i="2" l="1"/>
  <c r="O132" i="2"/>
  <c r="P131" i="2"/>
  <c r="Q131" i="2"/>
  <c r="R131" i="2" s="1"/>
  <c r="EK122" i="2"/>
  <c r="EL122" i="2" s="1"/>
  <c r="EM122" i="2" s="1"/>
  <c r="EN122" i="2" s="1"/>
  <c r="CU123" i="2"/>
  <c r="CV123" i="2" s="1"/>
  <c r="CW123" i="2" s="1"/>
  <c r="CX123" i="2" s="1"/>
  <c r="FF122" i="2"/>
  <c r="FG122" i="2" s="1"/>
  <c r="FH122" i="2" s="1"/>
  <c r="FI122" i="2" s="1"/>
  <c r="BZ123" i="2"/>
  <c r="CA123" i="2" s="1"/>
  <c r="CB123" i="2" s="1"/>
  <c r="CC123" i="2" s="1"/>
  <c r="GV122" i="2"/>
  <c r="GW122" i="2" s="1"/>
  <c r="GX122" i="2" s="1"/>
  <c r="GY122" i="2" s="1"/>
  <c r="GA123" i="2"/>
  <c r="GB123" i="2" s="1"/>
  <c r="GC123" i="2" s="1"/>
  <c r="GD123" i="2" s="1"/>
  <c r="DP123" i="2"/>
  <c r="DQ123" i="2" s="1"/>
  <c r="DR123" i="2" s="1"/>
  <c r="DS123" i="2" s="1"/>
  <c r="AJ122" i="2"/>
  <c r="AK122" i="2" s="1"/>
  <c r="AL122" i="2" s="1"/>
  <c r="AM122" i="2" s="1"/>
  <c r="P132" i="2" l="1"/>
  <c r="Q132" i="2"/>
  <c r="R132" i="2" s="1"/>
  <c r="N134" i="2"/>
  <c r="O133" i="2"/>
  <c r="GA124" i="2"/>
  <c r="GB124" i="2" s="1"/>
  <c r="GC124" i="2" s="1"/>
  <c r="GD124" i="2" s="1"/>
  <c r="BZ124" i="2"/>
  <c r="CA124" i="2" s="1"/>
  <c r="CB124" i="2" s="1"/>
  <c r="CC124" i="2" s="1"/>
  <c r="CU124" i="2"/>
  <c r="CV124" i="2" s="1"/>
  <c r="CW124" i="2" s="1"/>
  <c r="CX124" i="2" s="1"/>
  <c r="DP124" i="2"/>
  <c r="DQ124" i="2" s="1"/>
  <c r="DR124" i="2" s="1"/>
  <c r="DS124" i="2" s="1"/>
  <c r="GV123" i="2"/>
  <c r="GW123" i="2" s="1"/>
  <c r="GX123" i="2" s="1"/>
  <c r="GY123" i="2" s="1"/>
  <c r="FF123" i="2"/>
  <c r="FG123" i="2" s="1"/>
  <c r="FH123" i="2" s="1"/>
  <c r="FI123" i="2" s="1"/>
  <c r="EK123" i="2"/>
  <c r="EL123" i="2" s="1"/>
  <c r="EM123" i="2" s="1"/>
  <c r="EN123" i="2" s="1"/>
  <c r="AJ123" i="2"/>
  <c r="AK123" i="2" s="1"/>
  <c r="AL123" i="2" s="1"/>
  <c r="AM123" i="2" s="1"/>
  <c r="EO146" i="2" l="1"/>
  <c r="EO94" i="2"/>
  <c r="EO187" i="2"/>
  <c r="EO147" i="2"/>
  <c r="EO64" i="2"/>
  <c r="EO95" i="2"/>
  <c r="EO136" i="2"/>
  <c r="EO141" i="2"/>
  <c r="EO49" i="2"/>
  <c r="EO30" i="2"/>
  <c r="EO26" i="2"/>
  <c r="EO186" i="2"/>
  <c r="EO92" i="2"/>
  <c r="EO152" i="2"/>
  <c r="EO171" i="2"/>
  <c r="EO132" i="2"/>
  <c r="EO67" i="2"/>
  <c r="EO160" i="2"/>
  <c r="EO127" i="2"/>
  <c r="EO174" i="2"/>
  <c r="EO22" i="2"/>
  <c r="EO166" i="2"/>
  <c r="EO195" i="2"/>
  <c r="EO130" i="2"/>
  <c r="EO53" i="2"/>
  <c r="EO46" i="2"/>
  <c r="EO153" i="2"/>
  <c r="EO176" i="2"/>
  <c r="EO193" i="2"/>
  <c r="EO93" i="2"/>
  <c r="EO47" i="2"/>
  <c r="EO106" i="2"/>
  <c r="EO124" i="2"/>
  <c r="EO79" i="2"/>
  <c r="EO27" i="2"/>
  <c r="EO31" i="2"/>
  <c r="EO21" i="2"/>
  <c r="EO182" i="2"/>
  <c r="EO177" i="2"/>
  <c r="EO62" i="2"/>
  <c r="EO48" i="2"/>
  <c r="EO144" i="2"/>
  <c r="EO105" i="2"/>
  <c r="EO121" i="2"/>
  <c r="EO81" i="2"/>
  <c r="EO197" i="2"/>
  <c r="EO58" i="2"/>
  <c r="EO133" i="2"/>
  <c r="EO200" i="2"/>
  <c r="EO107" i="2"/>
  <c r="EO96" i="2"/>
  <c r="EO17" i="2"/>
  <c r="EO179" i="2"/>
  <c r="EO159" i="2"/>
  <c r="EO202" i="2"/>
  <c r="EO157" i="2"/>
  <c r="EO24" i="2"/>
  <c r="EO34" i="2"/>
  <c r="EO181" i="2"/>
  <c r="EO109" i="2"/>
  <c r="EO52" i="2"/>
  <c r="EO155" i="2"/>
  <c r="EO80" i="2"/>
  <c r="EO98" i="2"/>
  <c r="EO104" i="2"/>
  <c r="EO4" i="2"/>
  <c r="EO25" i="2"/>
  <c r="EO173" i="2"/>
  <c r="EO51" i="2"/>
  <c r="EO18" i="2"/>
  <c r="EO89" i="2"/>
  <c r="EO75" i="2"/>
  <c r="EO13" i="2"/>
  <c r="EO32" i="2"/>
  <c r="EO201" i="2"/>
  <c r="EO180" i="2"/>
  <c r="EO8" i="2"/>
  <c r="EO120" i="2"/>
  <c r="EO70" i="2"/>
  <c r="EO126" i="2"/>
  <c r="EO85" i="2"/>
  <c r="EO110" i="2"/>
  <c r="EO113" i="2"/>
  <c r="EO118" i="2"/>
  <c r="EO149" i="2"/>
  <c r="EO102" i="2"/>
  <c r="EO137" i="2"/>
  <c r="EO161" i="2"/>
  <c r="EO143" i="2"/>
  <c r="EO134" i="2"/>
  <c r="EO9" i="2"/>
  <c r="EO97" i="2"/>
  <c r="EO73" i="2"/>
  <c r="EO196" i="2"/>
  <c r="EO191" i="2"/>
  <c r="EO50" i="2"/>
  <c r="EO145" i="2"/>
  <c r="EO16" i="2"/>
  <c r="EO14" i="2"/>
  <c r="EO74" i="2"/>
  <c r="EO88" i="2"/>
  <c r="EO10" i="2"/>
  <c r="EO194" i="2"/>
  <c r="EO7" i="2"/>
  <c r="EO165" i="2"/>
  <c r="EO15" i="2"/>
  <c r="EO112" i="2"/>
  <c r="EO189" i="2"/>
  <c r="EO69" i="2"/>
  <c r="EO114" i="2"/>
  <c r="EO184" i="2"/>
  <c r="EO61" i="2"/>
  <c r="EO57" i="2"/>
  <c r="EO91" i="2"/>
  <c r="EO68" i="2"/>
  <c r="EO99" i="2"/>
  <c r="EO148" i="2"/>
  <c r="EO66" i="2"/>
  <c r="EO82" i="2"/>
  <c r="EO163" i="2"/>
  <c r="EO56" i="2"/>
  <c r="EO87" i="2"/>
  <c r="EO119" i="2"/>
  <c r="EO60" i="2"/>
  <c r="EO142" i="2"/>
  <c r="EO65" i="2"/>
  <c r="EO29" i="2"/>
  <c r="EO129" i="2"/>
  <c r="EO33" i="2"/>
  <c r="EO116" i="2"/>
  <c r="EO158" i="2"/>
  <c r="EO167" i="2"/>
  <c r="EO90" i="2"/>
  <c r="EO20" i="2"/>
  <c r="EO44" i="2"/>
  <c r="EO76" i="2"/>
  <c r="EO139" i="2"/>
  <c r="EO40" i="2"/>
  <c r="EO86" i="2"/>
  <c r="EO84" i="2"/>
  <c r="EO28" i="2"/>
  <c r="EO5" i="2"/>
  <c r="EO108" i="2"/>
  <c r="EO41" i="2"/>
  <c r="EO164" i="2"/>
  <c r="EO172" i="2"/>
  <c r="EO59" i="2"/>
  <c r="EO54" i="2"/>
  <c r="EO42" i="2"/>
  <c r="EO78" i="2"/>
  <c r="EO188" i="2"/>
  <c r="EO117" i="2"/>
  <c r="EO135" i="2"/>
  <c r="EO19" i="2"/>
  <c r="EO185" i="2"/>
  <c r="EO138" i="2"/>
  <c r="EO170" i="2"/>
  <c r="EO123" i="2"/>
  <c r="EO203" i="2"/>
  <c r="EO38" i="2"/>
  <c r="EO63" i="2"/>
  <c r="EO72" i="2"/>
  <c r="EO23" i="2"/>
  <c r="EO199" i="2"/>
  <c r="EO168" i="2"/>
  <c r="EO162" i="2"/>
  <c r="EO178" i="2"/>
  <c r="EO140" i="2"/>
  <c r="EO154" i="2"/>
  <c r="EO175" i="2"/>
  <c r="EO6" i="2"/>
  <c r="EO39" i="2"/>
  <c r="EO122" i="2"/>
  <c r="EO36" i="2"/>
  <c r="EO71" i="2"/>
  <c r="EO103" i="2"/>
  <c r="EO35" i="2"/>
  <c r="EO183" i="2"/>
  <c r="EO101" i="2"/>
  <c r="EO150" i="2"/>
  <c r="EO55" i="2"/>
  <c r="EO45" i="2"/>
  <c r="EO125" i="2"/>
  <c r="EO151" i="2"/>
  <c r="EO83" i="2"/>
  <c r="EO12" i="2"/>
  <c r="EO77" i="2"/>
  <c r="EO11" i="2"/>
  <c r="EO128" i="2"/>
  <c r="EO156" i="2"/>
  <c r="EO192" i="2"/>
  <c r="EO169" i="2"/>
  <c r="EO111" i="2"/>
  <c r="EO115" i="2"/>
  <c r="EO100" i="2"/>
  <c r="EO43" i="2"/>
  <c r="EO131" i="2"/>
  <c r="EO37" i="2"/>
  <c r="EO190" i="2"/>
  <c r="EO198" i="2"/>
  <c r="N135" i="2"/>
  <c r="O134" i="2"/>
  <c r="P133" i="2"/>
  <c r="Q133" i="2" s="1"/>
  <c r="R133" i="2" s="1"/>
  <c r="FF124" i="2"/>
  <c r="FG124" i="2" s="1"/>
  <c r="FH124" i="2" s="1"/>
  <c r="FI124" i="2" s="1"/>
  <c r="DP125" i="2"/>
  <c r="DQ125" i="2" s="1"/>
  <c r="DR125" i="2" s="1"/>
  <c r="DS125" i="2" s="1"/>
  <c r="BZ125" i="2"/>
  <c r="CA125" i="2" s="1"/>
  <c r="CB125" i="2" s="1"/>
  <c r="CC125" i="2" s="1"/>
  <c r="EK124" i="2"/>
  <c r="EL124" i="2" s="1"/>
  <c r="EM124" i="2" s="1"/>
  <c r="EN124" i="2" s="1"/>
  <c r="GV124" i="2"/>
  <c r="GW124" i="2" s="1"/>
  <c r="GX124" i="2" s="1"/>
  <c r="GY124" i="2" s="1"/>
  <c r="CU125" i="2"/>
  <c r="CV125" i="2" s="1"/>
  <c r="CW125" i="2" s="1"/>
  <c r="CX125" i="2" s="1"/>
  <c r="GA125" i="2"/>
  <c r="GB125" i="2" s="1"/>
  <c r="GC125" i="2" s="1"/>
  <c r="GD125" i="2" s="1"/>
  <c r="AJ124" i="2"/>
  <c r="AK124" i="2" s="1"/>
  <c r="AL124" i="2" s="1"/>
  <c r="AM124" i="2" s="1"/>
  <c r="P134" i="2" l="1"/>
  <c r="Q134" i="2"/>
  <c r="R134" i="2" s="1"/>
  <c r="N136" i="2"/>
  <c r="O135" i="2"/>
  <c r="CU126" i="2"/>
  <c r="CV126" i="2" s="1"/>
  <c r="CW126" i="2" s="1"/>
  <c r="CX126" i="2" s="1"/>
  <c r="EK125" i="2"/>
  <c r="EL125" i="2" s="1"/>
  <c r="EM125" i="2" s="1"/>
  <c r="EN125" i="2" s="1"/>
  <c r="DP126" i="2"/>
  <c r="DQ126" i="2" s="1"/>
  <c r="DR126" i="2" s="1"/>
  <c r="DS126" i="2" s="1"/>
  <c r="GA126" i="2"/>
  <c r="GB126" i="2" s="1"/>
  <c r="GC126" i="2" s="1"/>
  <c r="GD126" i="2" s="1"/>
  <c r="GV125" i="2"/>
  <c r="GW125" i="2" s="1"/>
  <c r="GX125" i="2" s="1"/>
  <c r="GY125" i="2" s="1"/>
  <c r="BZ126" i="2"/>
  <c r="CA126" i="2" s="1"/>
  <c r="CB126" i="2" s="1"/>
  <c r="CC126" i="2" s="1"/>
  <c r="FF125" i="2"/>
  <c r="FG125" i="2" s="1"/>
  <c r="FH125" i="2" s="1"/>
  <c r="FI125" i="2" s="1"/>
  <c r="AJ125" i="2"/>
  <c r="AK125" i="2" s="1"/>
  <c r="AL125" i="2" s="1"/>
  <c r="AM125" i="2" s="1"/>
  <c r="N137" i="2" l="1"/>
  <c r="O136" i="2"/>
  <c r="P135" i="2"/>
  <c r="Q135" i="2"/>
  <c r="R135" i="2" s="1"/>
  <c r="BZ127" i="2"/>
  <c r="CA127" i="2" s="1"/>
  <c r="CB127" i="2" s="1"/>
  <c r="CC127" i="2" s="1"/>
  <c r="GA127" i="2"/>
  <c r="GB127" i="2" s="1"/>
  <c r="GC127" i="2" s="1"/>
  <c r="GD127" i="2" s="1"/>
  <c r="EK126" i="2"/>
  <c r="EL126" i="2" s="1"/>
  <c r="EM126" i="2" s="1"/>
  <c r="EN126" i="2" s="1"/>
  <c r="FF126" i="2"/>
  <c r="FG126" i="2" s="1"/>
  <c r="FH126" i="2" s="1"/>
  <c r="FI126" i="2" s="1"/>
  <c r="GV126" i="2"/>
  <c r="GW126" i="2" s="1"/>
  <c r="GX126" i="2" s="1"/>
  <c r="GY126" i="2" s="1"/>
  <c r="DP127" i="2"/>
  <c r="DQ127" i="2" s="1"/>
  <c r="DR127" i="2" s="1"/>
  <c r="DS127" i="2" s="1"/>
  <c r="CU127" i="2"/>
  <c r="CV127" i="2" s="1"/>
  <c r="CW127" i="2" s="1"/>
  <c r="CX127" i="2" s="1"/>
  <c r="AJ126" i="2"/>
  <c r="AK126" i="2" s="1"/>
  <c r="AL126" i="2" s="1"/>
  <c r="AM126" i="2" s="1"/>
  <c r="P136" i="2" l="1"/>
  <c r="Q136" i="2"/>
  <c r="R136" i="2" s="1"/>
  <c r="N138" i="2"/>
  <c r="O137" i="2"/>
  <c r="DP128" i="2"/>
  <c r="DQ128" i="2" s="1"/>
  <c r="DR128" i="2" s="1"/>
  <c r="DS128" i="2" s="1"/>
  <c r="FF127" i="2"/>
  <c r="FG127" i="2" s="1"/>
  <c r="FH127" i="2" s="1"/>
  <c r="FI127" i="2" s="1"/>
  <c r="GA128" i="2"/>
  <c r="GB128" i="2" s="1"/>
  <c r="GC128" i="2" s="1"/>
  <c r="GD128" i="2" s="1"/>
  <c r="CU128" i="2"/>
  <c r="CV128" i="2" s="1"/>
  <c r="CW128" i="2" s="1"/>
  <c r="CX128" i="2" s="1"/>
  <c r="GV127" i="2"/>
  <c r="GW127" i="2" s="1"/>
  <c r="GX127" i="2" s="1"/>
  <c r="GY127" i="2" s="1"/>
  <c r="EK127" i="2"/>
  <c r="EL127" i="2" s="1"/>
  <c r="EM127" i="2" s="1"/>
  <c r="EN127" i="2" s="1"/>
  <c r="BZ128" i="2"/>
  <c r="CA128" i="2" s="1"/>
  <c r="CB128" i="2" s="1"/>
  <c r="CC128" i="2" s="1"/>
  <c r="AJ127" i="2"/>
  <c r="AK127" i="2" s="1"/>
  <c r="AL127" i="2" s="1"/>
  <c r="AM127" i="2" s="1"/>
  <c r="N139" i="2" l="1"/>
  <c r="O138" i="2"/>
  <c r="P137" i="2"/>
  <c r="Q137" i="2" s="1"/>
  <c r="R137" i="2" s="1"/>
  <c r="EK128" i="2"/>
  <c r="EL128" i="2" s="1"/>
  <c r="EM128" i="2" s="1"/>
  <c r="EN128" i="2" s="1"/>
  <c r="CU129" i="2"/>
  <c r="CV129" i="2" s="1"/>
  <c r="CW129" i="2" s="1"/>
  <c r="CX129" i="2" s="1"/>
  <c r="FF128" i="2"/>
  <c r="FG128" i="2" s="1"/>
  <c r="FH128" i="2" s="1"/>
  <c r="FI128" i="2" s="1"/>
  <c r="BZ129" i="2"/>
  <c r="CA129" i="2" s="1"/>
  <c r="CB129" i="2" s="1"/>
  <c r="CC129" i="2" s="1"/>
  <c r="GV128" i="2"/>
  <c r="GW128" i="2" s="1"/>
  <c r="GX128" i="2" s="1"/>
  <c r="GY128" i="2" s="1"/>
  <c r="GA129" i="2"/>
  <c r="GB129" i="2" s="1"/>
  <c r="GC129" i="2" s="1"/>
  <c r="GD129" i="2" s="1"/>
  <c r="DP129" i="2"/>
  <c r="DQ129" i="2" s="1"/>
  <c r="DR129" i="2" s="1"/>
  <c r="DS129" i="2" s="1"/>
  <c r="AJ128" i="2"/>
  <c r="AK128" i="2" s="1"/>
  <c r="AL128" i="2" s="1"/>
  <c r="AM128" i="2" s="1"/>
  <c r="P138" i="2" l="1"/>
  <c r="Q138" i="2"/>
  <c r="R138" i="2" s="1"/>
  <c r="N140" i="2"/>
  <c r="O139" i="2"/>
  <c r="GA130" i="2"/>
  <c r="GB130" i="2" s="1"/>
  <c r="GC130" i="2" s="1"/>
  <c r="GD130" i="2" s="1"/>
  <c r="BZ130" i="2"/>
  <c r="CA130" i="2" s="1"/>
  <c r="CB130" i="2" s="1"/>
  <c r="CC130" i="2" s="1"/>
  <c r="CU130" i="2"/>
  <c r="CV130" i="2" s="1"/>
  <c r="CW130" i="2" s="1"/>
  <c r="CX130" i="2" s="1"/>
  <c r="DP130" i="2"/>
  <c r="DQ130" i="2" s="1"/>
  <c r="DR130" i="2" s="1"/>
  <c r="DS130" i="2" s="1"/>
  <c r="GV129" i="2"/>
  <c r="GW129" i="2" s="1"/>
  <c r="GX129" i="2" s="1"/>
  <c r="GY129" i="2" s="1"/>
  <c r="FF129" i="2"/>
  <c r="FG129" i="2" s="1"/>
  <c r="FH129" i="2" s="1"/>
  <c r="FI129" i="2" s="1"/>
  <c r="EK129" i="2"/>
  <c r="EL129" i="2" s="1"/>
  <c r="EM129" i="2" s="1"/>
  <c r="EN129" i="2" s="1"/>
  <c r="AJ129" i="2"/>
  <c r="AK129" i="2" s="1"/>
  <c r="AL129" i="2" s="1"/>
  <c r="AM129" i="2" s="1"/>
  <c r="P139" i="2" l="1"/>
  <c r="Q139" i="2"/>
  <c r="R139" i="2" s="1"/>
  <c r="N141" i="2"/>
  <c r="O140" i="2"/>
  <c r="FF130" i="2"/>
  <c r="FG130" i="2" s="1"/>
  <c r="FH130" i="2" s="1"/>
  <c r="FI130" i="2" s="1"/>
  <c r="DP131" i="2"/>
  <c r="DQ131" i="2" s="1"/>
  <c r="DR131" i="2" s="1"/>
  <c r="DS131" i="2" s="1"/>
  <c r="BZ131" i="2"/>
  <c r="CA131" i="2" s="1"/>
  <c r="CB131" i="2" s="1"/>
  <c r="CC131" i="2" s="1"/>
  <c r="EK130" i="2"/>
  <c r="EL130" i="2" s="1"/>
  <c r="EM130" i="2" s="1"/>
  <c r="EN130" i="2" s="1"/>
  <c r="GV130" i="2"/>
  <c r="GW130" i="2" s="1"/>
  <c r="GX130" i="2" s="1"/>
  <c r="GY130" i="2" s="1"/>
  <c r="CU131" i="2"/>
  <c r="CV131" i="2" s="1"/>
  <c r="CW131" i="2" s="1"/>
  <c r="CX131" i="2" s="1"/>
  <c r="GA131" i="2"/>
  <c r="GB131" i="2" s="1"/>
  <c r="GC131" i="2" s="1"/>
  <c r="GD131" i="2" s="1"/>
  <c r="AJ130" i="2"/>
  <c r="AK130" i="2" s="1"/>
  <c r="AL130" i="2" s="1"/>
  <c r="AM130" i="2" s="1"/>
  <c r="P140" i="2" l="1"/>
  <c r="Q140" i="2"/>
  <c r="R140" i="2" s="1"/>
  <c r="N142" i="2"/>
  <c r="O141" i="2"/>
  <c r="CU132" i="2"/>
  <c r="CV132" i="2" s="1"/>
  <c r="CW132" i="2" s="1"/>
  <c r="CX132" i="2" s="1"/>
  <c r="EK131" i="2"/>
  <c r="EL131" i="2" s="1"/>
  <c r="EM131" i="2" s="1"/>
  <c r="EN131" i="2" s="1"/>
  <c r="DP132" i="2"/>
  <c r="DQ132" i="2" s="1"/>
  <c r="DR132" i="2" s="1"/>
  <c r="DS132" i="2" s="1"/>
  <c r="GA132" i="2"/>
  <c r="GB132" i="2" s="1"/>
  <c r="GC132" i="2" s="1"/>
  <c r="GD132" i="2" s="1"/>
  <c r="GV131" i="2"/>
  <c r="GW131" i="2" s="1"/>
  <c r="GX131" i="2" s="1"/>
  <c r="GY131" i="2" s="1"/>
  <c r="BZ132" i="2"/>
  <c r="CA132" i="2" s="1"/>
  <c r="CB132" i="2" s="1"/>
  <c r="CC132" i="2" s="1"/>
  <c r="FF131" i="2"/>
  <c r="FG131" i="2" s="1"/>
  <c r="FH131" i="2" s="1"/>
  <c r="FI131" i="2" s="1"/>
  <c r="AJ131" i="2"/>
  <c r="AK131" i="2" s="1"/>
  <c r="AL131" i="2" s="1"/>
  <c r="AM131" i="2" s="1"/>
  <c r="P141" i="2" l="1"/>
  <c r="Q141" i="2"/>
  <c r="R141" i="2" s="1"/>
  <c r="N143" i="2"/>
  <c r="O142" i="2"/>
  <c r="BZ133" i="2"/>
  <c r="CA133" i="2" s="1"/>
  <c r="CB133" i="2" s="1"/>
  <c r="CC133" i="2" s="1"/>
  <c r="GA133" i="2"/>
  <c r="GB133" i="2" s="1"/>
  <c r="GC133" i="2" s="1"/>
  <c r="GD133" i="2" s="1"/>
  <c r="EK132" i="2"/>
  <c r="EL132" i="2" s="1"/>
  <c r="EM132" i="2" s="1"/>
  <c r="EN132" i="2" s="1"/>
  <c r="FF132" i="2"/>
  <c r="FG132" i="2" s="1"/>
  <c r="FH132" i="2" s="1"/>
  <c r="FI132" i="2" s="1"/>
  <c r="GV132" i="2"/>
  <c r="GW132" i="2" s="1"/>
  <c r="GX132" i="2" s="1"/>
  <c r="GY132" i="2" s="1"/>
  <c r="DP133" i="2"/>
  <c r="DQ133" i="2" s="1"/>
  <c r="DR133" i="2" s="1"/>
  <c r="DS133" i="2" s="1"/>
  <c r="CU133" i="2"/>
  <c r="CV133" i="2" s="1"/>
  <c r="CW133" i="2" s="1"/>
  <c r="CX133" i="2" s="1"/>
  <c r="AJ132" i="2"/>
  <c r="AK132" i="2" s="1"/>
  <c r="AL132" i="2" s="1"/>
  <c r="AM132" i="2" s="1"/>
  <c r="CD203" i="2" l="1"/>
  <c r="CD93" i="2"/>
  <c r="CD82" i="2"/>
  <c r="CD154" i="2"/>
  <c r="CD19" i="2"/>
  <c r="CD124" i="2"/>
  <c r="CD50" i="2"/>
  <c r="CD23" i="2"/>
  <c r="CD184" i="2"/>
  <c r="CD156" i="2"/>
  <c r="CD183" i="2"/>
  <c r="CD198" i="2"/>
  <c r="CD47" i="2"/>
  <c r="CD33" i="2"/>
  <c r="CD63" i="2"/>
  <c r="CD98" i="2"/>
  <c r="CD39" i="2"/>
  <c r="CD71" i="2"/>
  <c r="CD167" i="2"/>
  <c r="CD30" i="2"/>
  <c r="CD55" i="2"/>
  <c r="CD161" i="2"/>
  <c r="CD158" i="2"/>
  <c r="CD141" i="2"/>
  <c r="CD144" i="2"/>
  <c r="CD45" i="2"/>
  <c r="CD17" i="2"/>
  <c r="CD150" i="2"/>
  <c r="CD127" i="2"/>
  <c r="CD89" i="2"/>
  <c r="CD133" i="2"/>
  <c r="CD58" i="2"/>
  <c r="CD162" i="2"/>
  <c r="CD97" i="2"/>
  <c r="CD9" i="2"/>
  <c r="CD164" i="2"/>
  <c r="CD90" i="2"/>
  <c r="CD5" i="2"/>
  <c r="CD122" i="2"/>
  <c r="CD32" i="2"/>
  <c r="CD22" i="2"/>
  <c r="CD165" i="2"/>
  <c r="CD145" i="2"/>
  <c r="CD61" i="2"/>
  <c r="CD136" i="2"/>
  <c r="CD91" i="2"/>
  <c r="CD160" i="2"/>
  <c r="CD94" i="2"/>
  <c r="CD201" i="2"/>
  <c r="CD171" i="2"/>
  <c r="CD170" i="2"/>
  <c r="CD135" i="2"/>
  <c r="CD28" i="2"/>
  <c r="CD147" i="2"/>
  <c r="CD121" i="2"/>
  <c r="CD53" i="2"/>
  <c r="CD66" i="2"/>
  <c r="CD174" i="2"/>
  <c r="CD48" i="2"/>
  <c r="CD126" i="2"/>
  <c r="CD105" i="2"/>
  <c r="CD34" i="2"/>
  <c r="CD15" i="2"/>
  <c r="CD185" i="2"/>
  <c r="CD114" i="2"/>
  <c r="CD140" i="2"/>
  <c r="CD134" i="2"/>
  <c r="CD106" i="2"/>
  <c r="CD56" i="2"/>
  <c r="CD111" i="2"/>
  <c r="CD197" i="2"/>
  <c r="CD52" i="2"/>
  <c r="CD119" i="2"/>
  <c r="CD31" i="2"/>
  <c r="CD43" i="2"/>
  <c r="CD49" i="2"/>
  <c r="CD149" i="2"/>
  <c r="CD151" i="2"/>
  <c r="CD196" i="2"/>
  <c r="CD42" i="2"/>
  <c r="CD112" i="2"/>
  <c r="CD96" i="2"/>
  <c r="CD199" i="2"/>
  <c r="CD37" i="2"/>
  <c r="CD189" i="2"/>
  <c r="CD95" i="2"/>
  <c r="CD115" i="2"/>
  <c r="CD173" i="2"/>
  <c r="CD146" i="2"/>
  <c r="CD118" i="2"/>
  <c r="CD117" i="2"/>
  <c r="CD110" i="2"/>
  <c r="CD131" i="2"/>
  <c r="CD152" i="2"/>
  <c r="CD116" i="2"/>
  <c r="CD79" i="2"/>
  <c r="CD179" i="2"/>
  <c r="CD177" i="2"/>
  <c r="CD123" i="2"/>
  <c r="CD192" i="2"/>
  <c r="CD29" i="2"/>
  <c r="CD86" i="2"/>
  <c r="CD78" i="2"/>
  <c r="CD186" i="2"/>
  <c r="CD81" i="2"/>
  <c r="CD84" i="2"/>
  <c r="CD41" i="2"/>
  <c r="CD26" i="2"/>
  <c r="CD190" i="2"/>
  <c r="CD139" i="2"/>
  <c r="CD68" i="2"/>
  <c r="CD176" i="2"/>
  <c r="CD120" i="2"/>
  <c r="CD100" i="2"/>
  <c r="CD92" i="2"/>
  <c r="CD77" i="2"/>
  <c r="CD142" i="2"/>
  <c r="CD166" i="2"/>
  <c r="CD73" i="2"/>
  <c r="CD143" i="2"/>
  <c r="CD36" i="2"/>
  <c r="CD187" i="2"/>
  <c r="CD54" i="2"/>
  <c r="CD10" i="2"/>
  <c r="CD25" i="2"/>
  <c r="CD148" i="2"/>
  <c r="CD128" i="2"/>
  <c r="CD44" i="2"/>
  <c r="CD163" i="2"/>
  <c r="CD27" i="2"/>
  <c r="CD40" i="2"/>
  <c r="CD188" i="2"/>
  <c r="CD125" i="2"/>
  <c r="CD21" i="2"/>
  <c r="CD101" i="2"/>
  <c r="CD153" i="2"/>
  <c r="CD181" i="2"/>
  <c r="CD6" i="2"/>
  <c r="CD65" i="2"/>
  <c r="CD4" i="2"/>
  <c r="CD159" i="2"/>
  <c r="CD60" i="2"/>
  <c r="CD109" i="2"/>
  <c r="CD175" i="2"/>
  <c r="CD107" i="2"/>
  <c r="CD202" i="2"/>
  <c r="CD70" i="2"/>
  <c r="CD172" i="2"/>
  <c r="CD7" i="2"/>
  <c r="CD20" i="2"/>
  <c r="CD8" i="2"/>
  <c r="CD137" i="2"/>
  <c r="CD194" i="2"/>
  <c r="CD38" i="2"/>
  <c r="CD16" i="2"/>
  <c r="CD104" i="2"/>
  <c r="CD193" i="2"/>
  <c r="CD191" i="2"/>
  <c r="CD64" i="2"/>
  <c r="CD200" i="2"/>
  <c r="CD180" i="2"/>
  <c r="CD178" i="2"/>
  <c r="CD18" i="2"/>
  <c r="CD72" i="2"/>
  <c r="CD85" i="2"/>
  <c r="CD35" i="2"/>
  <c r="CD14" i="2"/>
  <c r="CD113" i="2"/>
  <c r="CD57" i="2"/>
  <c r="CD69" i="2"/>
  <c r="CD102" i="2"/>
  <c r="CD195" i="2"/>
  <c r="CD80" i="2"/>
  <c r="CD74" i="2"/>
  <c r="CD108" i="2"/>
  <c r="CD99" i="2"/>
  <c r="CD51" i="2"/>
  <c r="CD157" i="2"/>
  <c r="CD12" i="2"/>
  <c r="CD182" i="2"/>
  <c r="CD129" i="2"/>
  <c r="CD168" i="2"/>
  <c r="CD59" i="2"/>
  <c r="CD88" i="2"/>
  <c r="CD46" i="2"/>
  <c r="CD169" i="2"/>
  <c r="CD11" i="2"/>
  <c r="CD132" i="2"/>
  <c r="CD67" i="2"/>
  <c r="CD24" i="2"/>
  <c r="CD130" i="2"/>
  <c r="CD155" i="2"/>
  <c r="CD138" i="2"/>
  <c r="CD75" i="2"/>
  <c r="CD83" i="2"/>
  <c r="CD87" i="2"/>
  <c r="CD103" i="2"/>
  <c r="CD62" i="2"/>
  <c r="CD76" i="2"/>
  <c r="CD13" i="2"/>
  <c r="CD3" i="2"/>
  <c r="C9" i="4" s="1"/>
  <c r="E9" i="4" s="1"/>
  <c r="F9" i="4" s="1"/>
  <c r="G9" i="4" s="1"/>
  <c r="L9" i="4" s="1"/>
  <c r="CY10" i="2"/>
  <c r="CY115" i="2"/>
  <c r="CY40" i="2"/>
  <c r="CY169" i="2"/>
  <c r="CY24" i="2"/>
  <c r="CY43" i="2"/>
  <c r="CY140" i="2"/>
  <c r="CY180" i="2"/>
  <c r="CY130" i="2"/>
  <c r="CY27" i="2"/>
  <c r="CY138" i="2"/>
  <c r="CY80" i="2"/>
  <c r="CY200" i="2"/>
  <c r="CY17" i="2"/>
  <c r="CY39" i="2"/>
  <c r="CY118" i="2"/>
  <c r="CY177" i="2"/>
  <c r="CY20" i="2"/>
  <c r="CY109" i="2"/>
  <c r="CY32" i="2"/>
  <c r="CY59" i="2"/>
  <c r="CY155" i="2"/>
  <c r="CY143" i="2"/>
  <c r="CY23" i="2"/>
  <c r="CY117" i="2"/>
  <c r="CY37" i="2"/>
  <c r="CY86" i="2"/>
  <c r="CY173" i="2"/>
  <c r="CY74" i="2"/>
  <c r="CY48" i="2"/>
  <c r="CY83" i="2"/>
  <c r="CY125" i="2"/>
  <c r="CY203" i="2"/>
  <c r="CY181" i="2"/>
  <c r="CY120" i="2"/>
  <c r="CY55" i="2"/>
  <c r="CY175" i="2"/>
  <c r="CY57" i="2"/>
  <c r="CY194" i="2"/>
  <c r="CY129" i="2"/>
  <c r="CY162" i="2"/>
  <c r="CY41" i="2"/>
  <c r="CY79" i="2"/>
  <c r="CY7" i="2"/>
  <c r="CY5" i="2"/>
  <c r="CY187" i="2"/>
  <c r="CY157" i="2"/>
  <c r="CY92" i="2"/>
  <c r="CY11" i="2"/>
  <c r="CY64" i="2"/>
  <c r="CY156" i="2"/>
  <c r="CY163" i="2"/>
  <c r="CY122" i="2"/>
  <c r="CY29" i="2"/>
  <c r="CY160" i="2"/>
  <c r="CY77" i="2"/>
  <c r="CY151" i="2"/>
  <c r="CY46" i="2"/>
  <c r="CY149" i="2"/>
  <c r="CY22" i="2"/>
  <c r="CY110" i="2"/>
  <c r="CY199" i="2"/>
  <c r="CY152" i="2"/>
  <c r="CY33" i="2"/>
  <c r="CY182" i="2"/>
  <c r="CY52" i="2"/>
  <c r="CY171" i="2"/>
  <c r="CY62" i="2"/>
  <c r="CY21" i="2"/>
  <c r="CY61" i="2"/>
  <c r="CY90" i="2"/>
  <c r="CY88" i="2"/>
  <c r="CY65" i="2"/>
  <c r="CY144" i="2"/>
  <c r="CY147" i="2"/>
  <c r="CY72" i="2"/>
  <c r="CY58" i="2"/>
  <c r="CY12" i="2"/>
  <c r="CY132" i="2"/>
  <c r="CY131" i="2"/>
  <c r="CY85" i="2"/>
  <c r="CY76" i="2"/>
  <c r="CY127" i="2"/>
  <c r="CY159" i="2"/>
  <c r="CY185" i="2"/>
  <c r="CY82" i="2"/>
  <c r="CY193" i="2"/>
  <c r="CY35" i="2"/>
  <c r="CY73" i="2"/>
  <c r="CY142" i="2"/>
  <c r="CY4" i="2"/>
  <c r="CY42" i="2"/>
  <c r="CY168" i="2"/>
  <c r="CY195" i="2"/>
  <c r="CY197" i="2"/>
  <c r="CY63" i="2"/>
  <c r="CY108" i="2"/>
  <c r="CY201" i="2"/>
  <c r="CY98" i="2"/>
  <c r="CY198" i="2"/>
  <c r="CY51" i="2"/>
  <c r="CY164" i="2"/>
  <c r="CY14" i="2"/>
  <c r="CY8" i="2"/>
  <c r="CY134" i="2"/>
  <c r="CY16" i="2"/>
  <c r="CY26" i="2"/>
  <c r="CY66" i="2"/>
  <c r="CY75" i="2"/>
  <c r="CY114" i="2"/>
  <c r="CY95" i="2"/>
  <c r="CY89" i="2"/>
  <c r="CY124" i="2"/>
  <c r="CY28" i="2"/>
  <c r="CY165" i="2"/>
  <c r="CY190" i="2"/>
  <c r="CY192" i="2"/>
  <c r="CY81" i="2"/>
  <c r="CY25" i="2"/>
  <c r="CY153" i="2"/>
  <c r="CY174" i="2"/>
  <c r="CY135" i="2"/>
  <c r="CY67" i="2"/>
  <c r="CY19" i="2"/>
  <c r="CY146" i="2"/>
  <c r="CY179" i="2"/>
  <c r="CY18" i="2"/>
  <c r="CY113" i="2"/>
  <c r="CY105" i="2"/>
  <c r="CY91" i="2"/>
  <c r="CY34" i="2"/>
  <c r="CY158" i="2"/>
  <c r="CY106" i="2"/>
  <c r="CY139" i="2"/>
  <c r="CY111" i="2"/>
  <c r="CY112" i="2"/>
  <c r="CY184" i="2"/>
  <c r="CY69" i="2"/>
  <c r="CY100" i="2"/>
  <c r="CY78" i="2"/>
  <c r="CY50" i="2"/>
  <c r="CY136" i="2"/>
  <c r="CY123" i="2"/>
  <c r="CY148" i="2"/>
  <c r="CY133" i="2"/>
  <c r="CY126" i="2"/>
  <c r="CY45" i="2"/>
  <c r="CY31" i="2"/>
  <c r="CY99" i="2"/>
  <c r="CY30" i="2"/>
  <c r="CY104" i="2"/>
  <c r="CY167" i="2"/>
  <c r="CY137" i="2"/>
  <c r="CY101" i="2"/>
  <c r="CY60" i="2"/>
  <c r="CY141" i="2"/>
  <c r="CY176" i="2"/>
  <c r="CY15" i="2"/>
  <c r="CY121" i="2"/>
  <c r="CY36" i="2"/>
  <c r="CY119" i="2"/>
  <c r="CY13" i="2"/>
  <c r="CY70" i="2"/>
  <c r="CY53" i="2"/>
  <c r="CY161" i="2"/>
  <c r="CY44" i="2"/>
  <c r="CY71" i="2"/>
  <c r="CY196" i="2"/>
  <c r="CY107" i="2"/>
  <c r="CY150" i="2"/>
  <c r="CY154" i="2"/>
  <c r="CY186" i="2"/>
  <c r="CY170" i="2"/>
  <c r="CY145" i="2"/>
  <c r="CY84" i="2"/>
  <c r="CY93" i="2"/>
  <c r="CY116" i="2"/>
  <c r="CY103" i="2"/>
  <c r="CY191" i="2"/>
  <c r="CY9" i="2"/>
  <c r="CY6" i="2"/>
  <c r="CY47" i="2"/>
  <c r="CY166" i="2"/>
  <c r="CY68" i="2"/>
  <c r="CY128" i="2"/>
  <c r="CY188" i="2"/>
  <c r="CY94" i="2"/>
  <c r="CY202" i="2"/>
  <c r="CY38" i="2"/>
  <c r="CY96" i="2"/>
  <c r="CY97" i="2"/>
  <c r="CY172" i="2"/>
  <c r="CY56" i="2"/>
  <c r="CY87" i="2"/>
  <c r="CY102" i="2"/>
  <c r="CY189" i="2"/>
  <c r="CY49" i="2"/>
  <c r="CY178" i="2"/>
  <c r="CY54" i="2"/>
  <c r="CY183" i="2"/>
  <c r="CY3" i="2"/>
  <c r="C10" i="4" s="1"/>
  <c r="E10" i="4" s="1"/>
  <c r="F10" i="4" s="1"/>
  <c r="G10" i="4" s="1"/>
  <c r="L10" i="4" s="1"/>
  <c r="P142" i="2"/>
  <c r="Q142" i="2"/>
  <c r="R142" i="2" s="1"/>
  <c r="N144" i="2"/>
  <c r="O143" i="2"/>
  <c r="DP134" i="2"/>
  <c r="DQ134" i="2" s="1"/>
  <c r="DR134" i="2" s="1"/>
  <c r="DS134" i="2" s="1"/>
  <c r="FF133" i="2"/>
  <c r="FG133" i="2" s="1"/>
  <c r="FH133" i="2" s="1"/>
  <c r="FI133" i="2" s="1"/>
  <c r="GA134" i="2"/>
  <c r="GB134" i="2" s="1"/>
  <c r="GC134" i="2" s="1"/>
  <c r="GD134" i="2" s="1"/>
  <c r="CU134" i="2"/>
  <c r="CV134" i="2" s="1"/>
  <c r="CW134" i="2" s="1"/>
  <c r="CX134" i="2" s="1"/>
  <c r="GV133" i="2"/>
  <c r="GW133" i="2" s="1"/>
  <c r="GX133" i="2" s="1"/>
  <c r="GY133" i="2" s="1"/>
  <c r="EK133" i="2"/>
  <c r="EL133" i="2" s="1"/>
  <c r="EM133" i="2" s="1"/>
  <c r="EN133" i="2" s="1"/>
  <c r="BZ134" i="2"/>
  <c r="CA134" i="2" s="1"/>
  <c r="CB134" i="2" s="1"/>
  <c r="CC134" i="2" s="1"/>
  <c r="AJ133" i="2"/>
  <c r="AK133" i="2" s="1"/>
  <c r="AL133" i="2" s="1"/>
  <c r="AM133" i="2" s="1"/>
  <c r="P143" i="2" l="1"/>
  <c r="Q143" i="2"/>
  <c r="R143" i="2" s="1"/>
  <c r="N145" i="2"/>
  <c r="O144" i="2"/>
  <c r="EK134" i="2"/>
  <c r="EL134" i="2" s="1"/>
  <c r="EM134" i="2" s="1"/>
  <c r="EN134" i="2" s="1"/>
  <c r="CU135" i="2"/>
  <c r="CV135" i="2" s="1"/>
  <c r="CW135" i="2" s="1"/>
  <c r="CX135" i="2" s="1"/>
  <c r="FF134" i="2"/>
  <c r="FG134" i="2" s="1"/>
  <c r="FH134" i="2" s="1"/>
  <c r="FI134" i="2" s="1"/>
  <c r="BZ135" i="2"/>
  <c r="CA135" i="2" s="1"/>
  <c r="CB135" i="2" s="1"/>
  <c r="CC135" i="2" s="1"/>
  <c r="GV134" i="2"/>
  <c r="GW134" i="2" s="1"/>
  <c r="GX134" i="2" s="1"/>
  <c r="GY134" i="2" s="1"/>
  <c r="GA135" i="2"/>
  <c r="GB135" i="2" s="1"/>
  <c r="GC135" i="2" s="1"/>
  <c r="GD135" i="2" s="1"/>
  <c r="DP135" i="2"/>
  <c r="DQ135" i="2" s="1"/>
  <c r="DR135" i="2" s="1"/>
  <c r="DS135" i="2" s="1"/>
  <c r="AJ134" i="2"/>
  <c r="AK134" i="2" s="1"/>
  <c r="AL134" i="2" s="1"/>
  <c r="AM134" i="2" s="1"/>
  <c r="P144" i="2" l="1"/>
  <c r="Q144" i="2"/>
  <c r="R144" i="2" s="1"/>
  <c r="N146" i="2"/>
  <c r="O145" i="2"/>
  <c r="GA136" i="2"/>
  <c r="GB136" i="2" s="1"/>
  <c r="GC136" i="2" s="1"/>
  <c r="GD136" i="2" s="1"/>
  <c r="BZ136" i="2"/>
  <c r="CA136" i="2" s="1"/>
  <c r="CB136" i="2" s="1"/>
  <c r="CC136" i="2" s="1"/>
  <c r="CU136" i="2"/>
  <c r="CV136" i="2" s="1"/>
  <c r="CW136" i="2" s="1"/>
  <c r="CX136" i="2" s="1"/>
  <c r="DP136" i="2"/>
  <c r="DQ136" i="2" s="1"/>
  <c r="DR136" i="2" s="1"/>
  <c r="DS136" i="2" s="1"/>
  <c r="GV135" i="2"/>
  <c r="GW135" i="2" s="1"/>
  <c r="GX135" i="2" s="1"/>
  <c r="GY135" i="2" s="1"/>
  <c r="FF135" i="2"/>
  <c r="FG135" i="2" s="1"/>
  <c r="FH135" i="2" s="1"/>
  <c r="FI135" i="2" s="1"/>
  <c r="EK135" i="2"/>
  <c r="EL135" i="2" s="1"/>
  <c r="EM135" i="2" s="1"/>
  <c r="EN135" i="2" s="1"/>
  <c r="AJ135" i="2"/>
  <c r="AK135" i="2" s="1"/>
  <c r="AL135" i="2" s="1"/>
  <c r="AM135" i="2" s="1"/>
  <c r="P145" i="2" l="1"/>
  <c r="Q145" i="2" s="1"/>
  <c r="R145" i="2" s="1"/>
  <c r="N147" i="2"/>
  <c r="O146" i="2"/>
  <c r="FF136" i="2"/>
  <c r="FG136" i="2" s="1"/>
  <c r="FH136" i="2" s="1"/>
  <c r="FI136" i="2" s="1"/>
  <c r="DP137" i="2"/>
  <c r="DQ137" i="2" s="1"/>
  <c r="DR137" i="2" s="1"/>
  <c r="DS137" i="2" s="1"/>
  <c r="BZ137" i="2"/>
  <c r="CA137" i="2" s="1"/>
  <c r="CB137" i="2" s="1"/>
  <c r="CC137" i="2" s="1"/>
  <c r="EK136" i="2"/>
  <c r="EL136" i="2" s="1"/>
  <c r="EM136" i="2" s="1"/>
  <c r="EN136" i="2" s="1"/>
  <c r="GV136" i="2"/>
  <c r="GW136" i="2" s="1"/>
  <c r="GX136" i="2" s="1"/>
  <c r="GY136" i="2" s="1"/>
  <c r="CU137" i="2"/>
  <c r="CV137" i="2" s="1"/>
  <c r="CW137" i="2" s="1"/>
  <c r="CX137" i="2" s="1"/>
  <c r="GA137" i="2"/>
  <c r="GB137" i="2" s="1"/>
  <c r="GC137" i="2" s="1"/>
  <c r="GD137" i="2" s="1"/>
  <c r="AJ136" i="2"/>
  <c r="AK136" i="2" s="1"/>
  <c r="AL136" i="2" s="1"/>
  <c r="AM136" i="2" s="1"/>
  <c r="N148" i="2" l="1"/>
  <c r="O147" i="2"/>
  <c r="P146" i="2"/>
  <c r="Q146" i="2" s="1"/>
  <c r="R146" i="2" s="1"/>
  <c r="CU138" i="2"/>
  <c r="CV138" i="2" s="1"/>
  <c r="CW138" i="2" s="1"/>
  <c r="CX138" i="2" s="1"/>
  <c r="EK137" i="2"/>
  <c r="EL137" i="2" s="1"/>
  <c r="EM137" i="2" s="1"/>
  <c r="EN137" i="2" s="1"/>
  <c r="DP138" i="2"/>
  <c r="DQ138" i="2" s="1"/>
  <c r="DR138" i="2" s="1"/>
  <c r="DS138" i="2" s="1"/>
  <c r="GA138" i="2"/>
  <c r="GB138" i="2" s="1"/>
  <c r="GC138" i="2" s="1"/>
  <c r="GD138" i="2" s="1"/>
  <c r="GV137" i="2"/>
  <c r="GW137" i="2" s="1"/>
  <c r="GX137" i="2" s="1"/>
  <c r="GY137" i="2" s="1"/>
  <c r="BZ138" i="2"/>
  <c r="CA138" i="2" s="1"/>
  <c r="CB138" i="2" s="1"/>
  <c r="CC138" i="2" s="1"/>
  <c r="FF137" i="2"/>
  <c r="FG137" i="2" s="1"/>
  <c r="FH137" i="2" s="1"/>
  <c r="FI137" i="2" s="1"/>
  <c r="AJ137" i="2"/>
  <c r="AK137" i="2" s="1"/>
  <c r="AL137" i="2" s="1"/>
  <c r="AM137" i="2" s="1"/>
  <c r="P147" i="2" l="1"/>
  <c r="Q147" i="2"/>
  <c r="R147" i="2" s="1"/>
  <c r="N149" i="2"/>
  <c r="O148" i="2"/>
  <c r="BZ139" i="2"/>
  <c r="CA139" i="2" s="1"/>
  <c r="CB139" i="2" s="1"/>
  <c r="CC139" i="2" s="1"/>
  <c r="GA139" i="2"/>
  <c r="GB139" i="2" s="1"/>
  <c r="GC139" i="2" s="1"/>
  <c r="GD139" i="2" s="1"/>
  <c r="EK138" i="2"/>
  <c r="EL138" i="2" s="1"/>
  <c r="EM138" i="2" s="1"/>
  <c r="EN138" i="2" s="1"/>
  <c r="FF138" i="2"/>
  <c r="FG138" i="2" s="1"/>
  <c r="FH138" i="2" s="1"/>
  <c r="FI138" i="2" s="1"/>
  <c r="GV138" i="2"/>
  <c r="GW138" i="2" s="1"/>
  <c r="GX138" i="2" s="1"/>
  <c r="GY138" i="2" s="1"/>
  <c r="DP139" i="2"/>
  <c r="DQ139" i="2" s="1"/>
  <c r="DR139" i="2" s="1"/>
  <c r="DS139" i="2" s="1"/>
  <c r="CU139" i="2"/>
  <c r="CV139" i="2" s="1"/>
  <c r="CW139" i="2" s="1"/>
  <c r="CX139" i="2" s="1"/>
  <c r="AJ138" i="2"/>
  <c r="AK138" i="2" s="1"/>
  <c r="AL138" i="2" s="1"/>
  <c r="AM138" i="2" s="1"/>
  <c r="N150" i="2" l="1"/>
  <c r="O149" i="2"/>
  <c r="P148" i="2"/>
  <c r="Q148" i="2"/>
  <c r="R148" i="2" s="1"/>
  <c r="DP140" i="2"/>
  <c r="DQ140" i="2" s="1"/>
  <c r="DR140" i="2" s="1"/>
  <c r="DS140" i="2" s="1"/>
  <c r="FF139" i="2"/>
  <c r="FG139" i="2" s="1"/>
  <c r="FH139" i="2" s="1"/>
  <c r="FI139" i="2" s="1"/>
  <c r="GA140" i="2"/>
  <c r="GB140" i="2" s="1"/>
  <c r="GC140" i="2" s="1"/>
  <c r="GD140" i="2" s="1"/>
  <c r="CU140" i="2"/>
  <c r="CV140" i="2" s="1"/>
  <c r="CW140" i="2" s="1"/>
  <c r="CX140" i="2" s="1"/>
  <c r="GV139" i="2"/>
  <c r="GW139" i="2" s="1"/>
  <c r="GX139" i="2" s="1"/>
  <c r="GY139" i="2" s="1"/>
  <c r="EK139" i="2"/>
  <c r="EL139" i="2" s="1"/>
  <c r="EM139" i="2" s="1"/>
  <c r="EN139" i="2" s="1"/>
  <c r="BZ140" i="2"/>
  <c r="CA140" i="2" s="1"/>
  <c r="CB140" i="2" s="1"/>
  <c r="CC140" i="2" s="1"/>
  <c r="AJ139" i="2"/>
  <c r="AK139" i="2" s="1"/>
  <c r="AL139" i="2" s="1"/>
  <c r="AM139" i="2" s="1"/>
  <c r="P149" i="2" l="1"/>
  <c r="Q149" i="2"/>
  <c r="R149" i="2" s="1"/>
  <c r="N151" i="2"/>
  <c r="O150" i="2"/>
  <c r="EK140" i="2"/>
  <c r="EL140" i="2" s="1"/>
  <c r="EM140" i="2" s="1"/>
  <c r="EN140" i="2" s="1"/>
  <c r="CU141" i="2"/>
  <c r="CV141" i="2" s="1"/>
  <c r="CW141" i="2" s="1"/>
  <c r="CX141" i="2" s="1"/>
  <c r="FF140" i="2"/>
  <c r="FG140" i="2" s="1"/>
  <c r="FH140" i="2" s="1"/>
  <c r="FI140" i="2" s="1"/>
  <c r="BZ141" i="2"/>
  <c r="CA141" i="2" s="1"/>
  <c r="CB141" i="2" s="1"/>
  <c r="CC141" i="2" s="1"/>
  <c r="GV140" i="2"/>
  <c r="GW140" i="2" s="1"/>
  <c r="GX140" i="2" s="1"/>
  <c r="GY140" i="2" s="1"/>
  <c r="GA141" i="2"/>
  <c r="GB141" i="2" s="1"/>
  <c r="GC141" i="2" s="1"/>
  <c r="GD141" i="2" s="1"/>
  <c r="DP141" i="2"/>
  <c r="DQ141" i="2" s="1"/>
  <c r="DR141" i="2" s="1"/>
  <c r="DS141" i="2" s="1"/>
  <c r="AJ140" i="2"/>
  <c r="AK140" i="2" s="1"/>
  <c r="AL140" i="2" s="1"/>
  <c r="AM140" i="2" s="1"/>
  <c r="P150" i="2" l="1"/>
  <c r="Q150" i="2"/>
  <c r="R150" i="2" s="1"/>
  <c r="N152" i="2"/>
  <c r="O151" i="2"/>
  <c r="GA142" i="2"/>
  <c r="GB142" i="2" s="1"/>
  <c r="GC142" i="2" s="1"/>
  <c r="GD142" i="2" s="1"/>
  <c r="BZ142" i="2"/>
  <c r="CA142" i="2" s="1"/>
  <c r="CB142" i="2" s="1"/>
  <c r="CC142" i="2" s="1"/>
  <c r="CU142" i="2"/>
  <c r="CV142" i="2" s="1"/>
  <c r="CW142" i="2" s="1"/>
  <c r="CX142" i="2" s="1"/>
  <c r="DP142" i="2"/>
  <c r="DQ142" i="2" s="1"/>
  <c r="DR142" i="2" s="1"/>
  <c r="DS142" i="2" s="1"/>
  <c r="GV141" i="2"/>
  <c r="GW141" i="2" s="1"/>
  <c r="GX141" i="2" s="1"/>
  <c r="GY141" i="2" s="1"/>
  <c r="FF141" i="2"/>
  <c r="FG141" i="2" s="1"/>
  <c r="FH141" i="2" s="1"/>
  <c r="FI141" i="2" s="1"/>
  <c r="EK141" i="2"/>
  <c r="EL141" i="2" s="1"/>
  <c r="EM141" i="2" s="1"/>
  <c r="EN141" i="2" s="1"/>
  <c r="AJ141" i="2"/>
  <c r="AK141" i="2" s="1"/>
  <c r="AL141" i="2" s="1"/>
  <c r="AM141" i="2" s="1"/>
  <c r="P151" i="2" l="1"/>
  <c r="Q151" i="2"/>
  <c r="R151" i="2" s="1"/>
  <c r="N153" i="2"/>
  <c r="O152" i="2"/>
  <c r="FF142" i="2"/>
  <c r="FG142" i="2" s="1"/>
  <c r="FH142" i="2" s="1"/>
  <c r="FI142" i="2" s="1"/>
  <c r="DP143" i="2"/>
  <c r="DQ143" i="2" s="1"/>
  <c r="DR143" i="2" s="1"/>
  <c r="DS143" i="2" s="1"/>
  <c r="BZ143" i="2"/>
  <c r="CA143" i="2" s="1"/>
  <c r="CB143" i="2" s="1"/>
  <c r="CC143" i="2" s="1"/>
  <c r="EK142" i="2"/>
  <c r="EL142" i="2" s="1"/>
  <c r="EM142" i="2" s="1"/>
  <c r="EN142" i="2" s="1"/>
  <c r="GV142" i="2"/>
  <c r="GW142" i="2" s="1"/>
  <c r="GX142" i="2" s="1"/>
  <c r="GY142" i="2" s="1"/>
  <c r="CU143" i="2"/>
  <c r="CV143" i="2" s="1"/>
  <c r="CW143" i="2" s="1"/>
  <c r="CX143" i="2" s="1"/>
  <c r="GA143" i="2"/>
  <c r="GB143" i="2" s="1"/>
  <c r="GC143" i="2" s="1"/>
  <c r="GD143" i="2" s="1"/>
  <c r="AJ142" i="2"/>
  <c r="AK142" i="2" s="1"/>
  <c r="AL142" i="2" s="1"/>
  <c r="AM142" i="2" s="1"/>
  <c r="P152" i="2" l="1"/>
  <c r="Q152" i="2"/>
  <c r="R152" i="2" s="1"/>
  <c r="N154" i="2"/>
  <c r="O153" i="2"/>
  <c r="CU144" i="2"/>
  <c r="CV144" i="2" s="1"/>
  <c r="CW144" i="2" s="1"/>
  <c r="CX144" i="2" s="1"/>
  <c r="EK143" i="2"/>
  <c r="EL143" i="2" s="1"/>
  <c r="EM143" i="2" s="1"/>
  <c r="EN143" i="2" s="1"/>
  <c r="DP144" i="2"/>
  <c r="DQ144" i="2" s="1"/>
  <c r="DR144" i="2" s="1"/>
  <c r="DS144" i="2" s="1"/>
  <c r="GA144" i="2"/>
  <c r="GB144" i="2" s="1"/>
  <c r="GC144" i="2" s="1"/>
  <c r="GD144" i="2" s="1"/>
  <c r="GV143" i="2"/>
  <c r="GW143" i="2" s="1"/>
  <c r="GX143" i="2" s="1"/>
  <c r="GY143" i="2" s="1"/>
  <c r="BZ144" i="2"/>
  <c r="CA144" i="2" s="1"/>
  <c r="CB144" i="2" s="1"/>
  <c r="CC144" i="2" s="1"/>
  <c r="FF143" i="2"/>
  <c r="FG143" i="2" s="1"/>
  <c r="FH143" i="2" s="1"/>
  <c r="FI143" i="2" s="1"/>
  <c r="AJ143" i="2"/>
  <c r="AK143" i="2" s="1"/>
  <c r="AL143" i="2" s="1"/>
  <c r="AM143" i="2" s="1"/>
  <c r="P153" i="2" l="1"/>
  <c r="Q153" i="2" s="1"/>
  <c r="R153" i="2" s="1"/>
  <c r="N155" i="2"/>
  <c r="O154" i="2"/>
  <c r="BZ145" i="2"/>
  <c r="CA145" i="2" s="1"/>
  <c r="CB145" i="2" s="1"/>
  <c r="CC145" i="2" s="1"/>
  <c r="GA145" i="2"/>
  <c r="GB145" i="2" s="1"/>
  <c r="GC145" i="2" s="1"/>
  <c r="GD145" i="2" s="1"/>
  <c r="EK144" i="2"/>
  <c r="EL144" i="2" s="1"/>
  <c r="EM144" i="2" s="1"/>
  <c r="EN144" i="2" s="1"/>
  <c r="FF144" i="2"/>
  <c r="FG144" i="2" s="1"/>
  <c r="FH144" i="2" s="1"/>
  <c r="FI144" i="2" s="1"/>
  <c r="GV144" i="2"/>
  <c r="GW144" i="2" s="1"/>
  <c r="GX144" i="2" s="1"/>
  <c r="GY144" i="2" s="1"/>
  <c r="DP145" i="2"/>
  <c r="DQ145" i="2" s="1"/>
  <c r="DR145" i="2" s="1"/>
  <c r="DS145" i="2" s="1"/>
  <c r="CU145" i="2"/>
  <c r="CV145" i="2" s="1"/>
  <c r="CW145" i="2" s="1"/>
  <c r="CX145" i="2" s="1"/>
  <c r="AJ144" i="2"/>
  <c r="AK144" i="2" s="1"/>
  <c r="AL144" i="2" s="1"/>
  <c r="AM144" i="2" s="1"/>
  <c r="N156" i="2" l="1"/>
  <c r="O155" i="2"/>
  <c r="P154" i="2"/>
  <c r="Q154" i="2" s="1"/>
  <c r="R154" i="2" s="1"/>
  <c r="DP146" i="2"/>
  <c r="DQ146" i="2" s="1"/>
  <c r="DR146" i="2" s="1"/>
  <c r="DS146" i="2" s="1"/>
  <c r="FF145" i="2"/>
  <c r="FG145" i="2" s="1"/>
  <c r="FH145" i="2" s="1"/>
  <c r="FI145" i="2" s="1"/>
  <c r="GA146" i="2"/>
  <c r="GB146" i="2" s="1"/>
  <c r="GC146" i="2" s="1"/>
  <c r="GD146" i="2" s="1"/>
  <c r="CU146" i="2"/>
  <c r="CV146" i="2" s="1"/>
  <c r="CW146" i="2" s="1"/>
  <c r="CX146" i="2" s="1"/>
  <c r="GV145" i="2"/>
  <c r="GW145" i="2" s="1"/>
  <c r="GX145" i="2" s="1"/>
  <c r="GY145" i="2" s="1"/>
  <c r="EK145" i="2"/>
  <c r="EL145" i="2" s="1"/>
  <c r="EM145" i="2" s="1"/>
  <c r="EN145" i="2" s="1"/>
  <c r="BZ146" i="2"/>
  <c r="CA146" i="2" s="1"/>
  <c r="CB146" i="2" s="1"/>
  <c r="CC146" i="2" s="1"/>
  <c r="AJ145" i="2"/>
  <c r="AK145" i="2" s="1"/>
  <c r="AL145" i="2" s="1"/>
  <c r="AM145" i="2" s="1"/>
  <c r="P155" i="2" l="1"/>
  <c r="Q155" i="2" s="1"/>
  <c r="R155" i="2" s="1"/>
  <c r="N157" i="2"/>
  <c r="O156" i="2"/>
  <c r="EK146" i="2"/>
  <c r="EL146" i="2" s="1"/>
  <c r="EM146" i="2" s="1"/>
  <c r="EN146" i="2" s="1"/>
  <c r="CU147" i="2"/>
  <c r="CV147" i="2" s="1"/>
  <c r="CW147" i="2" s="1"/>
  <c r="CX147" i="2" s="1"/>
  <c r="FF146" i="2"/>
  <c r="FG146" i="2" s="1"/>
  <c r="FH146" i="2" s="1"/>
  <c r="FI146" i="2" s="1"/>
  <c r="BZ147" i="2"/>
  <c r="CA147" i="2" s="1"/>
  <c r="CB147" i="2" s="1"/>
  <c r="CC147" i="2" s="1"/>
  <c r="GV146" i="2"/>
  <c r="GW146" i="2" s="1"/>
  <c r="GX146" i="2" s="1"/>
  <c r="GY146" i="2" s="1"/>
  <c r="GA147" i="2"/>
  <c r="GB147" i="2" s="1"/>
  <c r="GC147" i="2" s="1"/>
  <c r="GD147" i="2" s="1"/>
  <c r="DP147" i="2"/>
  <c r="DQ147" i="2" s="1"/>
  <c r="DR147" i="2" s="1"/>
  <c r="DS147" i="2" s="1"/>
  <c r="AJ146" i="2"/>
  <c r="AK146" i="2" s="1"/>
  <c r="AL146" i="2" s="1"/>
  <c r="AM146" i="2" s="1"/>
  <c r="N158" i="2" l="1"/>
  <c r="O157" i="2"/>
  <c r="P156" i="2"/>
  <c r="Q156" i="2" s="1"/>
  <c r="R156" i="2" s="1"/>
  <c r="GA148" i="2"/>
  <c r="GB148" i="2" s="1"/>
  <c r="GC148" i="2" s="1"/>
  <c r="GD148" i="2" s="1"/>
  <c r="BZ148" i="2"/>
  <c r="CA148" i="2" s="1"/>
  <c r="CB148" i="2" s="1"/>
  <c r="CC148" i="2" s="1"/>
  <c r="CU148" i="2"/>
  <c r="CV148" i="2" s="1"/>
  <c r="CW148" i="2" s="1"/>
  <c r="CX148" i="2" s="1"/>
  <c r="DP148" i="2"/>
  <c r="DQ148" i="2" s="1"/>
  <c r="DR148" i="2" s="1"/>
  <c r="DS148" i="2" s="1"/>
  <c r="GV147" i="2"/>
  <c r="GW147" i="2" s="1"/>
  <c r="GX147" i="2" s="1"/>
  <c r="GY147" i="2" s="1"/>
  <c r="FF147" i="2"/>
  <c r="FG147" i="2" s="1"/>
  <c r="FH147" i="2" s="1"/>
  <c r="FI147" i="2" s="1"/>
  <c r="EK147" i="2"/>
  <c r="EL147" i="2" s="1"/>
  <c r="EM147" i="2" s="1"/>
  <c r="EN147" i="2" s="1"/>
  <c r="AJ147" i="2"/>
  <c r="AK147" i="2" s="1"/>
  <c r="AL147" i="2" s="1"/>
  <c r="AM147" i="2" s="1"/>
  <c r="P157" i="2" l="1"/>
  <c r="Q157" i="2"/>
  <c r="R157" i="2" s="1"/>
  <c r="N159" i="2"/>
  <c r="O158" i="2"/>
  <c r="FF148" i="2"/>
  <c r="FG148" i="2" s="1"/>
  <c r="FH148" i="2" s="1"/>
  <c r="FI148" i="2" s="1"/>
  <c r="DP149" i="2"/>
  <c r="DQ149" i="2" s="1"/>
  <c r="DR149" i="2" s="1"/>
  <c r="DS149" i="2" s="1"/>
  <c r="BZ149" i="2"/>
  <c r="CA149" i="2" s="1"/>
  <c r="CB149" i="2" s="1"/>
  <c r="CC149" i="2" s="1"/>
  <c r="EK148" i="2"/>
  <c r="EL148" i="2" s="1"/>
  <c r="EM148" i="2" s="1"/>
  <c r="EN148" i="2" s="1"/>
  <c r="GV148" i="2"/>
  <c r="GW148" i="2" s="1"/>
  <c r="GX148" i="2" s="1"/>
  <c r="GY148" i="2" s="1"/>
  <c r="CU149" i="2"/>
  <c r="CV149" i="2" s="1"/>
  <c r="CW149" i="2" s="1"/>
  <c r="CX149" i="2" s="1"/>
  <c r="GA149" i="2"/>
  <c r="GB149" i="2" s="1"/>
  <c r="GC149" i="2" s="1"/>
  <c r="GD149" i="2" s="1"/>
  <c r="AJ148" i="2"/>
  <c r="AK148" i="2" s="1"/>
  <c r="AL148" i="2" s="1"/>
  <c r="AM148" i="2" s="1"/>
  <c r="N160" i="2" l="1"/>
  <c r="O159" i="2"/>
  <c r="P158" i="2"/>
  <c r="Q158" i="2" s="1"/>
  <c r="R158" i="2" s="1"/>
  <c r="CU150" i="2"/>
  <c r="CV150" i="2" s="1"/>
  <c r="CW150" i="2" s="1"/>
  <c r="CX150" i="2" s="1"/>
  <c r="EK149" i="2"/>
  <c r="EL149" i="2" s="1"/>
  <c r="EM149" i="2" s="1"/>
  <c r="EN149" i="2" s="1"/>
  <c r="DP150" i="2"/>
  <c r="DQ150" i="2" s="1"/>
  <c r="DR150" i="2" s="1"/>
  <c r="DS150" i="2" s="1"/>
  <c r="GA150" i="2"/>
  <c r="GB150" i="2" s="1"/>
  <c r="GC150" i="2" s="1"/>
  <c r="GD150" i="2" s="1"/>
  <c r="GV149" i="2"/>
  <c r="GW149" i="2" s="1"/>
  <c r="GX149" i="2" s="1"/>
  <c r="GY149" i="2" s="1"/>
  <c r="BZ150" i="2"/>
  <c r="CA150" i="2" s="1"/>
  <c r="CB150" i="2" s="1"/>
  <c r="CC150" i="2" s="1"/>
  <c r="FF149" i="2"/>
  <c r="FG149" i="2" s="1"/>
  <c r="FH149" i="2" s="1"/>
  <c r="FI149" i="2" s="1"/>
  <c r="AJ149" i="2"/>
  <c r="AK149" i="2" s="1"/>
  <c r="AL149" i="2" s="1"/>
  <c r="AM149" i="2" s="1"/>
  <c r="P159" i="2" l="1"/>
  <c r="Q159" i="2"/>
  <c r="R159" i="2" s="1"/>
  <c r="N161" i="2"/>
  <c r="O160" i="2"/>
  <c r="BZ151" i="2"/>
  <c r="CA151" i="2" s="1"/>
  <c r="CB151" i="2" s="1"/>
  <c r="CC151" i="2" s="1"/>
  <c r="GA151" i="2"/>
  <c r="GB151" i="2" s="1"/>
  <c r="GC151" i="2" s="1"/>
  <c r="GD151" i="2" s="1"/>
  <c r="EK150" i="2"/>
  <c r="EL150" i="2" s="1"/>
  <c r="EM150" i="2" s="1"/>
  <c r="EN150" i="2" s="1"/>
  <c r="FF150" i="2"/>
  <c r="FG150" i="2" s="1"/>
  <c r="FH150" i="2" s="1"/>
  <c r="FI150" i="2" s="1"/>
  <c r="GV150" i="2"/>
  <c r="GW150" i="2" s="1"/>
  <c r="GX150" i="2" s="1"/>
  <c r="GY150" i="2" s="1"/>
  <c r="DP151" i="2"/>
  <c r="DQ151" i="2" s="1"/>
  <c r="DR151" i="2" s="1"/>
  <c r="DS151" i="2" s="1"/>
  <c r="CU151" i="2"/>
  <c r="CV151" i="2" s="1"/>
  <c r="CW151" i="2" s="1"/>
  <c r="CX151" i="2" s="1"/>
  <c r="AJ150" i="2"/>
  <c r="AK150" i="2" s="1"/>
  <c r="AL150" i="2" s="1"/>
  <c r="AM150" i="2" s="1"/>
  <c r="P160" i="2" l="1"/>
  <c r="Q160" i="2"/>
  <c r="R160" i="2" s="1"/>
  <c r="N162" i="2"/>
  <c r="O161" i="2"/>
  <c r="DP153" i="2"/>
  <c r="DQ153" i="2" s="1"/>
  <c r="DR153" i="2" s="1"/>
  <c r="DS153" i="2" s="1"/>
  <c r="DP152" i="2"/>
  <c r="DQ152" i="2" s="1"/>
  <c r="DR152" i="2" s="1"/>
  <c r="DS152" i="2" s="1"/>
  <c r="FF151" i="2"/>
  <c r="FG151" i="2" s="1"/>
  <c r="FH151" i="2" s="1"/>
  <c r="FI151" i="2" s="1"/>
  <c r="GA153" i="2"/>
  <c r="GB153" i="2" s="1"/>
  <c r="GC153" i="2" s="1"/>
  <c r="GD153" i="2" s="1"/>
  <c r="GA152" i="2"/>
  <c r="GB152" i="2" s="1"/>
  <c r="GC152" i="2" s="1"/>
  <c r="GD152" i="2" s="1"/>
  <c r="CU153" i="2"/>
  <c r="CV153" i="2" s="1"/>
  <c r="CW153" i="2" s="1"/>
  <c r="CX153" i="2" s="1"/>
  <c r="CU152" i="2"/>
  <c r="CV152" i="2" s="1"/>
  <c r="CW152" i="2" s="1"/>
  <c r="CX152" i="2" s="1"/>
  <c r="GV151" i="2"/>
  <c r="GW151" i="2" s="1"/>
  <c r="GX151" i="2" s="1"/>
  <c r="GY151" i="2" s="1"/>
  <c r="EK151" i="2"/>
  <c r="EL151" i="2" s="1"/>
  <c r="EM151" i="2" s="1"/>
  <c r="EN151" i="2" s="1"/>
  <c r="BZ153" i="2"/>
  <c r="CA153" i="2" s="1"/>
  <c r="CB153" i="2" s="1"/>
  <c r="CC153" i="2" s="1"/>
  <c r="BZ152" i="2"/>
  <c r="CA152" i="2" s="1"/>
  <c r="CB152" i="2" s="1"/>
  <c r="CC152" i="2" s="1"/>
  <c r="AJ151" i="2"/>
  <c r="AK151" i="2" s="1"/>
  <c r="AL151" i="2" s="1"/>
  <c r="AM151" i="2" s="1"/>
  <c r="N163" i="2" l="1"/>
  <c r="O162" i="2"/>
  <c r="P161" i="2"/>
  <c r="Q161" i="2" s="1"/>
  <c r="R161" i="2" s="1"/>
  <c r="DT3" i="2"/>
  <c r="EK153" i="2"/>
  <c r="EL153" i="2" s="1"/>
  <c r="EM153" i="2" s="1"/>
  <c r="EN153" i="2" s="1"/>
  <c r="EK152" i="2"/>
  <c r="EL152" i="2" s="1"/>
  <c r="EM152" i="2" s="1"/>
  <c r="EN152" i="2" s="1"/>
  <c r="FF153" i="2"/>
  <c r="FG153" i="2" s="1"/>
  <c r="FH153" i="2" s="1"/>
  <c r="FI153" i="2" s="1"/>
  <c r="FF152" i="2"/>
  <c r="FG152" i="2" s="1"/>
  <c r="FH152" i="2" s="1"/>
  <c r="FI152" i="2" s="1"/>
  <c r="GV153" i="2"/>
  <c r="GW153" i="2" s="1"/>
  <c r="GX153" i="2" s="1"/>
  <c r="GY153" i="2" s="1"/>
  <c r="GV152" i="2"/>
  <c r="GW152" i="2" s="1"/>
  <c r="GX152" i="2" s="1"/>
  <c r="GY152" i="2" s="1"/>
  <c r="AJ153" i="2"/>
  <c r="AK153" i="2" s="1"/>
  <c r="AL153" i="2" s="1"/>
  <c r="AM153" i="2" s="1"/>
  <c r="AJ152" i="2"/>
  <c r="AK152" i="2" s="1"/>
  <c r="AL152" i="2" s="1"/>
  <c r="AM152" i="2" s="1"/>
  <c r="AN64" i="2" l="1"/>
  <c r="AN149" i="2"/>
  <c r="AN88" i="2"/>
  <c r="AN128" i="2"/>
  <c r="AN50" i="2"/>
  <c r="AN126" i="2"/>
  <c r="AN201" i="2"/>
  <c r="AN165" i="2"/>
  <c r="AN177" i="2"/>
  <c r="AN186" i="2"/>
  <c r="AN172" i="2"/>
  <c r="AN18" i="2"/>
  <c r="AN124" i="2"/>
  <c r="AN168" i="2"/>
  <c r="AN134" i="2"/>
  <c r="AN107" i="2"/>
  <c r="AN133" i="2"/>
  <c r="AN98" i="2"/>
  <c r="AN112" i="2"/>
  <c r="AN56" i="2"/>
  <c r="AN130" i="2"/>
  <c r="AN156" i="2"/>
  <c r="AN115" i="2"/>
  <c r="AN47" i="2"/>
  <c r="AN184" i="2"/>
  <c r="AN49" i="2"/>
  <c r="AN145" i="2"/>
  <c r="AN84" i="2"/>
  <c r="AN9" i="2"/>
  <c r="AN147" i="2"/>
  <c r="AN120" i="2"/>
  <c r="AN198" i="2"/>
  <c r="AN55" i="2"/>
  <c r="AN31" i="2"/>
  <c r="AN90" i="2"/>
  <c r="AN137" i="2"/>
  <c r="AN170" i="2"/>
  <c r="AN202" i="2"/>
  <c r="AN58" i="2"/>
  <c r="AN34" i="2"/>
  <c r="AN86" i="2"/>
  <c r="AN82" i="2"/>
  <c r="AN57" i="2"/>
  <c r="AN41" i="2"/>
  <c r="AN123" i="2"/>
  <c r="AN152" i="2"/>
  <c r="AN150" i="2"/>
  <c r="AN76" i="2"/>
  <c r="AN97" i="2"/>
  <c r="AN119" i="2"/>
  <c r="AN68" i="2"/>
  <c r="AN154" i="2"/>
  <c r="AN104" i="2"/>
  <c r="AN78" i="2"/>
  <c r="AN189" i="2"/>
  <c r="AN105" i="2"/>
  <c r="AN23" i="2"/>
  <c r="AN103" i="2"/>
  <c r="AN60" i="2"/>
  <c r="AN53" i="2"/>
  <c r="AN69" i="2"/>
  <c r="AN81" i="2"/>
  <c r="AN30" i="2"/>
  <c r="AN167" i="2"/>
  <c r="AN21" i="2"/>
  <c r="AN44" i="2"/>
  <c r="AN5" i="2"/>
  <c r="AN166" i="2"/>
  <c r="AN19" i="2"/>
  <c r="AN117" i="2"/>
  <c r="AN161" i="2"/>
  <c r="AN199" i="2"/>
  <c r="AN39" i="2"/>
  <c r="AN138" i="2"/>
  <c r="AN135" i="2"/>
  <c r="AN16" i="2"/>
  <c r="AN163" i="2"/>
  <c r="AN190" i="2"/>
  <c r="AN114" i="2"/>
  <c r="AN48" i="2"/>
  <c r="AN11" i="2"/>
  <c r="AN148" i="2"/>
  <c r="AN33" i="2"/>
  <c r="AN8" i="2"/>
  <c r="AN28" i="2"/>
  <c r="AN12" i="2"/>
  <c r="AN59" i="2"/>
  <c r="AN101" i="2"/>
  <c r="AN91" i="2"/>
  <c r="AN191" i="2"/>
  <c r="AN143" i="2"/>
  <c r="AN10" i="2"/>
  <c r="AN129" i="2"/>
  <c r="AN77" i="2"/>
  <c r="AN180" i="2"/>
  <c r="AN83" i="2"/>
  <c r="AN159" i="2"/>
  <c r="AN22" i="2"/>
  <c r="AN121" i="2"/>
  <c r="AN74" i="2"/>
  <c r="AN35" i="2"/>
  <c r="AN29" i="2"/>
  <c r="AN155" i="2"/>
  <c r="AN153" i="2"/>
  <c r="AN7" i="2"/>
  <c r="AN73" i="2"/>
  <c r="AN51" i="2"/>
  <c r="AN193" i="2"/>
  <c r="AN178" i="2"/>
  <c r="AN80" i="2"/>
  <c r="AN203" i="2"/>
  <c r="AN131" i="2"/>
  <c r="AN144" i="2"/>
  <c r="AN42" i="2"/>
  <c r="AN27" i="2"/>
  <c r="AN43" i="2"/>
  <c r="AN25" i="2"/>
  <c r="AN179" i="2"/>
  <c r="AN54" i="2"/>
  <c r="AN94" i="2"/>
  <c r="AN183" i="2"/>
  <c r="AN110" i="2"/>
  <c r="AN182" i="2"/>
  <c r="AN113" i="2"/>
  <c r="AN140" i="2"/>
  <c r="AN194" i="2"/>
  <c r="AN157" i="2"/>
  <c r="AN174" i="2"/>
  <c r="AN40" i="2"/>
  <c r="AN102" i="2"/>
  <c r="AN26" i="2"/>
  <c r="AN17" i="2"/>
  <c r="AN45" i="2"/>
  <c r="AN100" i="2"/>
  <c r="AN71" i="2"/>
  <c r="AN169" i="2"/>
  <c r="AN70" i="2"/>
  <c r="AN61" i="2"/>
  <c r="AN24" i="2"/>
  <c r="AN106" i="2"/>
  <c r="AN79" i="2"/>
  <c r="AN6" i="2"/>
  <c r="AN67" i="2"/>
  <c r="AN96" i="2"/>
  <c r="AN85" i="2"/>
  <c r="AN62" i="2"/>
  <c r="AN192" i="2"/>
  <c r="AN14" i="2"/>
  <c r="AN200" i="2"/>
  <c r="AN111" i="2"/>
  <c r="AN72" i="2"/>
  <c r="AN75" i="2"/>
  <c r="AN160" i="2"/>
  <c r="AN173" i="2"/>
  <c r="AN63" i="2"/>
  <c r="AN4" i="2"/>
  <c r="AN141" i="2"/>
  <c r="AN37" i="2"/>
  <c r="AN32" i="2"/>
  <c r="AN118" i="2"/>
  <c r="AN66" i="2"/>
  <c r="AN195" i="2"/>
  <c r="AN87" i="2"/>
  <c r="AN125" i="2"/>
  <c r="AN108" i="2"/>
  <c r="AN52" i="2"/>
  <c r="AN181" i="2"/>
  <c r="AN15" i="2"/>
  <c r="AN89" i="2"/>
  <c r="AN151" i="2"/>
  <c r="AN176" i="2"/>
  <c r="AN171" i="2"/>
  <c r="AN185" i="2"/>
  <c r="AN122" i="2"/>
  <c r="AN197" i="2"/>
  <c r="AN146" i="2"/>
  <c r="AN164" i="2"/>
  <c r="AN187" i="2"/>
  <c r="AN127" i="2"/>
  <c r="AN136" i="2"/>
  <c r="AN188" i="2"/>
  <c r="AN13" i="2"/>
  <c r="AN99" i="2"/>
  <c r="AN116" i="2"/>
  <c r="AN142" i="2"/>
  <c r="AN132" i="2"/>
  <c r="AN65" i="2"/>
  <c r="AN95" i="2"/>
  <c r="AN92" i="2"/>
  <c r="AN139" i="2"/>
  <c r="AN93" i="2"/>
  <c r="AN20" i="2"/>
  <c r="AN158" i="2"/>
  <c r="AN38" i="2"/>
  <c r="AN162" i="2"/>
  <c r="AN46" i="2"/>
  <c r="AN175" i="2"/>
  <c r="AN36" i="2"/>
  <c r="AN109" i="2"/>
  <c r="AN196" i="2"/>
  <c r="P162" i="2"/>
  <c r="Q162" i="2" s="1"/>
  <c r="R162" i="2" s="1"/>
  <c r="N164" i="2"/>
  <c r="O163" i="2"/>
  <c r="C11" i="4"/>
  <c r="E11" i="4" s="1"/>
  <c r="F11" i="4" s="1"/>
  <c r="G11" i="4" s="1"/>
  <c r="L11" i="4" s="1"/>
  <c r="EO3" i="2"/>
  <c r="AN3" i="2"/>
  <c r="J8" i="4"/>
  <c r="J16" i="4" s="1"/>
  <c r="BR19" i="2"/>
  <c r="BR20" i="2" s="1"/>
  <c r="BR21" i="2" s="1"/>
  <c r="BR22" i="2" s="1"/>
  <c r="BR23" i="2" s="1"/>
  <c r="BR24" i="2" s="1"/>
  <c r="BR25" i="2" s="1"/>
  <c r="BR26" i="2" s="1"/>
  <c r="BR27" i="2" s="1"/>
  <c r="BR28" i="2" s="1"/>
  <c r="BR29" i="2" s="1"/>
  <c r="BR30" i="2" s="1"/>
  <c r="BR31" i="2" s="1"/>
  <c r="BR32" i="2" s="1"/>
  <c r="BR33" i="2" s="1"/>
  <c r="BR34" i="2" s="1"/>
  <c r="BR35" i="2" s="1"/>
  <c r="BR36" i="2" s="1"/>
  <c r="BR37" i="2" s="1"/>
  <c r="BR38" i="2" s="1"/>
  <c r="BR39" i="2" s="1"/>
  <c r="BR40" i="2" s="1"/>
  <c r="BR41" i="2" s="1"/>
  <c r="BR42" i="2" s="1"/>
  <c r="BR43" i="2" s="1"/>
  <c r="BR44" i="2" s="1"/>
  <c r="BR45" i="2" s="1"/>
  <c r="BR46" i="2" s="1"/>
  <c r="BR47" i="2" s="1"/>
  <c r="BR48" i="2" s="1"/>
  <c r="BR49" i="2" s="1"/>
  <c r="BR50" i="2" s="1"/>
  <c r="BR51" i="2" s="1"/>
  <c r="BR52" i="2" s="1"/>
  <c r="BR53" i="2" s="1"/>
  <c r="BR54" i="2" s="1"/>
  <c r="BR55" i="2" s="1"/>
  <c r="BR56" i="2" s="1"/>
  <c r="BR57" i="2" s="1"/>
  <c r="BR58" i="2" s="1"/>
  <c r="BR59" i="2" s="1"/>
  <c r="BR60" i="2" s="1"/>
  <c r="BR61" i="2" s="1"/>
  <c r="BR62" i="2" s="1"/>
  <c r="BR63" i="2" s="1"/>
  <c r="BR64" i="2" s="1"/>
  <c r="BR65" i="2" s="1"/>
  <c r="BR66" i="2" s="1"/>
  <c r="BR67" i="2" s="1"/>
  <c r="BR68" i="2" s="1"/>
  <c r="BR69" i="2" s="1"/>
  <c r="BR70" i="2" s="1"/>
  <c r="BR71" i="2" s="1"/>
  <c r="BR72" i="2" s="1"/>
  <c r="BR73" i="2" s="1"/>
  <c r="BR74" i="2" s="1"/>
  <c r="BR75" i="2" s="1"/>
  <c r="BR76" i="2" s="1"/>
  <c r="BR77" i="2" s="1"/>
  <c r="BR78" i="2" s="1"/>
  <c r="BR79" i="2" s="1"/>
  <c r="BR80" i="2" s="1"/>
  <c r="BR81" i="2" s="1"/>
  <c r="BR82" i="2" s="1"/>
  <c r="BR83" i="2" s="1"/>
  <c r="BR84" i="2" s="1"/>
  <c r="BR85" i="2" s="1"/>
  <c r="BR86" i="2" s="1"/>
  <c r="BR87" i="2" s="1"/>
  <c r="BR88" i="2" s="1"/>
  <c r="BR89" i="2" s="1"/>
  <c r="BR90" i="2" s="1"/>
  <c r="BR91" i="2" s="1"/>
  <c r="BR92" i="2" s="1"/>
  <c r="BR93" i="2" s="1"/>
  <c r="BR94" i="2" s="1"/>
  <c r="BR95" i="2" s="1"/>
  <c r="BR96" i="2" s="1"/>
  <c r="BR97" i="2" s="1"/>
  <c r="BR98" i="2" s="1"/>
  <c r="BR99" i="2" s="1"/>
  <c r="BR100" i="2" s="1"/>
  <c r="BR101" i="2" s="1"/>
  <c r="BR102" i="2" s="1"/>
  <c r="BR103" i="2" s="1"/>
  <c r="BR104" i="2" s="1"/>
  <c r="BR105" i="2" s="1"/>
  <c r="BR106" i="2" s="1"/>
  <c r="BR107" i="2" s="1"/>
  <c r="BR108" i="2" s="1"/>
  <c r="BR109" i="2" s="1"/>
  <c r="BR110" i="2" s="1"/>
  <c r="BR111" i="2" s="1"/>
  <c r="BR112" i="2" s="1"/>
  <c r="BR113" i="2" s="1"/>
  <c r="BR114" i="2" s="1"/>
  <c r="BR115" i="2" s="1"/>
  <c r="BR116" i="2" s="1"/>
  <c r="BR117" i="2" s="1"/>
  <c r="BR118" i="2" s="1"/>
  <c r="BR119" i="2" s="1"/>
  <c r="BR120" i="2" s="1"/>
  <c r="BR121" i="2" s="1"/>
  <c r="BR122" i="2" s="1"/>
  <c r="BR123" i="2" s="1"/>
  <c r="BR124" i="2" s="1"/>
  <c r="BR125" i="2" s="1"/>
  <c r="BR126" i="2" s="1"/>
  <c r="BR127" i="2" s="1"/>
  <c r="BR128" i="2" s="1"/>
  <c r="BR129" i="2" s="1"/>
  <c r="BR130" i="2" s="1"/>
  <c r="BR131" i="2" s="1"/>
  <c r="BR132" i="2" s="1"/>
  <c r="BR133" i="2" s="1"/>
  <c r="BR134" i="2" s="1"/>
  <c r="BR135" i="2" s="1"/>
  <c r="BR136" i="2" s="1"/>
  <c r="BR137" i="2" s="1"/>
  <c r="BR138" i="2" s="1"/>
  <c r="BR139" i="2" s="1"/>
  <c r="BR140" i="2" s="1"/>
  <c r="BR141" i="2" s="1"/>
  <c r="BR142" i="2" s="1"/>
  <c r="BR143" i="2" s="1"/>
  <c r="BR144" i="2" s="1"/>
  <c r="BR145" i="2" s="1"/>
  <c r="BR146" i="2" s="1"/>
  <c r="BR147" i="2" s="1"/>
  <c r="BR148" i="2" s="1"/>
  <c r="BR149" i="2" s="1"/>
  <c r="BR150" i="2" s="1"/>
  <c r="BR151" i="2" s="1"/>
  <c r="BR152" i="2" s="1"/>
  <c r="BR153" i="2" s="1"/>
  <c r="BR154" i="2" s="1"/>
  <c r="BR155" i="2" s="1"/>
  <c r="BR156" i="2" s="1"/>
  <c r="BR157" i="2" s="1"/>
  <c r="BR158" i="2" s="1"/>
  <c r="BR159" i="2" s="1"/>
  <c r="BR160" i="2" s="1"/>
  <c r="BR161" i="2" s="1"/>
  <c r="BR162" i="2" s="1"/>
  <c r="BR163" i="2" s="1"/>
  <c r="BR164" i="2" s="1"/>
  <c r="BR165" i="2" s="1"/>
  <c r="BR166" i="2" s="1"/>
  <c r="BR167" i="2" s="1"/>
  <c r="BR168" i="2" s="1"/>
  <c r="BR169" i="2" s="1"/>
  <c r="BR170" i="2" s="1"/>
  <c r="BR171" i="2" s="1"/>
  <c r="BR172" i="2" s="1"/>
  <c r="BR173" i="2" s="1"/>
  <c r="BR174" i="2" s="1"/>
  <c r="BR175" i="2" s="1"/>
  <c r="BR176" i="2" s="1"/>
  <c r="BR177" i="2" s="1"/>
  <c r="BR178" i="2" s="1"/>
  <c r="BR179" i="2" s="1"/>
  <c r="BR180" i="2" s="1"/>
  <c r="BR181" i="2" s="1"/>
  <c r="BR182" i="2" s="1"/>
  <c r="BR183" i="2" s="1"/>
  <c r="BR184" i="2" s="1"/>
  <c r="BR185" i="2" s="1"/>
  <c r="BR186" i="2" s="1"/>
  <c r="BR187" i="2" s="1"/>
  <c r="BR188" i="2" s="1"/>
  <c r="BR189" i="2" s="1"/>
  <c r="BR190" i="2" s="1"/>
  <c r="BR191" i="2" s="1"/>
  <c r="BR192" i="2" s="1"/>
  <c r="BR193" i="2" s="1"/>
  <c r="BR194" i="2" s="1"/>
  <c r="BR195" i="2" s="1"/>
  <c r="BR196" i="2" s="1"/>
  <c r="BR197" i="2" s="1"/>
  <c r="BR198" i="2" s="1"/>
  <c r="BR199" i="2" s="1"/>
  <c r="BR200" i="2" s="1"/>
  <c r="BR201" i="2" s="1"/>
  <c r="BR202" i="2" s="1"/>
  <c r="BR203" i="2" s="1"/>
  <c r="BQ19" i="2"/>
  <c r="BQ20" i="2" s="1"/>
  <c r="BQ21" i="2" s="1"/>
  <c r="BQ22" i="2" s="1"/>
  <c r="BQ23" i="2" s="1"/>
  <c r="BQ24" i="2" s="1"/>
  <c r="BQ25" i="2" s="1"/>
  <c r="BQ26" i="2" s="1"/>
  <c r="BQ27" i="2" s="1"/>
  <c r="BQ28" i="2" s="1"/>
  <c r="BQ29" i="2" s="1"/>
  <c r="BQ30" i="2" s="1"/>
  <c r="BQ31" i="2" s="1"/>
  <c r="BQ32" i="2" s="1"/>
  <c r="BQ33" i="2" s="1"/>
  <c r="BQ34" i="2" s="1"/>
  <c r="BQ35" i="2" s="1"/>
  <c r="BQ36" i="2" s="1"/>
  <c r="BQ37" i="2" s="1"/>
  <c r="BQ38" i="2" s="1"/>
  <c r="BQ39" i="2" s="1"/>
  <c r="BQ40" i="2" s="1"/>
  <c r="BQ41" i="2" s="1"/>
  <c r="BQ42" i="2" s="1"/>
  <c r="BQ43" i="2" s="1"/>
  <c r="BQ44" i="2" s="1"/>
  <c r="BQ45" i="2" s="1"/>
  <c r="BQ46" i="2" s="1"/>
  <c r="BQ47" i="2" s="1"/>
  <c r="BQ48" i="2" s="1"/>
  <c r="BQ49" i="2" s="1"/>
  <c r="BQ50" i="2" s="1"/>
  <c r="BQ51" i="2" s="1"/>
  <c r="BQ52" i="2" s="1"/>
  <c r="BQ53" i="2" s="1"/>
  <c r="BQ54" i="2" s="1"/>
  <c r="BQ55" i="2" s="1"/>
  <c r="BQ56" i="2" s="1"/>
  <c r="BQ57" i="2" s="1"/>
  <c r="BQ58" i="2" s="1"/>
  <c r="BQ59" i="2" s="1"/>
  <c r="BQ60" i="2" s="1"/>
  <c r="BQ61" i="2" s="1"/>
  <c r="BQ62" i="2" s="1"/>
  <c r="BQ63" i="2" s="1"/>
  <c r="BQ64" i="2" s="1"/>
  <c r="BQ65" i="2" s="1"/>
  <c r="BQ66" i="2" s="1"/>
  <c r="BQ67" i="2" s="1"/>
  <c r="BQ68" i="2" s="1"/>
  <c r="BQ69" i="2" s="1"/>
  <c r="BQ70" i="2" s="1"/>
  <c r="BQ71" i="2" s="1"/>
  <c r="BQ72" i="2" s="1"/>
  <c r="BQ73" i="2" s="1"/>
  <c r="BQ74" i="2" s="1"/>
  <c r="BQ75" i="2" s="1"/>
  <c r="BQ76" i="2" s="1"/>
  <c r="BQ77" i="2" s="1"/>
  <c r="BQ78" i="2" s="1"/>
  <c r="BQ79" i="2" s="1"/>
  <c r="BQ80" i="2" s="1"/>
  <c r="BQ81" i="2" s="1"/>
  <c r="BQ82" i="2" s="1"/>
  <c r="BQ83" i="2" s="1"/>
  <c r="BQ84" i="2" s="1"/>
  <c r="BQ85" i="2" s="1"/>
  <c r="BQ86" i="2" s="1"/>
  <c r="BQ87" i="2" s="1"/>
  <c r="BQ88" i="2" s="1"/>
  <c r="BQ89" i="2" s="1"/>
  <c r="BQ90" i="2" s="1"/>
  <c r="BQ91" i="2" s="1"/>
  <c r="BQ92" i="2" s="1"/>
  <c r="BQ93" i="2" s="1"/>
  <c r="BQ94" i="2" s="1"/>
  <c r="BQ95" i="2" s="1"/>
  <c r="BQ96" i="2" s="1"/>
  <c r="BQ97" i="2" s="1"/>
  <c r="BQ98" i="2" s="1"/>
  <c r="BQ99" i="2" s="1"/>
  <c r="BQ100" i="2" s="1"/>
  <c r="BQ101" i="2" s="1"/>
  <c r="BQ102" i="2" s="1"/>
  <c r="BQ103" i="2" s="1"/>
  <c r="BQ104" i="2" s="1"/>
  <c r="BQ105" i="2" s="1"/>
  <c r="BQ106" i="2" s="1"/>
  <c r="BQ107" i="2" s="1"/>
  <c r="BQ108" i="2" s="1"/>
  <c r="BQ109" i="2" s="1"/>
  <c r="BQ110" i="2" s="1"/>
  <c r="BQ111" i="2" s="1"/>
  <c r="BQ112" i="2" s="1"/>
  <c r="BQ113" i="2" s="1"/>
  <c r="BQ114" i="2" s="1"/>
  <c r="BQ115" i="2" s="1"/>
  <c r="BQ116" i="2" s="1"/>
  <c r="BQ117" i="2" s="1"/>
  <c r="BQ118" i="2" s="1"/>
  <c r="BQ119" i="2" s="1"/>
  <c r="BQ120" i="2" s="1"/>
  <c r="BQ121" i="2" s="1"/>
  <c r="BQ122" i="2" s="1"/>
  <c r="BQ123" i="2" s="1"/>
  <c r="BQ124" i="2" s="1"/>
  <c r="BQ125" i="2" s="1"/>
  <c r="BQ126" i="2" s="1"/>
  <c r="BQ127" i="2" s="1"/>
  <c r="BQ128" i="2" s="1"/>
  <c r="BQ129" i="2" s="1"/>
  <c r="BQ130" i="2" s="1"/>
  <c r="BQ131" i="2" s="1"/>
  <c r="BQ132" i="2" s="1"/>
  <c r="BQ133" i="2" s="1"/>
  <c r="BQ134" i="2" s="1"/>
  <c r="BQ135" i="2" s="1"/>
  <c r="BQ136" i="2" s="1"/>
  <c r="BQ137" i="2" s="1"/>
  <c r="BQ138" i="2" s="1"/>
  <c r="BQ139" i="2" s="1"/>
  <c r="BQ140" i="2" s="1"/>
  <c r="BQ141" i="2" s="1"/>
  <c r="BQ142" i="2" s="1"/>
  <c r="BQ143" i="2" s="1"/>
  <c r="BQ144" i="2" s="1"/>
  <c r="BQ145" i="2" s="1"/>
  <c r="BQ146" i="2" s="1"/>
  <c r="BQ147" i="2" s="1"/>
  <c r="BQ148" i="2" s="1"/>
  <c r="BQ149" i="2" s="1"/>
  <c r="BQ150" i="2" s="1"/>
  <c r="BQ151" i="2" s="1"/>
  <c r="BQ152" i="2" s="1"/>
  <c r="BQ153" i="2" s="1"/>
  <c r="BQ154" i="2" s="1"/>
  <c r="BQ155" i="2" s="1"/>
  <c r="BQ156" i="2" s="1"/>
  <c r="BQ157" i="2" s="1"/>
  <c r="BQ158" i="2" s="1"/>
  <c r="BQ159" i="2" s="1"/>
  <c r="BQ160" i="2" s="1"/>
  <c r="BQ161" i="2" s="1"/>
  <c r="BQ162" i="2" s="1"/>
  <c r="BQ163" i="2" s="1"/>
  <c r="BQ164" i="2" s="1"/>
  <c r="BQ165" i="2" s="1"/>
  <c r="BQ166" i="2" s="1"/>
  <c r="BQ167" i="2" s="1"/>
  <c r="BQ168" i="2" s="1"/>
  <c r="BQ169" i="2" s="1"/>
  <c r="BQ170" i="2" s="1"/>
  <c r="BQ171" i="2" s="1"/>
  <c r="BQ172" i="2" s="1"/>
  <c r="BQ173" i="2" s="1"/>
  <c r="BQ174" i="2" s="1"/>
  <c r="BQ175" i="2" s="1"/>
  <c r="BQ176" i="2" s="1"/>
  <c r="BQ177" i="2" s="1"/>
  <c r="BQ178" i="2" s="1"/>
  <c r="BQ179" i="2" s="1"/>
  <c r="BQ180" i="2" s="1"/>
  <c r="BQ181" i="2" s="1"/>
  <c r="BQ182" i="2" s="1"/>
  <c r="BQ183" i="2" s="1"/>
  <c r="BQ184" i="2" s="1"/>
  <c r="BQ185" i="2" s="1"/>
  <c r="BQ186" i="2" s="1"/>
  <c r="BQ187" i="2" s="1"/>
  <c r="BQ188" i="2" s="1"/>
  <c r="BQ189" i="2" s="1"/>
  <c r="BQ190" i="2" s="1"/>
  <c r="BQ191" i="2" s="1"/>
  <c r="BQ192" i="2" s="1"/>
  <c r="BQ193" i="2" s="1"/>
  <c r="BQ194" i="2" s="1"/>
  <c r="BQ195" i="2" s="1"/>
  <c r="BQ196" i="2" s="1"/>
  <c r="BQ197" i="2" s="1"/>
  <c r="BQ198" i="2" s="1"/>
  <c r="BQ199" i="2" s="1"/>
  <c r="BQ200" i="2" s="1"/>
  <c r="BQ201" i="2" s="1"/>
  <c r="BQ202" i="2" s="1"/>
  <c r="BQ203" i="2" s="1"/>
  <c r="BP19" i="2"/>
  <c r="P163" i="2" l="1"/>
  <c r="Q163" i="2" s="1"/>
  <c r="R163" i="2" s="1"/>
  <c r="N165" i="2"/>
  <c r="O164" i="2"/>
  <c r="C12" i="4"/>
  <c r="E12" i="4" s="1"/>
  <c r="F12" i="4" s="1"/>
  <c r="G12" i="4" s="1"/>
  <c r="L12" i="4" s="1"/>
  <c r="C7" i="4"/>
  <c r="E7" i="4" s="1"/>
  <c r="F7" i="4" s="1"/>
  <c r="G7" i="4" s="1"/>
  <c r="L7" i="4" s="1"/>
  <c r="BS19" i="2"/>
  <c r="BE20" i="2"/>
  <c r="BF20" i="2" s="1"/>
  <c r="BE21" i="2"/>
  <c r="BP20" i="2"/>
  <c r="K8" i="4"/>
  <c r="K16" i="4" s="1"/>
  <c r="P164" i="2" l="1"/>
  <c r="Q164" i="2"/>
  <c r="R164" i="2" s="1"/>
  <c r="N166" i="2"/>
  <c r="O165" i="2"/>
  <c r="BG20" i="2"/>
  <c r="BH20" i="2" s="1"/>
  <c r="BS20" i="2"/>
  <c r="BP21" i="2"/>
  <c r="BE22" i="2"/>
  <c r="BF21" i="2"/>
  <c r="BG21" i="2" s="1"/>
  <c r="BH21" i="2" s="1"/>
  <c r="P165" i="2" l="1"/>
  <c r="Q165" i="2"/>
  <c r="R165" i="2" s="1"/>
  <c r="N167" i="2"/>
  <c r="O166" i="2"/>
  <c r="BS21" i="2"/>
  <c r="BP22" i="2"/>
  <c r="BF22" i="2"/>
  <c r="BG22" i="2" s="1"/>
  <c r="BH22" i="2" s="1"/>
  <c r="BE23" i="2"/>
  <c r="P166" i="2" l="1"/>
  <c r="Q166" i="2"/>
  <c r="R166" i="2" s="1"/>
  <c r="N168" i="2"/>
  <c r="O167" i="2"/>
  <c r="BS22" i="2"/>
  <c r="BP23" i="2"/>
  <c r="BE24" i="2"/>
  <c r="BF23" i="2"/>
  <c r="BG23" i="2" s="1"/>
  <c r="BH23" i="2" s="1"/>
  <c r="P167" i="2" l="1"/>
  <c r="Q167" i="2"/>
  <c r="R167" i="2" s="1"/>
  <c r="N169" i="2"/>
  <c r="O168" i="2"/>
  <c r="BE25" i="2"/>
  <c r="BS23" i="2"/>
  <c r="BP24" i="2"/>
  <c r="BF24" i="2"/>
  <c r="BG24" i="2" s="1"/>
  <c r="BH24" i="2" s="1"/>
  <c r="P168" i="2" l="1"/>
  <c r="Q168" i="2"/>
  <c r="R168" i="2" s="1"/>
  <c r="N170" i="2"/>
  <c r="O169" i="2"/>
  <c r="BS24" i="2"/>
  <c r="BP25" i="2"/>
  <c r="BE26" i="2"/>
  <c r="BF25" i="2"/>
  <c r="BG25" i="2" s="1"/>
  <c r="BH25" i="2" s="1"/>
  <c r="P169" i="2" l="1"/>
  <c r="Q169" i="2" s="1"/>
  <c r="R169" i="2" s="1"/>
  <c r="N171" i="2"/>
  <c r="O170" i="2"/>
  <c r="BE27" i="2"/>
  <c r="BS25" i="2"/>
  <c r="BP26" i="2"/>
  <c r="BF26" i="2"/>
  <c r="BG26" i="2" s="1"/>
  <c r="BH26" i="2" s="1"/>
  <c r="N172" i="2" l="1"/>
  <c r="O171" i="2"/>
  <c r="P170" i="2"/>
  <c r="Q170" i="2" s="1"/>
  <c r="R170" i="2" s="1"/>
  <c r="BS26" i="2"/>
  <c r="BP27" i="2"/>
  <c r="BE28" i="2"/>
  <c r="BF27" i="2"/>
  <c r="BG27" i="2" s="1"/>
  <c r="BH27" i="2" s="1"/>
  <c r="P171" i="2" l="1"/>
  <c r="Q171" i="2" s="1"/>
  <c r="R171" i="2" s="1"/>
  <c r="N173" i="2"/>
  <c r="O172" i="2"/>
  <c r="BE29" i="2"/>
  <c r="BS27" i="2"/>
  <c r="BP28" i="2"/>
  <c r="BF28" i="2"/>
  <c r="BG28" i="2" s="1"/>
  <c r="BH28" i="2" s="1"/>
  <c r="P172" i="2" l="1"/>
  <c r="Q172" i="2"/>
  <c r="R172" i="2" s="1"/>
  <c r="N174" i="2"/>
  <c r="O173" i="2"/>
  <c r="BS28" i="2"/>
  <c r="BP29" i="2"/>
  <c r="BE30" i="2"/>
  <c r="BF29" i="2"/>
  <c r="BG29" i="2" s="1"/>
  <c r="BH29" i="2" s="1"/>
  <c r="P173" i="2" l="1"/>
  <c r="Q173" i="2" s="1"/>
  <c r="R173" i="2" s="1"/>
  <c r="N175" i="2"/>
  <c r="O174" i="2"/>
  <c r="BF30" i="2"/>
  <c r="BG30" i="2" s="1"/>
  <c r="BH30" i="2" s="1"/>
  <c r="BE31" i="2"/>
  <c r="BS29" i="2"/>
  <c r="BP30" i="2"/>
  <c r="P174" i="2" l="1"/>
  <c r="Q174" i="2"/>
  <c r="R174" i="2" s="1"/>
  <c r="N176" i="2"/>
  <c r="O175" i="2"/>
  <c r="BF31" i="2"/>
  <c r="BG31" i="2" s="1"/>
  <c r="BH31" i="2" s="1"/>
  <c r="BS30" i="2"/>
  <c r="BP31" i="2"/>
  <c r="BE32" i="2"/>
  <c r="P175" i="2" l="1"/>
  <c r="Q175" i="2"/>
  <c r="R175" i="2" s="1"/>
  <c r="N177" i="2"/>
  <c r="O176" i="2"/>
  <c r="BF32" i="2"/>
  <c r="BG32" i="2" s="1"/>
  <c r="BH32" i="2" s="1"/>
  <c r="BE33" i="2"/>
  <c r="BS31" i="2"/>
  <c r="BP32" i="2"/>
  <c r="P176" i="2" l="1"/>
  <c r="Q176" i="2" s="1"/>
  <c r="R176" i="2" s="1"/>
  <c r="N178" i="2"/>
  <c r="O177" i="2"/>
  <c r="BS32" i="2"/>
  <c r="BP33" i="2"/>
  <c r="BE34" i="2"/>
  <c r="BF33" i="2"/>
  <c r="BG33" i="2" s="1"/>
  <c r="BH33" i="2" s="1"/>
  <c r="BJ77" i="2" l="1"/>
  <c r="BJ104" i="2"/>
  <c r="BJ19" i="2"/>
  <c r="BJ126" i="2"/>
  <c r="BJ41" i="2"/>
  <c r="BJ155" i="2"/>
  <c r="BJ63" i="2"/>
  <c r="BJ57" i="2"/>
  <c r="BJ171" i="2"/>
  <c r="BJ79" i="2"/>
  <c r="BJ137" i="2"/>
  <c r="BJ44" i="2"/>
  <c r="BJ159" i="2"/>
  <c r="BJ163" i="2"/>
  <c r="BJ51" i="2"/>
  <c r="BJ21" i="2"/>
  <c r="BJ141" i="2"/>
  <c r="BJ168" i="2"/>
  <c r="BJ83" i="2"/>
  <c r="BJ190" i="2"/>
  <c r="BJ105" i="2"/>
  <c r="BJ12" i="2"/>
  <c r="BJ127" i="2"/>
  <c r="BJ121" i="2"/>
  <c r="BJ28" i="2"/>
  <c r="BJ143" i="2"/>
  <c r="BJ201" i="2"/>
  <c r="BJ108" i="2"/>
  <c r="BJ69" i="2"/>
  <c r="BJ84" i="2"/>
  <c r="BJ179" i="2"/>
  <c r="BJ85" i="2"/>
  <c r="BJ33" i="2"/>
  <c r="BJ147" i="2"/>
  <c r="BJ55" i="2"/>
  <c r="BJ169" i="2"/>
  <c r="BJ76" i="2"/>
  <c r="BJ191" i="2"/>
  <c r="BJ185" i="2"/>
  <c r="BJ92" i="2"/>
  <c r="BJ197" i="2"/>
  <c r="BJ37" i="2"/>
  <c r="BJ66" i="2"/>
  <c r="BJ172" i="2"/>
  <c r="BJ181" i="2"/>
  <c r="BJ14" i="2"/>
  <c r="BJ100" i="2"/>
  <c r="BJ149" i="2"/>
  <c r="BJ97" i="2"/>
  <c r="BJ4" i="2"/>
  <c r="BJ119" i="2"/>
  <c r="BJ34" i="2"/>
  <c r="BJ140" i="2"/>
  <c r="BJ189" i="2"/>
  <c r="BJ165" i="2"/>
  <c r="BJ50" i="2"/>
  <c r="BJ156" i="2"/>
  <c r="BJ61" i="2"/>
  <c r="BJ16" i="2"/>
  <c r="BJ130" i="2"/>
  <c r="BJ38" i="2"/>
  <c r="BJ120" i="2"/>
  <c r="BJ142" i="2"/>
  <c r="BJ8" i="2"/>
  <c r="BJ30" i="2"/>
  <c r="BJ161" i="2"/>
  <c r="BJ68" i="2"/>
  <c r="BJ183" i="2"/>
  <c r="BJ93" i="2"/>
  <c r="BJ98" i="2"/>
  <c r="BJ6" i="2"/>
  <c r="BJ109" i="2"/>
  <c r="BJ114" i="2"/>
  <c r="BJ22" i="2"/>
  <c r="BJ80" i="2"/>
  <c r="BJ194" i="2"/>
  <c r="BJ102" i="2"/>
  <c r="BJ49" i="2"/>
  <c r="BJ71" i="2"/>
  <c r="BJ136" i="2"/>
  <c r="BJ158" i="2"/>
  <c r="BJ26" i="2"/>
  <c r="BJ132" i="2"/>
  <c r="BJ48" i="2"/>
  <c r="BJ162" i="2"/>
  <c r="BJ70" i="2"/>
  <c r="BJ64" i="2"/>
  <c r="BJ178" i="2"/>
  <c r="BJ86" i="2"/>
  <c r="BJ144" i="2"/>
  <c r="BJ59" i="2"/>
  <c r="BJ166" i="2"/>
  <c r="BJ177" i="2"/>
  <c r="BJ199" i="2"/>
  <c r="BJ65" i="2"/>
  <c r="BJ87" i="2"/>
  <c r="BJ157" i="2"/>
  <c r="BJ90" i="2"/>
  <c r="BJ196" i="2"/>
  <c r="BJ173" i="2"/>
  <c r="BJ112" i="2"/>
  <c r="BJ27" i="2"/>
  <c r="BJ134" i="2"/>
  <c r="BJ128" i="2"/>
  <c r="BJ43" i="2"/>
  <c r="BJ150" i="2"/>
  <c r="BJ9" i="2"/>
  <c r="BJ123" i="2"/>
  <c r="BJ31" i="2"/>
  <c r="BJ106" i="2"/>
  <c r="BJ45" i="2"/>
  <c r="BJ193" i="2"/>
  <c r="BJ133" i="2"/>
  <c r="BJ13" i="2"/>
  <c r="BJ40" i="2"/>
  <c r="BJ154" i="2"/>
  <c r="BJ62" i="2"/>
  <c r="BJ176" i="2"/>
  <c r="BJ91" i="2"/>
  <c r="BJ198" i="2"/>
  <c r="BJ192" i="2"/>
  <c r="BJ107" i="2"/>
  <c r="BJ15" i="2"/>
  <c r="BJ73" i="2"/>
  <c r="BJ187" i="2"/>
  <c r="BJ95" i="2"/>
  <c r="BJ35" i="2"/>
  <c r="BJ122" i="2"/>
  <c r="BJ81" i="2"/>
  <c r="BJ103" i="2"/>
  <c r="BJ99" i="2"/>
  <c r="BJ146" i="2"/>
  <c r="BJ202" i="2"/>
  <c r="BJ188" i="2"/>
  <c r="BJ36" i="2"/>
  <c r="BJ10" i="2"/>
  <c r="BJ5" i="2"/>
  <c r="BJ20" i="2"/>
  <c r="BJ75" i="2"/>
  <c r="BJ131" i="2"/>
  <c r="BJ96" i="2"/>
  <c r="BJ118" i="2"/>
  <c r="BJ186" i="2"/>
  <c r="BJ72" i="2"/>
  <c r="BJ129" i="2"/>
  <c r="BJ138" i="2"/>
  <c r="BJ148" i="2"/>
  <c r="BJ203" i="2"/>
  <c r="BJ29" i="2"/>
  <c r="BJ52" i="2"/>
  <c r="BJ25" i="2"/>
  <c r="BJ47" i="2"/>
  <c r="BJ200" i="2"/>
  <c r="BJ94" i="2"/>
  <c r="BJ151" i="2"/>
  <c r="BJ67" i="2"/>
  <c r="BJ56" i="2"/>
  <c r="BJ78" i="2"/>
  <c r="BJ124" i="2"/>
  <c r="BJ180" i="2"/>
  <c r="BJ153" i="2"/>
  <c r="BJ175" i="2"/>
  <c r="BJ23" i="2"/>
  <c r="BJ101" i="2"/>
  <c r="BJ195" i="2"/>
  <c r="BJ184" i="2"/>
  <c r="BJ7" i="2"/>
  <c r="BJ32" i="2"/>
  <c r="BJ54" i="2"/>
  <c r="BJ88" i="2"/>
  <c r="BJ110" i="2"/>
  <c r="BJ82" i="2"/>
  <c r="BJ53" i="2"/>
  <c r="BJ164" i="2"/>
  <c r="BJ58" i="2"/>
  <c r="BJ116" i="2"/>
  <c r="BJ113" i="2"/>
  <c r="BJ135" i="2"/>
  <c r="BJ160" i="2"/>
  <c r="BJ182" i="2"/>
  <c r="BJ17" i="2"/>
  <c r="BJ39" i="2"/>
  <c r="BJ11" i="2"/>
  <c r="BJ115" i="2"/>
  <c r="BJ24" i="2"/>
  <c r="BJ46" i="2"/>
  <c r="BJ42" i="2"/>
  <c r="BJ125" i="2"/>
  <c r="BJ89" i="2"/>
  <c r="BJ111" i="2"/>
  <c r="BJ145" i="2"/>
  <c r="BJ167" i="2"/>
  <c r="BJ139" i="2"/>
  <c r="BJ152" i="2"/>
  <c r="BJ174" i="2"/>
  <c r="BJ170" i="2"/>
  <c r="BJ18" i="2"/>
  <c r="BJ74" i="2"/>
  <c r="BJ117" i="2"/>
  <c r="BJ60" i="2"/>
  <c r="P177" i="2"/>
  <c r="Q177" i="2" s="1"/>
  <c r="R177" i="2" s="1"/>
  <c r="N179" i="2"/>
  <c r="O178" i="2"/>
  <c r="BJ3" i="2"/>
  <c r="D8" i="4" s="1"/>
  <c r="BF34" i="2"/>
  <c r="BG34" i="2" s="1"/>
  <c r="BH34" i="2" s="1"/>
  <c r="BE35" i="2"/>
  <c r="BS33" i="2"/>
  <c r="H8" i="4" s="1"/>
  <c r="H16" i="4" s="1"/>
  <c r="BP34" i="2"/>
  <c r="N180" i="2" l="1"/>
  <c r="O179" i="2"/>
  <c r="P178" i="2"/>
  <c r="Q178" i="2" s="1"/>
  <c r="R178" i="2" s="1"/>
  <c r="I8" i="4"/>
  <c r="BS34" i="2"/>
  <c r="BP35" i="2"/>
  <c r="BE36" i="2"/>
  <c r="BF35" i="2"/>
  <c r="BG35" i="2" s="1"/>
  <c r="BH35" i="2" s="1"/>
  <c r="P179" i="2" l="1"/>
  <c r="Q179" i="2"/>
  <c r="R179" i="2" s="1"/>
  <c r="N181" i="2"/>
  <c r="O180" i="2"/>
  <c r="I16" i="4"/>
  <c r="BE37" i="2"/>
  <c r="BS35" i="2"/>
  <c r="BP36" i="2"/>
  <c r="BF36" i="2"/>
  <c r="BG36" i="2" s="1"/>
  <c r="BH36" i="2" s="1"/>
  <c r="P180" i="2" l="1"/>
  <c r="Q180" i="2"/>
  <c r="R180" i="2" s="1"/>
  <c r="N182" i="2"/>
  <c r="O181" i="2"/>
  <c r="BS36" i="2"/>
  <c r="BP37" i="2"/>
  <c r="BE38" i="2"/>
  <c r="BF37" i="2"/>
  <c r="BG37" i="2" s="1"/>
  <c r="BH37" i="2" s="1"/>
  <c r="P181" i="2" l="1"/>
  <c r="Q181" i="2"/>
  <c r="R181" i="2" s="1"/>
  <c r="N183" i="2"/>
  <c r="O182" i="2"/>
  <c r="BS37" i="2"/>
  <c r="BP38" i="2"/>
  <c r="BE39" i="2"/>
  <c r="BF38" i="2"/>
  <c r="BG38" i="2" s="1"/>
  <c r="BH38" i="2" s="1"/>
  <c r="P182" i="2" l="1"/>
  <c r="Q182" i="2"/>
  <c r="R182" i="2" s="1"/>
  <c r="N184" i="2"/>
  <c r="O183" i="2"/>
  <c r="BS38" i="2"/>
  <c r="BP39" i="2"/>
  <c r="BE40" i="2"/>
  <c r="BF39" i="2"/>
  <c r="BG39" i="2" s="1"/>
  <c r="BH39" i="2" s="1"/>
  <c r="P183" i="2" l="1"/>
  <c r="Q183" i="2"/>
  <c r="R183" i="2" s="1"/>
  <c r="N185" i="2"/>
  <c r="O184" i="2"/>
  <c r="BS39" i="2"/>
  <c r="BP40" i="2"/>
  <c r="BE41" i="2"/>
  <c r="BF40" i="2"/>
  <c r="BG40" i="2" s="1"/>
  <c r="BH40" i="2" s="1"/>
  <c r="P184" i="2" l="1"/>
  <c r="Q184" i="2" s="1"/>
  <c r="R184" i="2" s="1"/>
  <c r="N186" i="2"/>
  <c r="O185" i="2"/>
  <c r="BS40" i="2"/>
  <c r="BP41" i="2"/>
  <c r="BE42" i="2"/>
  <c r="BF41" i="2"/>
  <c r="BG41" i="2" s="1"/>
  <c r="BH41" i="2" s="1"/>
  <c r="P185" i="2" l="1"/>
  <c r="Q185" i="2" s="1"/>
  <c r="R185" i="2" s="1"/>
  <c r="N187" i="2"/>
  <c r="O186" i="2"/>
  <c r="BS41" i="2"/>
  <c r="BP42" i="2"/>
  <c r="BE43" i="2"/>
  <c r="BF42" i="2"/>
  <c r="BG42" i="2" s="1"/>
  <c r="BH42" i="2" s="1"/>
  <c r="N188" i="2" l="1"/>
  <c r="O187" i="2"/>
  <c r="P186" i="2"/>
  <c r="Q186" i="2" s="1"/>
  <c r="R186" i="2" s="1"/>
  <c r="BS42" i="2"/>
  <c r="BP43" i="2"/>
  <c r="BE44" i="2"/>
  <c r="BF43" i="2"/>
  <c r="BG43" i="2" s="1"/>
  <c r="BH43" i="2" s="1"/>
  <c r="P187" i="2" l="1"/>
  <c r="Q187" i="2"/>
  <c r="R187" i="2" s="1"/>
  <c r="N189" i="2"/>
  <c r="O188" i="2"/>
  <c r="BS43" i="2"/>
  <c r="BP44" i="2"/>
  <c r="BE45" i="2"/>
  <c r="BF44" i="2"/>
  <c r="BG44" i="2" s="1"/>
  <c r="BH44" i="2" s="1"/>
  <c r="P188" i="2" l="1"/>
  <c r="Q188" i="2"/>
  <c r="R188" i="2" s="1"/>
  <c r="N190" i="2"/>
  <c r="O189" i="2"/>
  <c r="BS44" i="2"/>
  <c r="BP45" i="2"/>
  <c r="BE46" i="2"/>
  <c r="BF45" i="2"/>
  <c r="BG45" i="2" s="1"/>
  <c r="BH45" i="2" s="1"/>
  <c r="P189" i="2" l="1"/>
  <c r="Q189" i="2"/>
  <c r="R189" i="2" s="1"/>
  <c r="N191" i="2"/>
  <c r="O190" i="2"/>
  <c r="BS45" i="2"/>
  <c r="BP46" i="2"/>
  <c r="BE47" i="2"/>
  <c r="BF46" i="2"/>
  <c r="BG46" i="2" s="1"/>
  <c r="BH46" i="2" s="1"/>
  <c r="P190" i="2" l="1"/>
  <c r="Q190" i="2" s="1"/>
  <c r="R190" i="2" s="1"/>
  <c r="N192" i="2"/>
  <c r="O191" i="2"/>
  <c r="BS46" i="2"/>
  <c r="BP47" i="2"/>
  <c r="BE48" i="2"/>
  <c r="BF47" i="2"/>
  <c r="BG47" i="2" s="1"/>
  <c r="BH47" i="2" s="1"/>
  <c r="P191" i="2" l="1"/>
  <c r="Q191" i="2" s="1"/>
  <c r="R191" i="2" s="1"/>
  <c r="N193" i="2"/>
  <c r="O192" i="2"/>
  <c r="BE49" i="2"/>
  <c r="BS47" i="2"/>
  <c r="BP48" i="2"/>
  <c r="BF48" i="2"/>
  <c r="BG48" i="2" s="1"/>
  <c r="BH48" i="2" s="1"/>
  <c r="P192" i="2" l="1"/>
  <c r="Q192" i="2" s="1"/>
  <c r="R192" i="2" s="1"/>
  <c r="N194" i="2"/>
  <c r="O193" i="2"/>
  <c r="BS48" i="2"/>
  <c r="BP49" i="2"/>
  <c r="BE50" i="2"/>
  <c r="BF49" i="2"/>
  <c r="BG49" i="2" s="1"/>
  <c r="BH49" i="2" s="1"/>
  <c r="P193" i="2" l="1"/>
  <c r="Q193" i="2" s="1"/>
  <c r="R193" i="2" s="1"/>
  <c r="N195" i="2"/>
  <c r="O194" i="2"/>
  <c r="BE51" i="2"/>
  <c r="BS49" i="2"/>
  <c r="BP50" i="2"/>
  <c r="BF50" i="2"/>
  <c r="BG50" i="2" s="1"/>
  <c r="BH50" i="2" s="1"/>
  <c r="P194" i="2" l="1"/>
  <c r="Q194" i="2" s="1"/>
  <c r="R194" i="2" s="1"/>
  <c r="N196" i="2"/>
  <c r="O195" i="2"/>
  <c r="BS50" i="2"/>
  <c r="BP51" i="2"/>
  <c r="BE52" i="2"/>
  <c r="BF51" i="2"/>
  <c r="BG51" i="2" s="1"/>
  <c r="BH51" i="2" s="1"/>
  <c r="N197" i="2" l="1"/>
  <c r="O196" i="2"/>
  <c r="P195" i="2"/>
  <c r="Q195" i="2" s="1"/>
  <c r="R195" i="2" s="1"/>
  <c r="BE53" i="2"/>
  <c r="BS51" i="2"/>
  <c r="BP52" i="2"/>
  <c r="BF52" i="2"/>
  <c r="BG52" i="2" s="1"/>
  <c r="BH52" i="2" s="1"/>
  <c r="P196" i="2" l="1"/>
  <c r="Q196" i="2" s="1"/>
  <c r="R196" i="2" s="1"/>
  <c r="N198" i="2"/>
  <c r="O197" i="2"/>
  <c r="BS52" i="2"/>
  <c r="BP53" i="2"/>
  <c r="BE54" i="2"/>
  <c r="BF53" i="2"/>
  <c r="BG53" i="2" s="1"/>
  <c r="BH53" i="2" s="1"/>
  <c r="P197" i="2" l="1"/>
  <c r="Q197" i="2" s="1"/>
  <c r="R197" i="2" s="1"/>
  <c r="N199" i="2"/>
  <c r="O198" i="2"/>
  <c r="BE55" i="2"/>
  <c r="BS53" i="2"/>
  <c r="BP54" i="2"/>
  <c r="BF54" i="2"/>
  <c r="BG54" i="2" s="1"/>
  <c r="BH54" i="2" s="1"/>
  <c r="P198" i="2" l="1"/>
  <c r="Q198" i="2" s="1"/>
  <c r="R198" i="2" s="1"/>
  <c r="N200" i="2"/>
  <c r="O199" i="2"/>
  <c r="BS54" i="2"/>
  <c r="BP55" i="2"/>
  <c r="BE56" i="2"/>
  <c r="BF55" i="2"/>
  <c r="BG55" i="2" s="1"/>
  <c r="BH55" i="2" s="1"/>
  <c r="P199" i="2" l="1"/>
  <c r="Q199" i="2"/>
  <c r="R199" i="2" s="1"/>
  <c r="N201" i="2"/>
  <c r="O200" i="2"/>
  <c r="BE57" i="2"/>
  <c r="BS55" i="2"/>
  <c r="BP56" i="2"/>
  <c r="BF56" i="2"/>
  <c r="BG56" i="2" s="1"/>
  <c r="BH56" i="2" s="1"/>
  <c r="P200" i="2" l="1"/>
  <c r="Q200" i="2"/>
  <c r="R200" i="2" s="1"/>
  <c r="N202" i="2"/>
  <c r="O201" i="2"/>
  <c r="BS56" i="2"/>
  <c r="BP57" i="2"/>
  <c r="BE58" i="2"/>
  <c r="BF57" i="2"/>
  <c r="BG57" i="2" s="1"/>
  <c r="BH57" i="2" s="1"/>
  <c r="P201" i="2" l="1"/>
  <c r="Q201" i="2" s="1"/>
  <c r="R201" i="2" s="1"/>
  <c r="N203" i="2"/>
  <c r="O203" i="2" s="1"/>
  <c r="O202" i="2"/>
  <c r="BE59" i="2"/>
  <c r="BS57" i="2"/>
  <c r="BP58" i="2"/>
  <c r="BF58" i="2"/>
  <c r="BG58" i="2" s="1"/>
  <c r="BH58" i="2" s="1"/>
  <c r="P203" i="2" l="1"/>
  <c r="Q203" i="2" s="1"/>
  <c r="R203" i="2" s="1"/>
  <c r="P202" i="2"/>
  <c r="Q202" i="2" s="1"/>
  <c r="R202" i="2" s="1"/>
  <c r="BS58" i="2"/>
  <c r="BP59" i="2"/>
  <c r="BE60" i="2"/>
  <c r="BF59" i="2"/>
  <c r="BG59" i="2" s="1"/>
  <c r="BH59" i="2" s="1"/>
  <c r="BE61" i="2" l="1"/>
  <c r="BS59" i="2"/>
  <c r="BP60" i="2"/>
  <c r="BF60" i="2"/>
  <c r="BG60" i="2" s="1"/>
  <c r="BH60" i="2" s="1"/>
  <c r="BS60" i="2" l="1"/>
  <c r="BP61" i="2"/>
  <c r="BE62" i="2"/>
  <c r="BF61" i="2"/>
  <c r="BG61" i="2" s="1"/>
  <c r="BH61" i="2" s="1"/>
  <c r="BE63" i="2" l="1"/>
  <c r="BS61" i="2"/>
  <c r="BP62" i="2"/>
  <c r="BF62" i="2"/>
  <c r="BG62" i="2" s="1"/>
  <c r="BH62" i="2" s="1"/>
  <c r="BS62" i="2" l="1"/>
  <c r="BP63" i="2"/>
  <c r="BE64" i="2"/>
  <c r="BF63" i="2"/>
  <c r="BG63" i="2" s="1"/>
  <c r="BH63" i="2" s="1"/>
  <c r="BE65" i="2" l="1"/>
  <c r="BS63" i="2"/>
  <c r="BP64" i="2"/>
  <c r="BF64" i="2"/>
  <c r="BG64" i="2" s="1"/>
  <c r="BH64" i="2" s="1"/>
  <c r="BS64" i="2" l="1"/>
  <c r="BP65" i="2"/>
  <c r="BE66" i="2"/>
  <c r="BF65" i="2"/>
  <c r="BG65" i="2" s="1"/>
  <c r="BH65" i="2" s="1"/>
  <c r="BE67" i="2" l="1"/>
  <c r="BS65" i="2"/>
  <c r="BP66" i="2"/>
  <c r="BF66" i="2"/>
  <c r="BG66" i="2" s="1"/>
  <c r="BH66" i="2" s="1"/>
  <c r="BS66" i="2" l="1"/>
  <c r="BP67" i="2"/>
  <c r="BE68" i="2"/>
  <c r="BF67" i="2"/>
  <c r="BG67" i="2" s="1"/>
  <c r="BH67" i="2" s="1"/>
  <c r="BE69" i="2" l="1"/>
  <c r="BS67" i="2"/>
  <c r="BP68" i="2"/>
  <c r="BF68" i="2"/>
  <c r="BG68" i="2" s="1"/>
  <c r="BH68" i="2" s="1"/>
  <c r="BS68" i="2" l="1"/>
  <c r="BP69" i="2"/>
  <c r="BE70" i="2"/>
  <c r="BF69" i="2"/>
  <c r="BG69" i="2" s="1"/>
  <c r="BH69" i="2" s="1"/>
  <c r="BE71" i="2" l="1"/>
  <c r="BS69" i="2"/>
  <c r="BP70" i="2"/>
  <c r="BF70" i="2"/>
  <c r="BG70" i="2" s="1"/>
  <c r="BH70" i="2" s="1"/>
  <c r="BS70" i="2" l="1"/>
  <c r="BP71" i="2"/>
  <c r="BE72" i="2"/>
  <c r="BF71" i="2"/>
  <c r="BG71" i="2" s="1"/>
  <c r="BH71" i="2" s="1"/>
  <c r="BE73" i="2" l="1"/>
  <c r="BS71" i="2"/>
  <c r="BP72" i="2"/>
  <c r="BF72" i="2"/>
  <c r="BG72" i="2" s="1"/>
  <c r="BH72" i="2" s="1"/>
  <c r="BS72" i="2" l="1"/>
  <c r="BP73" i="2"/>
  <c r="BE74" i="2"/>
  <c r="BF73" i="2"/>
  <c r="BG73" i="2" s="1"/>
  <c r="BH73" i="2" s="1"/>
  <c r="BE75" i="2" l="1"/>
  <c r="BS73" i="2"/>
  <c r="BP74" i="2"/>
  <c r="BF74" i="2"/>
  <c r="BG74" i="2" s="1"/>
  <c r="BH74" i="2" s="1"/>
  <c r="BS74" i="2" l="1"/>
  <c r="BP75" i="2"/>
  <c r="BE76" i="2"/>
  <c r="BF75" i="2"/>
  <c r="BG75" i="2" s="1"/>
  <c r="BH75" i="2" s="1"/>
  <c r="BE77" i="2" l="1"/>
  <c r="BS75" i="2"/>
  <c r="BP76" i="2"/>
  <c r="BF76" i="2"/>
  <c r="BG76" i="2" s="1"/>
  <c r="BH76" i="2" s="1"/>
  <c r="BS76" i="2" l="1"/>
  <c r="BP77" i="2"/>
  <c r="BE78" i="2"/>
  <c r="BF77" i="2"/>
  <c r="BG77" i="2" s="1"/>
  <c r="BH77" i="2" s="1"/>
  <c r="BE79" i="2" l="1"/>
  <c r="BS77" i="2"/>
  <c r="BP78" i="2"/>
  <c r="BF78" i="2"/>
  <c r="BG78" i="2" s="1"/>
  <c r="BH78" i="2" s="1"/>
  <c r="BS78" i="2" l="1"/>
  <c r="BP79" i="2"/>
  <c r="BE80" i="2"/>
  <c r="BF79" i="2"/>
  <c r="BG79" i="2" s="1"/>
  <c r="BH79" i="2" s="1"/>
  <c r="BE81" i="2" l="1"/>
  <c r="BS79" i="2"/>
  <c r="BP80" i="2"/>
  <c r="BF80" i="2"/>
  <c r="BG80" i="2" s="1"/>
  <c r="BH80" i="2" s="1"/>
  <c r="BS80" i="2" l="1"/>
  <c r="BP81" i="2"/>
  <c r="BE82" i="2"/>
  <c r="BF81" i="2"/>
  <c r="BG81" i="2" s="1"/>
  <c r="BH81" i="2" s="1"/>
  <c r="BE83" i="2" l="1"/>
  <c r="BS81" i="2"/>
  <c r="BP82" i="2"/>
  <c r="BF82" i="2"/>
  <c r="BG82" i="2" s="1"/>
  <c r="BH82" i="2" s="1"/>
  <c r="BS82" i="2" l="1"/>
  <c r="BP83" i="2"/>
  <c r="BE84" i="2"/>
  <c r="BF83" i="2"/>
  <c r="BG83" i="2" s="1"/>
  <c r="BH83" i="2" s="1"/>
  <c r="BF84" i="2" l="1"/>
  <c r="BG84" i="2" s="1"/>
  <c r="BH84" i="2" s="1"/>
  <c r="BE85" i="2"/>
  <c r="BS83" i="2"/>
  <c r="BP84" i="2"/>
  <c r="BF85" i="2" l="1"/>
  <c r="BG85" i="2" s="1"/>
  <c r="BH85" i="2" s="1"/>
  <c r="BS84" i="2"/>
  <c r="BP85" i="2"/>
  <c r="BE86" i="2"/>
  <c r="BF86" i="2" l="1"/>
  <c r="BG86" i="2" s="1"/>
  <c r="BH86" i="2" s="1"/>
  <c r="BE87" i="2"/>
  <c r="BS85" i="2"/>
  <c r="BP86" i="2"/>
  <c r="BF87" i="2" l="1"/>
  <c r="BG87" i="2" s="1"/>
  <c r="BH87" i="2" s="1"/>
  <c r="BS86" i="2"/>
  <c r="BP87" i="2"/>
  <c r="BE88" i="2"/>
  <c r="BF88" i="2" l="1"/>
  <c r="BG88" i="2" s="1"/>
  <c r="BH88" i="2" s="1"/>
  <c r="BE89" i="2"/>
  <c r="BS87" i="2"/>
  <c r="BP88" i="2"/>
  <c r="BF89" i="2" l="1"/>
  <c r="BG89" i="2" s="1"/>
  <c r="BH89" i="2" s="1"/>
  <c r="BS88" i="2"/>
  <c r="BP89" i="2"/>
  <c r="BE90" i="2"/>
  <c r="BF90" i="2" l="1"/>
  <c r="BG90" i="2" s="1"/>
  <c r="BH90" i="2" s="1"/>
  <c r="BE91" i="2"/>
  <c r="BS89" i="2"/>
  <c r="BP90" i="2"/>
  <c r="BF91" i="2" l="1"/>
  <c r="BG91" i="2" s="1"/>
  <c r="BH91" i="2" s="1"/>
  <c r="BS90" i="2"/>
  <c r="BP91" i="2"/>
  <c r="BE92" i="2"/>
  <c r="BF92" i="2" l="1"/>
  <c r="BG92" i="2" s="1"/>
  <c r="BH92" i="2" s="1"/>
  <c r="BE93" i="2"/>
  <c r="BS91" i="2"/>
  <c r="BP92" i="2"/>
  <c r="BF93" i="2" l="1"/>
  <c r="BG93" i="2" s="1"/>
  <c r="BH93" i="2" s="1"/>
  <c r="BS92" i="2"/>
  <c r="BP93" i="2"/>
  <c r="BE94" i="2"/>
  <c r="BF94" i="2" l="1"/>
  <c r="BG94" i="2" s="1"/>
  <c r="BH94" i="2" s="1"/>
  <c r="BE95" i="2"/>
  <c r="BS93" i="2"/>
  <c r="BP94" i="2"/>
  <c r="BF95" i="2" l="1"/>
  <c r="BG95" i="2" s="1"/>
  <c r="BH95" i="2" s="1"/>
  <c r="BS94" i="2"/>
  <c r="BP95" i="2"/>
  <c r="BE96" i="2"/>
  <c r="BF96" i="2" l="1"/>
  <c r="BG96" i="2" s="1"/>
  <c r="BH96" i="2" s="1"/>
  <c r="BE97" i="2"/>
  <c r="BS95" i="2"/>
  <c r="BP96" i="2"/>
  <c r="BF97" i="2" l="1"/>
  <c r="BG97" i="2" s="1"/>
  <c r="BH97" i="2" s="1"/>
  <c r="BS96" i="2"/>
  <c r="BP97" i="2"/>
  <c r="BE98" i="2"/>
  <c r="BF98" i="2" l="1"/>
  <c r="BG98" i="2" s="1"/>
  <c r="BH98" i="2" s="1"/>
  <c r="BE99" i="2"/>
  <c r="BS97" i="2"/>
  <c r="BP98" i="2"/>
  <c r="BF99" i="2" l="1"/>
  <c r="BG99" i="2" s="1"/>
  <c r="BH99" i="2" s="1"/>
  <c r="BS98" i="2"/>
  <c r="BP99" i="2"/>
  <c r="BE100" i="2"/>
  <c r="BF100" i="2" l="1"/>
  <c r="BG100" i="2" s="1"/>
  <c r="BH100" i="2" s="1"/>
  <c r="BE101" i="2"/>
  <c r="BS99" i="2"/>
  <c r="BP100" i="2"/>
  <c r="BF101" i="2" l="1"/>
  <c r="BG101" i="2" s="1"/>
  <c r="BH101" i="2" s="1"/>
  <c r="BS100" i="2"/>
  <c r="BP101" i="2"/>
  <c r="BE102" i="2"/>
  <c r="BF102" i="2" l="1"/>
  <c r="BG102" i="2" s="1"/>
  <c r="BH102" i="2" s="1"/>
  <c r="BE103" i="2"/>
  <c r="BS101" i="2"/>
  <c r="BP102" i="2"/>
  <c r="BF103" i="2" l="1"/>
  <c r="BG103" i="2" s="1"/>
  <c r="BH103" i="2" s="1"/>
  <c r="BS102" i="2"/>
  <c r="BP103" i="2"/>
  <c r="BE104" i="2"/>
  <c r="BF104" i="2" l="1"/>
  <c r="BG104" i="2" s="1"/>
  <c r="BH104" i="2" s="1"/>
  <c r="BE105" i="2"/>
  <c r="BS103" i="2"/>
  <c r="BP104" i="2"/>
  <c r="BF105" i="2" l="1"/>
  <c r="BG105" i="2" s="1"/>
  <c r="BH105" i="2" s="1"/>
  <c r="BS104" i="2"/>
  <c r="BP105" i="2"/>
  <c r="BE106" i="2"/>
  <c r="BF106" i="2" l="1"/>
  <c r="BG106" i="2" s="1"/>
  <c r="BH106" i="2" s="1"/>
  <c r="BE107" i="2"/>
  <c r="BS105" i="2"/>
  <c r="BP106" i="2"/>
  <c r="BF107" i="2" l="1"/>
  <c r="BG107" i="2" s="1"/>
  <c r="BH107" i="2" s="1"/>
  <c r="BS106" i="2"/>
  <c r="BP107" i="2"/>
  <c r="BE108" i="2"/>
  <c r="BF108" i="2" l="1"/>
  <c r="BG108" i="2" s="1"/>
  <c r="BH108" i="2" s="1"/>
  <c r="BE109" i="2"/>
  <c r="BS107" i="2"/>
  <c r="BP108" i="2"/>
  <c r="BF109" i="2" l="1"/>
  <c r="BG109" i="2" s="1"/>
  <c r="BH109" i="2" s="1"/>
  <c r="BS108" i="2"/>
  <c r="BP109" i="2"/>
  <c r="BE110" i="2"/>
  <c r="BF110" i="2" l="1"/>
  <c r="BG110" i="2" s="1"/>
  <c r="BH110" i="2" s="1"/>
  <c r="BE111" i="2"/>
  <c r="BS109" i="2"/>
  <c r="BP110" i="2"/>
  <c r="BF111" i="2" l="1"/>
  <c r="BG111" i="2" s="1"/>
  <c r="BH111" i="2" s="1"/>
  <c r="BS110" i="2"/>
  <c r="BP111" i="2"/>
  <c r="BE112" i="2"/>
  <c r="BF112" i="2" l="1"/>
  <c r="BG112" i="2" s="1"/>
  <c r="BH112" i="2" s="1"/>
  <c r="BE113" i="2"/>
  <c r="BS111" i="2"/>
  <c r="BP112" i="2"/>
  <c r="BF113" i="2" l="1"/>
  <c r="BG113" i="2" s="1"/>
  <c r="BH113" i="2" s="1"/>
  <c r="BS112" i="2"/>
  <c r="BP113" i="2"/>
  <c r="BE114" i="2"/>
  <c r="BF114" i="2" l="1"/>
  <c r="BG114" i="2" s="1"/>
  <c r="BH114" i="2" s="1"/>
  <c r="BE115" i="2"/>
  <c r="BS113" i="2"/>
  <c r="BP114" i="2"/>
  <c r="BF115" i="2" l="1"/>
  <c r="BG115" i="2" s="1"/>
  <c r="BH115" i="2" s="1"/>
  <c r="BS114" i="2"/>
  <c r="BP115" i="2"/>
  <c r="BE116" i="2"/>
  <c r="BF116" i="2" l="1"/>
  <c r="BG116" i="2" s="1"/>
  <c r="BH116" i="2" s="1"/>
  <c r="BE117" i="2"/>
  <c r="BS115" i="2"/>
  <c r="BP116" i="2"/>
  <c r="BF117" i="2" l="1"/>
  <c r="BG117" i="2" s="1"/>
  <c r="BH117" i="2" s="1"/>
  <c r="BS116" i="2"/>
  <c r="BP117" i="2"/>
  <c r="BE118" i="2"/>
  <c r="BF118" i="2" l="1"/>
  <c r="BG118" i="2" s="1"/>
  <c r="BH118" i="2" s="1"/>
  <c r="BE119" i="2"/>
  <c r="BS117" i="2"/>
  <c r="BP118" i="2"/>
  <c r="BF119" i="2" l="1"/>
  <c r="BG119" i="2" s="1"/>
  <c r="BH119" i="2" s="1"/>
  <c r="BS118" i="2"/>
  <c r="BP119" i="2"/>
  <c r="BE120" i="2"/>
  <c r="BF120" i="2" l="1"/>
  <c r="BG120" i="2" s="1"/>
  <c r="BH120" i="2" s="1"/>
  <c r="BE121" i="2"/>
  <c r="BS119" i="2"/>
  <c r="BP120" i="2"/>
  <c r="BF121" i="2" l="1"/>
  <c r="BG121" i="2" s="1"/>
  <c r="BH121" i="2" s="1"/>
  <c r="BS120" i="2"/>
  <c r="BP121" i="2"/>
  <c r="BE122" i="2"/>
  <c r="BF122" i="2" l="1"/>
  <c r="BG122" i="2" s="1"/>
  <c r="BH122" i="2" s="1"/>
  <c r="BE123" i="2"/>
  <c r="BS121" i="2"/>
  <c r="BP122" i="2"/>
  <c r="BF123" i="2" l="1"/>
  <c r="BG123" i="2" s="1"/>
  <c r="BH123" i="2" s="1"/>
  <c r="BP123" i="2"/>
  <c r="BS122" i="2"/>
  <c r="BE124" i="2"/>
  <c r="BF124" i="2" l="1"/>
  <c r="BG124" i="2" s="1"/>
  <c r="BH124" i="2" s="1"/>
  <c r="BS123" i="2"/>
  <c r="BP124" i="2"/>
  <c r="BE125" i="2"/>
  <c r="BF125" i="2" l="1"/>
  <c r="BG125" i="2" s="1"/>
  <c r="BH125" i="2" s="1"/>
  <c r="BE126" i="2"/>
  <c r="BP125" i="2"/>
  <c r="BS124" i="2"/>
  <c r="BF126" i="2" l="1"/>
  <c r="BG126" i="2" s="1"/>
  <c r="BH126" i="2" s="1"/>
  <c r="BE127" i="2"/>
  <c r="BS125" i="2"/>
  <c r="BP126" i="2"/>
  <c r="BF127" i="2" l="1"/>
  <c r="BG127" i="2" s="1"/>
  <c r="BH127" i="2" s="1"/>
  <c r="BP127" i="2"/>
  <c r="BS126" i="2"/>
  <c r="BE128" i="2"/>
  <c r="BF128" i="2" l="1"/>
  <c r="BG128" i="2" s="1"/>
  <c r="BH128" i="2" s="1"/>
  <c r="BS127" i="2"/>
  <c r="BP128" i="2"/>
  <c r="BE129" i="2"/>
  <c r="BF129" i="2" l="1"/>
  <c r="BG129" i="2" s="1"/>
  <c r="BH129" i="2" s="1"/>
  <c r="BE130" i="2"/>
  <c r="BP129" i="2"/>
  <c r="BS128" i="2"/>
  <c r="BF130" i="2" l="1"/>
  <c r="BG130" i="2" s="1"/>
  <c r="BH130" i="2" s="1"/>
  <c r="BE131" i="2"/>
  <c r="BS129" i="2"/>
  <c r="BP130" i="2"/>
  <c r="BF131" i="2" l="1"/>
  <c r="BG131" i="2" s="1"/>
  <c r="BH131" i="2" s="1"/>
  <c r="BP131" i="2"/>
  <c r="BS130" i="2"/>
  <c r="BE132" i="2"/>
  <c r="BF132" i="2" l="1"/>
  <c r="BG132" i="2" s="1"/>
  <c r="BH132" i="2" s="1"/>
  <c r="BS131" i="2"/>
  <c r="BP132" i="2"/>
  <c r="BE133" i="2"/>
  <c r="BF133" i="2" l="1"/>
  <c r="BG133" i="2" s="1"/>
  <c r="BH133" i="2" s="1"/>
  <c r="BE134" i="2"/>
  <c r="BP133" i="2"/>
  <c r="BS132" i="2"/>
  <c r="BI53" i="2" l="1"/>
  <c r="BI140" i="2"/>
  <c r="BI141" i="2"/>
  <c r="BI50" i="2"/>
  <c r="BI125" i="2"/>
  <c r="BI112" i="2"/>
  <c r="BI126" i="2"/>
  <c r="BI193" i="2"/>
  <c r="BI157" i="2"/>
  <c r="BI89" i="2"/>
  <c r="BI36" i="2"/>
  <c r="BI94" i="2"/>
  <c r="BI177" i="2"/>
  <c r="BI202" i="2"/>
  <c r="BI182" i="2"/>
  <c r="BI149" i="2"/>
  <c r="BI131" i="2"/>
  <c r="BI10" i="2"/>
  <c r="BI194" i="2"/>
  <c r="BI42" i="2"/>
  <c r="BI20" i="2"/>
  <c r="BI12" i="2"/>
  <c r="BI137" i="2"/>
  <c r="BI169" i="2"/>
  <c r="BI7" i="2"/>
  <c r="BI14" i="2"/>
  <c r="BI23" i="2"/>
  <c r="BI198" i="2"/>
  <c r="BI63" i="2"/>
  <c r="BI195" i="2"/>
  <c r="BI69" i="2"/>
  <c r="BI88" i="2"/>
  <c r="BI25" i="2"/>
  <c r="BI180" i="2"/>
  <c r="BI107" i="2"/>
  <c r="BI159" i="2"/>
  <c r="BI127" i="2"/>
  <c r="BI105" i="2"/>
  <c r="BI179" i="2"/>
  <c r="BI57" i="2"/>
  <c r="BI33" i="2"/>
  <c r="BI32" i="2"/>
  <c r="BI121" i="2"/>
  <c r="BI164" i="2"/>
  <c r="BI79" i="2"/>
  <c r="BI117" i="2"/>
  <c r="BI151" i="2"/>
  <c r="BI186" i="2"/>
  <c r="BI163" i="2"/>
  <c r="BI56" i="2"/>
  <c r="BI154" i="2"/>
  <c r="BI170" i="2"/>
  <c r="BI54" i="2"/>
  <c r="BI166" i="2"/>
  <c r="BI72" i="2"/>
  <c r="BI87" i="2"/>
  <c r="BI51" i="2"/>
  <c r="BI115" i="2"/>
  <c r="BI142" i="2"/>
  <c r="BI91" i="2"/>
  <c r="BI13" i="2"/>
  <c r="BI147" i="2"/>
  <c r="BI114" i="2"/>
  <c r="BI62" i="2"/>
  <c r="BI70" i="2"/>
  <c r="BI71" i="2"/>
  <c r="BI132" i="2"/>
  <c r="BI30" i="2"/>
  <c r="BI189" i="2"/>
  <c r="BI48" i="2"/>
  <c r="BI95" i="2"/>
  <c r="BI158" i="2"/>
  <c r="BI192" i="2"/>
  <c r="BI104" i="2"/>
  <c r="BI188" i="2"/>
  <c r="BI155" i="2"/>
  <c r="BI29" i="2"/>
  <c r="BI103" i="2"/>
  <c r="BI118" i="2"/>
  <c r="BI44" i="2"/>
  <c r="BI43" i="2"/>
  <c r="BI191" i="2"/>
  <c r="BI26" i="2"/>
  <c r="BI111" i="2"/>
  <c r="BI55" i="2"/>
  <c r="BI17" i="2"/>
  <c r="BI129" i="2"/>
  <c r="BI106" i="2"/>
  <c r="BI183" i="2"/>
  <c r="BI108" i="2"/>
  <c r="BI84" i="2"/>
  <c r="BI58" i="2"/>
  <c r="BI124" i="2"/>
  <c r="BI74" i="2"/>
  <c r="BI9" i="2"/>
  <c r="BI143" i="2"/>
  <c r="BI24" i="2"/>
  <c r="BI174" i="2"/>
  <c r="BI76" i="2"/>
  <c r="BI90" i="2"/>
  <c r="BI162" i="2"/>
  <c r="BI109" i="2"/>
  <c r="BI85" i="2"/>
  <c r="BI190" i="2"/>
  <c r="BI27" i="2"/>
  <c r="BI59" i="2"/>
  <c r="BI130" i="2"/>
  <c r="BI82" i="2"/>
  <c r="BI65" i="2"/>
  <c r="BI92" i="2"/>
  <c r="BI78" i="2"/>
  <c r="BI197" i="2"/>
  <c r="BI11" i="2"/>
  <c r="BI64" i="2"/>
  <c r="BI187" i="2"/>
  <c r="BI150" i="2"/>
  <c r="BI31" i="2"/>
  <c r="BI81" i="2"/>
  <c r="BI18" i="2"/>
  <c r="BI68" i="2"/>
  <c r="BI39" i="2"/>
  <c r="BI145" i="2"/>
  <c r="BI75" i="2"/>
  <c r="BI6" i="2"/>
  <c r="BI80" i="2"/>
  <c r="BI123" i="2"/>
  <c r="BI134" i="2"/>
  <c r="BI61" i="2"/>
  <c r="BI201" i="2"/>
  <c r="BI168" i="2"/>
  <c r="BI52" i="2"/>
  <c r="BI73" i="2"/>
  <c r="BI181" i="2"/>
  <c r="BI19" i="2"/>
  <c r="BI83" i="2"/>
  <c r="BI175" i="2"/>
  <c r="BI96" i="2"/>
  <c r="BI176" i="2"/>
  <c r="BI161" i="2"/>
  <c r="BI133" i="2"/>
  <c r="BI153" i="2"/>
  <c r="BI60" i="2"/>
  <c r="BI178" i="2"/>
  <c r="BI101" i="2"/>
  <c r="BI99" i="2"/>
  <c r="BI172" i="2"/>
  <c r="BI40" i="2"/>
  <c r="BI171" i="2"/>
  <c r="BI41" i="2"/>
  <c r="BI8" i="2"/>
  <c r="BI160" i="2"/>
  <c r="BI110" i="2"/>
  <c r="BI4" i="2"/>
  <c r="BI146" i="2"/>
  <c r="BI46" i="2"/>
  <c r="BI38" i="2"/>
  <c r="BI128" i="2"/>
  <c r="BI66" i="2"/>
  <c r="BI148" i="2"/>
  <c r="BI67" i="2"/>
  <c r="BI122" i="2"/>
  <c r="BI120" i="2"/>
  <c r="BI86" i="2"/>
  <c r="BI173" i="2"/>
  <c r="BI35" i="2"/>
  <c r="BI119" i="2"/>
  <c r="BI49" i="2"/>
  <c r="BI97" i="2"/>
  <c r="BI16" i="2"/>
  <c r="BI37" i="2"/>
  <c r="BI21" i="2"/>
  <c r="BI139" i="2"/>
  <c r="BI34" i="2"/>
  <c r="BI144" i="2"/>
  <c r="BI156" i="2"/>
  <c r="BI199" i="2"/>
  <c r="BI28" i="2"/>
  <c r="BI196" i="2"/>
  <c r="BI113" i="2"/>
  <c r="BI152" i="2"/>
  <c r="BI5" i="2"/>
  <c r="BI93" i="2"/>
  <c r="BI102" i="2"/>
  <c r="BI200" i="2"/>
  <c r="BI138" i="2"/>
  <c r="BI136" i="2"/>
  <c r="BI203" i="2"/>
  <c r="BI116" i="2"/>
  <c r="BI22" i="2"/>
  <c r="BI47" i="2"/>
  <c r="BI135" i="2"/>
  <c r="BI15" i="2"/>
  <c r="BI184" i="2"/>
  <c r="BI167" i="2"/>
  <c r="BI165" i="2"/>
  <c r="BI185" i="2"/>
  <c r="BI45" i="2"/>
  <c r="BI77" i="2"/>
  <c r="BI100" i="2"/>
  <c r="BI98" i="2"/>
  <c r="BI3" i="2"/>
  <c r="C8" i="4" s="1"/>
  <c r="E8" i="4" s="1"/>
  <c r="F8" i="4" s="1"/>
  <c r="G8" i="4" s="1"/>
  <c r="L8" i="4" s="1"/>
  <c r="BF134" i="2"/>
  <c r="BG134" i="2" s="1"/>
  <c r="BH134" i="2" s="1"/>
  <c r="BE135" i="2"/>
  <c r="BS133" i="2"/>
  <c r="BP134" i="2"/>
  <c r="BF135" i="2" l="1"/>
  <c r="BG135" i="2" s="1"/>
  <c r="BH135" i="2" s="1"/>
  <c r="BP135" i="2"/>
  <c r="BS134" i="2"/>
  <c r="BE136" i="2"/>
  <c r="BF136" i="2" l="1"/>
  <c r="BG136" i="2" s="1"/>
  <c r="BH136" i="2" s="1"/>
  <c r="BS135" i="2"/>
  <c r="BP136" i="2"/>
  <c r="BE137" i="2"/>
  <c r="BF137" i="2" l="1"/>
  <c r="BG137" i="2" s="1"/>
  <c r="BH137" i="2" s="1"/>
  <c r="BE138" i="2"/>
  <c r="BP137" i="2"/>
  <c r="BS136" i="2"/>
  <c r="BS137" i="2" l="1"/>
  <c r="BP138" i="2"/>
  <c r="BF138" i="2"/>
  <c r="BG138" i="2" s="1"/>
  <c r="BH138" i="2" s="1"/>
  <c r="BE139" i="2"/>
  <c r="BF139" i="2" l="1"/>
  <c r="BG139" i="2" s="1"/>
  <c r="BH139" i="2" s="1"/>
  <c r="BE140" i="2"/>
  <c r="BP139" i="2"/>
  <c r="BS138" i="2"/>
  <c r="BF140" i="2" l="1"/>
  <c r="BG140" i="2" s="1"/>
  <c r="BH140" i="2" s="1"/>
  <c r="BE141" i="2"/>
  <c r="BS139" i="2"/>
  <c r="BP140" i="2"/>
  <c r="BF141" i="2" l="1"/>
  <c r="BG141" i="2" s="1"/>
  <c r="BH141" i="2" s="1"/>
  <c r="BP141" i="2"/>
  <c r="BS140" i="2"/>
  <c r="BE142" i="2"/>
  <c r="BF142" i="2" l="1"/>
  <c r="BG142" i="2" s="1"/>
  <c r="BH142" i="2" s="1"/>
  <c r="BS141" i="2"/>
  <c r="BP142" i="2"/>
  <c r="BE143" i="2"/>
  <c r="BF143" i="2" l="1"/>
  <c r="BG143" i="2" s="1"/>
  <c r="BH143" i="2" s="1"/>
  <c r="BE144" i="2"/>
  <c r="BP143" i="2"/>
  <c r="BS142" i="2"/>
  <c r="BF144" i="2" l="1"/>
  <c r="BG144" i="2" s="1"/>
  <c r="BH144" i="2" s="1"/>
  <c r="BE145" i="2"/>
  <c r="BS143" i="2"/>
  <c r="BP144" i="2"/>
  <c r="BF145" i="2" l="1"/>
  <c r="BG145" i="2" s="1"/>
  <c r="BH145" i="2" s="1"/>
  <c r="BP145" i="2"/>
  <c r="BS144" i="2"/>
  <c r="BE146" i="2"/>
  <c r="BF146" i="2" l="1"/>
  <c r="BG146" i="2" s="1"/>
  <c r="BH146" i="2" s="1"/>
  <c r="BS145" i="2"/>
  <c r="BP146" i="2"/>
  <c r="BE147" i="2"/>
  <c r="BF147" i="2" l="1"/>
  <c r="BG147" i="2" s="1"/>
  <c r="BH147" i="2" s="1"/>
  <c r="BE148" i="2"/>
  <c r="BP147" i="2"/>
  <c r="BS146" i="2"/>
  <c r="BF148" i="2" l="1"/>
  <c r="BG148" i="2" s="1"/>
  <c r="BH148" i="2" s="1"/>
  <c r="BE149" i="2"/>
  <c r="BS147" i="2"/>
  <c r="BP148" i="2"/>
  <c r="BF149" i="2" l="1"/>
  <c r="BG149" i="2" s="1"/>
  <c r="BH149" i="2" s="1"/>
  <c r="BP149" i="2"/>
  <c r="BS148" i="2"/>
  <c r="BE150" i="2"/>
  <c r="BF150" i="2" l="1"/>
  <c r="BG150" i="2" s="1"/>
  <c r="BH150" i="2" s="1"/>
  <c r="BS149" i="2"/>
  <c r="BP150" i="2"/>
  <c r="BE151" i="2"/>
  <c r="BF151" i="2" l="1"/>
  <c r="BG151" i="2" s="1"/>
  <c r="BH151" i="2" s="1"/>
  <c r="BE152" i="2"/>
  <c r="BE153" i="2"/>
  <c r="BP151" i="2"/>
  <c r="BS150" i="2"/>
  <c r="BF152" i="2" l="1"/>
  <c r="BG152" i="2" s="1"/>
  <c r="BH152" i="2" s="1"/>
  <c r="BF153" i="2"/>
  <c r="BG153" i="2" s="1"/>
  <c r="BH153" i="2" s="1"/>
  <c r="BS151" i="2"/>
  <c r="BP152" i="2"/>
  <c r="BP153" i="2" l="1"/>
  <c r="BS152" i="2"/>
  <c r="BS153" i="2" l="1"/>
  <c r="BP154" i="2"/>
  <c r="P4" i="2"/>
  <c r="Q4" i="2" s="1"/>
  <c r="R4" i="2" s="1"/>
  <c r="S152" i="2" l="1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S92" i="2"/>
  <c r="S61" i="2"/>
  <c r="S4" i="2"/>
  <c r="S79" i="2"/>
  <c r="S113" i="2"/>
  <c r="S137" i="2"/>
  <c r="S27" i="2"/>
  <c r="S186" i="2"/>
  <c r="S10" i="2"/>
  <c r="S20" i="2"/>
  <c r="S196" i="2"/>
  <c r="S89" i="2"/>
  <c r="S7" i="2"/>
  <c r="S102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31" i="2"/>
  <c r="S160" i="2"/>
  <c r="S96" i="2"/>
  <c r="S164" i="2"/>
  <c r="S105" i="2"/>
  <c r="S56" i="2"/>
  <c r="S19" i="2"/>
  <c r="S67" i="2"/>
  <c r="S36" i="2"/>
  <c r="S38" i="2"/>
  <c r="S197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35" i="2"/>
  <c r="S180" i="2"/>
  <c r="S77" i="2"/>
  <c r="S194" i="2"/>
  <c r="S172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112" i="2"/>
  <c r="S177" i="2"/>
  <c r="S80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170" i="2"/>
  <c r="S168" i="2"/>
  <c r="S62" i="2"/>
  <c r="S191" i="2"/>
  <c r="S188" i="2"/>
  <c r="S93" i="2"/>
  <c r="S51" i="2"/>
  <c r="S173" i="2"/>
  <c r="S117" i="2"/>
  <c r="S124" i="2"/>
  <c r="S136" i="2"/>
  <c r="S107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39" i="2"/>
  <c r="S106" i="2"/>
  <c r="S48" i="2"/>
  <c r="S41" i="2"/>
  <c r="S45" i="2"/>
  <c r="BS154" i="2"/>
  <c r="BP155" i="2"/>
  <c r="BS155" i="2" l="1"/>
  <c r="BP156" i="2"/>
  <c r="BS156" i="2" l="1"/>
  <c r="BP157" i="2"/>
  <c r="BS157" i="2" l="1"/>
  <c r="BP158" i="2"/>
  <c r="D6" i="4"/>
  <c r="BP159" i="2" l="1"/>
  <c r="BS158" i="2"/>
  <c r="BS159" i="2" l="1"/>
  <c r="BP160" i="2"/>
  <c r="S3" i="2"/>
  <c r="C6" i="4" s="1"/>
  <c r="E6" i="4" s="1"/>
  <c r="F6" i="4" s="1"/>
  <c r="BS160" i="2" l="1"/>
  <c r="BP161" i="2"/>
  <c r="G6" i="4"/>
  <c r="L6" i="4" s="1"/>
  <c r="F16" i="4"/>
  <c r="BP162" i="2" l="1"/>
  <c r="BS161" i="2"/>
  <c r="G16" i="4"/>
  <c r="L16" i="4"/>
  <c r="BS162" i="2" l="1"/>
  <c r="BP163" i="2"/>
  <c r="BP164" i="2" l="1"/>
  <c r="BS163" i="2"/>
  <c r="BS164" i="2" l="1"/>
  <c r="BP165" i="2"/>
  <c r="BS165" i="2" l="1"/>
  <c r="BP166" i="2"/>
  <c r="BP167" i="2" l="1"/>
  <c r="BS166" i="2"/>
  <c r="BP168" i="2" l="1"/>
  <c r="BS167" i="2"/>
  <c r="BS168" i="2" l="1"/>
  <c r="BP169" i="2"/>
  <c r="BP170" i="2" l="1"/>
  <c r="BS169" i="2"/>
  <c r="BS170" i="2" l="1"/>
  <c r="BP171" i="2"/>
  <c r="BS171" i="2" l="1"/>
  <c r="BP172" i="2"/>
  <c r="BS172" i="2" l="1"/>
  <c r="BP173" i="2"/>
  <c r="BS173" i="2" l="1"/>
  <c r="BP174" i="2"/>
  <c r="BS174" i="2" l="1"/>
  <c r="BP175" i="2"/>
  <c r="BS175" i="2" l="1"/>
  <c r="BP176" i="2"/>
  <c r="BS176" i="2" l="1"/>
  <c r="BP177" i="2"/>
  <c r="BS177" i="2" l="1"/>
  <c r="BP178" i="2"/>
  <c r="BP179" i="2" l="1"/>
  <c r="BS178" i="2"/>
  <c r="BS179" i="2" l="1"/>
  <c r="BP180" i="2"/>
  <c r="BS180" i="2" l="1"/>
  <c r="BP181" i="2"/>
  <c r="BS181" i="2" l="1"/>
  <c r="BP182" i="2"/>
  <c r="BS182" i="2" l="1"/>
  <c r="BP183" i="2"/>
  <c r="BS183" i="2" l="1"/>
  <c r="BP184" i="2"/>
  <c r="BS184" i="2" l="1"/>
  <c r="BP185" i="2"/>
  <c r="BS185" i="2" l="1"/>
  <c r="BP186" i="2"/>
  <c r="BS186" i="2" l="1"/>
  <c r="BP187" i="2"/>
  <c r="BS187" i="2" l="1"/>
  <c r="BP188" i="2"/>
  <c r="BS188" i="2" l="1"/>
  <c r="BP189" i="2"/>
  <c r="BS189" i="2" l="1"/>
  <c r="BP190" i="2"/>
  <c r="BS190" i="2" l="1"/>
  <c r="BP191" i="2"/>
  <c r="BS191" i="2" l="1"/>
  <c r="BP192" i="2"/>
  <c r="BS192" i="2" l="1"/>
  <c r="BP193" i="2"/>
  <c r="BP194" i="2" l="1"/>
  <c r="BS193" i="2"/>
  <c r="BS194" i="2" l="1"/>
  <c r="BP195" i="2"/>
  <c r="BS195" i="2" l="1"/>
  <c r="BP196" i="2"/>
  <c r="BS196" i="2" l="1"/>
  <c r="BP197" i="2"/>
  <c r="BS197" i="2" l="1"/>
  <c r="BP198" i="2"/>
  <c r="BS198" i="2" l="1"/>
  <c r="BP199" i="2"/>
  <c r="BS199" i="2" l="1"/>
  <c r="BP200" i="2"/>
  <c r="BS200" i="2" l="1"/>
  <c r="BP201" i="2"/>
  <c r="BS201" i="2" l="1"/>
  <c r="BP202" i="2"/>
  <c r="BS202" i="2" l="1"/>
  <c r="BP203" i="2"/>
  <c r="BS203" i="2" s="1"/>
</calcChain>
</file>

<file path=xl/sharedStrings.xml><?xml version="1.0" encoding="utf-8"?>
<sst xmlns="http://schemas.openxmlformats.org/spreadsheetml/2006/main" count="973" uniqueCount="311">
  <si>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</si>
  <si>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</si>
  <si>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</si>
  <si>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</si>
  <si>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</si>
  <si>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</si>
  <si>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</si>
  <si>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</si>
  <si>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</si>
  <si>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</si>
  <si>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</si>
  <si>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</si>
  <si>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</si>
  <si>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</si>
  <si>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</si>
  <si>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</si>
  <si>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</si>
  <si>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</si>
  <si>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</si>
  <si>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</si>
  <si>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</si>
  <si>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</si>
  <si>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</si>
  <si>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</si>
  <si>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</si>
  <si>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</si>
  <si>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</si>
  <si>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</si>
  <si>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</si>
  <si>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</si>
  <si>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</si>
  <si>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</si>
  <si>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</si>
  <si>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</si>
  <si>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</si>
  <si>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</si>
  <si>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</si>
  <si>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</si>
  <si>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</si>
  <si>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</si>
  <si>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</si>
  <si>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</si>
  <si>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</si>
  <si>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</si>
  <si>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</si>
  <si>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</si>
  <si>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</si>
  <si>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</si>
  <si>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</si>
  <si>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</si>
  <si>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</si>
  <si>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</si>
  <si>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</si>
  <si>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</si>
  <si>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</si>
  <si>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</si>
  <si>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</si>
  <si>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</si>
  <si>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</si>
  <si>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</si>
  <si>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</si>
  <si>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</si>
  <si>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</si>
  <si>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</si>
  <si>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</si>
  <si>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</si>
  <si>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</si>
  <si>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</si>
  <si>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</si>
  <si>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</si>
  <si>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</si>
  <si>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</si>
  <si>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</si>
  <si>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</si>
  <si>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</si>
  <si>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</si>
  <si>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</si>
  <si>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</si>
  <si>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</si>
  <si>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</si>
  <si>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</si>
  <si>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</si>
  <si>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</si>
  <si>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</si>
  <si>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</si>
  <si>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</si>
  <si>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</si>
  <si>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</si>
  <si>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</si>
  <si>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</si>
  <si>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</si>
  <si>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</si>
  <si>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</si>
  <si>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</si>
  <si>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</si>
  <si>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</si>
  <si>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</si>
  <si>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</si>
  <si>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</si>
  <si>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</si>
  <si>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</si>
  <si>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</si>
  <si>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</si>
  <si>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</si>
  <si>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</si>
  <si>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</si>
  <si>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</si>
  <si>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</si>
  <si>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</si>
  <si>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</si>
  <si>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</si>
  <si>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</si>
  <si>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</si>
  <si>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</si>
  <si>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</si>
  <si>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</si>
  <si>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</si>
  <si>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</si>
  <si>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</si>
  <si>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</si>
  <si>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</si>
  <si>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</si>
  <si>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</si>
  <si>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</si>
  <si>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</si>
  <si>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</si>
  <si>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</si>
  <si>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</si>
  <si>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</si>
  <si>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</si>
  <si>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</si>
  <si>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</si>
  <si>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</si>
  <si>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</si>
  <si>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</si>
  <si>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</si>
  <si>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</si>
  <si>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</si>
  <si>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</si>
  <si>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</si>
  <si>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</si>
  <si>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</si>
  <si>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</si>
  <si>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</si>
  <si>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</si>
  <si>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</si>
  <si>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</si>
  <si>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</si>
  <si>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</si>
  <si>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</si>
  <si>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</si>
  <si>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</si>
  <si>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</si>
  <si>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</si>
  <si>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</si>
  <si>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</si>
  <si>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</si>
  <si>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</si>
  <si>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</si>
  <si>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</si>
  <si>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</si>
  <si>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</si>
  <si>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</si>
  <si>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</si>
  <si>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</si>
  <si>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</si>
  <si>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</si>
  <si>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</si>
  <si>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</si>
  <si>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</si>
  <si>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</si>
  <si>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</si>
  <si>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</si>
  <si>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</si>
  <si>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</si>
  <si>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</si>
  <si>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</si>
  <si>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</si>
  <si>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</si>
  <si>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</si>
  <si>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</si>
  <si>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</si>
  <si>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</si>
  <si>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</si>
  <si>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</si>
  <si>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</si>
  <si>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</si>
  <si>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</si>
  <si>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</si>
  <si>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</si>
  <si>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</si>
  <si>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</si>
  <si>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</si>
  <si>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</si>
  <si>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</si>
  <si>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</si>
  <si>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</si>
  <si>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</si>
  <si>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</si>
  <si>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</si>
  <si>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</si>
  <si>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</si>
  <si>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</si>
  <si>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</si>
  <si>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</si>
  <si>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</si>
  <si>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</si>
  <si>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</si>
  <si>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</si>
  <si>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</si>
  <si>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</si>
  <si>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</si>
  <si>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</si>
  <si>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</si>
  <si>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</si>
  <si>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</si>
  <si>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</si>
  <si>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</si>
  <si>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</si>
  <si>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</si>
  <si>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</si>
  <si>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</si>
  <si>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</si>
  <si>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</si>
  <si>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</si>
  <si>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</si>
  <si>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</si>
  <si>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</si>
  <si>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</si>
  <si>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</si>
  <si>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</si>
  <si>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</si>
  <si>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</si>
  <si>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</si>
  <si>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</si>
  <si>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</si>
  <si>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</si>
  <si>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</si>
  <si>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</si>
  <si>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</si>
  <si>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</si>
  <si>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</si>
  <si>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</si>
  <si>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</si>
  <si>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</si>
  <si>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</si>
  <si>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</si>
  <si>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</si>
  <si>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</si>
  <si>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</si>
  <si>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</si>
  <si>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</si>
  <si>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</si>
  <si>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</si>
  <si>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</si>
  <si>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</si>
  <si>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</si>
  <si>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</si>
  <si>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</si>
  <si>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</si>
  <si>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Etirer la formule de la colonne "Année"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</si>
  <si>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</si>
  <si>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</si>
  <si>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</si>
  <si>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</si>
  <si>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</si>
  <si>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</si>
  <si>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</si>
  <si>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</si>
  <si>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</si>
  <si>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</si>
  <si>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</si>
  <si>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</si>
  <si>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</si>
  <si>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</si>
  <si>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</si>
  <si>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</si>
  <si>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</si>
  <si>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</si>
  <si>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</si>
  <si>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</si>
  <si>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</si>
  <si>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</si>
  <si>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</si>
  <si>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</si>
  <si>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</si>
  <si>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</si>
  <si>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</si>
  <si>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Coûts</t>
  </si>
  <si>
    <t>Coût du boisement/reboisement (€/ha)</t>
  </si>
  <si>
    <t>Recettes (€/ha)</t>
  </si>
  <si>
    <t>Volume (m³/ha)</t>
  </si>
  <si>
    <t>Ce coût doit intégrer les coûts non imputables aux essences (préparation de la parcelle, protections, dégagements et autres).</t>
  </si>
  <si>
    <t>Ce coût doit intégrer les coûts imputables à l'essence (achats des plants, opération de plantation, éclaircies, etc).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</si>
  <si>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</si>
  <si>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</si>
  <si>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</si>
  <si>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à partir de la cellule R29 jusqu'au "STOP"</t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</si>
  <si>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</si>
  <si>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</si>
  <si>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</si>
  <si>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</si>
  <si>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</si>
  <si>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</si>
  <si>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</si>
  <si>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</si>
  <si>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Renseignez les % de surfaces de culture à l'année 0</t>
  </si>
  <si>
    <t>→ Si scénarios 2, 3, 4 ou 5 :</t>
  </si>
  <si>
    <t>Biomasse totale (tCO₂/ha)</t>
  </si>
  <si>
    <t>Stock moyen de long terme (tCO₂/ha)</t>
  </si>
  <si>
    <t>Δstock CO₂ 30 ans (tCO₂/ha)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</si>
</sst>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</fills>
  <borders count="5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29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6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5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5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8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6" xfId="0" applyFont="1" applyFill="1" applyBorder="1" applyAlignment="1" applyProtection="1">
      <alignment horizontal="center" vertical="center" wrapText="1"/>
      <protection hidden="1"/>
    </xf>
    <xf numFmtId="164" fontId="0" fillId="6" borderId="35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0" fontId="1" fillId="2" borderId="44" xfId="0" applyFont="1" applyFill="1" applyBorder="1" applyAlignment="1" applyProtection="1">
      <alignment horizontal="center" vertical="center" wrapText="1"/>
      <protection hidden="1"/>
    </xf>
    <xf numFmtId="164" fontId="0" fillId="2" borderId="37" xfId="0" applyNumberFormat="1" applyFill="1" applyBorder="1" applyAlignment="1" applyProtection="1">
      <alignment horizontal="center" vertical="center"/>
      <protection hidden="1"/>
    </xf>
    <xf numFmtId="0" fontId="1" fillId="0" borderId="44" xfId="0" applyFont="1" applyBorder="1" applyAlignment="1" applyProtection="1">
      <alignment horizontal="center" vertical="center"/>
      <protection hidden="1"/>
    </xf>
    <xf numFmtId="0" fontId="1" fillId="6" borderId="38" xfId="0" applyFont="1" applyFill="1" applyBorder="1" applyAlignment="1" applyProtection="1">
      <alignment horizontal="center" vertical="center" wrapText="1"/>
      <protection hidden="1"/>
    </xf>
    <xf numFmtId="0" fontId="0" fillId="6" borderId="37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7" xfId="0" applyNumberFormat="1" applyFill="1" applyBorder="1" applyAlignment="1" applyProtection="1">
      <alignment horizontal="center" vertical="center"/>
      <protection hidden="1"/>
    </xf>
    <xf numFmtId="0" fontId="0" fillId="2" borderId="37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10" xfId="0" applyFont="1" applyFill="1" applyBorder="1" applyAlignment="1" applyProtection="1">
      <alignment horizontal="center" vertical="center"/>
      <protection hidden="1"/>
    </xf>
    <xf numFmtId="0" fontId="0" fillId="10" borderId="34" xfId="0" applyFill="1" applyBorder="1" applyAlignment="1" applyProtection="1">
      <alignment horizontal="center" vertical="center"/>
      <protection hidden="1"/>
    </xf>
    <xf numFmtId="0" fontId="0" fillId="10" borderId="10" xfId="0" applyFill="1" applyBorder="1" applyAlignment="1" applyProtection="1">
      <alignment horizontal="center" vertical="center"/>
      <protection hidden="1"/>
    </xf>
    <xf numFmtId="0" fontId="1" fillId="10" borderId="10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0" fillId="0" borderId="0" xfId="0" applyFont="1" applyBorder="1" applyProtection="1"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9" fontId="1" fillId="0" borderId="0" xfId="0" applyNumberFormat="1" applyFont="1" applyFill="1" applyBorder="1" applyAlignment="1" applyProtection="1">
      <alignment horizontal="center" vertical="center"/>
      <protection hidden="1"/>
    </xf>
    <xf numFmtId="0" fontId="9" fillId="0" borderId="39" xfId="0" applyFont="1" applyFill="1" applyBorder="1" applyAlignment="1" applyProtection="1">
      <alignment horizontal="center" vertical="center"/>
      <protection hidden="1"/>
    </xf>
    <xf numFmtId="9" fontId="0" fillId="0" borderId="0" xfId="0" applyNumberFormat="1" applyFill="1" applyBorder="1" applyProtection="1">
      <protection hidden="1"/>
    </xf>
    <xf numFmtId="9" fontId="0" fillId="0" borderId="0" xfId="0" applyNumberFormat="1" applyBorder="1" applyProtection="1">
      <protection hidden="1"/>
    </xf>
    <xf numFmtId="1" fontId="0" fillId="0" borderId="0" xfId="1" applyNumberFormat="1" applyFont="1" applyFill="1" applyBorder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Border="1" applyProtection="1">
      <protection hidden="1"/>
    </xf>
    <xf numFmtId="0" fontId="16" fillId="0" borderId="0" xfId="0" applyFont="1" applyProtection="1">
      <protection hidden="1"/>
    </xf>
    <xf numFmtId="0" fontId="1" fillId="0" borderId="4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protection hidden="1"/>
    </xf>
    <xf numFmtId="0" fontId="0" fillId="0" borderId="8" xfId="0" applyBorder="1" applyProtection="1">
      <protection hidden="1"/>
    </xf>
    <xf numFmtId="0" fontId="0" fillId="0" borderId="6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3" xfId="0" applyFont="1" applyFill="1" applyBorder="1" applyAlignment="1" applyProtection="1">
      <alignment horizontal="center" vertical="center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1" fillId="4" borderId="14" xfId="0" applyFont="1" applyFill="1" applyBorder="1" applyAlignment="1" applyProtection="1">
      <alignment horizontal="center" vertical="center" wrapText="1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2" fillId="0" borderId="16" xfId="0" applyFont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0" borderId="46" xfId="0" applyNumberFormat="1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9" fontId="0" fillId="8" borderId="17" xfId="0" applyNumberFormat="1" applyFill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9" fontId="0" fillId="8" borderId="22" xfId="0" applyNumberFormat="1" applyFill="1" applyBorder="1" applyAlignment="1" applyProtection="1">
      <alignment horizontal="center" vertical="center"/>
      <protection hidden="1"/>
    </xf>
    <xf numFmtId="9" fontId="0" fillId="8" borderId="19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9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1" xfId="0" applyBorder="1" applyProtection="1"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horizontal="center"/>
      <protection hidden="1"/>
    </xf>
    <xf numFmtId="0" fontId="0" fillId="0" borderId="22" xfId="0" applyBorder="1" applyProtection="1">
      <protection hidden="1"/>
    </xf>
    <xf numFmtId="0" fontId="1" fillId="15" borderId="12" xfId="0" applyFont="1" applyFill="1" applyBorder="1" applyAlignment="1" applyProtection="1">
      <alignment horizontal="center" vertical="center"/>
      <protection hidden="1"/>
    </xf>
    <xf numFmtId="0" fontId="1" fillId="15" borderId="29" xfId="0" applyFont="1" applyFill="1" applyBorder="1" applyAlignment="1" applyProtection="1">
      <alignment horizontal="center" vertical="center" wrapText="1"/>
      <protection hidden="1"/>
    </xf>
    <xf numFmtId="0" fontId="1" fillId="13" borderId="13" xfId="0" applyFont="1" applyFill="1" applyBorder="1" applyAlignment="1" applyProtection="1">
      <alignment horizontal="center" vertical="center" wrapText="1"/>
      <protection hidden="1"/>
    </xf>
    <xf numFmtId="0" fontId="1" fillId="9" borderId="12" xfId="0" applyFont="1" applyFill="1" applyBorder="1" applyAlignment="1" applyProtection="1">
      <alignment horizontal="center" vertical="center" wrapText="1"/>
      <protection hidden="1"/>
    </xf>
    <xf numFmtId="0" fontId="1" fillId="9" borderId="14" xfId="0" applyFont="1" applyFill="1" applyBorder="1" applyAlignment="1" applyProtection="1">
      <alignment horizontal="center" vertical="center" wrapText="1"/>
      <protection hidden="1"/>
    </xf>
    <xf numFmtId="0" fontId="1" fillId="17" borderId="31" xfId="0" applyFont="1" applyFill="1" applyBorder="1" applyAlignment="1" applyProtection="1">
      <alignment horizontal="center" vertical="center" wrapText="1"/>
      <protection hidden="1"/>
    </xf>
    <xf numFmtId="0" fontId="1" fillId="17" borderId="29" xfId="0" applyFont="1" applyFill="1" applyBorder="1" applyAlignment="1" applyProtection="1">
      <alignment horizontal="center" vertical="center" wrapText="1"/>
      <protection hidden="1"/>
    </xf>
    <xf numFmtId="0" fontId="1" fillId="15" borderId="2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4" borderId="11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3" borderId="28" xfId="0" applyNumberFormat="1" applyFill="1" applyBorder="1" applyAlignment="1" applyProtection="1">
      <alignment horizontal="center"/>
      <protection hidden="1"/>
    </xf>
    <xf numFmtId="1" fontId="0" fillId="16" borderId="32" xfId="0" applyNumberFormat="1" applyFill="1" applyBorder="1" applyAlignment="1" applyProtection="1">
      <alignment horizontal="center"/>
      <protection hidden="1"/>
    </xf>
    <xf numFmtId="1" fontId="0" fillId="16" borderId="4" xfId="0" applyNumberFormat="1" applyFill="1" applyBorder="1" applyAlignment="1" applyProtection="1">
      <alignment horizontal="center"/>
      <protection hidden="1"/>
    </xf>
    <xf numFmtId="1" fontId="0" fillId="10" borderId="33" xfId="0" applyNumberFormat="1" applyFill="1" applyBorder="1" applyAlignment="1" applyProtection="1">
      <alignment horizontal="center"/>
      <protection hidden="1"/>
    </xf>
    <xf numFmtId="0" fontId="1" fillId="15" borderId="18" xfId="0" applyFont="1" applyFill="1" applyBorder="1" applyAlignment="1" applyProtection="1">
      <alignment horizontal="center"/>
      <protection hidden="1"/>
    </xf>
    <xf numFmtId="2" fontId="1" fillId="15" borderId="5" xfId="0" applyNumberFormat="1" applyFont="1" applyFill="1" applyBorder="1" applyAlignment="1" applyProtection="1">
      <alignment horizontal="center"/>
      <protection hidden="1"/>
    </xf>
    <xf numFmtId="1" fontId="0" fillId="3" borderId="18" xfId="0" applyNumberFormat="1" applyFill="1" applyBorder="1" applyAlignment="1" applyProtection="1">
      <alignment horizontal="center"/>
      <protection hidden="1"/>
    </xf>
    <xf numFmtId="0" fontId="1" fillId="15" borderId="20" xfId="0" applyFont="1" applyFill="1" applyBorder="1" applyAlignment="1" applyProtection="1">
      <alignment horizontal="center"/>
      <protection hidden="1"/>
    </xf>
    <xf numFmtId="2" fontId="1" fillId="15" borderId="30" xfId="0" applyNumberFormat="1" applyFont="1" applyFill="1" applyBorder="1" applyAlignment="1" applyProtection="1">
      <alignment horizontal="center"/>
      <protection hidden="1"/>
    </xf>
    <xf numFmtId="1" fontId="0" fillId="4" borderId="21" xfId="0" applyNumberFormat="1" applyFill="1" applyBorder="1" applyAlignment="1" applyProtection="1">
      <alignment horizontal="center"/>
      <protection hidden="1"/>
    </xf>
    <xf numFmtId="1" fontId="0" fillId="4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3" borderId="50" xfId="0" applyNumberFormat="1" applyFill="1" applyBorder="1" applyAlignment="1" applyProtection="1">
      <alignment horizontal="center"/>
      <protection hidden="1"/>
    </xf>
    <xf numFmtId="1" fontId="0" fillId="16" borderId="51" xfId="0" applyNumberFormat="1" applyFill="1" applyBorder="1" applyAlignment="1" applyProtection="1">
      <alignment horizontal="center"/>
      <protection hidden="1"/>
    </xf>
    <xf numFmtId="1" fontId="0" fillId="16" borderId="39" xfId="0" applyNumberFormat="1" applyFill="1" applyBorder="1" applyAlignment="1" applyProtection="1">
      <alignment horizontal="center"/>
      <protection hidden="1"/>
    </xf>
    <xf numFmtId="1" fontId="0" fillId="10" borderId="47" xfId="0" applyNumberForma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2" fontId="1" fillId="0" borderId="0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13" borderId="13" xfId="0" applyNumberFormat="1" applyFont="1" applyFill="1" applyBorder="1" applyAlignment="1" applyProtection="1">
      <alignment horizontal="center"/>
      <protection hidden="1"/>
    </xf>
    <xf numFmtId="1" fontId="1" fillId="9" borderId="13" xfId="0" applyNumberFormat="1" applyFont="1" applyFill="1" applyBorder="1" applyAlignment="1" applyProtection="1">
      <alignment horizontal="center"/>
      <protection hidden="1"/>
    </xf>
    <xf numFmtId="1" fontId="1" fillId="17" borderId="13" xfId="0" applyNumberFormat="1" applyFont="1" applyFill="1" applyBorder="1" applyAlignment="1" applyProtection="1">
      <alignment horizontal="center"/>
      <protection hidden="1"/>
    </xf>
    <xf numFmtId="1" fontId="1" fillId="10" borderId="14" xfId="0" applyNumberFormat="1" applyFont="1" applyFill="1" applyBorder="1" applyAlignment="1" applyProtection="1">
      <alignment horizontal="center"/>
      <protection hidden="1"/>
    </xf>
    <xf numFmtId="0" fontId="1" fillId="15" borderId="10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9" xfId="0" applyFont="1" applyFill="1" applyBorder="1" applyProtection="1">
      <protection hidden="1"/>
    </xf>
    <xf numFmtId="165" fontId="1" fillId="4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42" xfId="0" applyFont="1" applyBorder="1" applyProtection="1">
      <protection hidden="1"/>
    </xf>
    <xf numFmtId="0" fontId="0" fillId="0" borderId="9" xfId="0" applyFill="1" applyBorder="1" applyProtection="1"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42" xfId="0" applyBorder="1" applyProtection="1">
      <protection hidden="1"/>
    </xf>
    <xf numFmtId="0" fontId="6" fillId="0" borderId="9" xfId="0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15" fillId="0" borderId="8" xfId="0" applyFont="1" applyBorder="1" applyProtection="1">
      <protection hidden="1"/>
    </xf>
    <xf numFmtId="168" fontId="15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5" fillId="0" borderId="0" xfId="0" applyFont="1" applyBorder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168" fontId="0" fillId="0" borderId="0" xfId="0" applyNumberFormat="1" applyFill="1" applyBorder="1" applyAlignment="1" applyProtection="1">
      <alignment horizontal="center" vertical="center"/>
      <protection hidden="1"/>
    </xf>
    <xf numFmtId="168" fontId="0" fillId="0" borderId="9" xfId="0" applyNumberFormat="1" applyFill="1" applyBorder="1" applyAlignment="1" applyProtection="1">
      <alignment horizontal="center" vertical="center"/>
      <protection hidden="1"/>
    </xf>
    <xf numFmtId="0" fontId="15" fillId="0" borderId="42" xfId="0" applyFont="1" applyBorder="1" applyProtection="1">
      <protection hidden="1"/>
    </xf>
    <xf numFmtId="0" fontId="15" fillId="0" borderId="0" xfId="0" applyFont="1" applyAlignment="1" applyProtection="1">
      <alignment wrapText="1"/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Fill="1" applyBorder="1" applyAlignment="1" applyProtection="1">
      <alignment wrapText="1"/>
      <protection hidden="1"/>
    </xf>
    <xf numFmtId="0" fontId="0" fillId="0" borderId="42" xfId="0" applyBorder="1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0" fontId="1" fillId="0" borderId="9" xfId="0" applyFont="1" applyFill="1" applyBorder="1" applyAlignment="1" applyProtection="1">
      <alignment horizontal="center" vertical="center"/>
      <protection hidden="1"/>
    </xf>
    <xf numFmtId="168" fontId="0" fillId="0" borderId="9" xfId="0" applyNumberFormat="1" applyFill="1" applyBorder="1" applyAlignment="1" applyProtection="1">
      <alignment horizontal="center"/>
      <protection hidden="1"/>
    </xf>
    <xf numFmtId="168" fontId="0" fillId="0" borderId="0" xfId="0" applyNumberFormat="1" applyFill="1" applyBorder="1" applyAlignment="1" applyProtection="1">
      <alignment horizontal="center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0" fontId="1" fillId="4" borderId="1" xfId="0" applyFont="1" applyFill="1" applyBorder="1" applyAlignment="1" applyProtection="1">
      <alignment horizontal="center" vertical="center"/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1" fillId="4" borderId="7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7" fillId="4" borderId="45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8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4" borderId="45" xfId="0" applyFont="1" applyFill="1" applyBorder="1" applyAlignment="1" applyProtection="1">
      <alignment horizontal="center"/>
      <protection hidden="1"/>
    </xf>
    <xf numFmtId="0" fontId="7" fillId="2" borderId="38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6" xfId="0" applyFont="1" applyFill="1" applyBorder="1" applyAlignment="1" applyProtection="1">
      <alignment horizontal="center"/>
      <protection hidden="1"/>
    </xf>
    <xf numFmtId="0" fontId="7" fillId="6" borderId="38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6" xfId="0" applyFont="1" applyFill="1" applyBorder="1" applyAlignment="1" applyProtection="1">
      <alignment horizont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" fillId="9" borderId="25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5" fillId="0" borderId="26" xfId="0" applyFont="1" applyBorder="1" applyAlignment="1" applyProtection="1">
      <alignment horizontal="center" wrapText="1"/>
      <protection hidden="1"/>
    </xf>
    <xf numFmtId="0" fontId="15" fillId="0" borderId="26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 wrapText="1"/>
      <protection hidden="1"/>
    </xf>
    <xf numFmtId="0" fontId="15" fillId="0" borderId="9" xfId="0" applyFont="1" applyBorder="1" applyAlignment="1" applyProtection="1">
      <alignment horizontal="center" wrapText="1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0" fillId="0" borderId="1" xfId="0" applyNumberForma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5" fillId="0" borderId="41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40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15" fillId="0" borderId="1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3.7940715050318166</c:v>
                </c:pt>
                <c:pt idx="2">
                  <c:v>4.9377274035395011</c:v>
                </c:pt>
                <c:pt idx="3">
                  <c:v>6.4274775055040303</c:v>
                </c:pt>
                <c:pt idx="4">
                  <c:v>8.3684435076636809</c:v>
                </c:pt>
                <c:pt idx="5">
                  <c:v>10.897785858680232</c:v>
                </c:pt>
                <c:pt idx="6">
                  <c:v>14.194499309147433</c:v>
                </c:pt>
                <c:pt idx="7">
                  <c:v>18.492212032390984</c:v>
                </c:pt>
                <c:pt idx="8">
                  <c:v>24.095911719327074</c:v>
                </c:pt>
                <c:pt idx="9">
                  <c:v>31.403806616304621</c:v>
                </c:pt>
                <c:pt idx="10">
                  <c:v>40.935901924486565</c:v>
                </c:pt>
                <c:pt idx="11">
                  <c:v>45.995824937849385</c:v>
                </c:pt>
                <c:pt idx="12">
                  <c:v>51.040864550780604</c:v>
                </c:pt>
                <c:pt idx="13">
                  <c:v>56.072704833394162</c:v>
                </c:pt>
                <c:pt idx="14">
                  <c:v>61.092701422671723</c:v>
                </c:pt>
                <c:pt idx="15">
                  <c:v>66.101967977769291</c:v>
                </c:pt>
                <c:pt idx="16">
                  <c:v>71.101434889641112</c:v>
                </c:pt>
                <c:pt idx="17">
                  <c:v>76.091890520314053</c:v>
                </c:pt>
                <c:pt idx="18">
                  <c:v>81.074011002076816</c:v>
                </c:pt>
                <c:pt idx="19">
                  <c:v>86.048382294364117</c:v>
                </c:pt>
                <c:pt idx="20">
                  <c:v>91.01551685143825</c:v>
                </c:pt>
                <c:pt idx="21">
                  <c:v>96.059293424495877</c:v>
                </c:pt>
                <c:pt idx="22">
                  <c:v>101.09647592120905</c:v>
                </c:pt>
                <c:pt idx="23">
                  <c:v>106.1274401371661</c:v>
                </c:pt>
                <c:pt idx="24">
                  <c:v>111.15252322541839</c:v>
                </c:pt>
                <c:pt idx="25">
                  <c:v>116.17202927831566</c:v>
                </c:pt>
                <c:pt idx="26">
                  <c:v>121.18623389119783</c:v>
                </c:pt>
                <c:pt idx="27">
                  <c:v>126.19538792903876</c:v>
                </c:pt>
                <c:pt idx="28">
                  <c:v>131.19972066206506</c:v>
                </c:pt>
                <c:pt idx="29">
                  <c:v>136.19944239663721</c:v>
                </c:pt>
                <c:pt idx="30">
                  <c:v>141.19474669860062</c:v>
                </c:pt>
                <c:pt idx="31">
                  <c:v>117.41844889935521</c:v>
                </c:pt>
                <c:pt idx="32">
                  <c:v>122.27181352878561</c:v>
                </c:pt>
                <c:pt idx="33">
                  <c:v>127.12049242384775</c:v>
                </c:pt>
                <c:pt idx="34">
                  <c:v>131.96468999042506</c:v>
                </c:pt>
                <c:pt idx="35">
                  <c:v>136.80459436256049</c:v>
                </c:pt>
                <c:pt idx="36">
                  <c:v>141.64037924106523</c:v>
                </c:pt>
                <c:pt idx="37">
                  <c:v>146.47220546726382</c:v>
                </c:pt>
                <c:pt idx="38">
                  <c:v>151.3002223777049</c:v>
                </c:pt>
                <c:pt idx="39">
                  <c:v>156.12456897649591</c:v>
                </c:pt>
                <c:pt idx="40">
                  <c:v>160.94537495481583</c:v>
                </c:pt>
                <c:pt idx="41">
                  <c:v>148.09833122562196</c:v>
                </c:pt>
                <c:pt idx="42">
                  <c:v>152.79144700218751</c:v>
                </c:pt>
                <c:pt idx="43">
                  <c:v>157.48113180902939</c:v>
                </c:pt>
                <c:pt idx="44">
                  <c:v>162.16750248508325</c:v>
                </c:pt>
                <c:pt idx="45">
                  <c:v>166.8506685486885</c:v>
                </c:pt>
                <c:pt idx="46">
                  <c:v>171.53073285365295</c:v>
                </c:pt>
                <c:pt idx="47">
                  <c:v>176.20779216981666</c:v>
                </c:pt>
                <c:pt idx="48">
                  <c:v>180.88193769862167</c:v>
                </c:pt>
                <c:pt idx="49">
                  <c:v>185.55325553249369</c:v>
                </c:pt>
                <c:pt idx="50">
                  <c:v>190.22182706545016</c:v>
                </c:pt>
                <c:pt idx="51">
                  <c:v>175.30550445846984</c:v>
                </c:pt>
                <c:pt idx="52">
                  <c:v>179.7316123866359</c:v>
                </c:pt>
                <c:pt idx="53">
                  <c:v>184.15516689410637</c:v>
                </c:pt>
                <c:pt idx="54">
                  <c:v>188.57623811572486</c:v>
                </c:pt>
                <c:pt idx="55">
                  <c:v>192.99489262176746</c:v>
                </c:pt>
                <c:pt idx="56">
                  <c:v>197.41119367847855</c:v>
                </c:pt>
                <c:pt idx="57">
                  <c:v>201.82520148402705</c:v>
                </c:pt>
                <c:pt idx="58">
                  <c:v>206.23697338270208</c:v>
                </c:pt>
                <c:pt idx="59">
                  <c:v>210.64656405978792</c:v>
                </c:pt>
                <c:pt idx="60">
                  <c:v>215.05402571923696</c:v>
                </c:pt>
                <c:pt idx="61">
                  <c:v>198.6939177176433</c:v>
                </c:pt>
                <c:pt idx="62">
                  <c:v>202.86456278492415</c:v>
                </c:pt>
                <c:pt idx="63">
                  <c:v>207.03322289239085</c:v>
                </c:pt>
                <c:pt idx="64">
                  <c:v>211.1999437388989</c:v>
                </c:pt>
                <c:pt idx="65">
                  <c:v>215.36476906896596</c:v>
                </c:pt>
                <c:pt idx="66">
                  <c:v>219.52774079341077</c:v>
                </c:pt>
                <c:pt idx="67">
                  <c:v>223.68889910034579</c:v>
                </c:pt>
                <c:pt idx="68">
                  <c:v>227.8482825574653</c:v>
                </c:pt>
                <c:pt idx="69">
                  <c:v>232.00592820645954</c:v>
                </c:pt>
                <c:pt idx="70">
                  <c:v>236.16187165029689</c:v>
                </c:pt>
                <c:pt idx="71">
                  <c:v>218.97692512402543</c:v>
                </c:pt>
                <c:pt idx="72">
                  <c:v>222.89820975716569</c:v>
                </c:pt>
                <c:pt idx="73">
                  <c:v>226.81791209882192</c:v>
                </c:pt>
                <c:pt idx="74">
                  <c:v>230.736063412498</c:v>
                </c:pt>
                <c:pt idx="75">
                  <c:v>234.65269381098105</c:v>
                </c:pt>
                <c:pt idx="76">
                  <c:v>238.56783231764553</c:v>
                </c:pt>
                <c:pt idx="77">
                  <c:v>242.48150692351541</c:v>
                </c:pt>
                <c:pt idx="78">
                  <c:v>246.39374464044309</c:v>
                </c:pt>
                <c:pt idx="79">
                  <c:v>250.30457155072909</c:v>
                </c:pt>
                <c:pt idx="80">
                  <c:v>254.21401285347324</c:v>
                </c:pt>
                <c:pt idx="81">
                  <c:v>235.31737948255306</c:v>
                </c:pt>
                <c:pt idx="82">
                  <c:v>239.14443638206026</c:v>
                </c:pt>
                <c:pt idx="83">
                  <c:v>242.97009820492926</c:v>
                </c:pt>
                <c:pt idx="84">
                  <c:v>246.79439006404766</c:v>
                </c:pt>
                <c:pt idx="85">
                  <c:v>250.61733622888337</c:v>
                </c:pt>
                <c:pt idx="86">
                  <c:v>254.43896016654585</c:v>
                </c:pt>
                <c:pt idx="87">
                  <c:v>258.25928458024669</c:v>
                </c:pt>
                <c:pt idx="88">
                  <c:v>262.07833144536136</c:v>
                </c:pt>
                <c:pt idx="89">
                  <c:v>265.89612204327688</c:v>
                </c:pt>
                <c:pt idx="90">
                  <c:v>269.7126769931898</c:v>
                </c:pt>
                <c:pt idx="91">
                  <c:v>250.6328193987205</c:v>
                </c:pt>
                <c:pt idx="92">
                  <c:v>254.24496917314158</c:v>
                </c:pt>
                <c:pt idx="93">
                  <c:v>257.85595699105755</c:v>
                </c:pt>
                <c:pt idx="94">
                  <c:v>261.46580145486388</c:v>
                </c:pt>
                <c:pt idx="95">
                  <c:v>265.07452061034036</c:v>
                </c:pt>
                <c:pt idx="96">
                  <c:v>268.68213197083338</c:v>
                </c:pt>
                <c:pt idx="97">
                  <c:v>272.2886525400715</c:v>
                </c:pt>
                <c:pt idx="98">
                  <c:v>275.89409883370479</c:v>
                </c:pt>
                <c:pt idx="99">
                  <c:v>279.49848689966035</c:v>
                </c:pt>
                <c:pt idx="100">
                  <c:v>283.10183233738871</c:v>
                </c:pt>
                <c:pt idx="101">
                  <c:v>263.96109196677475</c:v>
                </c:pt>
                <c:pt idx="102">
                  <c:v>267.38351841754837</c:v>
                </c:pt>
                <c:pt idx="103">
                  <c:v>270.80495793510266</c:v>
                </c:pt>
                <c:pt idx="104">
                  <c:v>274.2254247741065</c:v>
                </c:pt>
                <c:pt idx="105">
                  <c:v>277.64493280389814</c:v>
                </c:pt>
                <c:pt idx="106">
                  <c:v>281.06349552363093</c:v>
                </c:pt>
                <c:pt idx="107">
                  <c:v>284.48112607664098</c:v>
                </c:pt>
                <c:pt idx="108">
                  <c:v>287.89783726408837</c:v>
                </c:pt>
                <c:pt idx="109">
                  <c:v>291.31364155791516</c:v>
                </c:pt>
                <c:pt idx="110">
                  <c:v>294.72855111316346</c:v>
                </c:pt>
                <c:pt idx="111">
                  <c:v>275.64278221892977</c:v>
                </c:pt>
                <c:pt idx="112">
                  <c:v>278.89302299078042</c:v>
                </c:pt>
                <c:pt idx="113">
                  <c:v>282.14241391291085</c:v>
                </c:pt>
                <c:pt idx="114">
                  <c:v>285.39096617407273</c:v>
                </c:pt>
                <c:pt idx="115">
                  <c:v>288.63869068701268</c:v>
                </c:pt>
                <c:pt idx="116">
                  <c:v>291.88559809838341</c:v>
                </c:pt>
                <c:pt idx="117">
                  <c:v>295.13169879818764</c:v>
                </c:pt>
                <c:pt idx="118">
                  <c:v>298.37700292878753</c:v>
                </c:pt>
                <c:pt idx="119">
                  <c:v>301.6215203934978</c:v>
                </c:pt>
                <c:pt idx="120">
                  <c:v>304.86526086479199</c:v>
                </c:pt>
                <c:pt idx="121">
                  <c:v>286.03934198193417</c:v>
                </c:pt>
                <c:pt idx="122">
                  <c:v>289.1202225994499</c:v>
                </c:pt>
                <c:pt idx="123">
                  <c:v>292.20036925031758</c:v>
                </c:pt>
                <c:pt idx="124">
                  <c:v>295.2797907788534</c:v>
                </c:pt>
                <c:pt idx="125">
                  <c:v>298.35849582949118</c:v>
                </c:pt>
                <c:pt idx="126">
                  <c:v>301.43649285336335</c:v>
                </c:pt>
                <c:pt idx="127">
                  <c:v>304.51379011459977</c:v>
                </c:pt>
                <c:pt idx="128">
                  <c:v>307.59039569635775</c:v>
                </c:pt>
                <c:pt idx="129">
                  <c:v>310.66631750659769</c:v>
                </c:pt>
                <c:pt idx="130">
                  <c:v>313.74156328361835</c:v>
                </c:pt>
                <c:pt idx="131">
                  <c:v>295.19237557407541</c:v>
                </c:pt>
                <c:pt idx="132">
                  <c:v>298.12407035611278</c:v>
                </c:pt>
                <c:pt idx="133">
                  <c:v>301.0551225538257</c:v>
                </c:pt>
                <c:pt idx="134">
                  <c:v>303.98553931871487</c:v>
                </c:pt>
                <c:pt idx="135">
                  <c:v>306.91532765288451</c:v>
                </c:pt>
                <c:pt idx="136">
                  <c:v>309.84449441359243</c:v>
                </c:pt>
                <c:pt idx="137">
                  <c:v>312.77304631762058</c:v>
                </c:pt>
                <c:pt idx="138">
                  <c:v>315.70098994547101</c:v>
                </c:pt>
                <c:pt idx="139">
                  <c:v>318.62833174539895</c:v>
                </c:pt>
                <c:pt idx="140">
                  <c:v>321.55507803729012</c:v>
                </c:pt>
                <c:pt idx="141">
                  <c:v>303.29487711261339</c:v>
                </c:pt>
                <c:pt idx="142">
                  <c:v>306.09225482910631</c:v>
                </c:pt>
                <c:pt idx="143">
                  <c:v>308.88906420647976</c:v>
                </c:pt>
                <c:pt idx="144">
                  <c:v>311.68531112708018</c:v>
                </c:pt>
                <c:pt idx="145">
                  <c:v>314.4810013588949</c:v>
                </c:pt>
                <c:pt idx="146">
                  <c:v>317.2761405587965</c:v>
                </c:pt>
                <c:pt idx="147">
                  <c:v>320.07073427566644</c:v>
                </c:pt>
                <c:pt idx="148">
                  <c:v>322.86478795340321</c:v>
                </c:pt>
                <c:pt idx="149">
                  <c:v>325.65830693382185</c:v>
                </c:pt>
                <c:pt idx="150">
                  <c:v>328.45129645944729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84790112"/>
        <c:axId val="-1084796640"/>
      </c:scatterChart>
      <c:valAx>
        <c:axId val="-10847901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4796640"/>
        <c:crosses val="autoZero"/>
        <c:crossBetween val="midCat"/>
      </c:valAx>
      <c:valAx>
        <c:axId val="-108479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4790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28693664"/>
        <c:axId val="-1128698016"/>
      </c:scatterChart>
      <c:valAx>
        <c:axId val="-112869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28698016"/>
        <c:crosses val="autoZero"/>
        <c:crossBetween val="midCat"/>
      </c:valAx>
      <c:valAx>
        <c:axId val="-112869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2869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3.0871061586598092</c:v>
                </c:pt>
                <c:pt idx="2">
                  <c:v>3.5897982350291548</c:v>
                </c:pt>
                <c:pt idx="3">
                  <c:v>4.1746410958505207</c:v>
                </c:pt>
                <c:pt idx="4">
                  <c:v>4.8551053724219182</c:v>
                </c:pt>
                <c:pt idx="5">
                  <c:v>5.646877515278006</c:v>
                </c:pt>
                <c:pt idx="6">
                  <c:v>6.5682253491886478</c:v>
                </c:pt>
                <c:pt idx="7">
                  <c:v>7.6404240988788139</c:v>
                </c:pt>
                <c:pt idx="8">
                  <c:v>8.8882529134923711</c:v>
                </c:pt>
                <c:pt idx="9">
                  <c:v>10.34057358457027</c:v>
                </c:pt>
                <c:pt idx="10">
                  <c:v>12.031005096661431</c:v>
                </c:pt>
                <c:pt idx="11">
                  <c:v>13.998709917954089</c:v>
                </c:pt>
                <c:pt idx="12">
                  <c:v>16.289310584569293</c:v>
                </c:pt>
                <c:pt idx="13">
                  <c:v>18.955958219499454</c:v>
                </c:pt>
                <c:pt idx="14">
                  <c:v>22.060578229256048</c:v>
                </c:pt>
                <c:pt idx="15">
                  <c:v>25.675322624084725</c:v>
                </c:pt>
                <c:pt idx="16">
                  <c:v>29.884263311467056</c:v>
                </c:pt>
                <c:pt idx="17">
                  <c:v>34.785366434701693</c:v>
                </c:pt>
                <c:pt idx="18">
                  <c:v>40.49279450539445</c:v>
                </c:pt>
                <c:pt idx="19">
                  <c:v>47.139590870326508</c:v>
                </c:pt>
                <c:pt idx="20">
                  <c:v>54.880810145782512</c:v>
                </c:pt>
                <c:pt idx="21">
                  <c:v>63.897168863578067</c:v>
                </c:pt>
                <c:pt idx="22">
                  <c:v>74.399302956748855</c:v>
                </c:pt>
                <c:pt idx="23">
                  <c:v>86.632733165715976</c:v>
                </c:pt>
                <c:pt idx="24">
                  <c:v>100.88365631398206</c:v>
                </c:pt>
                <c:pt idx="25">
                  <c:v>117.48570009032257</c:v>
                </c:pt>
                <c:pt idx="26">
                  <c:v>129.82617251251665</c:v>
                </c:pt>
                <c:pt idx="27">
                  <c:v>142.13827628990313</c:v>
                </c:pt>
                <c:pt idx="28">
                  <c:v>154.4248175137443</c:v>
                </c:pt>
                <c:pt idx="29">
                  <c:v>166.68811840881372</c:v>
                </c:pt>
                <c:pt idx="30">
                  <c:v>178.93013103704496</c:v>
                </c:pt>
                <c:pt idx="31">
                  <c:v>161.69463183027304</c:v>
                </c:pt>
                <c:pt idx="32">
                  <c:v>173.94510188414441</c:v>
                </c:pt>
                <c:pt idx="33">
                  <c:v>186.17529975179789</c:v>
                </c:pt>
                <c:pt idx="34">
                  <c:v>198.38674569323584</c:v>
                </c:pt>
                <c:pt idx="35">
                  <c:v>210.58075731770055</c:v>
                </c:pt>
                <c:pt idx="36">
                  <c:v>223.20921499711059</c:v>
                </c:pt>
                <c:pt idx="37">
                  <c:v>235.82129223278241</c:v>
                </c:pt>
                <c:pt idx="38">
                  <c:v>248.41798889769314</c:v>
                </c:pt>
                <c:pt idx="39">
                  <c:v>261.00019511445589</c:v>
                </c:pt>
                <c:pt idx="40">
                  <c:v>273.56870812584953</c:v>
                </c:pt>
                <c:pt idx="41">
                  <c:v>243.47106182824416</c:v>
                </c:pt>
                <c:pt idx="42">
                  <c:v>256.05886083233315</c:v>
                </c:pt>
                <c:pt idx="43">
                  <c:v>268.63266357331719</c:v>
                </c:pt>
                <c:pt idx="44">
                  <c:v>281.19321771504815</c:v>
                </c:pt>
                <c:pt idx="45">
                  <c:v>293.74119864073793</c:v>
                </c:pt>
                <c:pt idx="46">
                  <c:v>305.38217369471624</c:v>
                </c:pt>
                <c:pt idx="47">
                  <c:v>317.01328525113047</c:v>
                </c:pt>
                <c:pt idx="48">
                  <c:v>328.63494633534441</c:v>
                </c:pt>
                <c:pt idx="49">
                  <c:v>340.24753836464981</c:v>
                </c:pt>
                <c:pt idx="50">
                  <c:v>351.85141458646621</c:v>
                </c:pt>
                <c:pt idx="51">
                  <c:v>317.90758965511367</c:v>
                </c:pt>
                <c:pt idx="52">
                  <c:v>328.63494633534441</c:v>
                </c:pt>
                <c:pt idx="53">
                  <c:v>339.35457583220517</c:v>
                </c:pt>
                <c:pt idx="54">
                  <c:v>350.06675674809662</c:v>
                </c:pt>
                <c:pt idx="55">
                  <c:v>360.77174923572994</c:v>
                </c:pt>
                <c:pt idx="56">
                  <c:v>371.46979674286735</c:v>
                </c:pt>
                <c:pt idx="57">
                  <c:v>382.16112754551074</c:v>
                </c:pt>
                <c:pt idx="58">
                  <c:v>392.8459561005152</c:v>
                </c:pt>
                <c:pt idx="59">
                  <c:v>403.52448424332829</c:v>
                </c:pt>
                <c:pt idx="60">
                  <c:v>414.19690225230175</c:v>
                </c:pt>
                <c:pt idx="61">
                  <c:v>375.47982110051879</c:v>
                </c:pt>
                <c:pt idx="62">
                  <c:v>385.72344931967274</c:v>
                </c:pt>
                <c:pt idx="63">
                  <c:v>395.96116895904311</c:v>
                </c:pt>
                <c:pt idx="64">
                  <c:v>406.1931543778187</c:v>
                </c:pt>
                <c:pt idx="65">
                  <c:v>416.41957043134624</c:v>
                </c:pt>
                <c:pt idx="66">
                  <c:v>425.75200145784373</c:v>
                </c:pt>
                <c:pt idx="67">
                  <c:v>435.08003271640973</c:v>
                </c:pt>
                <c:pt idx="68">
                  <c:v>444.40377187162198</c:v>
                </c:pt>
                <c:pt idx="69">
                  <c:v>453.72332170031183</c:v>
                </c:pt>
                <c:pt idx="70">
                  <c:v>463.03878041146299</c:v>
                </c:pt>
                <c:pt idx="71">
                  <c:v>425.30770062156671</c:v>
                </c:pt>
                <c:pt idx="72">
                  <c:v>434.19183536337567</c:v>
                </c:pt>
                <c:pt idx="73">
                  <c:v>443.07206797078311</c:v>
                </c:pt>
                <c:pt idx="74">
                  <c:v>451.94848771070707</c:v>
                </c:pt>
                <c:pt idx="75">
                  <c:v>460.82118005626131</c:v>
                </c:pt>
                <c:pt idx="76">
                  <c:v>468.80348401547377</c:v>
                </c:pt>
                <c:pt idx="77">
                  <c:v>476.78289256605399</c:v>
                </c:pt>
                <c:pt idx="78">
                  <c:v>484.75946101874075</c:v>
                </c:pt>
                <c:pt idx="79">
                  <c:v>492.73324271485484</c:v>
                </c:pt>
                <c:pt idx="80">
                  <c:v>500.70428912785286</c:v>
                </c:pt>
                <c:pt idx="81">
                  <c:v>464.3692317870125</c:v>
                </c:pt>
                <c:pt idx="82">
                  <c:v>472.35024193902171</c:v>
                </c:pt>
                <c:pt idx="83">
                  <c:v>480.3283815148838</c:v>
                </c:pt>
                <c:pt idx="84">
                  <c:v>488.30370493704322</c:v>
                </c:pt>
                <c:pt idx="85">
                  <c:v>496.2762647045397</c:v>
                </c:pt>
                <c:pt idx="86">
                  <c:v>503.80341255966482</c:v>
                </c:pt>
                <c:pt idx="87">
                  <c:v>511.32818178456893</c:v>
                </c:pt>
                <c:pt idx="88">
                  <c:v>518.85061233269823</c:v>
                </c:pt>
                <c:pt idx="89">
                  <c:v>526.37074290410135</c:v>
                </c:pt>
                <c:pt idx="90">
                  <c:v>533.88861100248562</c:v>
                </c:pt>
                <c:pt idx="91">
                  <c:v>497.16193630099792</c:v>
                </c:pt>
                <c:pt idx="92">
                  <c:v>504.68880220134207</c:v>
                </c:pt>
                <c:pt idx="93">
                  <c:v>512.21329423886789</c:v>
                </c:pt>
                <c:pt idx="94">
                  <c:v>519.73545221648567</c:v>
                </c:pt>
                <c:pt idx="95">
                  <c:v>527.25531469060434</c:v>
                </c:pt>
                <c:pt idx="96">
                  <c:v>533.88861100248562</c:v>
                </c:pt>
                <c:pt idx="97">
                  <c:v>540.52017419789036</c:v>
                </c:pt>
                <c:pt idx="98">
                  <c:v>547.15002854720217</c:v>
                </c:pt>
                <c:pt idx="99">
                  <c:v>553.7781976844484</c:v>
                </c:pt>
                <c:pt idx="100">
                  <c:v>560.40470463156919</c:v>
                </c:pt>
                <c:pt idx="101">
                  <c:v>527.03417467630641</c:v>
                </c:pt>
                <c:pt idx="102">
                  <c:v>533.44644543973675</c:v>
                </c:pt>
                <c:pt idx="103">
                  <c:v>539.85709517181601</c:v>
                </c:pt>
                <c:pt idx="104">
                  <c:v>546.26614584462834</c:v>
                </c:pt>
                <c:pt idx="105">
                  <c:v>552.67361887243351</c:v>
                </c:pt>
                <c:pt idx="106">
                  <c:v>559.07953513227335</c:v>
                </c:pt>
                <c:pt idx="107">
                  <c:v>565.48391498358501</c:v>
                </c:pt>
                <c:pt idx="108">
                  <c:v>571.88677828687867</c:v>
                </c:pt>
                <c:pt idx="109">
                  <c:v>578.288144421536</c:v>
                </c:pt>
                <c:pt idx="110">
                  <c:v>584.68803230277888</c:v>
                </c:pt>
                <c:pt idx="111">
                  <c:v>552.67361887243351</c:v>
                </c:pt>
                <c:pt idx="112">
                  <c:v>558.19605227369834</c:v>
                </c:pt>
                <c:pt idx="113">
                  <c:v>563.71734181651993</c:v>
                </c:pt>
                <c:pt idx="114">
                  <c:v>569.23750028949542</c:v>
                </c:pt>
                <c:pt idx="115">
                  <c:v>574.75654021285561</c:v>
                </c:pt>
                <c:pt idx="116">
                  <c:v>580.274473846673</c:v>
                </c:pt>
                <c:pt idx="117">
                  <c:v>585.79131319874728</c:v>
                </c:pt>
                <c:pt idx="118">
                  <c:v>591.30707003217458</c:v>
                </c:pt>
                <c:pt idx="119">
                  <c:v>596.82175587261997</c:v>
                </c:pt>
                <c:pt idx="120">
                  <c:v>602.33538201530905</c:v>
                </c:pt>
                <c:pt idx="121">
                  <c:v>607.40699166288084</c:v>
                </c:pt>
                <c:pt idx="122">
                  <c:v>612.47772221420166</c:v>
                </c:pt>
                <c:pt idx="123">
                  <c:v>617.54758197639637</c:v>
                </c:pt>
                <c:pt idx="124">
                  <c:v>622.61657910902306</c:v>
                </c:pt>
                <c:pt idx="125">
                  <c:v>627.68472162790124</c:v>
                </c:pt>
                <c:pt idx="126">
                  <c:v>632.75201740881027</c:v>
                </c:pt>
                <c:pt idx="127">
                  <c:v>637.81847419106168</c:v>
                </c:pt>
                <c:pt idx="128">
                  <c:v>642.88409958095269</c:v>
                </c:pt>
                <c:pt idx="129">
                  <c:v>647.9489010551066</c:v>
                </c:pt>
                <c:pt idx="130">
                  <c:v>653.01288596370114</c:v>
                </c:pt>
                <c:pt idx="131">
                  <c:v>3.2541982832721012E-12</c:v>
                </c:pt>
                <c:pt idx="132">
                  <c:v>3.2541982832721012E-12</c:v>
                </c:pt>
                <c:pt idx="133">
                  <c:v>3.2541982832721012E-12</c:v>
                </c:pt>
                <c:pt idx="134">
                  <c:v>3.2541982832721012E-12</c:v>
                </c:pt>
                <c:pt idx="135">
                  <c:v>3.2541982832721012E-12</c:v>
                </c:pt>
                <c:pt idx="136">
                  <c:v>3.2541982832721012E-12</c:v>
                </c:pt>
                <c:pt idx="137">
                  <c:v>3.2541982832721012E-12</c:v>
                </c:pt>
                <c:pt idx="138">
                  <c:v>3.2541982832721012E-12</c:v>
                </c:pt>
                <c:pt idx="139">
                  <c:v>3.2541982832721012E-12</c:v>
                </c:pt>
                <c:pt idx="140">
                  <c:v>3.2541982832721012E-12</c:v>
                </c:pt>
                <c:pt idx="141">
                  <c:v>3.2541982832721012E-12</c:v>
                </c:pt>
                <c:pt idx="142">
                  <c:v>3.2541982832721012E-12</c:v>
                </c:pt>
                <c:pt idx="143">
                  <c:v>3.2541982832721012E-12</c:v>
                </c:pt>
                <c:pt idx="144">
                  <c:v>3.2541982832721012E-12</c:v>
                </c:pt>
                <c:pt idx="145">
                  <c:v>3.2541982832721012E-12</c:v>
                </c:pt>
                <c:pt idx="146">
                  <c:v>3.2541982832721012E-12</c:v>
                </c:pt>
                <c:pt idx="147">
                  <c:v>3.2541982832721012E-12</c:v>
                </c:pt>
                <c:pt idx="148">
                  <c:v>3.2541982832721012E-12</c:v>
                </c:pt>
                <c:pt idx="149">
                  <c:v>3.2541982832721012E-12</c:v>
                </c:pt>
                <c:pt idx="150">
                  <c:v>3.2541982832721012E-12</c:v>
                </c:pt>
                <c:pt idx="151">
                  <c:v>3.2541982832721012E-12</c:v>
                </c:pt>
                <c:pt idx="152">
                  <c:v>3.2541982832721012E-12</c:v>
                </c:pt>
                <c:pt idx="153">
                  <c:v>3.2541982832721012E-12</c:v>
                </c:pt>
                <c:pt idx="154">
                  <c:v>3.2541982832721012E-12</c:v>
                </c:pt>
                <c:pt idx="155">
                  <c:v>3.2541982832721012E-12</c:v>
                </c:pt>
                <c:pt idx="156">
                  <c:v>3.2541982832721012E-12</c:v>
                </c:pt>
                <c:pt idx="157">
                  <c:v>3.2541982832721012E-12</c:v>
                </c:pt>
                <c:pt idx="158">
                  <c:v>3.2541982832721012E-12</c:v>
                </c:pt>
                <c:pt idx="159">
                  <c:v>3.2541982832721012E-12</c:v>
                </c:pt>
                <c:pt idx="160">
                  <c:v>3.2541982832721012E-12</c:v>
                </c:pt>
                <c:pt idx="161">
                  <c:v>3.2541982832721012E-12</c:v>
                </c:pt>
                <c:pt idx="162">
                  <c:v>3.2541982832721012E-12</c:v>
                </c:pt>
                <c:pt idx="163">
                  <c:v>3.2541982832721012E-12</c:v>
                </c:pt>
                <c:pt idx="164">
                  <c:v>3.2541982832721012E-12</c:v>
                </c:pt>
                <c:pt idx="165">
                  <c:v>3.2541982832721012E-12</c:v>
                </c:pt>
                <c:pt idx="166">
                  <c:v>3.2541982832721012E-12</c:v>
                </c:pt>
                <c:pt idx="167">
                  <c:v>3.2541982832721012E-12</c:v>
                </c:pt>
                <c:pt idx="168">
                  <c:v>3.2541982832721012E-12</c:v>
                </c:pt>
                <c:pt idx="169">
                  <c:v>3.2541982832721012E-12</c:v>
                </c:pt>
                <c:pt idx="170">
                  <c:v>3.2541982832721012E-12</c:v>
                </c:pt>
                <c:pt idx="171">
                  <c:v>3.2541982832721012E-12</c:v>
                </c:pt>
                <c:pt idx="172">
                  <c:v>3.2541982832721012E-12</c:v>
                </c:pt>
                <c:pt idx="173">
                  <c:v>3.2541982832721012E-12</c:v>
                </c:pt>
                <c:pt idx="174">
                  <c:v>3.2541982832721012E-12</c:v>
                </c:pt>
                <c:pt idx="175">
                  <c:v>3.2541982832721012E-12</c:v>
                </c:pt>
                <c:pt idx="176">
                  <c:v>3.2541982832721012E-12</c:v>
                </c:pt>
                <c:pt idx="177">
                  <c:v>3.2541982832721012E-12</c:v>
                </c:pt>
                <c:pt idx="178">
                  <c:v>3.2541982832721012E-12</c:v>
                </c:pt>
                <c:pt idx="179">
                  <c:v>3.2541982832721012E-12</c:v>
                </c:pt>
                <c:pt idx="180">
                  <c:v>3.2541982832721012E-12</c:v>
                </c:pt>
                <c:pt idx="181">
                  <c:v>3.2541982832721012E-12</c:v>
                </c:pt>
                <c:pt idx="182">
                  <c:v>3.2541982832721012E-12</c:v>
                </c:pt>
                <c:pt idx="183">
                  <c:v>3.2541982832721012E-12</c:v>
                </c:pt>
                <c:pt idx="184">
                  <c:v>3.2541982832721012E-12</c:v>
                </c:pt>
                <c:pt idx="185">
                  <c:v>3.2541982832721012E-12</c:v>
                </c:pt>
                <c:pt idx="186">
                  <c:v>3.2541982832721012E-12</c:v>
                </c:pt>
                <c:pt idx="187">
                  <c:v>3.2541982832721012E-12</c:v>
                </c:pt>
                <c:pt idx="188">
                  <c:v>3.2541982832721012E-12</c:v>
                </c:pt>
                <c:pt idx="189">
                  <c:v>3.2541982832721012E-12</c:v>
                </c:pt>
                <c:pt idx="190">
                  <c:v>3.2541982832721012E-12</c:v>
                </c:pt>
                <c:pt idx="191">
                  <c:v>3.2541982832721012E-12</c:v>
                </c:pt>
                <c:pt idx="192">
                  <c:v>3.2541982832721012E-12</c:v>
                </c:pt>
                <c:pt idx="193">
                  <c:v>3.2541982832721012E-12</c:v>
                </c:pt>
                <c:pt idx="194">
                  <c:v>3.2541982832721012E-12</c:v>
                </c:pt>
                <c:pt idx="195">
                  <c:v>3.2541982832721012E-12</c:v>
                </c:pt>
                <c:pt idx="196">
                  <c:v>3.2541982832721012E-12</c:v>
                </c:pt>
                <c:pt idx="197">
                  <c:v>3.2541982832721012E-12</c:v>
                </c:pt>
                <c:pt idx="198">
                  <c:v>3.2541982832721012E-12</c:v>
                </c:pt>
                <c:pt idx="199">
                  <c:v>3.2541982832721012E-12</c:v>
                </c:pt>
                <c:pt idx="200">
                  <c:v>3.2541982832721012E-12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84793376"/>
        <c:axId val="-1084789568"/>
      </c:scatterChart>
      <c:valAx>
        <c:axId val="-108479337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4789568"/>
        <c:crosses val="autoZero"/>
        <c:crossBetween val="midCat"/>
      </c:valAx>
      <c:valAx>
        <c:axId val="-108478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4793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2.9982392789265186</c:v>
                </c:pt>
                <c:pt idx="2">
                  <c:v>3.4864128071466247</c:v>
                </c:pt>
                <c:pt idx="3">
                  <c:v>4.0543570982250445</c:v>
                </c:pt>
                <c:pt idx="4">
                  <c:v>4.7151513870169497</c:v>
                </c:pt>
                <c:pt idx="5">
                  <c:v>5.4840261721417605</c:v>
                </c:pt>
                <c:pt idx="6">
                  <c:v>6.3787180944204946</c:v>
                </c:pt>
                <c:pt idx="7">
                  <c:v>7.4198835158627761</c:v>
                </c:pt>
                <c:pt idx="8">
                  <c:v>8.6315805330608182</c:v>
                </c:pt>
                <c:pt idx="9">
                  <c:v>10.041830776609748</c:v>
                </c:pt>
                <c:pt idx="10">
                  <c:v>11.683274235363131</c:v>
                </c:pt>
                <c:pt idx="11">
                  <c:v>13.593932545904785</c:v>
                </c:pt>
                <c:pt idx="12">
                  <c:v>15.818098756042142</c:v>
                </c:pt>
                <c:pt idx="13">
                  <c:v>18.407374567643028</c:v>
                </c:pt>
                <c:pt idx="14">
                  <c:v>21.421879560227229</c:v>
                </c:pt>
                <c:pt idx="15">
                  <c:v>24.931660975822229</c:v>
                </c:pt>
                <c:pt idx="16">
                  <c:v>29.018337405090673</c:v>
                </c:pt>
                <c:pt idx="17">
                  <c:v>33.77701526832405</c:v>
                </c:pt>
                <c:pt idx="18">
                  <c:v>39.318523465283874</c:v>
                </c:pt>
                <c:pt idx="19">
                  <c:v>45.772019129986347</c:v>
                </c:pt>
                <c:pt idx="20">
                  <c:v>53.288026251231258</c:v>
                </c:pt>
                <c:pt idx="21">
                  <c:v>62.041979218118826</c:v>
                </c:pt>
                <c:pt idx="22">
                  <c:v>72.238355368490531</c:v>
                </c:pt>
                <c:pt idx="23">
                  <c:v>84.115494644975385</c:v>
                </c:pt>
                <c:pt idx="24">
                  <c:v>97.951220834143371</c:v>
                </c:pt>
                <c:pt idx="25">
                  <c:v>114.06939797149329</c:v>
                </c:pt>
                <c:pt idx="26">
                  <c:v>126.05010433678125</c:v>
                </c:pt>
                <c:pt idx="27">
                  <c:v>138.00319162665042</c:v>
                </c:pt>
                <c:pt idx="28">
                  <c:v>149.93139178852815</c:v>
                </c:pt>
                <c:pt idx="29">
                  <c:v>161.83696568829643</c:v>
                </c:pt>
                <c:pt idx="30">
                  <c:v>173.72181380960998</c:v>
                </c:pt>
                <c:pt idx="31">
                  <c:v>156.98914910903591</c:v>
                </c:pt>
                <c:pt idx="32">
                  <c:v>168.88223118999716</c:v>
                </c:pt>
                <c:pt idx="33">
                  <c:v>180.7555767257742</c:v>
                </c:pt>
                <c:pt idx="34">
                  <c:v>192.61066580736011</c:v>
                </c:pt>
                <c:pt idx="35">
                  <c:v>204.44878122951926</c:v>
                </c:pt>
                <c:pt idx="36">
                  <c:v>216.70861540949181</c:v>
                </c:pt>
                <c:pt idx="37">
                  <c:v>228.95250195734911</c:v>
                </c:pt>
                <c:pt idx="38">
                  <c:v>241.18141432696416</c:v>
                </c:pt>
                <c:pt idx="39">
                  <c:v>253.39621912172103</c:v>
                </c:pt>
                <c:pt idx="40">
                  <c:v>265.59769251928259</c:v>
                </c:pt>
                <c:pt idx="41">
                  <c:v>236.37892704001902</c:v>
                </c:pt>
                <c:pt idx="42">
                  <c:v>248.59917684690143</c:v>
                </c:pt>
                <c:pt idx="43">
                  <c:v>260.80580020638394</c:v>
                </c:pt>
                <c:pt idx="44">
                  <c:v>272.99952502719992</c:v>
                </c:pt>
                <c:pt idx="45">
                  <c:v>285.18100884727517</c:v>
                </c:pt>
                <c:pt idx="46">
                  <c:v>296.4819484492582</c:v>
                </c:pt>
                <c:pt idx="47">
                  <c:v>307.77328517154916</c:v>
                </c:pt>
                <c:pt idx="48">
                  <c:v>319.05542112636539</c:v>
                </c:pt>
                <c:pt idx="49">
                  <c:v>330.32872765301562</c:v>
                </c:pt>
                <c:pt idx="50">
                  <c:v>341.59354866525337</c:v>
                </c:pt>
                <c:pt idx="51">
                  <c:v>308.64146352593883</c:v>
                </c:pt>
                <c:pt idx="52">
                  <c:v>319.05542112636539</c:v>
                </c:pt>
                <c:pt idx="53">
                  <c:v>329.46185571461712</c:v>
                </c:pt>
                <c:pt idx="54">
                  <c:v>339.86103853173358</c:v>
                </c:pt>
                <c:pt idx="55">
                  <c:v>350.25322285655176</c:v>
                </c:pt>
                <c:pt idx="56">
                  <c:v>360.63864570434475</c:v>
                </c:pt>
                <c:pt idx="57">
                  <c:v>371.01752931950097</c:v>
                </c:pt>
                <c:pt idx="58">
                  <c:v>381.39008249239788</c:v>
                </c:pt>
                <c:pt idx="59">
                  <c:v>391.75650172549376</c:v>
                </c:pt>
                <c:pt idx="60">
                  <c:v>402.11697226951833</c:v>
                </c:pt>
                <c:pt idx="61">
                  <c:v>364.5314818811791</c:v>
                </c:pt>
                <c:pt idx="62">
                  <c:v>374.47574048007596</c:v>
                </c:pt>
                <c:pt idx="63">
                  <c:v>384.4142466184033</c:v>
                </c:pt>
                <c:pt idx="64">
                  <c:v>394.3471700483513</c:v>
                </c:pt>
                <c:pt idx="65">
                  <c:v>404.27467126938319</c:v>
                </c:pt>
                <c:pt idx="66">
                  <c:v>413.33430507425345</c:v>
                </c:pt>
                <c:pt idx="67">
                  <c:v>422.38965536388537</c:v>
                </c:pt>
                <c:pt idx="68">
                  <c:v>431.44082695809374</c:v>
                </c:pt>
                <c:pt idx="69">
                  <c:v>440.48791991809281</c:v>
                </c:pt>
                <c:pt idx="70">
                  <c:v>449.53102985794368</c:v>
                </c:pt>
                <c:pt idx="71">
                  <c:v>412.90299192267588</c:v>
                </c:pt>
                <c:pt idx="72">
                  <c:v>421.52742269713411</c:v>
                </c:pt>
                <c:pt idx="73">
                  <c:v>430.14805444118139</c:v>
                </c:pt>
                <c:pt idx="74">
                  <c:v>438.76497406308476</c:v>
                </c:pt>
                <c:pt idx="75">
                  <c:v>447.3782647775476</c:v>
                </c:pt>
                <c:pt idx="76">
                  <c:v>455.1271896844421</c:v>
                </c:pt>
                <c:pt idx="77">
                  <c:v>462.87329568652353</c:v>
                </c:pt>
                <c:pt idx="78">
                  <c:v>470.61663663308497</c:v>
                </c:pt>
                <c:pt idx="79">
                  <c:v>478.35726445603876</c:v>
                </c:pt>
                <c:pt idx="80">
                  <c:v>486.09522926878566</c:v>
                </c:pt>
                <c:pt idx="81">
                  <c:v>450.82258294436605</c:v>
                </c:pt>
                <c:pt idx="82">
                  <c:v>458.57024822962632</c:v>
                </c:pt>
                <c:pt idx="83">
                  <c:v>466.31511878642374</c:v>
                </c:pt>
                <c:pt idx="84">
                  <c:v>474.05724759922759</c:v>
                </c:pt>
                <c:pt idx="85">
                  <c:v>481.79668577992373</c:v>
                </c:pt>
                <c:pt idx="86">
                  <c:v>489.10372909031207</c:v>
                </c:pt>
                <c:pt idx="87">
                  <c:v>496.40845661974186</c:v>
                </c:pt>
                <c:pt idx="88">
                  <c:v>503.7109072659909</c:v>
                </c:pt>
                <c:pt idx="89">
                  <c:v>511.01111870655717</c:v>
                </c:pt>
                <c:pt idx="90">
                  <c:v>518.30912745420778</c:v>
                </c:pt>
                <c:pt idx="91">
                  <c:v>482.6564594268022</c:v>
                </c:pt>
                <c:pt idx="92">
                  <c:v>489.96322823234829</c:v>
                </c:pt>
                <c:pt idx="93">
                  <c:v>497.26768589837212</c:v>
                </c:pt>
                <c:pt idx="94">
                  <c:v>504.56987117609305</c:v>
                </c:pt>
                <c:pt idx="95">
                  <c:v>511.86982160316461</c:v>
                </c:pt>
                <c:pt idx="96">
                  <c:v>518.30912745420778</c:v>
                </c:pt>
                <c:pt idx="97">
                  <c:v>524.74674598197555</c:v>
                </c:pt>
                <c:pt idx="98">
                  <c:v>531.18270081556818</c:v>
                </c:pt>
                <c:pt idx="99">
                  <c:v>537.61701496454396</c:v>
                </c:pt>
                <c:pt idx="100">
                  <c:v>544.04971084254669</c:v>
                </c:pt>
                <c:pt idx="101">
                  <c:v>511.6551487338611</c:v>
                </c:pt>
                <c:pt idx="102">
                  <c:v>517.87989315697871</c:v>
                </c:pt>
                <c:pt idx="103">
                  <c:v>524.10305938038141</c:v>
                </c:pt>
                <c:pt idx="104">
                  <c:v>530.32466879559684</c:v>
                </c:pt>
                <c:pt idx="105">
                  <c:v>536.54474225106776</c:v>
                </c:pt>
                <c:pt idx="106">
                  <c:v>542.76330007221281</c:v>
                </c:pt>
                <c:pt idx="107">
                  <c:v>548.98036208052292</c:v>
                </c:pt>
                <c:pt idx="108">
                  <c:v>555.19594761174483</c:v>
                </c:pt>
                <c:pt idx="109">
                  <c:v>561.41007553320912</c:v>
                </c:pt>
                <c:pt idx="110">
                  <c:v>567.62276426035078</c:v>
                </c:pt>
                <c:pt idx="111">
                  <c:v>536.54474225106776</c:v>
                </c:pt>
                <c:pt idx="112">
                  <c:v>541.90565733137828</c:v>
                </c:pt>
                <c:pt idx="113">
                  <c:v>547.26545877679962</c:v>
                </c:pt>
                <c:pt idx="114">
                  <c:v>552.62415903802332</c:v>
                </c:pt>
                <c:pt idx="115">
                  <c:v>557.98177030446402</c:v>
                </c:pt>
                <c:pt idx="116">
                  <c:v>563.33830451225333</c:v>
                </c:pt>
                <c:pt idx="117">
                  <c:v>568.69377335191564</c:v>
                </c:pt>
                <c:pt idx="118">
                  <c:v>574.04818827573661</c:v>
                </c:pt>
                <c:pt idx="119">
                  <c:v>579.40156050484518</c:v>
                </c:pt>
                <c:pt idx="120">
                  <c:v>584.7539010360191</c:v>
                </c:pt>
                <c:pt idx="121">
                  <c:v>589.67715239886218</c:v>
                </c:pt>
                <c:pt idx="122">
                  <c:v>594.59954789333995</c:v>
                </c:pt>
                <c:pt idx="123">
                  <c:v>599.52109560708266</c:v>
                </c:pt>
                <c:pt idx="124">
                  <c:v>604.44180348405246</c:v>
                </c:pt>
                <c:pt idx="125">
                  <c:v>609.36167932827186</c:v>
                </c:pt>
                <c:pt idx="126">
                  <c:v>614.28073080742217</c:v>
                </c:pt>
                <c:pt idx="127">
                  <c:v>619.19896545632366</c:v>
                </c:pt>
                <c:pt idx="128">
                  <c:v>624.11639068029638</c:v>
                </c:pt>
                <c:pt idx="129">
                  <c:v>629.03301375841249</c:v>
                </c:pt>
                <c:pt idx="130">
                  <c:v>633.94884184664045</c:v>
                </c:pt>
                <c:pt idx="131">
                  <c:v>3.1675048597887374E-12</c:v>
                </c:pt>
                <c:pt idx="132">
                  <c:v>3.1675048597887374E-12</c:v>
                </c:pt>
                <c:pt idx="133">
                  <c:v>3.1675048597887374E-12</c:v>
                </c:pt>
                <c:pt idx="134">
                  <c:v>3.1675048597887374E-12</c:v>
                </c:pt>
                <c:pt idx="135">
                  <c:v>3.1675048597887374E-12</c:v>
                </c:pt>
                <c:pt idx="136">
                  <c:v>3.1675048597887374E-12</c:v>
                </c:pt>
                <c:pt idx="137">
                  <c:v>3.1675048597887374E-12</c:v>
                </c:pt>
                <c:pt idx="138">
                  <c:v>3.1675048597887374E-12</c:v>
                </c:pt>
                <c:pt idx="139">
                  <c:v>3.1675048597887374E-12</c:v>
                </c:pt>
                <c:pt idx="140">
                  <c:v>3.1675048597887374E-12</c:v>
                </c:pt>
                <c:pt idx="141">
                  <c:v>3.1675048597887374E-12</c:v>
                </c:pt>
                <c:pt idx="142">
                  <c:v>3.1675048597887374E-12</c:v>
                </c:pt>
                <c:pt idx="143">
                  <c:v>3.1675048597887374E-12</c:v>
                </c:pt>
                <c:pt idx="144">
                  <c:v>3.1675048597887374E-12</c:v>
                </c:pt>
                <c:pt idx="145">
                  <c:v>3.1675048597887374E-12</c:v>
                </c:pt>
                <c:pt idx="146">
                  <c:v>3.1675048597887374E-12</c:v>
                </c:pt>
                <c:pt idx="147">
                  <c:v>3.1675048597887374E-12</c:v>
                </c:pt>
                <c:pt idx="148">
                  <c:v>3.1675048597887374E-12</c:v>
                </c:pt>
                <c:pt idx="149">
                  <c:v>3.1675048597887374E-12</c:v>
                </c:pt>
                <c:pt idx="150">
                  <c:v>3.1675048597887374E-12</c:v>
                </c:pt>
                <c:pt idx="151">
                  <c:v>3.1675048597887374E-12</c:v>
                </c:pt>
                <c:pt idx="152">
                  <c:v>3.1675048597887374E-12</c:v>
                </c:pt>
                <c:pt idx="153">
                  <c:v>3.1675048597887374E-12</c:v>
                </c:pt>
                <c:pt idx="154">
                  <c:v>3.1675048597887374E-12</c:v>
                </c:pt>
                <c:pt idx="155">
                  <c:v>3.1675048597887374E-12</c:v>
                </c:pt>
                <c:pt idx="156">
                  <c:v>3.1675048597887374E-12</c:v>
                </c:pt>
                <c:pt idx="157">
                  <c:v>3.1675048597887374E-12</c:v>
                </c:pt>
                <c:pt idx="158">
                  <c:v>3.1675048597887374E-12</c:v>
                </c:pt>
                <c:pt idx="159">
                  <c:v>3.1675048597887374E-12</c:v>
                </c:pt>
                <c:pt idx="160">
                  <c:v>3.1675048597887374E-12</c:v>
                </c:pt>
                <c:pt idx="161">
                  <c:v>3.1675048597887374E-12</c:v>
                </c:pt>
                <c:pt idx="162">
                  <c:v>3.1675048597887374E-12</c:v>
                </c:pt>
                <c:pt idx="163">
                  <c:v>3.1675048597887374E-12</c:v>
                </c:pt>
                <c:pt idx="164">
                  <c:v>3.1675048597887374E-12</c:v>
                </c:pt>
                <c:pt idx="165">
                  <c:v>3.1675048597887374E-12</c:v>
                </c:pt>
                <c:pt idx="166">
                  <c:v>3.1675048597887374E-12</c:v>
                </c:pt>
                <c:pt idx="167">
                  <c:v>3.1675048597887374E-12</c:v>
                </c:pt>
                <c:pt idx="168">
                  <c:v>3.1675048597887374E-12</c:v>
                </c:pt>
                <c:pt idx="169">
                  <c:v>3.1675048597887374E-12</c:v>
                </c:pt>
                <c:pt idx="170">
                  <c:v>3.1675048597887374E-12</c:v>
                </c:pt>
                <c:pt idx="171">
                  <c:v>3.1675048597887374E-12</c:v>
                </c:pt>
                <c:pt idx="172">
                  <c:v>3.1675048597887374E-12</c:v>
                </c:pt>
                <c:pt idx="173">
                  <c:v>3.1675048597887374E-12</c:v>
                </c:pt>
                <c:pt idx="174">
                  <c:v>3.1675048597887374E-12</c:v>
                </c:pt>
                <c:pt idx="175">
                  <c:v>3.1675048597887374E-12</c:v>
                </c:pt>
                <c:pt idx="176">
                  <c:v>3.1675048597887374E-12</c:v>
                </c:pt>
                <c:pt idx="177">
                  <c:v>3.1675048597887374E-12</c:v>
                </c:pt>
                <c:pt idx="178">
                  <c:v>3.1675048597887374E-12</c:v>
                </c:pt>
                <c:pt idx="179">
                  <c:v>3.1675048597887374E-12</c:v>
                </c:pt>
                <c:pt idx="180">
                  <c:v>3.1675048597887374E-12</c:v>
                </c:pt>
                <c:pt idx="181">
                  <c:v>3.1675048597887374E-12</c:v>
                </c:pt>
                <c:pt idx="182">
                  <c:v>3.1675048597887374E-12</c:v>
                </c:pt>
                <c:pt idx="183">
                  <c:v>3.1675048597887374E-12</c:v>
                </c:pt>
                <c:pt idx="184">
                  <c:v>3.1675048597887374E-12</c:v>
                </c:pt>
                <c:pt idx="185">
                  <c:v>3.1675048597887374E-12</c:v>
                </c:pt>
                <c:pt idx="186">
                  <c:v>3.1675048597887374E-12</c:v>
                </c:pt>
                <c:pt idx="187">
                  <c:v>3.1675048597887374E-12</c:v>
                </c:pt>
                <c:pt idx="188">
                  <c:v>3.1675048597887374E-12</c:v>
                </c:pt>
                <c:pt idx="189">
                  <c:v>3.1675048597887374E-12</c:v>
                </c:pt>
                <c:pt idx="190">
                  <c:v>3.1675048597887374E-12</c:v>
                </c:pt>
                <c:pt idx="191">
                  <c:v>3.1675048597887374E-12</c:v>
                </c:pt>
                <c:pt idx="192">
                  <c:v>3.1675048597887374E-12</c:v>
                </c:pt>
                <c:pt idx="193">
                  <c:v>3.1675048597887374E-12</c:v>
                </c:pt>
                <c:pt idx="194">
                  <c:v>3.1675048597887374E-12</c:v>
                </c:pt>
                <c:pt idx="195">
                  <c:v>3.1675048597887374E-12</c:v>
                </c:pt>
                <c:pt idx="196">
                  <c:v>3.1675048597887374E-12</c:v>
                </c:pt>
                <c:pt idx="197">
                  <c:v>3.1675048597887374E-12</c:v>
                </c:pt>
                <c:pt idx="198">
                  <c:v>3.1675048597887374E-12</c:v>
                </c:pt>
                <c:pt idx="199">
                  <c:v>3.1675048597887374E-12</c:v>
                </c:pt>
                <c:pt idx="200">
                  <c:v>3.1675048597887374E-12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84792288"/>
        <c:axId val="-1084793920"/>
      </c:scatterChart>
      <c:valAx>
        <c:axId val="-108479228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4793920"/>
        <c:crosses val="autoZero"/>
        <c:crossBetween val="midCat"/>
      </c:valAx>
      <c:valAx>
        <c:axId val="-108479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4792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3.1758851917069624</c:v>
                </c:pt>
                <c:pt idx="2">
                  <c:v>3.6930827901806804</c:v>
                </c:pt>
                <c:pt idx="3">
                  <c:v>4.2948092631776946</c:v>
                </c:pt>
                <c:pt idx="4">
                  <c:v>4.9949263520296681</c:v>
                </c:pt>
                <c:pt idx="5">
                  <c:v>5.8095761303081019</c:v>
                </c:pt>
                <c:pt idx="6">
                  <c:v>6.7575572290867214</c:v>
                </c:pt>
                <c:pt idx="7">
                  <c:v>7.8607633021630408</c:v>
                </c:pt>
                <c:pt idx="8">
                  <c:v>9.1446940532885677</c:v>
                </c:pt>
                <c:pt idx="9">
                  <c:v>10.639050863170111</c:v>
                </c:pt>
                <c:pt idx="10">
                  <c:v>12.378431055487587</c:v>
                </c:pt>
                <c:pt idx="11">
                  <c:v>14.403137176112844</c:v>
                </c:pt>
                <c:pt idx="12">
                  <c:v>16.760120383767219</c:v>
                </c:pt>
                <c:pt idx="13">
                  <c:v>19.504080228485034</c:v>
                </c:pt>
                <c:pt idx="14">
                  <c:v>22.698746802282628</c:v>
                </c:pt>
                <c:pt idx="15">
                  <c:v>26.418375572875558</c:v>
                </c:pt>
                <c:pt idx="16">
                  <c:v>30.74949025945617</c:v>
                </c:pt>
                <c:pt idx="17">
                  <c:v>35.792915000042449</c:v>
                </c:pt>
                <c:pt idx="18">
                  <c:v>41.66614393352328</c:v>
                </c:pt>
                <c:pt idx="19">
                  <c:v>48.50610434060993</c:v>
                </c:pt>
                <c:pt idx="20">
                  <c:v>56.472378848327594</c:v>
                </c:pt>
                <c:pt idx="21">
                  <c:v>65.750963126448113</c:v>
                </c:pt>
                <c:pt idx="22">
                  <c:v>76.558648252891729</c:v>
                </c:pt>
                <c:pt idx="23">
                  <c:v>89.148131803944565</c:v>
                </c:pt>
                <c:pt idx="24">
                  <c:v>103.8139790906345</c:v>
                </c:pt>
                <c:pt idx="25">
                  <c:v>120.89957623101225</c:v>
                </c:pt>
                <c:pt idx="26">
                  <c:v>133.59958460174616</c:v>
                </c:pt>
                <c:pt idx="27">
                  <c:v>146.27047735864627</c:v>
                </c:pt>
                <c:pt idx="28">
                  <c:v>158.91513447959397</c:v>
                </c:pt>
                <c:pt idx="29">
                  <c:v>171.53593933539199</c:v>
                </c:pt>
                <c:pt idx="30">
                  <c:v>184.1348953873202</c:v>
                </c:pt>
                <c:pt idx="31">
                  <c:v>166.39687337848804</c:v>
                </c:pt>
                <c:pt idx="32">
                  <c:v>179.00450954681375</c:v>
                </c:pt>
                <c:pt idx="33">
                  <c:v>191.59133974610234</c:v>
                </c:pt>
                <c:pt idx="34">
                  <c:v>204.15892426601383</c:v>
                </c:pt>
                <c:pt idx="35">
                  <c:v>216.70861540949181</c:v>
                </c:pt>
                <c:pt idx="36">
                  <c:v>229.70547345488194</c:v>
                </c:pt>
                <c:pt idx="37">
                  <c:v>242.6855197463957</c:v>
                </c:pt>
                <c:pt idx="38">
                  <c:v>255.64978048446264</c:v>
                </c:pt>
                <c:pt idx="39">
                  <c:v>268.59916922933365</c:v>
                </c:pt>
                <c:pt idx="40">
                  <c:v>281.53450421582534</c:v>
                </c:pt>
                <c:pt idx="41">
                  <c:v>250.5584999856305</c:v>
                </c:pt>
                <c:pt idx="42">
                  <c:v>263.5136287803752</c:v>
                </c:pt>
                <c:pt idx="43">
                  <c:v>276.45439277925317</c:v>
                </c:pt>
                <c:pt idx="44">
                  <c:v>289.3815593327011</c:v>
                </c:pt>
                <c:pt idx="45">
                  <c:v>302.29582160730928</c:v>
                </c:pt>
                <c:pt idx="46">
                  <c:v>314.27663275054891</c:v>
                </c:pt>
                <c:pt idx="47">
                  <c:v>326.24732068247289</c:v>
                </c:pt>
                <c:pt idx="48">
                  <c:v>338.20830930373194</c:v>
                </c:pt>
                <c:pt idx="49">
                  <c:v>350.15999007463915</c:v>
                </c:pt>
                <c:pt idx="50">
                  <c:v>362.10272554389991</c:v>
                </c:pt>
                <c:pt idx="51">
                  <c:v>327.16773590634534</c:v>
                </c:pt>
                <c:pt idx="52">
                  <c:v>338.20830930373194</c:v>
                </c:pt>
                <c:pt idx="53">
                  <c:v>349.24095205485213</c:v>
                </c:pt>
                <c:pt idx="54">
                  <c:v>360.26595009792987</c:v>
                </c:pt>
                <c:pt idx="55">
                  <c:v>371.28357043570492</c:v>
                </c:pt>
                <c:pt idx="56">
                  <c:v>382.29406292611247</c:v>
                </c:pt>
                <c:pt idx="57">
                  <c:v>393.29766185584373</c:v>
                </c:pt>
                <c:pt idx="58">
                  <c:v>404.29458732857393</c:v>
                </c:pt>
                <c:pt idx="59">
                  <c:v>415.28504649423854</c:v>
                </c:pt>
                <c:pt idx="60">
                  <c:v>426.26923464137013</c:v>
                </c:pt>
                <c:pt idx="61">
                  <c:v>386.42120824586408</c:v>
                </c:pt>
                <c:pt idx="62">
                  <c:v>396.96403469017793</c:v>
                </c:pt>
                <c:pt idx="63">
                  <c:v>407.50079697709367</c:v>
                </c:pt>
                <c:pt idx="64">
                  <c:v>418.03167405681643</c:v>
                </c:pt>
                <c:pt idx="65">
                  <c:v>428.55683512546562</c:v>
                </c:pt>
                <c:pt idx="66">
                  <c:v>438.16190875664512</c:v>
                </c:pt>
                <c:pt idx="67">
                  <c:v>447.76246677049721</c:v>
                </c:pt>
                <c:pt idx="68">
                  <c:v>457.35861966649367</c:v>
                </c:pt>
                <c:pt idx="69">
                  <c:v>466.95047292766162</c:v>
                </c:pt>
                <c:pt idx="70">
                  <c:v>476.53812734890556</c:v>
                </c:pt>
                <c:pt idx="71">
                  <c:v>437.70462758915505</c:v>
                </c:pt>
                <c:pt idx="72">
                  <c:v>446.84831940109234</c:v>
                </c:pt>
                <c:pt idx="73">
                  <c:v>455.9880063323194</c:v>
                </c:pt>
                <c:pt idx="74">
                  <c:v>465.12378000022341</c:v>
                </c:pt>
                <c:pt idx="75">
                  <c:v>474.25572812849333</c:v>
                </c:pt>
                <c:pt idx="76">
                  <c:v>482.47128016239776</c:v>
                </c:pt>
                <c:pt idx="77">
                  <c:v>490.68386054925304</c:v>
                </c:pt>
                <c:pt idx="78">
                  <c:v>498.89352605617393</c:v>
                </c:pt>
                <c:pt idx="79">
                  <c:v>507.10033142900062</c:v>
                </c:pt>
                <c:pt idx="80">
                  <c:v>515.30432949652698</c:v>
                </c:pt>
                <c:pt idx="81">
                  <c:v>477.90745517780124</c:v>
                </c:pt>
                <c:pt idx="82">
                  <c:v>486.12167933752738</c:v>
                </c:pt>
                <c:pt idx="83">
                  <c:v>494.33295733654887</c:v>
                </c:pt>
                <c:pt idx="84">
                  <c:v>502.5413450302965</c:v>
                </c:pt>
                <c:pt idx="85">
                  <c:v>510.74689630015126</c:v>
                </c:pt>
                <c:pt idx="86">
                  <c:v>518.49402607090269</c:v>
                </c:pt>
                <c:pt idx="87">
                  <c:v>526.23871458020369</c:v>
                </c:pt>
                <c:pt idx="88">
                  <c:v>533.98100283350652</c:v>
                </c:pt>
                <c:pt idx="89">
                  <c:v>541.72093054986328</c:v>
                </c:pt>
                <c:pt idx="90">
                  <c:v>549.45853622048321</c:v>
                </c:pt>
                <c:pt idx="91">
                  <c:v>511.6584514077968</c:v>
                </c:pt>
                <c:pt idx="92">
                  <c:v>519.40529179967302</c:v>
                </c:pt>
                <c:pt idx="93">
                  <c:v>527.14969582303104</c:v>
                </c:pt>
                <c:pt idx="94">
                  <c:v>534.89170432882361</c:v>
                </c:pt>
                <c:pt idx="95">
                  <c:v>542.63135688868067</c:v>
                </c:pt>
                <c:pt idx="96">
                  <c:v>549.45853622048321</c:v>
                </c:pt>
                <c:pt idx="97">
                  <c:v>556.28393680147121</c:v>
                </c:pt>
                <c:pt idx="98">
                  <c:v>563.10758354108657</c:v>
                </c:pt>
                <c:pt idx="99">
                  <c:v>569.92950069565961</c:v>
                </c:pt>
                <c:pt idx="100">
                  <c:v>576.74971189331654</c:v>
                </c:pt>
                <c:pt idx="101">
                  <c:v>542.40375331351447</c:v>
                </c:pt>
                <c:pt idx="102">
                  <c:v>549.00344654997514</c:v>
                </c:pt>
                <c:pt idx="103">
                  <c:v>555.60147607203692</c:v>
                </c:pt>
                <c:pt idx="104">
                  <c:v>562.19786443032706</c:v>
                </c:pt>
                <c:pt idx="105">
                  <c:v>568.79263360295954</c:v>
                </c:pt>
                <c:pt idx="106">
                  <c:v>575.38580501668559</c:v>
                </c:pt>
                <c:pt idx="107">
                  <c:v>581.97739956702242</c:v>
                </c:pt>
                <c:pt idx="108">
                  <c:v>588.5674376374235</c:v>
                </c:pt>
                <c:pt idx="109">
                  <c:v>595.15593911754479</c:v>
                </c:pt>
                <c:pt idx="110">
                  <c:v>601.74292342066121</c:v>
                </c:pt>
                <c:pt idx="111">
                  <c:v>568.79263360295954</c:v>
                </c:pt>
                <c:pt idx="112">
                  <c:v>574.47649627813621</c:v>
                </c:pt>
                <c:pt idx="113">
                  <c:v>580.15918497616485</c:v>
                </c:pt>
                <c:pt idx="114">
                  <c:v>585.84071282237767</c:v>
                </c:pt>
                <c:pt idx="115">
                  <c:v>591.52109266667173</c:v>
                </c:pt>
                <c:pt idx="116">
                  <c:v>597.20033709193797</c:v>
                </c:pt>
                <c:pt idx="117">
                  <c:v>602.87845842215063</c:v>
                </c:pt>
                <c:pt idx="118">
                  <c:v>608.55546873013759</c:v>
                </c:pt>
                <c:pt idx="119">
                  <c:v>614.2313798450441</c:v>
                </c:pt>
                <c:pt idx="120">
                  <c:v>619.90620335950757</c:v>
                </c:pt>
                <c:pt idx="121">
                  <c:v>625.12609019616411</c:v>
                </c:pt>
                <c:pt idx="122">
                  <c:v>630.3450747892648</c:v>
                </c:pt>
                <c:pt idx="123">
                  <c:v>635.56316566466785</c:v>
                </c:pt>
                <c:pt idx="124">
                  <c:v>640.78037119677867</c:v>
                </c:pt>
                <c:pt idx="125">
                  <c:v>645.99669961248014</c:v>
                </c:pt>
                <c:pt idx="126">
                  <c:v>651.21215899492665</c:v>
                </c:pt>
                <c:pt idx="127">
                  <c:v>656.42675728721201</c:v>
                </c:pt>
                <c:pt idx="128">
                  <c:v>661.64050229591408</c:v>
                </c:pt>
                <c:pt idx="129">
                  <c:v>666.85340169452081</c:v>
                </c:pt>
                <c:pt idx="130">
                  <c:v>672.06546302674622</c:v>
                </c:pt>
                <c:pt idx="131">
                  <c:v>3.3406123864501612E-12</c:v>
                </c:pt>
                <c:pt idx="132">
                  <c:v>3.3406123864501612E-12</c:v>
                </c:pt>
                <c:pt idx="133">
                  <c:v>3.3406123864501612E-12</c:v>
                </c:pt>
                <c:pt idx="134">
                  <c:v>3.3406123864501612E-12</c:v>
                </c:pt>
                <c:pt idx="135">
                  <c:v>3.3406123864501612E-12</c:v>
                </c:pt>
                <c:pt idx="136">
                  <c:v>3.3406123864501612E-12</c:v>
                </c:pt>
                <c:pt idx="137">
                  <c:v>3.3406123864501612E-12</c:v>
                </c:pt>
                <c:pt idx="138">
                  <c:v>3.3406123864501612E-12</c:v>
                </c:pt>
                <c:pt idx="139">
                  <c:v>3.3406123864501612E-12</c:v>
                </c:pt>
                <c:pt idx="140">
                  <c:v>3.3406123864501612E-12</c:v>
                </c:pt>
                <c:pt idx="141">
                  <c:v>3.3406123864501612E-12</c:v>
                </c:pt>
                <c:pt idx="142">
                  <c:v>3.3406123864501612E-12</c:v>
                </c:pt>
                <c:pt idx="143">
                  <c:v>3.3406123864501612E-12</c:v>
                </c:pt>
                <c:pt idx="144">
                  <c:v>3.3406123864501612E-12</c:v>
                </c:pt>
                <c:pt idx="145">
                  <c:v>3.3406123864501612E-12</c:v>
                </c:pt>
                <c:pt idx="146">
                  <c:v>3.3406123864501612E-12</c:v>
                </c:pt>
                <c:pt idx="147">
                  <c:v>3.3406123864501612E-12</c:v>
                </c:pt>
                <c:pt idx="148">
                  <c:v>3.3406123864501612E-12</c:v>
                </c:pt>
                <c:pt idx="149">
                  <c:v>3.3406123864501612E-12</c:v>
                </c:pt>
                <c:pt idx="150">
                  <c:v>3.3406123864501612E-12</c:v>
                </c:pt>
                <c:pt idx="151">
                  <c:v>3.3406123864501612E-12</c:v>
                </c:pt>
                <c:pt idx="152">
                  <c:v>3.3406123864501612E-12</c:v>
                </c:pt>
                <c:pt idx="153">
                  <c:v>3.3406123864501612E-12</c:v>
                </c:pt>
                <c:pt idx="154">
                  <c:v>3.3406123864501612E-12</c:v>
                </c:pt>
                <c:pt idx="155">
                  <c:v>3.3406123864501612E-12</c:v>
                </c:pt>
                <c:pt idx="156">
                  <c:v>3.3406123864501612E-12</c:v>
                </c:pt>
                <c:pt idx="157">
                  <c:v>3.3406123864501612E-12</c:v>
                </c:pt>
                <c:pt idx="158">
                  <c:v>3.3406123864501612E-12</c:v>
                </c:pt>
                <c:pt idx="159">
                  <c:v>3.3406123864501612E-12</c:v>
                </c:pt>
                <c:pt idx="160">
                  <c:v>3.3406123864501612E-12</c:v>
                </c:pt>
                <c:pt idx="161">
                  <c:v>3.3406123864501612E-12</c:v>
                </c:pt>
                <c:pt idx="162">
                  <c:v>3.3406123864501612E-12</c:v>
                </c:pt>
                <c:pt idx="163">
                  <c:v>3.3406123864501612E-12</c:v>
                </c:pt>
                <c:pt idx="164">
                  <c:v>3.3406123864501612E-12</c:v>
                </c:pt>
                <c:pt idx="165">
                  <c:v>3.3406123864501612E-12</c:v>
                </c:pt>
                <c:pt idx="166">
                  <c:v>3.3406123864501612E-12</c:v>
                </c:pt>
                <c:pt idx="167">
                  <c:v>3.3406123864501612E-12</c:v>
                </c:pt>
                <c:pt idx="168">
                  <c:v>3.3406123864501612E-12</c:v>
                </c:pt>
                <c:pt idx="169">
                  <c:v>3.3406123864501612E-12</c:v>
                </c:pt>
                <c:pt idx="170">
                  <c:v>3.3406123864501612E-12</c:v>
                </c:pt>
                <c:pt idx="171">
                  <c:v>3.3406123864501612E-12</c:v>
                </c:pt>
                <c:pt idx="172">
                  <c:v>3.3406123864501612E-12</c:v>
                </c:pt>
                <c:pt idx="173">
                  <c:v>3.3406123864501612E-12</c:v>
                </c:pt>
                <c:pt idx="174">
                  <c:v>3.3406123864501612E-12</c:v>
                </c:pt>
                <c:pt idx="175">
                  <c:v>3.3406123864501612E-12</c:v>
                </c:pt>
                <c:pt idx="176">
                  <c:v>3.3406123864501612E-12</c:v>
                </c:pt>
                <c:pt idx="177">
                  <c:v>3.3406123864501612E-12</c:v>
                </c:pt>
                <c:pt idx="178">
                  <c:v>3.3406123864501612E-12</c:v>
                </c:pt>
                <c:pt idx="179">
                  <c:v>3.3406123864501612E-12</c:v>
                </c:pt>
                <c:pt idx="180">
                  <c:v>3.3406123864501612E-12</c:v>
                </c:pt>
                <c:pt idx="181">
                  <c:v>3.3406123864501612E-12</c:v>
                </c:pt>
                <c:pt idx="182">
                  <c:v>3.3406123864501612E-12</c:v>
                </c:pt>
                <c:pt idx="183">
                  <c:v>3.3406123864501612E-12</c:v>
                </c:pt>
                <c:pt idx="184">
                  <c:v>3.3406123864501612E-12</c:v>
                </c:pt>
                <c:pt idx="185">
                  <c:v>3.3406123864501612E-12</c:v>
                </c:pt>
                <c:pt idx="186">
                  <c:v>3.3406123864501612E-12</c:v>
                </c:pt>
                <c:pt idx="187">
                  <c:v>3.3406123864501612E-12</c:v>
                </c:pt>
                <c:pt idx="188">
                  <c:v>3.3406123864501612E-12</c:v>
                </c:pt>
                <c:pt idx="189">
                  <c:v>3.3406123864501612E-12</c:v>
                </c:pt>
                <c:pt idx="190">
                  <c:v>3.3406123864501612E-12</c:v>
                </c:pt>
                <c:pt idx="191">
                  <c:v>3.3406123864501612E-12</c:v>
                </c:pt>
                <c:pt idx="192">
                  <c:v>3.3406123864501612E-12</c:v>
                </c:pt>
                <c:pt idx="193">
                  <c:v>3.3406123864501612E-12</c:v>
                </c:pt>
                <c:pt idx="194">
                  <c:v>3.3406123864501612E-12</c:v>
                </c:pt>
                <c:pt idx="195">
                  <c:v>3.3406123864501612E-12</c:v>
                </c:pt>
                <c:pt idx="196">
                  <c:v>3.3406123864501612E-12</c:v>
                </c:pt>
                <c:pt idx="197">
                  <c:v>3.3406123864501612E-12</c:v>
                </c:pt>
                <c:pt idx="198">
                  <c:v>3.3406123864501612E-12</c:v>
                </c:pt>
                <c:pt idx="199">
                  <c:v>3.3406123864501612E-12</c:v>
                </c:pt>
                <c:pt idx="200">
                  <c:v>3.3406123864501612E-12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84791744"/>
        <c:axId val="-1084796096"/>
      </c:scatterChart>
      <c:valAx>
        <c:axId val="-10847917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4796096"/>
        <c:crosses val="autoZero"/>
        <c:crossBetween val="midCat"/>
      </c:valAx>
      <c:valAx>
        <c:axId val="-108479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4791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2.5524737549675121</c:v>
                </c:pt>
                <c:pt idx="2">
                  <c:v>2.967842332930843</c:v>
                </c:pt>
                <c:pt idx="3">
                  <c:v>3.4510500990237603</c:v>
                </c:pt>
                <c:pt idx="4">
                  <c:v>4.0132146399465221</c:v>
                </c:pt>
                <c:pt idx="5">
                  <c:v>4.6672813369286201</c:v>
                </c:pt>
                <c:pt idx="6">
                  <c:v>5.4283247587680039</c:v>
                </c:pt>
                <c:pt idx="7">
                  <c:v>6.31389988934919</c:v>
                </c:pt>
                <c:pt idx="8">
                  <c:v>7.3444514504153524</c:v>
                </c:pt>
                <c:pt idx="9">
                  <c:v>8.5437909528682194</c:v>
                </c:pt>
                <c:pt idx="10">
                  <c:v>9.9396527108826316</c:v>
                </c:pt>
                <c:pt idx="11">
                  <c:v>11.564341920768813</c:v>
                </c:pt>
                <c:pt idx="12">
                  <c:v>13.455490085282975</c:v>
                </c:pt>
                <c:pt idx="13">
                  <c:v>15.656935605900166</c:v>
                </c:pt>
                <c:pt idx="14">
                  <c:v>18.21975033102602</c:v>
                </c:pt>
                <c:pt idx="15">
                  <c:v>21.203436307974066</c:v>
                </c:pt>
                <c:pt idx="16">
                  <c:v>24.677321023340671</c:v>
                </c:pt>
                <c:pt idx="17">
                  <c:v>28.722184126549518</c:v>
                </c:pt>
                <c:pt idx="18">
                  <c:v>33.432154127317808</c:v>
                </c:pt>
                <c:pt idx="19">
                  <c:v>38.91691997094852</c:v>
                </c:pt>
                <c:pt idx="20">
                  <c:v>45.304309878992292</c:v>
                </c:pt>
                <c:pt idx="21">
                  <c:v>52.743298575929657</c:v>
                </c:pt>
                <c:pt idx="22">
                  <c:v>61.407514214050934</c:v>
                </c:pt>
                <c:pt idx="23">
                  <c:v>71.499328202599827</c:v>
                </c:pt>
                <c:pt idx="24">
                  <c:v>83.254625028308013</c:v>
                </c:pt>
                <c:pt idx="25">
                  <c:v>96.948365355203165</c:v>
                </c:pt>
                <c:pt idx="26">
                  <c:v>107.12649270146225</c:v>
                </c:pt>
                <c:pt idx="27">
                  <c:v>117.28079118219192</c:v>
                </c:pt>
                <c:pt idx="28">
                  <c:v>127.41361783530515</c:v>
                </c:pt>
                <c:pt idx="29">
                  <c:v>137.52692326444318</c:v>
                </c:pt>
                <c:pt idx="30">
                  <c:v>147.62234714684959</c:v>
                </c:pt>
                <c:pt idx="31">
                  <c:v>133.4089330023414</c:v>
                </c:pt>
                <c:pt idx="32">
                  <c:v>143.51146088494485</c:v>
                </c:pt>
                <c:pt idx="33">
                  <c:v>153.59696070002335</c:v>
                </c:pt>
                <c:pt idx="34">
                  <c:v>163.66670942331598</c:v>
                </c:pt>
                <c:pt idx="35">
                  <c:v>173.72181380961004</c:v>
                </c:pt>
                <c:pt idx="36">
                  <c:v>184.13489538732037</c:v>
                </c:pt>
                <c:pt idx="37">
                  <c:v>194.53421785197466</c:v>
                </c:pt>
                <c:pt idx="38">
                  <c:v>204.92062106881451</c:v>
                </c:pt>
                <c:pt idx="39">
                  <c:v>215.29485271585531</c:v>
                </c:pt>
                <c:pt idx="40">
                  <c:v>225.65758245465827</c:v>
                </c:pt>
                <c:pt idx="41">
                  <c:v>200.84173948775074</c:v>
                </c:pt>
                <c:pt idx="42">
                  <c:v>211.22066891919528</c:v>
                </c:pt>
                <c:pt idx="43">
                  <c:v>221.58784188240864</c:v>
                </c:pt>
                <c:pt idx="44">
                  <c:v>231.94388639404463</c:v>
                </c:pt>
                <c:pt idx="45">
                  <c:v>242.28936975704804</c:v>
                </c:pt>
                <c:pt idx="46">
                  <c:v>251.88688424687575</c:v>
                </c:pt>
                <c:pt idx="47">
                  <c:v>261.47611367554879</c:v>
                </c:pt>
                <c:pt idx="48">
                  <c:v>271.05740497278219</c:v>
                </c:pt>
                <c:pt idx="49">
                  <c:v>280.63107851839715</c:v>
                </c:pt>
                <c:pt idx="50">
                  <c:v>290.19743103031288</c:v>
                </c:pt>
                <c:pt idx="51">
                  <c:v>262.21341367227387</c:v>
                </c:pt>
                <c:pt idx="52">
                  <c:v>271.05740497278219</c:v>
                </c:pt>
                <c:pt idx="53">
                  <c:v>279.89490565610748</c:v>
                </c:pt>
                <c:pt idx="54">
                  <c:v>288.72614974044785</c:v>
                </c:pt>
                <c:pt idx="55">
                  <c:v>297.55135574678042</c:v>
                </c:pt>
                <c:pt idx="56">
                  <c:v>306.37072816439314</c:v>
                </c:pt>
                <c:pt idx="57">
                  <c:v>315.18445873872173</c:v>
                </c:pt>
                <c:pt idx="58">
                  <c:v>323.99272760750608</c:v>
                </c:pt>
                <c:pt idx="59">
                  <c:v>332.79570430685817</c:v>
                </c:pt>
                <c:pt idx="60">
                  <c:v>341.59354866525359</c:v>
                </c:pt>
                <c:pt idx="61">
                  <c:v>309.67652836560347</c:v>
                </c:pt>
                <c:pt idx="62">
                  <c:v>318.12114663655677</c:v>
                </c:pt>
                <c:pt idx="63">
                  <c:v>326.56080186630413</c:v>
                </c:pt>
                <c:pt idx="64">
                  <c:v>334.9956405116713</c:v>
                </c:pt>
                <c:pt idx="65">
                  <c:v>343.42580104652308</c:v>
                </c:pt>
                <c:pt idx="66">
                  <c:v>351.11892985232777</c:v>
                </c:pt>
                <c:pt idx="67">
                  <c:v>358.80836297654059</c:v>
                </c:pt>
                <c:pt idx="68">
                  <c:v>366.49419085438558</c:v>
                </c:pt>
                <c:pt idx="69">
                  <c:v>374.17649981551676</c:v>
                </c:pt>
                <c:pt idx="70">
                  <c:v>381.85537235272432</c:v>
                </c:pt>
                <c:pt idx="71">
                  <c:v>350.7526749211475</c:v>
                </c:pt>
                <c:pt idx="72">
                  <c:v>358.07619273123078</c:v>
                </c:pt>
                <c:pt idx="73">
                  <c:v>365.39643285792187</c:v>
                </c:pt>
                <c:pt idx="74">
                  <c:v>372.71347028292757</c:v>
                </c:pt>
                <c:pt idx="75">
                  <c:v>380.02737680126438</c:v>
                </c:pt>
                <c:pt idx="76">
                  <c:v>386.60727266779986</c:v>
                </c:pt>
                <c:pt idx="77">
                  <c:v>393.18473647233799</c:v>
                </c:pt>
                <c:pt idx="78">
                  <c:v>399.7598146743473</c:v>
                </c:pt>
                <c:pt idx="79">
                  <c:v>406.33255207904017</c:v>
                </c:pt>
                <c:pt idx="80">
                  <c:v>412.90299192267588</c:v>
                </c:pt>
                <c:pt idx="81">
                  <c:v>382.95207826309451</c:v>
                </c:pt>
                <c:pt idx="82">
                  <c:v>389.53088736788709</c:v>
                </c:pt>
                <c:pt idx="83">
                  <c:v>396.10728526927323</c:v>
                </c:pt>
                <c:pt idx="84">
                  <c:v>402.68131768057896</c:v>
                </c:pt>
                <c:pt idx="85">
                  <c:v>409.25302869952401</c:v>
                </c:pt>
                <c:pt idx="86">
                  <c:v>415.45755151454978</c:v>
                </c:pt>
                <c:pt idx="87">
                  <c:v>421.66007634694142</c:v>
                </c:pt>
                <c:pt idx="88">
                  <c:v>427.86063675647239</c:v>
                </c:pt>
                <c:pt idx="89">
                  <c:v>434.05926525009789</c:v>
                </c:pt>
                <c:pt idx="90">
                  <c:v>440.25599332987895</c:v>
                </c:pt>
                <c:pt idx="91">
                  <c:v>409.98307738019065</c:v>
                </c:pt>
                <c:pt idx="92">
                  <c:v>416.18736336111266</c:v>
                </c:pt>
                <c:pt idx="93">
                  <c:v>422.3896553638852</c:v>
                </c:pt>
                <c:pt idx="94">
                  <c:v>428.58998682183574</c:v>
                </c:pt>
                <c:pt idx="95">
                  <c:v>434.78839012126582</c:v>
                </c:pt>
                <c:pt idx="96">
                  <c:v>440.25599332987895</c:v>
                </c:pt>
                <c:pt idx="97">
                  <c:v>445.72214076928827</c:v>
                </c:pt>
                <c:pt idx="98">
                  <c:v>451.18685282593475</c:v>
                </c:pt>
                <c:pt idx="99">
                  <c:v>456.65014935173832</c:v>
                </c:pt>
                <c:pt idx="100">
                  <c:v>462.11204968448237</c:v>
                </c:pt>
                <c:pt idx="101">
                  <c:v>434.60611136654671</c:v>
                </c:pt>
                <c:pt idx="102">
                  <c:v>439.89153196854045</c:v>
                </c:pt>
                <c:pt idx="103">
                  <c:v>445.17559094968971</c:v>
                </c:pt>
                <c:pt idx="104">
                  <c:v>450.45830676592936</c:v>
                </c:pt>
                <c:pt idx="105">
                  <c:v>455.73969740463639</c:v>
                </c:pt>
                <c:pt idx="106">
                  <c:v>461.01978040194007</c:v>
                </c:pt>
                <c:pt idx="107">
                  <c:v>466.29857285919644</c:v>
                </c:pt>
                <c:pt idx="108">
                  <c:v>471.57609145867644</c:v>
                </c:pt>
                <c:pt idx="109">
                  <c:v>476.85235247851693</c:v>
                </c:pt>
                <c:pt idx="110">
                  <c:v>482.1273718069736</c:v>
                </c:pt>
                <c:pt idx="111">
                  <c:v>455.73969740463639</c:v>
                </c:pt>
                <c:pt idx="112">
                  <c:v>460.29157019967312</c:v>
                </c:pt>
                <c:pt idx="113">
                  <c:v>464.84248218571724</c:v>
                </c:pt>
                <c:pt idx="114">
                  <c:v>469.39244410483224</c:v>
                </c:pt>
                <c:pt idx="115">
                  <c:v>473.94146647365977</c:v>
                </c:pt>
                <c:pt idx="116">
                  <c:v>478.48955959031747</c:v>
                </c:pt>
                <c:pt idx="117">
                  <c:v>483.03673354101966</c:v>
                </c:pt>
                <c:pt idx="118">
                  <c:v>487.5829982064372</c:v>
                </c:pt>
                <c:pt idx="119">
                  <c:v>492.12836326780513</c:v>
                </c:pt>
                <c:pt idx="120">
                  <c:v>496.67283821279602</c:v>
                </c:pt>
                <c:pt idx="121">
                  <c:v>500.8529770090754</c:v>
                </c:pt>
                <c:pt idx="122">
                  <c:v>505.03237738917437</c:v>
                </c:pt>
                <c:pt idx="123">
                  <c:v>509.21104633084406</c:v>
                </c:pt>
                <c:pt idx="124">
                  <c:v>513.38899068788453</c:v>
                </c:pt>
                <c:pt idx="125">
                  <c:v>517.56621719335942</c:v>
                </c:pt>
                <c:pt idx="126">
                  <c:v>521.74273246270229</c:v>
                </c:pt>
                <c:pt idx="127">
                  <c:v>525.91854299671729</c:v>
                </c:pt>
                <c:pt idx="128">
                  <c:v>530.09365518448112</c:v>
                </c:pt>
                <c:pt idx="129">
                  <c:v>534.26807530614724</c:v>
                </c:pt>
                <c:pt idx="130">
                  <c:v>538.44180953565876</c:v>
                </c:pt>
                <c:pt idx="131">
                  <c:v>2.7294872878105889E-12</c:v>
                </c:pt>
                <c:pt idx="132">
                  <c:v>2.7294872878105889E-12</c:v>
                </c:pt>
                <c:pt idx="133">
                  <c:v>2.7294872878105889E-12</c:v>
                </c:pt>
                <c:pt idx="134">
                  <c:v>2.7294872878105889E-12</c:v>
                </c:pt>
                <c:pt idx="135">
                  <c:v>2.7294872878105889E-12</c:v>
                </c:pt>
                <c:pt idx="136">
                  <c:v>2.7294872878105889E-12</c:v>
                </c:pt>
                <c:pt idx="137">
                  <c:v>2.7294872878105889E-12</c:v>
                </c:pt>
                <c:pt idx="138">
                  <c:v>2.7294872878105889E-12</c:v>
                </c:pt>
                <c:pt idx="139">
                  <c:v>2.7294872878105889E-12</c:v>
                </c:pt>
                <c:pt idx="140">
                  <c:v>2.7294872878105889E-12</c:v>
                </c:pt>
                <c:pt idx="141">
                  <c:v>2.7294872878105889E-12</c:v>
                </c:pt>
                <c:pt idx="142">
                  <c:v>2.7294872878105889E-12</c:v>
                </c:pt>
                <c:pt idx="143">
                  <c:v>2.7294872878105889E-12</c:v>
                </c:pt>
                <c:pt idx="144">
                  <c:v>2.7294872878105889E-12</c:v>
                </c:pt>
                <c:pt idx="145">
                  <c:v>2.7294872878105889E-12</c:v>
                </c:pt>
                <c:pt idx="146">
                  <c:v>2.7294872878105889E-12</c:v>
                </c:pt>
                <c:pt idx="147">
                  <c:v>2.7294872878105889E-12</c:v>
                </c:pt>
                <c:pt idx="148">
                  <c:v>2.7294872878105889E-12</c:v>
                </c:pt>
                <c:pt idx="149">
                  <c:v>2.7294872878105889E-12</c:v>
                </c:pt>
                <c:pt idx="150">
                  <c:v>2.7294872878105889E-12</c:v>
                </c:pt>
                <c:pt idx="151">
                  <c:v>2.7294872878105889E-12</c:v>
                </c:pt>
                <c:pt idx="152">
                  <c:v>2.7294872878105889E-12</c:v>
                </c:pt>
                <c:pt idx="153">
                  <c:v>2.7294872878105889E-12</c:v>
                </c:pt>
                <c:pt idx="154">
                  <c:v>2.7294872878105889E-12</c:v>
                </c:pt>
                <c:pt idx="155">
                  <c:v>2.7294872878105889E-12</c:v>
                </c:pt>
                <c:pt idx="156">
                  <c:v>2.7294872878105889E-12</c:v>
                </c:pt>
                <c:pt idx="157">
                  <c:v>2.7294872878105889E-12</c:v>
                </c:pt>
                <c:pt idx="158">
                  <c:v>2.7294872878105889E-12</c:v>
                </c:pt>
                <c:pt idx="159">
                  <c:v>2.7294872878105889E-12</c:v>
                </c:pt>
                <c:pt idx="160">
                  <c:v>2.7294872878105889E-12</c:v>
                </c:pt>
                <c:pt idx="161">
                  <c:v>2.7294872878105889E-12</c:v>
                </c:pt>
                <c:pt idx="162">
                  <c:v>2.7294872878105889E-12</c:v>
                </c:pt>
                <c:pt idx="163">
                  <c:v>2.7294872878105889E-12</c:v>
                </c:pt>
                <c:pt idx="164">
                  <c:v>2.7294872878105889E-12</c:v>
                </c:pt>
                <c:pt idx="165">
                  <c:v>2.7294872878105889E-12</c:v>
                </c:pt>
                <c:pt idx="166">
                  <c:v>2.7294872878105889E-12</c:v>
                </c:pt>
                <c:pt idx="167">
                  <c:v>2.7294872878105889E-12</c:v>
                </c:pt>
                <c:pt idx="168">
                  <c:v>2.7294872878105889E-12</c:v>
                </c:pt>
                <c:pt idx="169">
                  <c:v>2.7294872878105889E-12</c:v>
                </c:pt>
                <c:pt idx="170">
                  <c:v>2.7294872878105889E-12</c:v>
                </c:pt>
                <c:pt idx="171">
                  <c:v>2.7294872878105889E-12</c:v>
                </c:pt>
                <c:pt idx="172">
                  <c:v>2.7294872878105889E-12</c:v>
                </c:pt>
                <c:pt idx="173">
                  <c:v>2.7294872878105889E-12</c:v>
                </c:pt>
                <c:pt idx="174">
                  <c:v>2.7294872878105889E-12</c:v>
                </c:pt>
                <c:pt idx="175">
                  <c:v>2.7294872878105889E-12</c:v>
                </c:pt>
                <c:pt idx="176">
                  <c:v>2.7294872878105889E-12</c:v>
                </c:pt>
                <c:pt idx="177">
                  <c:v>2.7294872878105889E-12</c:v>
                </c:pt>
                <c:pt idx="178">
                  <c:v>2.7294872878105889E-12</c:v>
                </c:pt>
                <c:pt idx="179">
                  <c:v>2.7294872878105889E-12</c:v>
                </c:pt>
                <c:pt idx="180">
                  <c:v>2.7294872878105889E-12</c:v>
                </c:pt>
                <c:pt idx="181">
                  <c:v>2.7294872878105889E-12</c:v>
                </c:pt>
                <c:pt idx="182">
                  <c:v>2.7294872878105889E-12</c:v>
                </c:pt>
                <c:pt idx="183">
                  <c:v>2.7294872878105889E-12</c:v>
                </c:pt>
                <c:pt idx="184">
                  <c:v>2.7294872878105889E-12</c:v>
                </c:pt>
                <c:pt idx="185">
                  <c:v>2.7294872878105889E-12</c:v>
                </c:pt>
                <c:pt idx="186">
                  <c:v>2.7294872878105889E-12</c:v>
                </c:pt>
                <c:pt idx="187">
                  <c:v>2.7294872878105889E-12</c:v>
                </c:pt>
                <c:pt idx="188">
                  <c:v>2.7294872878105889E-12</c:v>
                </c:pt>
                <c:pt idx="189">
                  <c:v>2.7294872878105889E-12</c:v>
                </c:pt>
                <c:pt idx="190">
                  <c:v>2.7294872878105889E-12</c:v>
                </c:pt>
                <c:pt idx="191">
                  <c:v>2.7294872878105889E-12</c:v>
                </c:pt>
                <c:pt idx="192">
                  <c:v>2.7294872878105889E-12</c:v>
                </c:pt>
                <c:pt idx="193">
                  <c:v>2.7294872878105889E-12</c:v>
                </c:pt>
                <c:pt idx="194">
                  <c:v>2.7294872878105889E-12</c:v>
                </c:pt>
                <c:pt idx="195">
                  <c:v>2.7294872878105889E-12</c:v>
                </c:pt>
                <c:pt idx="196">
                  <c:v>2.7294872878105889E-12</c:v>
                </c:pt>
                <c:pt idx="197">
                  <c:v>2.7294872878105889E-12</c:v>
                </c:pt>
                <c:pt idx="198">
                  <c:v>2.7294872878105889E-12</c:v>
                </c:pt>
                <c:pt idx="199">
                  <c:v>2.7294872878105889E-12</c:v>
                </c:pt>
                <c:pt idx="200">
                  <c:v>2.7294872878105889E-12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84795552"/>
        <c:axId val="-1084790656"/>
      </c:scatterChart>
      <c:valAx>
        <c:axId val="-108479555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4790656"/>
        <c:crosses val="autoZero"/>
        <c:crossBetween val="midCat"/>
      </c:valAx>
      <c:valAx>
        <c:axId val="-108479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4795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1.6926469322417299</c:v>
                </c:pt>
                <c:pt idx="2">
                  <c:v>1.8866485938642452</c:v>
                </c:pt>
                <c:pt idx="3">
                  <c:v>2.102964910090011</c:v>
                </c:pt>
                <c:pt idx="4">
                  <c:v>2.3441712311677834</c:v>
                </c:pt>
                <c:pt idx="5">
                  <c:v>2.6131410711654204</c:v>
                </c:pt>
                <c:pt idx="6">
                  <c:v>2.9130807301552868</c:v>
                </c:pt>
                <c:pt idx="7">
                  <c:v>3.2475679476742179</c:v>
                </c:pt>
                <c:pt idx="8">
                  <c:v>3.6205950580308035</c:v>
                </c:pt>
                <c:pt idx="9">
                  <c:v>4.0366171730904439</c:v>
                </c:pt>
                <c:pt idx="10">
                  <c:v>4.5006059796817359</c:v>
                </c:pt>
                <c:pt idx="11">
                  <c:v>5.0181098074947723</c:v>
                </c:pt>
                <c:pt idx="12">
                  <c:v>5.5953207001304266</c:v>
                </c:pt>
                <c:pt idx="13">
                  <c:v>6.2391493077568727</c:v>
                </c:pt>
                <c:pt idx="14">
                  <c:v>6.9573085156946872</c:v>
                </c:pt>
                <c:pt idx="15">
                  <c:v>7.7584068303680924</c:v>
                </c:pt>
                <c:pt idx="16">
                  <c:v>8.6520526637504798</c:v>
                </c:pt>
                <c:pt idx="17">
                  <c:v>9.6489707911757474</c:v>
                </c:pt>
                <c:pt idx="18">
                  <c:v>10.761132406836559</c:v>
                </c:pt>
                <c:pt idx="19">
                  <c:v>12.001900368293567</c:v>
                </c:pt>
                <c:pt idx="20">
                  <c:v>13.386191407941851</c:v>
                </c:pt>
                <c:pt idx="21">
                  <c:v>14.930657297930608</c:v>
                </c:pt>
                <c:pt idx="22">
                  <c:v>16.653887188091058</c:v>
                </c:pt>
                <c:pt idx="23">
                  <c:v>18.576633596879883</c:v>
                </c:pt>
                <c:pt idx="24">
                  <c:v>20.722064826418176</c:v>
                </c:pt>
                <c:pt idx="25">
                  <c:v>23.11604689800232</c:v>
                </c:pt>
                <c:pt idx="26">
                  <c:v>25.787458468017178</c:v>
                </c:pt>
                <c:pt idx="27">
                  <c:v>28.76854259049712</c:v>
                </c:pt>
                <c:pt idx="28">
                  <c:v>32.095299646697171</c:v>
                </c:pt>
                <c:pt idx="29">
                  <c:v>35.807926269585572</c:v>
                </c:pt>
                <c:pt idx="30">
                  <c:v>39.951305658448945</c:v>
                </c:pt>
                <c:pt idx="31">
                  <c:v>44.575555312851151</c:v>
                </c:pt>
                <c:pt idx="32">
                  <c:v>49.73663892387939</c:v>
                </c:pt>
                <c:pt idx="33">
                  <c:v>55.497049952745463</c:v>
                </c:pt>
                <c:pt idx="34">
                  <c:v>61.926575312227151</c:v>
                </c:pt>
                <c:pt idx="35">
                  <c:v>69.103148556135636</c:v>
                </c:pt>
                <c:pt idx="36">
                  <c:v>77.113803088280008</c:v>
                </c:pt>
                <c:pt idx="37">
                  <c:v>86.055737139023719</c:v>
                </c:pt>
                <c:pt idx="38">
                  <c:v>96.037503639869229</c:v>
                </c:pt>
                <c:pt idx="39">
                  <c:v>107.1803396717598</c:v>
                </c:pt>
                <c:pt idx="40">
                  <c:v>119.6196518901797</c:v>
                </c:pt>
                <c:pt idx="41">
                  <c:v>61.070267629919897</c:v>
                </c:pt>
                <c:pt idx="42">
                  <c:v>67.05194488011351</c:v>
                </c:pt>
                <c:pt idx="43">
                  <c:v>73.019864147904968</c:v>
                </c:pt>
                <c:pt idx="44">
                  <c:v>78.975311599802851</c:v>
                </c:pt>
                <c:pt idx="45">
                  <c:v>84.919362878908657</c:v>
                </c:pt>
                <c:pt idx="46">
                  <c:v>90.852930241375134</c:v>
                </c:pt>
                <c:pt idx="47">
                  <c:v>96.776796677671271</c:v>
                </c:pt>
                <c:pt idx="48">
                  <c:v>102.69164120719795</c:v>
                </c:pt>
                <c:pt idx="49">
                  <c:v>108.59805801791737</c:v>
                </c:pt>
                <c:pt idx="50">
                  <c:v>114.4965712094956</c:v>
                </c:pt>
                <c:pt idx="51">
                  <c:v>120.38764632936925</c:v>
                </c:pt>
                <c:pt idx="52">
                  <c:v>126.27169952565022</c:v>
                </c:pt>
                <c:pt idx="53">
                  <c:v>132.14910489975799</c:v>
                </c:pt>
                <c:pt idx="54">
                  <c:v>138.02020047895769</c:v>
                </c:pt>
                <c:pt idx="55">
                  <c:v>143.88529311683047</c:v>
                </c:pt>
                <c:pt idx="56">
                  <c:v>68.95618746589129</c:v>
                </c:pt>
                <c:pt idx="57">
                  <c:v>75.006342126132282</c:v>
                </c:pt>
                <c:pt idx="58">
                  <c:v>81.044050726742398</c:v>
                </c:pt>
                <c:pt idx="59">
                  <c:v>87.070373686435644</c:v>
                </c:pt>
                <c:pt idx="60">
                  <c:v>93.086212165235864</c:v>
                </c:pt>
                <c:pt idx="61">
                  <c:v>99.092340973051009</c:v>
                </c:pt>
                <c:pt idx="62">
                  <c:v>105.08943304955289</c:v>
                </c:pt>
                <c:pt idx="63">
                  <c:v>111.07807804277678</c:v>
                </c:pt>
                <c:pt idx="64">
                  <c:v>117.05879665761385</c:v>
                </c:pt>
                <c:pt idx="65">
                  <c:v>123.03205190905641</c:v>
                </c:pt>
                <c:pt idx="66">
                  <c:v>128.99825806908675</c:v>
                </c:pt>
                <c:pt idx="67">
                  <c:v>134.957787867061</c:v>
                </c:pt>
                <c:pt idx="68">
                  <c:v>140.91097834828739</c:v>
                </c:pt>
                <c:pt idx="69">
                  <c:v>146.85813568821837</c:v>
                </c:pt>
                <c:pt idx="70">
                  <c:v>152.79953918411769</c:v>
                </c:pt>
                <c:pt idx="71">
                  <c:v>63.672780247520365</c:v>
                </c:pt>
                <c:pt idx="72">
                  <c:v>69.648301780480892</c:v>
                </c:pt>
                <c:pt idx="73">
                  <c:v>75.610654132182248</c:v>
                </c:pt>
                <c:pt idx="74">
                  <c:v>81.561025073250178</c:v>
                </c:pt>
                <c:pt idx="75">
                  <c:v>87.50041430224762</c:v>
                </c:pt>
                <c:pt idx="76">
                  <c:v>93.429674274529773</c:v>
                </c:pt>
                <c:pt idx="77">
                  <c:v>99.349540078518643</c:v>
                </c:pt>
                <c:pt idx="78">
                  <c:v>105.26065178982496</c:v>
                </c:pt>
                <c:pt idx="79">
                  <c:v>111.16357152267931</c:v>
                </c:pt>
                <c:pt idx="80">
                  <c:v>117.05879665761385</c:v>
                </c:pt>
                <c:pt idx="81">
                  <c:v>122.94677025652986</c:v>
                </c:pt>
                <c:pt idx="82">
                  <c:v>128.82788937224097</c:v>
                </c:pt>
                <c:pt idx="83">
                  <c:v>134.70251175695833</c:v>
                </c:pt>
                <c:pt idx="84">
                  <c:v>140.57096133611631</c:v>
                </c:pt>
                <c:pt idx="85">
                  <c:v>146.433532717963</c:v>
                </c:pt>
                <c:pt idx="86">
                  <c:v>152.29049494142126</c:v>
                </c:pt>
                <c:pt idx="87">
                  <c:v>158.1420946158774</c:v>
                </c:pt>
                <c:pt idx="88">
                  <c:v>163.98855857089842</c:v>
                </c:pt>
                <c:pt idx="89">
                  <c:v>169.83009610749716</c:v>
                </c:pt>
                <c:pt idx="90">
                  <c:v>175.66690092280885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84795008"/>
        <c:axId val="-1084791200"/>
      </c:scatterChart>
      <c:valAx>
        <c:axId val="-108479500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4791200"/>
        <c:crosses val="autoZero"/>
        <c:crossBetween val="midCat"/>
      </c:valAx>
      <c:valAx>
        <c:axId val="-108479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4795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1.3334524873781615</c:v>
                </c:pt>
                <c:pt idx="2">
                  <c:v>1.4510163117544339</c:v>
                </c:pt>
                <c:pt idx="3">
                  <c:v>1.578981699344767</c:v>
                </c:pt>
                <c:pt idx="4">
                  <c:v>1.7182720127011304</c:v>
                </c:pt>
                <c:pt idx="5">
                  <c:v>1.8698928404758552</c:v>
                </c:pt>
                <c:pt idx="6">
                  <c:v>2.0349393412568832</c:v>
                </c:pt>
                <c:pt idx="7">
                  <c:v>2.2146042450951433</c:v>
                </c:pt>
                <c:pt idx="8">
                  <c:v>2.4101865717740369</c:v>
                </c:pt>
                <c:pt idx="9">
                  <c:v>2.6231011301850824</c:v>
                </c:pt>
                <c:pt idx="10">
                  <c:v>2.8548888689670648</c:v>
                </c:pt>
                <c:pt idx="11">
                  <c:v>3.1072281548819354</c:v>
                </c:pt>
                <c:pt idx="12">
                  <c:v>3.3819470622862831</c:v>
                </c:pt>
                <c:pt idx="13">
                  <c:v>3.6810367645641997</c:v>
                </c:pt>
                <c:pt idx="14">
                  <c:v>4.0066661265715986</c:v>
                </c:pt>
                <c:pt idx="15">
                  <c:v>4.3611976060652191</c:v>
                </c:pt>
                <c:pt idx="16">
                  <c:v>4.7472045818179467</c:v>
                </c:pt>
                <c:pt idx="17">
                  <c:v>5.1674902367290256</c:v>
                </c:pt>
                <c:pt idx="18">
                  <c:v>5.6251081358022939</c:v>
                </c:pt>
                <c:pt idx="19">
                  <c:v>6.1233846514746952</c:v>
                </c:pt>
                <c:pt idx="20">
                  <c:v>6.6659434025251842</c:v>
                </c:pt>
                <c:pt idx="21">
                  <c:v>7.2567318877841585</c:v>
                </c:pt>
                <c:pt idx="22">
                  <c:v>7.9000505122077769</c:v>
                </c:pt>
                <c:pt idx="23">
                  <c:v>8.6005842207028156</c:v>
                </c:pt>
                <c:pt idx="24">
                  <c:v>9.3634369745196064</c:v>
                </c:pt>
                <c:pt idx="25">
                  <c:v>10.194169326218951</c:v>
                </c:pt>
                <c:pt idx="26">
                  <c:v>11.0988393723229</c:v>
                </c:pt>
                <c:pt idx="27">
                  <c:v>12.08404738795206</c:v>
                </c:pt>
                <c:pt idx="28">
                  <c:v>13.156984475223313</c:v>
                </c:pt>
                <c:pt idx="29">
                  <c:v>14.325485587137443</c:v>
                </c:pt>
                <c:pt idx="30">
                  <c:v>15.598087321351445</c:v>
                </c:pt>
                <c:pt idx="31">
                  <c:v>16.984090913850814</c:v>
                </c:pt>
                <c:pt idx="32">
                  <c:v>18.493630901380588</c:v>
                </c:pt>
                <c:pt idx="33">
                  <c:v>20.137749963852347</c:v>
                </c:pt>
                <c:pt idx="34">
                  <c:v>21.928480504136427</c:v>
                </c:pt>
                <c:pt idx="35">
                  <c:v>23.878933573022156</c:v>
                </c:pt>
                <c:pt idx="36">
                  <c:v>26.003395802062155</c:v>
                </c:pt>
                <c:pt idx="37">
                  <c:v>28.317435066924389</c:v>
                </c:pt>
                <c:pt idx="38">
                  <c:v>30.838015669207461</c:v>
                </c:pt>
                <c:pt idx="39">
                  <c:v>33.583623895923601</c:v>
                </c:pt>
                <c:pt idx="40">
                  <c:v>36.574404893556185</c:v>
                </c:pt>
                <c:pt idx="41">
                  <c:v>39.832311878339645</c:v>
                </c:pt>
                <c:pt idx="42">
                  <c:v>43.381268796828579</c:v>
                </c:pt>
                <c:pt idx="43">
                  <c:v>47.247347651615399</c:v>
                </c:pt>
                <c:pt idx="44">
                  <c:v>51.458961816982971</c:v>
                </c:pt>
                <c:pt idx="45">
                  <c:v>56.04707678916872</c:v>
                </c:pt>
                <c:pt idx="46">
                  <c:v>61.045439946673262</c:v>
                </c:pt>
                <c:pt idx="47">
                  <c:v>66.490831038658897</c:v>
                </c:pt>
                <c:pt idx="48">
                  <c:v>72.423335275023234</c:v>
                </c:pt>
                <c:pt idx="49">
                  <c:v>78.886641061379422</c:v>
                </c:pt>
                <c:pt idx="50">
                  <c:v>85.928364607203719</c:v>
                </c:pt>
                <c:pt idx="51">
                  <c:v>93.600403837223482</c:v>
                </c:pt>
                <c:pt idx="52">
                  <c:v>101.95932425623683</c:v>
                </c:pt>
                <c:pt idx="53">
                  <c:v>111.06677965764248</c:v>
                </c:pt>
                <c:pt idx="54">
                  <c:v>120.98997082782853</c:v>
                </c:pt>
                <c:pt idx="55">
                  <c:v>131.80214568420192</c:v>
                </c:pt>
                <c:pt idx="56">
                  <c:v>143.58314459619427</c:v>
                </c:pt>
                <c:pt idx="57">
                  <c:v>156.41999497841161</c:v>
                </c:pt>
                <c:pt idx="58">
                  <c:v>170.40755961577179</c:v>
                </c:pt>
                <c:pt idx="59">
                  <c:v>185.64924358480448</c:v>
                </c:pt>
                <c:pt idx="60">
                  <c:v>202.25776507632233</c:v>
                </c:pt>
                <c:pt idx="61">
                  <c:v>144.32706485667322</c:v>
                </c:pt>
                <c:pt idx="62">
                  <c:v>153.42730481887915</c:v>
                </c:pt>
                <c:pt idx="63">
                  <c:v>162.51470535048455</c:v>
                </c:pt>
                <c:pt idx="64">
                  <c:v>171.59008652493745</c:v>
                </c:pt>
                <c:pt idx="65">
                  <c:v>180.65417444870991</c:v>
                </c:pt>
                <c:pt idx="66">
                  <c:v>189.70761630775556</c:v>
                </c:pt>
                <c:pt idx="67">
                  <c:v>198.75099238593941</c:v>
                </c:pt>
                <c:pt idx="68">
                  <c:v>207.78482577779434</c:v>
                </c:pt>
                <c:pt idx="69">
                  <c:v>216.80959032107316</c:v>
                </c:pt>
                <c:pt idx="70">
                  <c:v>225.82571713746867</c:v>
                </c:pt>
                <c:pt idx="71">
                  <c:v>234.83360007270304</c:v>
                </c:pt>
                <c:pt idx="72">
                  <c:v>243.83360025719958</c:v>
                </c:pt>
                <c:pt idx="73">
                  <c:v>252.82604995739473</c:v>
                </c:pt>
                <c:pt idx="74">
                  <c:v>261.81125584986182</c:v>
                </c:pt>
                <c:pt idx="75">
                  <c:v>270.78950182200464</c:v>
                </c:pt>
                <c:pt idx="76">
                  <c:v>204.34766941610164</c:v>
                </c:pt>
                <c:pt idx="77">
                  <c:v>212.50035812768928</c:v>
                </c:pt>
                <c:pt idx="78">
                  <c:v>220.64584044043261</c:v>
                </c:pt>
                <c:pt idx="79">
                  <c:v>228.78442023286968</c:v>
                </c:pt>
                <c:pt idx="80">
                  <c:v>236.91637797100864</c:v>
                </c:pt>
                <c:pt idx="81">
                  <c:v>245.04197327167253</c:v>
                </c:pt>
                <c:pt idx="82">
                  <c:v>253.16144710765533</c:v>
                </c:pt>
                <c:pt idx="83">
                  <c:v>261.27502371486582</c:v>
                </c:pt>
                <c:pt idx="84">
                  <c:v>269.38291224993583</c:v>
                </c:pt>
                <c:pt idx="85">
                  <c:v>277.48530823762917</c:v>
                </c:pt>
                <c:pt idx="86">
                  <c:v>285.5823948401956</c:v>
                </c:pt>
                <c:pt idx="87">
                  <c:v>293.67434397510965</c:v>
                </c:pt>
                <c:pt idx="88">
                  <c:v>301.76131730306929</c:v>
                </c:pt>
                <c:pt idx="89">
                  <c:v>309.84346710446158</c:v>
                </c:pt>
                <c:pt idx="90">
                  <c:v>317.92093705953039</c:v>
                </c:pt>
                <c:pt idx="91">
                  <c:v>248.06231493761356</c:v>
                </c:pt>
                <c:pt idx="92">
                  <c:v>254.50293518510338</c:v>
                </c:pt>
                <c:pt idx="93">
                  <c:v>260.93986601036113</c:v>
                </c:pt>
                <c:pt idx="94">
                  <c:v>267.37321139326588</c:v>
                </c:pt>
                <c:pt idx="95">
                  <c:v>273.80306989453703</c:v>
                </c:pt>
                <c:pt idx="96">
                  <c:v>280.22953506165771</c:v>
                </c:pt>
                <c:pt idx="97">
                  <c:v>286.65269579557497</c:v>
                </c:pt>
                <c:pt idx="98">
                  <c:v>293.07263668278023</c:v>
                </c:pt>
                <c:pt idx="99">
                  <c:v>299.48943829674096</c:v>
                </c:pt>
                <c:pt idx="100">
                  <c:v>305.90317747212316</c:v>
                </c:pt>
                <c:pt idx="101">
                  <c:v>239.90544326410884</c:v>
                </c:pt>
                <c:pt idx="102">
                  <c:v>245.24335558609732</c:v>
                </c:pt>
                <c:pt idx="103">
                  <c:v>250.57862820937126</c:v>
                </c:pt>
                <c:pt idx="104">
                  <c:v>255.91132536435097</c:v>
                </c:pt>
                <c:pt idx="105">
                  <c:v>261.24150838162933</c:v>
                </c:pt>
                <c:pt idx="106">
                  <c:v>266.56923588073715</c:v>
                </c:pt>
                <c:pt idx="107">
                  <c:v>271.89456394300873</c:v>
                </c:pt>
                <c:pt idx="108">
                  <c:v>277.2175462701785</c:v>
                </c:pt>
                <c:pt idx="109">
                  <c:v>282.53823433014583</c:v>
                </c:pt>
                <c:pt idx="110">
                  <c:v>287.85667749117101</c:v>
                </c:pt>
                <c:pt idx="111">
                  <c:v>228.71718675190141</c:v>
                </c:pt>
                <c:pt idx="112">
                  <c:v>233.96005181133023</c:v>
                </c:pt>
                <c:pt idx="113">
                  <c:v>239.20023509293392</c:v>
                </c:pt>
                <c:pt idx="114">
                  <c:v>244.4378037417255</c:v>
                </c:pt>
                <c:pt idx="115">
                  <c:v>249.67282178538531</c:v>
                </c:pt>
                <c:pt idx="116">
                  <c:v>255.30775111664784</c:v>
                </c:pt>
                <c:pt idx="117">
                  <c:v>260.93986601036107</c:v>
                </c:pt>
                <c:pt idx="118">
                  <c:v>266.56923588073715</c:v>
                </c:pt>
                <c:pt idx="119">
                  <c:v>272.19592696639489</c:v>
                </c:pt>
                <c:pt idx="120">
                  <c:v>277.82000253977026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84794464"/>
        <c:axId val="-1128695296"/>
      </c:scatterChart>
      <c:valAx>
        <c:axId val="-108479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28695296"/>
        <c:crosses val="autoZero"/>
        <c:crossBetween val="midCat"/>
      </c:valAx>
      <c:valAx>
        <c:axId val="-112869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479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28694752"/>
        <c:axId val="-1128694208"/>
      </c:scatterChart>
      <c:valAx>
        <c:axId val="-112869475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28694208"/>
        <c:crosses val="autoZero"/>
        <c:crossBetween val="midCat"/>
      </c:valAx>
      <c:valAx>
        <c:axId val="-112869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28694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28696928"/>
        <c:axId val="-1128697472"/>
      </c:scatterChart>
      <c:valAx>
        <c:axId val="-112869692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28697472"/>
        <c:crosses val="autoZero"/>
        <c:crossBetween val="midCat"/>
      </c:valAx>
      <c:valAx>
        <c:axId val="-112869747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28696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zoomScale="115" zoomScaleNormal="115" workbookViewId="0">
      <selection activeCell="J33" sqref="J33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47" t="s">
        <v>295</v>
      </c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</row>
    <row r="13" spans="2:13" ht="15" customHeight="1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</row>
    <row r="14" spans="2:13" ht="15" customHeight="1" x14ac:dyDescent="0.25">
      <c r="B14" s="247"/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</row>
    <row r="15" spans="2:13" ht="18.75" customHeight="1" x14ac:dyDescent="0.25"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</row>
    <row r="16" spans="2:13" ht="18.75" customHeight="1" x14ac:dyDescent="0.25"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</row>
    <row r="18" spans="2:13" ht="12" customHeight="1" x14ac:dyDescent="0.25">
      <c r="B18" s="247" t="s">
        <v>296</v>
      </c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</row>
    <row r="19" spans="2:13" ht="12" customHeight="1" x14ac:dyDescent="0.25"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</row>
    <row r="20" spans="2:13" ht="12" customHeight="1" x14ac:dyDescent="0.25">
      <c r="B20" s="247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</row>
    <row r="21" spans="2:13" ht="12" customHeight="1" x14ac:dyDescent="0.25"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</row>
    <row r="22" spans="2:13" ht="12" customHeight="1" x14ac:dyDescent="0.25"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</row>
    <row r="23" spans="2:13" ht="12" customHeight="1" x14ac:dyDescent="0.25"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</row>
    <row r="24" spans="2:13" ht="12" customHeight="1" x14ac:dyDescent="0.25">
      <c r="B24" s="247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</row>
    <row r="25" spans="2:13" ht="12" customHeight="1" x14ac:dyDescent="0.25"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</row>
    <row r="26" spans="2:13" ht="12" customHeight="1" x14ac:dyDescent="0.25">
      <c r="B26" s="247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</row>
    <row r="27" spans="2:13" ht="12" customHeight="1" x14ac:dyDescent="0.25"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</row>
    <row r="28" spans="2:13" ht="12" customHeight="1" x14ac:dyDescent="0.25"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</row>
    <row r="29" spans="2:13" ht="12" customHeight="1" x14ac:dyDescent="0.25">
      <c r="B29" s="247"/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</row>
    <row r="30" spans="2:13" ht="12" customHeight="1" x14ac:dyDescent="0.25"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</row>
    <row r="31" spans="2:13" ht="12" customHeight="1" x14ac:dyDescent="0.25"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</row>
  </sheetData>
  <sheetProtection algorithmName="SHA-512" hashValue="mXp4yJisfs5JRYLifi61AgzUgQnOmPsSZiPPLjJXkngbPL4Puo4Hd229AjtH3RQ5rqjvWbPhdt8t1PgGGGzRbQ==" saltValue="41lNpqfklAKf+ycB8JtWow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tabSelected="1" zoomScaleNormal="100" workbookViewId="0">
      <selection activeCell="D31" sqref="D31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48" t="s">
        <v>190</v>
      </c>
      <c r="D1" s="248"/>
      <c r="E1" s="24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53" t="s">
        <v>192</v>
      </c>
      <c r="C3" s="254"/>
      <c r="D3" s="254"/>
      <c r="E3" s="254"/>
      <c r="F3" s="255"/>
      <c r="G3" s="96"/>
      <c r="H3" s="97"/>
      <c r="I3" s="97"/>
      <c r="J3" s="98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9"/>
      <c r="B4" s="99"/>
      <c r="C4" s="99"/>
      <c r="D4" s="99"/>
      <c r="E4" s="99"/>
      <c r="F4" s="99"/>
      <c r="G4" s="99"/>
      <c r="H4" s="97"/>
      <c r="I4" s="97"/>
      <c r="J4" s="98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259" t="s">
        <v>231</v>
      </c>
      <c r="B5" s="259"/>
      <c r="C5" s="26">
        <v>5.0999999999999996</v>
      </c>
      <c r="D5" s="260" t="s">
        <v>229</v>
      </c>
      <c r="E5" s="261"/>
      <c r="F5" s="99"/>
      <c r="G5" s="99"/>
      <c r="H5" s="97"/>
      <c r="I5" s="97"/>
      <c r="J5" s="98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100"/>
      <c r="B6" s="100"/>
      <c r="C6" s="101"/>
      <c r="D6" s="92"/>
      <c r="E6" s="92"/>
      <c r="F6" s="29"/>
      <c r="G6" s="29"/>
      <c r="H6" s="102"/>
      <c r="I6" s="102"/>
      <c r="J6" s="103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38" ht="26.25" x14ac:dyDescent="0.25">
      <c r="A7" s="257" t="s">
        <v>226</v>
      </c>
      <c r="B7" s="257"/>
      <c r="C7" s="99"/>
      <c r="D7" s="99"/>
      <c r="E7" s="5"/>
      <c r="F7" s="99"/>
      <c r="G7" s="99"/>
      <c r="H7" s="97"/>
      <c r="I7" s="97"/>
      <c r="J7" s="98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270</v>
      </c>
      <c r="D8" s="30" t="s">
        <v>271</v>
      </c>
      <c r="E8" s="31" t="s">
        <v>269</v>
      </c>
      <c r="F8" s="32" t="s">
        <v>230</v>
      </c>
      <c r="G8" s="5"/>
      <c r="H8" s="5"/>
      <c r="I8" s="104"/>
      <c r="J8" s="98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39</v>
      </c>
      <c r="C9" s="35">
        <v>0.40450000000000003</v>
      </c>
      <c r="D9" s="36">
        <f t="shared" ref="D9:D18" si="0">C9*$C$5</f>
        <v>2.0629499999999998</v>
      </c>
      <c r="E9" s="37">
        <v>150</v>
      </c>
      <c r="F9" s="38" t="str">
        <f t="array" ref="F9">IF(E10="","",IF(INDEX(A:A,MAX(IF(ISNUMBER($A$36:$A$55),ROW($A$36:$A$55),"")))&lt;&gt;E9,"Corrigez : révolution incorrecte","OK"))</f>
        <v>OK</v>
      </c>
      <c r="G9" s="5"/>
      <c r="H9" s="5"/>
      <c r="I9" s="111"/>
      <c r="J9" s="98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9</v>
      </c>
      <c r="C10" s="35">
        <v>0.10349999999999999</v>
      </c>
      <c r="D10" s="36">
        <f t="shared" si="0"/>
        <v>0.52784999999999993</v>
      </c>
      <c r="E10" s="37">
        <v>130</v>
      </c>
      <c r="F10" s="38" t="str">
        <f t="array" ref="F10">IF(E10="","",IF(INDEX(A:A,MAX(IF(ISNUMBER($A$62:$A$81),ROW($A$62:$A$81),"")))&lt;&gt;E10,"Corrigez : révolution incorrecte","OK"))</f>
        <v>OK</v>
      </c>
      <c r="G10" s="5"/>
      <c r="H10" s="5"/>
      <c r="I10" s="111"/>
      <c r="J10" s="98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12</v>
      </c>
      <c r="C11" s="35">
        <v>0.10349999999999999</v>
      </c>
      <c r="D11" s="36">
        <f t="shared" si="0"/>
        <v>0.52784999999999993</v>
      </c>
      <c r="E11" s="37">
        <v>130</v>
      </c>
      <c r="F11" s="38" t="str">
        <f t="array" ref="F11">IF(E11="","",IF(INDEX(A:A,MAX(IF(ISNUMBER($A$88:$A$107),ROW($A$88:$A$107),"")))&lt;&gt;E11,"Corrigez : révolution incorrecte","OK"))</f>
        <v>OK</v>
      </c>
      <c r="G11" s="5"/>
      <c r="H11" s="71"/>
      <c r="I11" s="111"/>
      <c r="J11" s="98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 t="s">
        <v>52</v>
      </c>
      <c r="C12" s="35">
        <v>0.10349999999999999</v>
      </c>
      <c r="D12" s="36">
        <f t="shared" si="0"/>
        <v>0.52784999999999993</v>
      </c>
      <c r="E12" s="37">
        <v>130</v>
      </c>
      <c r="F12" s="38" t="str">
        <f t="array" ref="F12">IF(E12="","",IF(INDEX(A:A,MAX(IF(ISNUMBER($A$114:$A$133),ROW($A$114:$A$133),"")))&lt;&gt;E12,"Corrigez : révolution incorrecte","OK"))</f>
        <v>OK</v>
      </c>
      <c r="G12" s="5"/>
      <c r="H12" s="71"/>
      <c r="I12" s="111"/>
      <c r="J12" s="98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 t="s">
        <v>102</v>
      </c>
      <c r="C13" s="35">
        <v>0.10349999999999999</v>
      </c>
      <c r="D13" s="36">
        <f t="shared" si="0"/>
        <v>0.52784999999999993</v>
      </c>
      <c r="E13" s="37">
        <v>130</v>
      </c>
      <c r="F13" s="38" t="str">
        <f t="array" ref="F13">IF(E13="","",IF(INDEX(A:A,MAX(IF(ISNUMBER($A$140:$A$159),ROW($A$140:$A$159),"")))&lt;&gt;E13,"Corrigez : révolution incorrecte","OK"))</f>
        <v>OK</v>
      </c>
      <c r="G13" s="5"/>
      <c r="H13" s="71"/>
      <c r="I13" s="111"/>
      <c r="J13" s="98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 t="s">
        <v>90</v>
      </c>
      <c r="C14" s="35">
        <v>6.0499999999999998E-2</v>
      </c>
      <c r="D14" s="36">
        <f t="shared" si="0"/>
        <v>0.30854999999999999</v>
      </c>
      <c r="E14" s="37">
        <v>90</v>
      </c>
      <c r="F14" s="38" t="str">
        <f t="array" ref="F14">IF(E14="","",IF(INDEX(A:A,MAX(IF(ISNUMBER($A$166:$A$185),ROW($A$166:$A$185),"")))&lt;&gt;E14,"Corrigez : révolution incorrecte","OK"))</f>
        <v>OK</v>
      </c>
      <c r="G14" s="5"/>
      <c r="H14" s="71"/>
      <c r="I14" s="111"/>
      <c r="J14" s="98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 t="s">
        <v>164</v>
      </c>
      <c r="C15" s="35">
        <v>6.0499999999999998E-2</v>
      </c>
      <c r="D15" s="36">
        <f t="shared" si="0"/>
        <v>0.30854999999999999</v>
      </c>
      <c r="E15" s="37">
        <v>120</v>
      </c>
      <c r="F15" s="38" t="str">
        <f t="array" ref="F15">IF(E15="","",IF(INDEX(A:A,MAX(IF(ISNUMBER($A$192:$A$211),ROW($A$192:$A$211),"")))&lt;&gt;E15,"Corrigez : révolution incorrecte","OK"))</f>
        <v>OK</v>
      </c>
      <c r="G15" s="5"/>
      <c r="H15" s="71"/>
      <c r="I15" s="111"/>
      <c r="J15" s="98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G16" s="5"/>
      <c r="H16" s="71"/>
      <c r="I16" s="111"/>
      <c r="J16" s="98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G17" s="5"/>
      <c r="H17" s="71"/>
      <c r="I17" s="111"/>
      <c r="J17" s="98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G18" s="5"/>
      <c r="H18" s="71"/>
      <c r="I18" s="111"/>
      <c r="J18" s="98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5"/>
      <c r="B19" s="39" t="s">
        <v>175</v>
      </c>
      <c r="C19" s="40">
        <f>SUM(C9:C18)</f>
        <v>0.93950000000000011</v>
      </c>
      <c r="D19" s="41">
        <f>SUM(D9:D18)</f>
        <v>4.7914500000000002</v>
      </c>
      <c r="E19" s="5"/>
      <c r="F19" s="106"/>
      <c r="G19" s="106"/>
      <c r="H19" s="107"/>
      <c r="I19" s="106"/>
      <c r="J19" s="98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5"/>
      <c r="B20" s="42" t="s">
        <v>230</v>
      </c>
      <c r="C20" s="43" t="str">
        <f>IF(C19&gt;100%,"Erreur : corrigez","OK")</f>
        <v>OK</v>
      </c>
      <c r="D20" s="108"/>
      <c r="E20" s="5"/>
      <c r="F20" s="102"/>
      <c r="G20" s="102"/>
      <c r="H20" s="107"/>
      <c r="I20" s="106"/>
      <c r="J20" s="98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D21" s="5"/>
      <c r="E21" s="5"/>
      <c r="F21" s="5"/>
      <c r="G21" s="5"/>
      <c r="H21" s="109"/>
      <c r="I21" s="110"/>
      <c r="J21" s="98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256" t="s">
        <v>232</v>
      </c>
      <c r="B22" s="256"/>
      <c r="C22" s="101"/>
      <c r="D22" s="101"/>
      <c r="E22" s="101"/>
      <c r="F22" s="101"/>
      <c r="G22" s="101"/>
      <c r="H22" s="112"/>
      <c r="I22" s="103"/>
      <c r="J22" s="103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</row>
    <row r="23" spans="1:45" x14ac:dyDescent="0.25">
      <c r="A23" s="5"/>
      <c r="B23" s="5"/>
      <c r="C23" s="5"/>
      <c r="D23" s="5"/>
      <c r="E23" s="5"/>
      <c r="F23" s="5"/>
      <c r="G23" s="5"/>
      <c r="H23" s="113"/>
      <c r="I23" s="98"/>
      <c r="J23" s="98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14"/>
      <c r="F24" s="114"/>
      <c r="G24" s="114"/>
      <c r="H24" s="71"/>
      <c r="I24" s="114"/>
      <c r="J24" s="11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16"/>
      <c r="E25" s="5"/>
      <c r="F25" s="116"/>
      <c r="G25" s="115"/>
      <c r="H25" s="71"/>
      <c r="I25" s="115"/>
      <c r="J25" s="11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0.05</v>
      </c>
      <c r="D26" s="47" t="s">
        <v>234</v>
      </c>
      <c r="E26" s="114"/>
      <c r="F26" s="114"/>
      <c r="G26" s="114"/>
      <c r="H26" s="5"/>
      <c r="I26" s="114"/>
      <c r="J26" s="114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14"/>
      <c r="F27" s="114"/>
      <c r="G27" s="114"/>
      <c r="H27" s="5"/>
      <c r="I27" s="114"/>
      <c r="J27" s="114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C28" s="5"/>
      <c r="D28" s="5"/>
      <c r="E28" s="5"/>
      <c r="F28" s="5"/>
      <c r="G28" s="5"/>
      <c r="H28" s="98"/>
      <c r="I28" s="98"/>
      <c r="J28" s="98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C29" s="5"/>
      <c r="D29" s="5"/>
      <c r="E29" s="5"/>
      <c r="F29" s="5"/>
      <c r="G29" s="5"/>
      <c r="H29" s="98"/>
      <c r="I29" s="98"/>
      <c r="J29" s="98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258" t="s">
        <v>227</v>
      </c>
      <c r="B30" s="258"/>
      <c r="C30" s="101"/>
      <c r="D30" s="101"/>
      <c r="E30" s="101"/>
      <c r="F30" s="101"/>
      <c r="G30" s="101"/>
      <c r="H30" s="103"/>
      <c r="I30" s="103"/>
      <c r="J30" s="103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</row>
    <row r="31" spans="1:45" x14ac:dyDescent="0.25">
      <c r="A31" s="5"/>
      <c r="B31" s="5"/>
      <c r="C31" s="5"/>
      <c r="D31" s="5"/>
      <c r="E31" s="5"/>
      <c r="F31" s="5"/>
      <c r="G31" s="5"/>
      <c r="H31" s="98"/>
      <c r="I31" s="98"/>
      <c r="J31" s="98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pignon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49" t="s">
        <v>186</v>
      </c>
      <c r="D34" s="249"/>
      <c r="E34" s="250" t="s">
        <v>187</v>
      </c>
      <c r="F34" s="251"/>
      <c r="G34" s="251"/>
      <c r="H34" s="252"/>
      <c r="I34" s="117"/>
      <c r="J34" s="118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119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10</v>
      </c>
      <c r="B36" s="63">
        <f>36.82/2.4</f>
        <v>15.341666666666667</v>
      </c>
      <c r="C36" s="63"/>
      <c r="D36" s="63"/>
      <c r="E36" s="54"/>
      <c r="F36" s="54"/>
      <c r="G36" s="54"/>
      <c r="H36" s="54"/>
      <c r="I36" s="52">
        <f>IFERROR(B36/A36,"")</f>
        <v>1.5341666666666667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20</v>
      </c>
      <c r="B37" s="63">
        <f>(79.16+4.6)/2.4</f>
        <v>34.9</v>
      </c>
      <c r="C37" s="63"/>
      <c r="D37" s="63"/>
      <c r="E37" s="54"/>
      <c r="F37" s="54"/>
      <c r="G37" s="54"/>
      <c r="H37" s="54"/>
      <c r="I37" s="56">
        <f t="shared" ref="I37:I55" si="1">IF(A37&lt;&gt;0,(B37-(B36-D36))/(A37-A36),"")</f>
        <v>1.9558333333333331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30</v>
      </c>
      <c r="B38" s="63">
        <f>(117.39+4.6+9.5)/2.4</f>
        <v>54.787500000000009</v>
      </c>
      <c r="C38" s="63">
        <v>1</v>
      </c>
      <c r="D38" s="63">
        <f>(4.6+9.5+13.2)/2.4</f>
        <v>11.375</v>
      </c>
      <c r="E38" s="54"/>
      <c r="F38" s="54"/>
      <c r="G38" s="54"/>
      <c r="H38" s="54">
        <v>1</v>
      </c>
      <c r="I38" s="56">
        <f t="shared" si="1"/>
        <v>1.9887500000000009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40</v>
      </c>
      <c r="B39" s="63">
        <f>150.4/2.4</f>
        <v>62.666666666666671</v>
      </c>
      <c r="C39" s="63">
        <v>2</v>
      </c>
      <c r="D39" s="63">
        <f>16.8/2.4</f>
        <v>7.0000000000000009</v>
      </c>
      <c r="E39" s="54"/>
      <c r="F39" s="54"/>
      <c r="G39" s="54"/>
      <c r="H39" s="54"/>
      <c r="I39" s="52">
        <f t="shared" si="1"/>
        <v>1.9254166666666663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50</v>
      </c>
      <c r="B40" s="63">
        <f>178.53/2.4</f>
        <v>74.387500000000003</v>
      </c>
      <c r="C40" s="63">
        <v>3</v>
      </c>
      <c r="D40" s="63">
        <f>18.6/2.4</f>
        <v>7.7500000000000009</v>
      </c>
      <c r="E40" s="54"/>
      <c r="F40" s="54"/>
      <c r="G40" s="54"/>
      <c r="H40" s="54"/>
      <c r="I40" s="52">
        <f t="shared" si="1"/>
        <v>1.8720833333333331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60</v>
      </c>
      <c r="B41" s="63">
        <f>202.47/2.4</f>
        <v>84.362499999999997</v>
      </c>
      <c r="C41" s="63">
        <v>4</v>
      </c>
      <c r="D41" s="63">
        <f>19.8/2.4</f>
        <v>8.25</v>
      </c>
      <c r="E41" s="54"/>
      <c r="F41" s="54"/>
      <c r="G41" s="54"/>
      <c r="H41" s="54"/>
      <c r="I41" s="56">
        <f t="shared" si="1"/>
        <v>1.7724999999999995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70</v>
      </c>
      <c r="B42" s="63">
        <f>222.87/2.4</f>
        <v>92.862500000000011</v>
      </c>
      <c r="C42" s="63">
        <v>5</v>
      </c>
      <c r="D42" s="63">
        <f>20.4/2.4</f>
        <v>8.5</v>
      </c>
      <c r="E42" s="54"/>
      <c r="F42" s="54"/>
      <c r="G42" s="54"/>
      <c r="H42" s="54"/>
      <c r="I42" s="56">
        <f t="shared" si="1"/>
        <v>1.6750000000000014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53">
        <v>80</v>
      </c>
      <c r="B43" s="63">
        <f>240.35/2.4</f>
        <v>100.14583333333333</v>
      </c>
      <c r="C43" s="63">
        <v>6</v>
      </c>
      <c r="D43" s="63">
        <f>22/2.4</f>
        <v>9.1666666666666679</v>
      </c>
      <c r="E43" s="54"/>
      <c r="F43" s="54"/>
      <c r="G43" s="54"/>
      <c r="H43" s="54"/>
      <c r="I43" s="52">
        <f t="shared" si="1"/>
        <v>1.5783333333333318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53">
        <v>90</v>
      </c>
      <c r="B44" s="63">
        <f>255.38/2.4</f>
        <v>106.40833333333333</v>
      </c>
      <c r="C44" s="63">
        <v>7</v>
      </c>
      <c r="D44" s="63">
        <f>22/2.4</f>
        <v>9.1666666666666679</v>
      </c>
      <c r="E44" s="54"/>
      <c r="F44" s="54"/>
      <c r="G44" s="54"/>
      <c r="H44" s="54"/>
      <c r="I44" s="52">
        <f t="shared" si="1"/>
        <v>1.5429166666666674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53">
        <v>100</v>
      </c>
      <c r="B45" s="63">
        <f>268.38/2.4</f>
        <v>111.825</v>
      </c>
      <c r="C45" s="63">
        <v>8</v>
      </c>
      <c r="D45" s="63">
        <f>21.9/2.4</f>
        <v>9.125</v>
      </c>
      <c r="E45" s="54"/>
      <c r="F45" s="54"/>
      <c r="G45" s="54"/>
      <c r="H45" s="54"/>
      <c r="I45" s="52">
        <f t="shared" si="1"/>
        <v>1.4583333333333344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53">
        <v>110</v>
      </c>
      <c r="B46" s="63">
        <f>279.68/2.4</f>
        <v>116.53333333333335</v>
      </c>
      <c r="C46" s="63">
        <v>9</v>
      </c>
      <c r="D46" s="63">
        <f>21.7/2.4</f>
        <v>9.0416666666666661</v>
      </c>
      <c r="E46" s="54"/>
      <c r="F46" s="54"/>
      <c r="G46" s="54"/>
      <c r="H46" s="54"/>
      <c r="I46" s="52">
        <f t="shared" si="1"/>
        <v>1.3833333333333342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53">
        <v>120</v>
      </c>
      <c r="B47" s="63">
        <f>289.54/2.4</f>
        <v>120.64166666666668</v>
      </c>
      <c r="C47" s="63">
        <v>10</v>
      </c>
      <c r="D47" s="63">
        <f>21.3/2.4</f>
        <v>8.875</v>
      </c>
      <c r="E47" s="54"/>
      <c r="F47" s="54"/>
      <c r="G47" s="54"/>
      <c r="H47" s="54"/>
      <c r="I47" s="52">
        <f t="shared" si="1"/>
        <v>1.3150000000000006</v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53">
        <v>130</v>
      </c>
      <c r="B48" s="63">
        <f>298.18/2.4</f>
        <v>124.24166666666667</v>
      </c>
      <c r="C48" s="63">
        <v>11</v>
      </c>
      <c r="D48" s="63">
        <f>20.9/2.4</f>
        <v>8.7083333333333339</v>
      </c>
      <c r="E48" s="54"/>
      <c r="F48" s="54"/>
      <c r="G48" s="54"/>
      <c r="H48" s="54"/>
      <c r="I48" s="52">
        <f t="shared" si="1"/>
        <v>1.2474999999999994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53">
        <v>140</v>
      </c>
      <c r="B49" s="63">
        <f>305.79/2.4</f>
        <v>127.41250000000001</v>
      </c>
      <c r="C49" s="63">
        <v>12</v>
      </c>
      <c r="D49" s="63">
        <f>20.5/2.4</f>
        <v>8.5416666666666679</v>
      </c>
      <c r="E49" s="54"/>
      <c r="F49" s="54"/>
      <c r="G49" s="54"/>
      <c r="H49" s="54"/>
      <c r="I49" s="52">
        <f t="shared" si="1"/>
        <v>1.1879166666666663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53">
        <v>150</v>
      </c>
      <c r="B50" s="53">
        <v>130.21250000000001</v>
      </c>
      <c r="C50" s="53">
        <v>13</v>
      </c>
      <c r="D50" s="53">
        <v>130.21250000000001</v>
      </c>
      <c r="E50" s="54"/>
      <c r="F50" s="54"/>
      <c r="G50" s="54"/>
      <c r="H50" s="54"/>
      <c r="I50" s="52">
        <f t="shared" si="1"/>
        <v>1.1341666666666668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5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5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5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5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5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Chêne chevelu</v>
      </c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20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49" t="s">
        <v>186</v>
      </c>
      <c r="D60" s="249"/>
      <c r="E60" s="250" t="s">
        <v>187</v>
      </c>
      <c r="F60" s="251"/>
      <c r="G60" s="251"/>
      <c r="H60" s="252"/>
      <c r="I60" s="117"/>
      <c r="J60" s="118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119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25</v>
      </c>
      <c r="B62" s="53">
        <v>50</v>
      </c>
      <c r="C62" s="53"/>
      <c r="D62" s="53"/>
      <c r="E62" s="54"/>
      <c r="F62" s="54"/>
      <c r="G62" s="54"/>
      <c r="H62" s="54"/>
      <c r="I62" s="56">
        <f>IFERROR(B62/A62,"")</f>
        <v>2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30</v>
      </c>
      <c r="B63" s="53">
        <v>77</v>
      </c>
      <c r="C63" s="53">
        <v>1</v>
      </c>
      <c r="D63" s="53">
        <v>13</v>
      </c>
      <c r="E63" s="54"/>
      <c r="F63" s="54"/>
      <c r="G63" s="54"/>
      <c r="H63" s="54">
        <v>1</v>
      </c>
      <c r="I63" s="52">
        <f t="shared" ref="I63:I81" si="2">IF(A63&lt;&gt;0,(B63-(B62-D62))/(A63-A62),"")</f>
        <v>5.4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35</v>
      </c>
      <c r="B64" s="53">
        <v>91</v>
      </c>
      <c r="C64" s="53"/>
      <c r="D64" s="53"/>
      <c r="E64" s="54"/>
      <c r="F64" s="54"/>
      <c r="G64" s="54"/>
      <c r="H64" s="54"/>
      <c r="I64" s="52">
        <f t="shared" si="2"/>
        <v>5.4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40</v>
      </c>
      <c r="B65" s="53">
        <v>119</v>
      </c>
      <c r="C65" s="53">
        <v>2</v>
      </c>
      <c r="D65" s="53">
        <v>19</v>
      </c>
      <c r="E65" s="54"/>
      <c r="F65" s="54"/>
      <c r="G65" s="54"/>
      <c r="H65" s="54"/>
      <c r="I65" s="52">
        <f t="shared" si="2"/>
        <v>5.6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45</v>
      </c>
      <c r="B66" s="53">
        <v>128</v>
      </c>
      <c r="C66" s="53"/>
      <c r="D66" s="53"/>
      <c r="E66" s="54"/>
      <c r="F66" s="54"/>
      <c r="G66" s="54"/>
      <c r="H66" s="54"/>
      <c r="I66" s="52">
        <f t="shared" si="2"/>
        <v>5.6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>
        <v>50</v>
      </c>
      <c r="B67" s="53">
        <v>154</v>
      </c>
      <c r="C67" s="53">
        <v>3</v>
      </c>
      <c r="D67" s="53">
        <v>20</v>
      </c>
      <c r="E67" s="54"/>
      <c r="F67" s="54"/>
      <c r="G67" s="54"/>
      <c r="H67" s="54"/>
      <c r="I67" s="52">
        <f t="shared" si="2"/>
        <v>5.2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>
        <v>55</v>
      </c>
      <c r="B68" s="53">
        <v>158</v>
      </c>
      <c r="C68" s="53"/>
      <c r="D68" s="53"/>
      <c r="E68" s="54"/>
      <c r="F68" s="54"/>
      <c r="G68" s="54"/>
      <c r="H68" s="54"/>
      <c r="I68" s="52">
        <f t="shared" si="2"/>
        <v>4.8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>
        <v>60</v>
      </c>
      <c r="B69" s="53">
        <v>182</v>
      </c>
      <c r="C69" s="53">
        <v>4</v>
      </c>
      <c r="D69" s="53">
        <v>22</v>
      </c>
      <c r="E69" s="54"/>
      <c r="F69" s="54"/>
      <c r="G69" s="54"/>
      <c r="H69" s="54"/>
      <c r="I69" s="52">
        <f t="shared" si="2"/>
        <v>4.8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>
        <v>65</v>
      </c>
      <c r="B70" s="53">
        <v>183</v>
      </c>
      <c r="C70" s="53"/>
      <c r="D70" s="53"/>
      <c r="E70" s="54"/>
      <c r="F70" s="54"/>
      <c r="G70" s="54"/>
      <c r="H70" s="54"/>
      <c r="I70" s="52">
        <f t="shared" si="2"/>
        <v>4.5999999999999996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>
        <v>70</v>
      </c>
      <c r="B71" s="53">
        <v>204</v>
      </c>
      <c r="C71" s="53">
        <v>5</v>
      </c>
      <c r="D71" s="53">
        <v>21</v>
      </c>
      <c r="E71" s="54"/>
      <c r="F71" s="54"/>
      <c r="G71" s="54"/>
      <c r="H71" s="54"/>
      <c r="I71" s="52">
        <f t="shared" si="2"/>
        <v>4.2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>
        <v>75</v>
      </c>
      <c r="B72" s="53">
        <v>203</v>
      </c>
      <c r="C72" s="53"/>
      <c r="D72" s="53"/>
      <c r="E72" s="54"/>
      <c r="F72" s="54"/>
      <c r="G72" s="54"/>
      <c r="H72" s="54"/>
      <c r="I72" s="52">
        <f t="shared" si="2"/>
        <v>4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>
        <v>80</v>
      </c>
      <c r="B73" s="53">
        <v>221</v>
      </c>
      <c r="C73" s="53">
        <v>6</v>
      </c>
      <c r="D73" s="53">
        <v>20</v>
      </c>
      <c r="E73" s="54"/>
      <c r="F73" s="54"/>
      <c r="G73" s="54"/>
      <c r="H73" s="54"/>
      <c r="I73" s="52">
        <f t="shared" si="2"/>
        <v>3.6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>
        <v>85</v>
      </c>
      <c r="B74" s="53">
        <v>219</v>
      </c>
      <c r="C74" s="53"/>
      <c r="D74" s="53"/>
      <c r="E74" s="54"/>
      <c r="F74" s="54"/>
      <c r="G74" s="54"/>
      <c r="H74" s="54"/>
      <c r="I74" s="52">
        <f t="shared" si="2"/>
        <v>3.6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>
        <v>90</v>
      </c>
      <c r="B75" s="53">
        <v>236</v>
      </c>
      <c r="C75" s="53">
        <v>7</v>
      </c>
      <c r="D75" s="53">
        <v>20</v>
      </c>
      <c r="E75" s="54"/>
      <c r="F75" s="54"/>
      <c r="G75" s="54"/>
      <c r="H75" s="54"/>
      <c r="I75" s="52">
        <f t="shared" si="2"/>
        <v>3.4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>
        <v>95</v>
      </c>
      <c r="B76" s="53">
        <v>233</v>
      </c>
      <c r="C76" s="53"/>
      <c r="D76" s="53"/>
      <c r="E76" s="54"/>
      <c r="F76" s="54"/>
      <c r="G76" s="54"/>
      <c r="H76" s="54"/>
      <c r="I76" s="52">
        <f t="shared" si="2"/>
        <v>3.4</v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>
        <v>100</v>
      </c>
      <c r="B77" s="53">
        <v>248</v>
      </c>
      <c r="C77" s="53">
        <v>8</v>
      </c>
      <c r="D77" s="53">
        <v>18</v>
      </c>
      <c r="E77" s="54"/>
      <c r="F77" s="54"/>
      <c r="G77" s="54"/>
      <c r="H77" s="54"/>
      <c r="I77" s="52">
        <f t="shared" si="2"/>
        <v>3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>
        <v>110</v>
      </c>
      <c r="B78" s="53">
        <v>259</v>
      </c>
      <c r="C78" s="53">
        <v>9</v>
      </c>
      <c r="D78" s="53">
        <v>17</v>
      </c>
      <c r="E78" s="54"/>
      <c r="F78" s="54"/>
      <c r="G78" s="54"/>
      <c r="H78" s="54"/>
      <c r="I78" s="52">
        <f t="shared" si="2"/>
        <v>2.9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>
        <v>120</v>
      </c>
      <c r="B79" s="53">
        <v>267</v>
      </c>
      <c r="C79" s="53"/>
      <c r="D79" s="53"/>
      <c r="E79" s="54"/>
      <c r="F79" s="54"/>
      <c r="G79" s="54"/>
      <c r="H79" s="54"/>
      <c r="I79" s="52">
        <f t="shared" si="2"/>
        <v>2.5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>
        <v>130</v>
      </c>
      <c r="B80" s="53">
        <v>290</v>
      </c>
      <c r="C80" s="53">
        <v>11</v>
      </c>
      <c r="D80" s="53">
        <v>290</v>
      </c>
      <c r="E80" s="54"/>
      <c r="F80" s="54"/>
      <c r="G80" s="54"/>
      <c r="H80" s="54"/>
      <c r="I80" s="52">
        <f t="shared" si="2"/>
        <v>2.2999999999999998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Chêne pubescent</v>
      </c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20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49" t="s">
        <v>186</v>
      </c>
      <c r="D86" s="249"/>
      <c r="E86" s="250" t="s">
        <v>187</v>
      </c>
      <c r="F86" s="251"/>
      <c r="G86" s="251"/>
      <c r="H86" s="252"/>
      <c r="I86" s="117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25</v>
      </c>
      <c r="B88" s="53">
        <v>50</v>
      </c>
      <c r="C88" s="53"/>
      <c r="D88" s="53"/>
      <c r="E88" s="94"/>
      <c r="F88" s="94"/>
      <c r="G88" s="94"/>
      <c r="H88" s="94"/>
      <c r="I88" s="56">
        <f>IFERROR(B88/A88,"")</f>
        <v>2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>
        <v>30</v>
      </c>
      <c r="B89" s="53">
        <v>77</v>
      </c>
      <c r="C89" s="53">
        <v>1</v>
      </c>
      <c r="D89" s="53">
        <v>13</v>
      </c>
      <c r="E89" s="94"/>
      <c r="F89" s="94"/>
      <c r="G89" s="94"/>
      <c r="H89" s="94">
        <v>1</v>
      </c>
      <c r="I89" s="56">
        <f t="shared" ref="I89:I107" si="3">IF(A89&lt;&gt;0,(B89-(B88-D88))/(A89-A88),"")</f>
        <v>5.4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>
        <v>35</v>
      </c>
      <c r="B90" s="53">
        <v>91</v>
      </c>
      <c r="C90" s="53"/>
      <c r="D90" s="53"/>
      <c r="E90" s="94"/>
      <c r="F90" s="94"/>
      <c r="G90" s="94"/>
      <c r="H90" s="94"/>
      <c r="I90" s="56">
        <f t="shared" si="3"/>
        <v>5.4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>
        <v>40</v>
      </c>
      <c r="B91" s="53">
        <v>119</v>
      </c>
      <c r="C91" s="53">
        <v>2</v>
      </c>
      <c r="D91" s="53">
        <v>19</v>
      </c>
      <c r="E91" s="94"/>
      <c r="F91" s="94"/>
      <c r="G91" s="94"/>
      <c r="H91" s="94"/>
      <c r="I91" s="56">
        <f t="shared" si="3"/>
        <v>5.6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>
        <v>45</v>
      </c>
      <c r="B92" s="53">
        <v>128</v>
      </c>
      <c r="C92" s="53"/>
      <c r="D92" s="53"/>
      <c r="E92" s="94"/>
      <c r="F92" s="94"/>
      <c r="G92" s="94"/>
      <c r="H92" s="94"/>
      <c r="I92" s="56">
        <f t="shared" si="3"/>
        <v>5.6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>
        <v>50</v>
      </c>
      <c r="B93" s="53">
        <v>154</v>
      </c>
      <c r="C93" s="53">
        <v>3</v>
      </c>
      <c r="D93" s="53">
        <v>20</v>
      </c>
      <c r="E93" s="94"/>
      <c r="F93" s="94"/>
      <c r="G93" s="94"/>
      <c r="H93" s="94"/>
      <c r="I93" s="56">
        <f t="shared" si="3"/>
        <v>5.2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>
        <v>55</v>
      </c>
      <c r="B94" s="53">
        <v>158</v>
      </c>
      <c r="C94" s="53"/>
      <c r="D94" s="53"/>
      <c r="E94" s="94"/>
      <c r="F94" s="94"/>
      <c r="G94" s="94"/>
      <c r="H94" s="94"/>
      <c r="I94" s="56">
        <f t="shared" si="3"/>
        <v>4.8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53">
        <v>60</v>
      </c>
      <c r="B95" s="53">
        <v>182</v>
      </c>
      <c r="C95" s="53">
        <v>4</v>
      </c>
      <c r="D95" s="53">
        <v>22</v>
      </c>
      <c r="E95" s="94"/>
      <c r="F95" s="94"/>
      <c r="G95" s="94"/>
      <c r="H95" s="94"/>
      <c r="I95" s="56">
        <f t="shared" si="3"/>
        <v>4.8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53">
        <v>65</v>
      </c>
      <c r="B96" s="53">
        <v>183</v>
      </c>
      <c r="C96" s="53"/>
      <c r="D96" s="53"/>
      <c r="E96" s="94"/>
      <c r="F96" s="94"/>
      <c r="G96" s="94"/>
      <c r="H96" s="94"/>
      <c r="I96" s="56">
        <f t="shared" si="3"/>
        <v>4.5999999999999996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53">
        <v>70</v>
      </c>
      <c r="B97" s="53">
        <v>204</v>
      </c>
      <c r="C97" s="53">
        <v>5</v>
      </c>
      <c r="D97" s="53">
        <v>21</v>
      </c>
      <c r="E97" s="94"/>
      <c r="F97" s="94"/>
      <c r="G97" s="94"/>
      <c r="H97" s="94"/>
      <c r="I97" s="56">
        <f t="shared" si="3"/>
        <v>4.2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53">
        <v>75</v>
      </c>
      <c r="B98" s="53">
        <v>203</v>
      </c>
      <c r="C98" s="53"/>
      <c r="D98" s="53"/>
      <c r="E98" s="94"/>
      <c r="F98" s="94"/>
      <c r="G98" s="94"/>
      <c r="H98" s="94"/>
      <c r="I98" s="56">
        <f t="shared" si="3"/>
        <v>4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53">
        <v>80</v>
      </c>
      <c r="B99" s="53">
        <v>221</v>
      </c>
      <c r="C99" s="53">
        <v>6</v>
      </c>
      <c r="D99" s="53">
        <v>20</v>
      </c>
      <c r="E99" s="94"/>
      <c r="F99" s="94"/>
      <c r="G99" s="94"/>
      <c r="H99" s="94"/>
      <c r="I99" s="56">
        <f t="shared" si="3"/>
        <v>3.6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53">
        <v>85</v>
      </c>
      <c r="B100" s="53">
        <v>219</v>
      </c>
      <c r="C100" s="53"/>
      <c r="D100" s="53"/>
      <c r="E100" s="68"/>
      <c r="F100" s="68"/>
      <c r="G100" s="68"/>
      <c r="H100" s="68"/>
      <c r="I100" s="56">
        <f t="shared" si="3"/>
        <v>3.6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53">
        <v>90</v>
      </c>
      <c r="B101" s="53">
        <v>236</v>
      </c>
      <c r="C101" s="53">
        <v>7</v>
      </c>
      <c r="D101" s="53">
        <v>20</v>
      </c>
      <c r="E101" s="68"/>
      <c r="F101" s="68"/>
      <c r="G101" s="68"/>
      <c r="H101" s="68"/>
      <c r="I101" s="56">
        <f t="shared" si="3"/>
        <v>3.4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53">
        <v>95</v>
      </c>
      <c r="B102" s="53">
        <v>233</v>
      </c>
      <c r="C102" s="53"/>
      <c r="D102" s="53"/>
      <c r="E102" s="57"/>
      <c r="F102" s="57"/>
      <c r="G102" s="57"/>
      <c r="H102" s="57"/>
      <c r="I102" s="56">
        <f t="shared" si="3"/>
        <v>3.4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53">
        <v>100</v>
      </c>
      <c r="B103" s="53">
        <v>248</v>
      </c>
      <c r="C103" s="53">
        <v>8</v>
      </c>
      <c r="D103" s="53">
        <v>18</v>
      </c>
      <c r="E103" s="57"/>
      <c r="F103" s="57"/>
      <c r="G103" s="57"/>
      <c r="H103" s="57"/>
      <c r="I103" s="56">
        <f t="shared" si="3"/>
        <v>3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53">
        <v>110</v>
      </c>
      <c r="B104" s="53">
        <v>259</v>
      </c>
      <c r="C104" s="53">
        <v>9</v>
      </c>
      <c r="D104" s="53">
        <v>17</v>
      </c>
      <c r="E104" s="57"/>
      <c r="F104" s="57"/>
      <c r="G104" s="57"/>
      <c r="H104" s="57"/>
      <c r="I104" s="56">
        <f t="shared" si="3"/>
        <v>2.9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>
        <v>120</v>
      </c>
      <c r="B105" s="53">
        <v>267</v>
      </c>
      <c r="C105" s="53"/>
      <c r="D105" s="53"/>
      <c r="E105" s="57"/>
      <c r="F105" s="57"/>
      <c r="G105" s="57"/>
      <c r="H105" s="57"/>
      <c r="I105" s="56">
        <f t="shared" si="3"/>
        <v>2.5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>
        <v>130</v>
      </c>
      <c r="B106" s="53">
        <v>290</v>
      </c>
      <c r="C106" s="53">
        <v>11</v>
      </c>
      <c r="D106" s="53">
        <v>290</v>
      </c>
      <c r="E106" s="57"/>
      <c r="F106" s="57"/>
      <c r="G106" s="57"/>
      <c r="H106" s="57"/>
      <c r="I106" s="56">
        <f t="shared" si="3"/>
        <v>2.2999999999999998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>Cormier</v>
      </c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20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49" t="s">
        <v>186</v>
      </c>
      <c r="D112" s="249"/>
      <c r="E112" s="250" t="s">
        <v>187</v>
      </c>
      <c r="F112" s="251"/>
      <c r="G112" s="251"/>
      <c r="H112" s="252"/>
      <c r="I112" s="117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>
        <v>25</v>
      </c>
      <c r="B114" s="53">
        <v>50</v>
      </c>
      <c r="C114" s="53"/>
      <c r="D114" s="53"/>
      <c r="E114" s="94"/>
      <c r="F114" s="94"/>
      <c r="G114" s="94"/>
      <c r="H114" s="94"/>
      <c r="I114" s="56">
        <f>IFERROR(B114/A114,"")</f>
        <v>2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>
        <v>30</v>
      </c>
      <c r="B115" s="53">
        <v>77</v>
      </c>
      <c r="C115" s="53">
        <v>1</v>
      </c>
      <c r="D115" s="53">
        <v>13</v>
      </c>
      <c r="E115" s="94"/>
      <c r="F115" s="94"/>
      <c r="G115" s="94"/>
      <c r="H115" s="94">
        <v>1</v>
      </c>
      <c r="I115" s="56">
        <f t="shared" ref="I115:I133" si="4">IF(A115&lt;&gt;0,(B115-(B114-D114))/(A115-A114),"")</f>
        <v>5.4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>
        <v>35</v>
      </c>
      <c r="B116" s="53">
        <v>91</v>
      </c>
      <c r="C116" s="53"/>
      <c r="D116" s="53"/>
      <c r="E116" s="94"/>
      <c r="F116" s="94"/>
      <c r="G116" s="94"/>
      <c r="H116" s="94"/>
      <c r="I116" s="56">
        <f t="shared" si="4"/>
        <v>5.4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>
        <v>40</v>
      </c>
      <c r="B117" s="53">
        <v>119</v>
      </c>
      <c r="C117" s="53">
        <v>2</v>
      </c>
      <c r="D117" s="53">
        <v>19</v>
      </c>
      <c r="E117" s="94"/>
      <c r="F117" s="94"/>
      <c r="G117" s="94"/>
      <c r="H117" s="94"/>
      <c r="I117" s="56">
        <f t="shared" si="4"/>
        <v>5.6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>
        <v>45</v>
      </c>
      <c r="B118" s="53">
        <v>128</v>
      </c>
      <c r="C118" s="53"/>
      <c r="D118" s="53"/>
      <c r="E118" s="94"/>
      <c r="F118" s="94"/>
      <c r="G118" s="94"/>
      <c r="H118" s="94"/>
      <c r="I118" s="56">
        <f t="shared" si="4"/>
        <v>5.6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>
        <v>50</v>
      </c>
      <c r="B119" s="53">
        <v>154</v>
      </c>
      <c r="C119" s="53">
        <v>3</v>
      </c>
      <c r="D119" s="53">
        <v>20</v>
      </c>
      <c r="E119" s="94"/>
      <c r="F119" s="94"/>
      <c r="G119" s="94"/>
      <c r="H119" s="94"/>
      <c r="I119" s="56">
        <f t="shared" si="4"/>
        <v>5.2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53">
        <v>55</v>
      </c>
      <c r="B120" s="53">
        <v>158</v>
      </c>
      <c r="C120" s="53"/>
      <c r="D120" s="53"/>
      <c r="E120" s="94"/>
      <c r="F120" s="94"/>
      <c r="G120" s="94"/>
      <c r="H120" s="94"/>
      <c r="I120" s="56">
        <f t="shared" si="4"/>
        <v>4.8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53">
        <v>60</v>
      </c>
      <c r="B121" s="53">
        <v>182</v>
      </c>
      <c r="C121" s="53">
        <v>4</v>
      </c>
      <c r="D121" s="53">
        <v>22</v>
      </c>
      <c r="E121" s="94"/>
      <c r="F121" s="94"/>
      <c r="G121" s="94"/>
      <c r="H121" s="94"/>
      <c r="I121" s="56">
        <f t="shared" si="4"/>
        <v>4.8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53">
        <v>65</v>
      </c>
      <c r="B122" s="53">
        <v>183</v>
      </c>
      <c r="C122" s="53"/>
      <c r="D122" s="53"/>
      <c r="E122" s="94"/>
      <c r="F122" s="94"/>
      <c r="G122" s="94"/>
      <c r="H122" s="94"/>
      <c r="I122" s="56">
        <f t="shared" si="4"/>
        <v>4.5999999999999996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53">
        <v>70</v>
      </c>
      <c r="B123" s="53">
        <v>204</v>
      </c>
      <c r="C123" s="53">
        <v>5</v>
      </c>
      <c r="D123" s="53">
        <v>21</v>
      </c>
      <c r="E123" s="94"/>
      <c r="F123" s="94"/>
      <c r="G123" s="94"/>
      <c r="H123" s="94"/>
      <c r="I123" s="56">
        <f t="shared" si="4"/>
        <v>4.2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53">
        <v>75</v>
      </c>
      <c r="B124" s="53">
        <v>203</v>
      </c>
      <c r="C124" s="53"/>
      <c r="D124" s="53"/>
      <c r="E124" s="94"/>
      <c r="F124" s="94"/>
      <c r="G124" s="94"/>
      <c r="H124" s="94"/>
      <c r="I124" s="56">
        <f t="shared" si="4"/>
        <v>4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53">
        <v>80</v>
      </c>
      <c r="B125" s="53">
        <v>221</v>
      </c>
      <c r="C125" s="53">
        <v>6</v>
      </c>
      <c r="D125" s="53">
        <v>20</v>
      </c>
      <c r="E125" s="94"/>
      <c r="F125" s="94"/>
      <c r="G125" s="94"/>
      <c r="H125" s="94"/>
      <c r="I125" s="56">
        <f t="shared" si="4"/>
        <v>3.6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53">
        <v>85</v>
      </c>
      <c r="B126" s="53">
        <v>219</v>
      </c>
      <c r="C126" s="53"/>
      <c r="D126" s="53"/>
      <c r="E126" s="68"/>
      <c r="F126" s="68"/>
      <c r="G126" s="68"/>
      <c r="H126" s="68"/>
      <c r="I126" s="56">
        <f t="shared" si="4"/>
        <v>3.6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53">
        <v>90</v>
      </c>
      <c r="B127" s="53">
        <v>236</v>
      </c>
      <c r="C127" s="53">
        <v>7</v>
      </c>
      <c r="D127" s="53">
        <v>20</v>
      </c>
      <c r="E127" s="68"/>
      <c r="F127" s="68"/>
      <c r="G127" s="68"/>
      <c r="H127" s="68"/>
      <c r="I127" s="56">
        <f t="shared" si="4"/>
        <v>3.4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>
        <v>95</v>
      </c>
      <c r="B128" s="53">
        <v>233</v>
      </c>
      <c r="C128" s="53"/>
      <c r="D128" s="53"/>
      <c r="E128" s="57"/>
      <c r="F128" s="57"/>
      <c r="G128" s="57"/>
      <c r="H128" s="57"/>
      <c r="I128" s="56">
        <f t="shared" si="4"/>
        <v>3.4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>
        <v>100</v>
      </c>
      <c r="B129" s="53">
        <v>248</v>
      </c>
      <c r="C129" s="53">
        <v>8</v>
      </c>
      <c r="D129" s="53">
        <v>18</v>
      </c>
      <c r="E129" s="57"/>
      <c r="F129" s="57"/>
      <c r="G129" s="57"/>
      <c r="H129" s="57"/>
      <c r="I129" s="56">
        <f t="shared" si="4"/>
        <v>3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>
        <v>110</v>
      </c>
      <c r="B130" s="53">
        <v>259</v>
      </c>
      <c r="C130" s="53">
        <v>9</v>
      </c>
      <c r="D130" s="53">
        <v>17</v>
      </c>
      <c r="E130" s="57"/>
      <c r="F130" s="57"/>
      <c r="G130" s="57"/>
      <c r="H130" s="57"/>
      <c r="I130" s="56">
        <f t="shared" si="4"/>
        <v>2.9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>
        <v>120</v>
      </c>
      <c r="B131" s="53">
        <v>267</v>
      </c>
      <c r="C131" s="53"/>
      <c r="D131" s="53"/>
      <c r="E131" s="57"/>
      <c r="F131" s="57"/>
      <c r="G131" s="57"/>
      <c r="H131" s="57"/>
      <c r="I131" s="56">
        <f t="shared" si="4"/>
        <v>2.5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>
        <v>130</v>
      </c>
      <c r="B132" s="53">
        <v>290</v>
      </c>
      <c r="C132" s="53">
        <v>11</v>
      </c>
      <c r="D132" s="53">
        <v>290</v>
      </c>
      <c r="E132" s="57"/>
      <c r="F132" s="57"/>
      <c r="G132" s="57"/>
      <c r="H132" s="57"/>
      <c r="I132" s="56">
        <f t="shared" si="4"/>
        <v>2.2999999999999998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>Micocoulier de Provence</v>
      </c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20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49" t="s">
        <v>186</v>
      </c>
      <c r="D138" s="249"/>
      <c r="E138" s="250" t="s">
        <v>187</v>
      </c>
      <c r="F138" s="251"/>
      <c r="G138" s="251"/>
      <c r="H138" s="252"/>
      <c r="I138" s="117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>
        <v>25</v>
      </c>
      <c r="B140" s="53">
        <v>50</v>
      </c>
      <c r="C140" s="53"/>
      <c r="D140" s="53"/>
      <c r="E140" s="54"/>
      <c r="F140" s="54"/>
      <c r="G140" s="54"/>
      <c r="H140" s="54"/>
      <c r="I140" s="60">
        <f>IFERROR(B140/A140,"")</f>
        <v>2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>
        <v>30</v>
      </c>
      <c r="B141" s="53">
        <v>77</v>
      </c>
      <c r="C141" s="53">
        <v>1</v>
      </c>
      <c r="D141" s="53">
        <v>13</v>
      </c>
      <c r="E141" s="54"/>
      <c r="F141" s="54"/>
      <c r="G141" s="54"/>
      <c r="H141" s="54">
        <v>1</v>
      </c>
      <c r="I141" s="60">
        <f t="shared" ref="I141:I159" si="5">IF(A141&lt;&gt;0,(B141-(B140-D140))/(A141-A140),"")</f>
        <v>5.4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>
        <v>35</v>
      </c>
      <c r="B142" s="53">
        <v>91</v>
      </c>
      <c r="C142" s="53"/>
      <c r="D142" s="53"/>
      <c r="E142" s="54"/>
      <c r="F142" s="54"/>
      <c r="G142" s="54"/>
      <c r="H142" s="54"/>
      <c r="I142" s="60">
        <f t="shared" si="5"/>
        <v>5.4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>
        <v>40</v>
      </c>
      <c r="B143" s="53">
        <v>119</v>
      </c>
      <c r="C143" s="53">
        <v>2</v>
      </c>
      <c r="D143" s="53">
        <v>19</v>
      </c>
      <c r="E143" s="54"/>
      <c r="F143" s="54"/>
      <c r="G143" s="54"/>
      <c r="H143" s="54"/>
      <c r="I143" s="60">
        <f t="shared" si="5"/>
        <v>5.6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>
        <v>45</v>
      </c>
      <c r="B144" s="53">
        <v>128</v>
      </c>
      <c r="C144" s="53"/>
      <c r="D144" s="53"/>
      <c r="E144" s="54"/>
      <c r="F144" s="54"/>
      <c r="G144" s="54"/>
      <c r="H144" s="54"/>
      <c r="I144" s="60">
        <f t="shared" si="5"/>
        <v>5.6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>
        <v>50</v>
      </c>
      <c r="B145" s="53">
        <v>154</v>
      </c>
      <c r="C145" s="53">
        <v>3</v>
      </c>
      <c r="D145" s="53">
        <v>20</v>
      </c>
      <c r="E145" s="54"/>
      <c r="F145" s="54"/>
      <c r="G145" s="54"/>
      <c r="H145" s="54"/>
      <c r="I145" s="60">
        <f t="shared" si="5"/>
        <v>5.2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>
        <v>55</v>
      </c>
      <c r="B146" s="53">
        <v>158</v>
      </c>
      <c r="C146" s="53"/>
      <c r="D146" s="53"/>
      <c r="E146" s="54"/>
      <c r="F146" s="54"/>
      <c r="G146" s="54"/>
      <c r="H146" s="54"/>
      <c r="I146" s="60">
        <f t="shared" si="5"/>
        <v>4.8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>
        <v>60</v>
      </c>
      <c r="B147" s="53">
        <v>182</v>
      </c>
      <c r="C147" s="53">
        <v>4</v>
      </c>
      <c r="D147" s="53">
        <v>22</v>
      </c>
      <c r="E147" s="54"/>
      <c r="F147" s="54"/>
      <c r="G147" s="54"/>
      <c r="H147" s="54"/>
      <c r="I147" s="60">
        <f>IF(A147&lt;&gt;0,(B147-(B146-D146))/(A147-A146),"")</f>
        <v>4.8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>
        <v>65</v>
      </c>
      <c r="B148" s="53">
        <v>183</v>
      </c>
      <c r="C148" s="53"/>
      <c r="D148" s="53"/>
      <c r="E148" s="54"/>
      <c r="F148" s="54"/>
      <c r="G148" s="54"/>
      <c r="H148" s="54"/>
      <c r="I148" s="60">
        <f t="shared" si="5"/>
        <v>4.5999999999999996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>
        <v>70</v>
      </c>
      <c r="B149" s="53">
        <v>204</v>
      </c>
      <c r="C149" s="53">
        <v>5</v>
      </c>
      <c r="D149" s="53">
        <v>21</v>
      </c>
      <c r="E149" s="54"/>
      <c r="F149" s="54"/>
      <c r="G149" s="54"/>
      <c r="H149" s="54"/>
      <c r="I149" s="60">
        <f t="shared" si="5"/>
        <v>4.2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>
        <v>75</v>
      </c>
      <c r="B150" s="53">
        <v>203</v>
      </c>
      <c r="C150" s="53"/>
      <c r="D150" s="53"/>
      <c r="E150" s="54"/>
      <c r="F150" s="54"/>
      <c r="G150" s="54"/>
      <c r="H150" s="54"/>
      <c r="I150" s="60">
        <f t="shared" si="5"/>
        <v>4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>
        <v>80</v>
      </c>
      <c r="B151" s="53">
        <v>221</v>
      </c>
      <c r="C151" s="53">
        <v>6</v>
      </c>
      <c r="D151" s="53">
        <v>20</v>
      </c>
      <c r="E151" s="54"/>
      <c r="F151" s="54"/>
      <c r="G151" s="54"/>
      <c r="H151" s="54"/>
      <c r="I151" s="60">
        <f t="shared" si="5"/>
        <v>3.6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>
        <v>85</v>
      </c>
      <c r="B152" s="53">
        <v>219</v>
      </c>
      <c r="C152" s="53"/>
      <c r="D152" s="53"/>
      <c r="E152" s="57"/>
      <c r="F152" s="57"/>
      <c r="G152" s="57"/>
      <c r="H152" s="57"/>
      <c r="I152" s="60">
        <f t="shared" si="5"/>
        <v>3.6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>
        <v>90</v>
      </c>
      <c r="B153" s="53">
        <v>236</v>
      </c>
      <c r="C153" s="53">
        <v>7</v>
      </c>
      <c r="D153" s="53">
        <v>20</v>
      </c>
      <c r="E153" s="57"/>
      <c r="F153" s="57"/>
      <c r="G153" s="57"/>
      <c r="H153" s="57"/>
      <c r="I153" s="60">
        <f t="shared" si="5"/>
        <v>3.4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3">
        <v>95</v>
      </c>
      <c r="B154" s="53">
        <v>233</v>
      </c>
      <c r="C154" s="53"/>
      <c r="D154" s="53"/>
      <c r="E154" s="57"/>
      <c r="F154" s="57"/>
      <c r="G154" s="57"/>
      <c r="H154" s="57"/>
      <c r="I154" s="60">
        <f t="shared" si="5"/>
        <v>3.4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3">
        <v>100</v>
      </c>
      <c r="B155" s="53">
        <v>248</v>
      </c>
      <c r="C155" s="53">
        <v>8</v>
      </c>
      <c r="D155" s="53">
        <v>18</v>
      </c>
      <c r="E155" s="57"/>
      <c r="F155" s="57"/>
      <c r="G155" s="57"/>
      <c r="H155" s="57"/>
      <c r="I155" s="60">
        <f t="shared" si="5"/>
        <v>3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3">
        <v>110</v>
      </c>
      <c r="B156" s="53">
        <v>259</v>
      </c>
      <c r="C156" s="53">
        <v>9</v>
      </c>
      <c r="D156" s="53">
        <v>17</v>
      </c>
      <c r="E156" s="57"/>
      <c r="F156" s="57"/>
      <c r="G156" s="57"/>
      <c r="H156" s="57"/>
      <c r="I156" s="60">
        <f t="shared" si="5"/>
        <v>2.9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3">
        <v>120</v>
      </c>
      <c r="B157" s="53">
        <v>267</v>
      </c>
      <c r="C157" s="53"/>
      <c r="D157" s="53"/>
      <c r="E157" s="57"/>
      <c r="F157" s="57"/>
      <c r="G157" s="57"/>
      <c r="H157" s="57"/>
      <c r="I157" s="60">
        <f t="shared" si="5"/>
        <v>2.5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3">
        <v>130</v>
      </c>
      <c r="B158" s="53">
        <v>290</v>
      </c>
      <c r="C158" s="53">
        <v>11</v>
      </c>
      <c r="D158" s="53">
        <v>290</v>
      </c>
      <c r="E158" s="57"/>
      <c r="F158" s="57"/>
      <c r="G158" s="57"/>
      <c r="H158" s="57"/>
      <c r="I158" s="60">
        <f t="shared" si="5"/>
        <v>2.2999999999999998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>Pin d'Alep</v>
      </c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20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49" t="s">
        <v>186</v>
      </c>
      <c r="D164" s="249"/>
      <c r="E164" s="250" t="s">
        <v>187</v>
      </c>
      <c r="F164" s="251"/>
      <c r="G164" s="251"/>
      <c r="H164" s="252"/>
      <c r="I164" s="117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>
        <v>40</v>
      </c>
      <c r="B166" s="53">
        <v>91</v>
      </c>
      <c r="C166" s="53">
        <v>1</v>
      </c>
      <c r="D166" s="53">
        <v>50</v>
      </c>
      <c r="E166" s="54"/>
      <c r="F166" s="54"/>
      <c r="G166" s="54"/>
      <c r="H166" s="54"/>
      <c r="I166" s="52">
        <f>IFERROR(B166/A166,"")</f>
        <v>2.2749999999999999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>
        <v>55</v>
      </c>
      <c r="B167" s="53">
        <v>110</v>
      </c>
      <c r="C167" s="53">
        <v>2</v>
      </c>
      <c r="D167" s="53">
        <v>63</v>
      </c>
      <c r="E167" s="54"/>
      <c r="F167" s="54"/>
      <c r="G167" s="54"/>
      <c r="H167" s="54"/>
      <c r="I167" s="52">
        <f t="shared" ref="I167:I185" si="6">IF(A167&lt;&gt;0,(B167-(B166-D166))/(A167-A166),"")</f>
        <v>4.5999999999999996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>
        <v>70</v>
      </c>
      <c r="B168" s="53">
        <v>117</v>
      </c>
      <c r="C168" s="53">
        <v>3</v>
      </c>
      <c r="D168" s="53">
        <v>74</v>
      </c>
      <c r="E168" s="54"/>
      <c r="F168" s="54"/>
      <c r="G168" s="54"/>
      <c r="H168" s="54"/>
      <c r="I168" s="52">
        <f t="shared" si="6"/>
        <v>4.666666666666667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>
        <v>90</v>
      </c>
      <c r="B169" s="53">
        <v>135</v>
      </c>
      <c r="C169" s="53">
        <v>4</v>
      </c>
      <c r="D169" s="53">
        <v>135</v>
      </c>
      <c r="E169" s="54"/>
      <c r="F169" s="54"/>
      <c r="G169" s="54"/>
      <c r="H169" s="54"/>
      <c r="I169" s="52">
        <f t="shared" si="6"/>
        <v>4.5999999999999996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53"/>
      <c r="C170" s="53"/>
      <c r="D170" s="53"/>
      <c r="E170" s="54"/>
      <c r="F170" s="54"/>
      <c r="G170" s="54"/>
      <c r="H170" s="54"/>
      <c r="I170" s="52" t="str">
        <f t="shared" si="6"/>
        <v/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53"/>
      <c r="C171" s="53"/>
      <c r="D171" s="53"/>
      <c r="E171" s="54"/>
      <c r="F171" s="54"/>
      <c r="G171" s="54"/>
      <c r="H171" s="54"/>
      <c r="I171" s="52" t="str">
        <f t="shared" si="6"/>
        <v/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53"/>
      <c r="C172" s="53"/>
      <c r="D172" s="53"/>
      <c r="E172" s="54"/>
      <c r="F172" s="54"/>
      <c r="G172" s="54"/>
      <c r="H172" s="54"/>
      <c r="I172" s="52" t="str">
        <f t="shared" si="6"/>
        <v/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>Cèdre de l'Atlas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20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49" t="s">
        <v>186</v>
      </c>
      <c r="D190" s="249"/>
      <c r="E190" s="250" t="s">
        <v>187</v>
      </c>
      <c r="F190" s="251"/>
      <c r="G190" s="251"/>
      <c r="H190" s="252"/>
      <c r="I190" s="117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8">
        <v>60</v>
      </c>
      <c r="B192" s="58">
        <v>195</v>
      </c>
      <c r="C192" s="58">
        <v>1</v>
      </c>
      <c r="D192" s="58">
        <v>66</v>
      </c>
      <c r="E192" s="54"/>
      <c r="F192" s="54"/>
      <c r="G192" s="54"/>
      <c r="H192" s="54"/>
      <c r="I192" s="52">
        <f>IFERROR(B192/A192,"")</f>
        <v>3.25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8">
        <v>75</v>
      </c>
      <c r="B193" s="58">
        <v>263</v>
      </c>
      <c r="C193" s="58">
        <v>2</v>
      </c>
      <c r="D193" s="58">
        <v>74</v>
      </c>
      <c r="E193" s="54"/>
      <c r="F193" s="54"/>
      <c r="G193" s="54"/>
      <c r="H193" s="54"/>
      <c r="I193" s="52">
        <f t="shared" ref="I193:I211" si="7">IF(A193&lt;&gt;0,(B193-(B192-D192))/(A193-A192),"")</f>
        <v>8.9333333333333336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8">
        <v>90</v>
      </c>
      <c r="B194" s="58">
        <v>310</v>
      </c>
      <c r="C194" s="58">
        <v>3</v>
      </c>
      <c r="D194" s="58">
        <v>76</v>
      </c>
      <c r="E194" s="54"/>
      <c r="F194" s="54"/>
      <c r="G194" s="54"/>
      <c r="H194" s="54"/>
      <c r="I194" s="52">
        <f t="shared" si="7"/>
        <v>8.0666666666666664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8">
        <v>100</v>
      </c>
      <c r="B195" s="58">
        <v>298</v>
      </c>
      <c r="C195" s="58">
        <v>4</v>
      </c>
      <c r="D195" s="58">
        <v>71</v>
      </c>
      <c r="E195" s="54"/>
      <c r="F195" s="54"/>
      <c r="G195" s="54"/>
      <c r="H195" s="54"/>
      <c r="I195" s="52">
        <f t="shared" si="7"/>
        <v>6.4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8">
        <v>110</v>
      </c>
      <c r="B196" s="58">
        <v>280</v>
      </c>
      <c r="C196" s="58">
        <v>5</v>
      </c>
      <c r="D196" s="58">
        <v>64</v>
      </c>
      <c r="E196" s="54"/>
      <c r="F196" s="54"/>
      <c r="G196" s="54"/>
      <c r="H196" s="54"/>
      <c r="I196" s="52">
        <f t="shared" si="7"/>
        <v>5.3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8">
        <v>115</v>
      </c>
      <c r="B197" s="58">
        <v>242</v>
      </c>
      <c r="C197" s="58">
        <v>6</v>
      </c>
      <c r="D197" s="58"/>
      <c r="E197" s="54"/>
      <c r="F197" s="54"/>
      <c r="G197" s="54"/>
      <c r="H197" s="54"/>
      <c r="I197" s="52">
        <f t="shared" si="7"/>
        <v>5.2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8">
        <v>120</v>
      </c>
      <c r="B198" s="58">
        <v>270</v>
      </c>
      <c r="C198" s="58">
        <v>7</v>
      </c>
      <c r="D198" s="58">
        <v>270</v>
      </c>
      <c r="E198" s="54"/>
      <c r="F198" s="54"/>
      <c r="G198" s="54"/>
      <c r="H198" s="54"/>
      <c r="I198" s="52">
        <f t="shared" si="7"/>
        <v>5.6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20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49" t="s">
        <v>186</v>
      </c>
      <c r="D216" s="249"/>
      <c r="E216" s="250" t="s">
        <v>187</v>
      </c>
      <c r="F216" s="251"/>
      <c r="G216" s="251"/>
      <c r="H216" s="252"/>
      <c r="I216" s="117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8"/>
      <c r="B218" s="58"/>
      <c r="C218" s="58"/>
      <c r="D218" s="58"/>
      <c r="E218" s="66"/>
      <c r="F218" s="66"/>
      <c r="G218" s="66"/>
      <c r="H218" s="66"/>
      <c r="I218" s="56" t="str">
        <f>IFERROR(B218/A218,"")</f>
        <v/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8"/>
      <c r="B219" s="58"/>
      <c r="C219" s="58"/>
      <c r="D219" s="58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8"/>
      <c r="B220" s="58"/>
      <c r="C220" s="58"/>
      <c r="D220" s="58"/>
      <c r="E220" s="66"/>
      <c r="F220" s="66"/>
      <c r="G220" s="66"/>
      <c r="H220" s="66"/>
      <c r="I220" s="56" t="str">
        <f t="shared" si="8"/>
        <v/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5"/>
      <c r="B231" s="63"/>
      <c r="C231" s="95"/>
      <c r="D231" s="63"/>
      <c r="E231" s="57"/>
      <c r="F231" s="57"/>
      <c r="G231" s="57"/>
      <c r="H231" s="57"/>
      <c r="I231" s="56" t="str">
        <f t="shared" si="8"/>
        <v/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20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49" t="s">
        <v>186</v>
      </c>
      <c r="D242" s="249"/>
      <c r="E242" s="250" t="s">
        <v>187</v>
      </c>
      <c r="F242" s="251"/>
      <c r="G242" s="251"/>
      <c r="H242" s="252"/>
      <c r="I242" s="117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8"/>
      <c r="B244" s="58"/>
      <c r="C244" s="58"/>
      <c r="D244" s="58"/>
      <c r="E244" s="66"/>
      <c r="F244" s="66"/>
      <c r="G244" s="66"/>
      <c r="H244" s="66"/>
      <c r="I244" s="56" t="str">
        <f>IFERROR(B244/A244,"")</f>
        <v/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8"/>
      <c r="B245" s="58"/>
      <c r="C245" s="58"/>
      <c r="D245" s="58"/>
      <c r="E245" s="66"/>
      <c r="F245" s="66"/>
      <c r="G245" s="66"/>
      <c r="H245" s="66"/>
      <c r="I245" s="56" t="str">
        <f>IF(A245&lt;&gt;0,(B245-(B244-D244))/(A245-A244),"")</f>
        <v/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8"/>
      <c r="B246" s="58"/>
      <c r="C246" s="58"/>
      <c r="D246" s="58"/>
      <c r="E246" s="66"/>
      <c r="F246" s="66"/>
      <c r="G246" s="66"/>
      <c r="H246" s="66"/>
      <c r="I246" s="56" t="str">
        <f>IF(A246&lt;&gt;0,(B246-(B245-D245))/(A246-A245),"")</f>
        <v/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8"/>
      <c r="B247" s="58"/>
      <c r="C247" s="58"/>
      <c r="D247" s="58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8"/>
      <c r="B248" s="58"/>
      <c r="C248" s="58"/>
      <c r="D248" s="58"/>
      <c r="E248" s="66"/>
      <c r="F248" s="66"/>
      <c r="G248" s="66"/>
      <c r="H248" s="66"/>
      <c r="I248" s="56" t="str">
        <f t="shared" si="9"/>
        <v/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8"/>
      <c r="B249" s="58"/>
      <c r="C249" s="58"/>
      <c r="D249" s="58"/>
      <c r="E249" s="66"/>
      <c r="F249" s="66"/>
      <c r="G249" s="66"/>
      <c r="H249" s="66"/>
      <c r="I249" s="56" t="str">
        <f t="shared" si="9"/>
        <v/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8"/>
      <c r="B250" s="58"/>
      <c r="C250" s="58"/>
      <c r="D250" s="58"/>
      <c r="E250" s="66"/>
      <c r="F250" s="66"/>
      <c r="G250" s="66"/>
      <c r="H250" s="66"/>
      <c r="I250" s="56" t="str">
        <f t="shared" si="9"/>
        <v/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5"/>
      <c r="B257" s="63"/>
      <c r="C257" s="95"/>
      <c r="D257" s="63"/>
      <c r="E257" s="57"/>
      <c r="F257" s="57"/>
      <c r="G257" s="57"/>
      <c r="H257" s="57"/>
      <c r="I257" s="56" t="str">
        <f t="shared" si="9"/>
        <v/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20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49" t="s">
        <v>186</v>
      </c>
      <c r="D268" s="249"/>
      <c r="E268" s="250" t="s">
        <v>187</v>
      </c>
      <c r="F268" s="251"/>
      <c r="G268" s="251"/>
      <c r="H268" s="252"/>
      <c r="I268" s="117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8"/>
      <c r="B270" s="58"/>
      <c r="C270" s="58"/>
      <c r="D270" s="58"/>
      <c r="E270" s="66"/>
      <c r="F270" s="66"/>
      <c r="G270" s="66"/>
      <c r="H270" s="66"/>
      <c r="I270" s="56" t="str">
        <f>IFERROR(B270/A270,"")</f>
        <v/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8"/>
      <c r="B271" s="58"/>
      <c r="C271" s="58"/>
      <c r="D271" s="58"/>
      <c r="E271" s="66"/>
      <c r="F271" s="66"/>
      <c r="G271" s="66"/>
      <c r="H271" s="66"/>
      <c r="I271" s="56" t="str">
        <f>IF(A271&lt;&gt;0,(B271-(B270-D270))/(A271-A270),"")</f>
        <v/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8"/>
      <c r="B272" s="58"/>
      <c r="C272" s="58"/>
      <c r="D272" s="58"/>
      <c r="E272" s="66"/>
      <c r="F272" s="66"/>
      <c r="G272" s="66"/>
      <c r="H272" s="66"/>
      <c r="I272" s="56" t="str">
        <f t="shared" ref="I272:I289" si="10">IF(A272&lt;&gt;0,(B272-(B271-D271))/(A272-A271),"")</f>
        <v/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8"/>
      <c r="B273" s="58"/>
      <c r="C273" s="58"/>
      <c r="D273" s="58"/>
      <c r="E273" s="66"/>
      <c r="F273" s="66"/>
      <c r="G273" s="66"/>
      <c r="H273" s="66"/>
      <c r="I273" s="56" t="str">
        <f t="shared" si="10"/>
        <v/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8"/>
      <c r="B274" s="58"/>
      <c r="C274" s="58"/>
      <c r="D274" s="58"/>
      <c r="E274" s="66"/>
      <c r="F274" s="66"/>
      <c r="G274" s="66"/>
      <c r="H274" s="66"/>
      <c r="I274" s="56" t="str">
        <f t="shared" si="10"/>
        <v/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8"/>
      <c r="B275" s="58"/>
      <c r="C275" s="58"/>
      <c r="D275" s="58"/>
      <c r="E275" s="66"/>
      <c r="F275" s="66"/>
      <c r="G275" s="66"/>
      <c r="H275" s="66"/>
      <c r="I275" s="56" t="str">
        <f t="shared" si="10"/>
        <v/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8"/>
      <c r="B276" s="58"/>
      <c r="C276" s="58"/>
      <c r="D276" s="58"/>
      <c r="E276" s="66"/>
      <c r="F276" s="66"/>
      <c r="G276" s="66"/>
      <c r="H276" s="66"/>
      <c r="I276" s="56" t="str">
        <f t="shared" si="10"/>
        <v/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5"/>
      <c r="B283" s="63"/>
      <c r="C283" s="95"/>
      <c r="D283" s="63"/>
      <c r="E283" s="57"/>
      <c r="F283" s="57"/>
      <c r="G283" s="57"/>
      <c r="H283" s="57"/>
      <c r="I283" s="56" t="str">
        <f t="shared" si="10"/>
        <v/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r4F7FCdMM2frWDFKCmSPsvLp2AAURvhXCiL8q28FUQDJKk0QK9AucwUQcE+Z0beYi7JoJBEi3J31RFmyrelVKA==" saltValue="lWhX6+vLEpaqYNoMpLrp2w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4">
    <dataValidation type="list" allowBlank="1" showInputMessage="1" showErrorMessage="1" sqref="B9:B18">
      <formula1>Essence</formula1>
    </dataValidation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topLeftCell="A3" zoomScale="115" zoomScaleNormal="115" workbookViewId="0">
      <selection activeCell="B19" sqref="B1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21"/>
      <c r="K1" s="121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263" t="s">
        <v>191</v>
      </c>
      <c r="C2" s="264"/>
      <c r="D2" s="264"/>
      <c r="E2" s="264"/>
      <c r="F2" s="264"/>
      <c r="G2" s="26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262"/>
      <c r="C4" s="262"/>
      <c r="D4" s="262"/>
      <c r="E4" s="262"/>
      <c r="F4" s="262"/>
      <c r="G4" s="262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22" t="s">
        <v>301</v>
      </c>
      <c r="C5" s="122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5"/>
      <c r="B6" s="122"/>
      <c r="C6" s="122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23"/>
      <c r="B7" s="29" t="s">
        <v>300</v>
      </c>
      <c r="C7" s="124" t="s">
        <v>214</v>
      </c>
      <c r="D7" s="125"/>
      <c r="E7" s="125"/>
      <c r="F7" s="29" t="s">
        <v>300</v>
      </c>
      <c r="G7" s="124" t="s">
        <v>215</v>
      </c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</row>
    <row r="8" spans="1:38" ht="17.25" customHeight="1" x14ac:dyDescent="0.25">
      <c r="A8" s="129">
        <v>1</v>
      </c>
      <c r="B8" s="64">
        <v>1</v>
      </c>
      <c r="C8" s="52" t="s">
        <v>177</v>
      </c>
      <c r="D8" s="5"/>
      <c r="E8" s="129">
        <v>4</v>
      </c>
      <c r="F8" s="64">
        <v>0</v>
      </c>
      <c r="G8" s="126" t="s">
        <v>211</v>
      </c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29">
        <v>2</v>
      </c>
      <c r="B9" s="64">
        <v>0</v>
      </c>
      <c r="C9" s="132" t="s">
        <v>216</v>
      </c>
      <c r="D9" s="5"/>
      <c r="E9" s="129">
        <v>5</v>
      </c>
      <c r="F9" s="64">
        <v>0</v>
      </c>
      <c r="G9" s="127" t="s">
        <v>212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29">
        <v>3</v>
      </c>
      <c r="B10" s="64">
        <v>0</v>
      </c>
      <c r="C10" s="133" t="s">
        <v>217</v>
      </c>
      <c r="D10" s="5"/>
      <c r="E10" s="5"/>
      <c r="F10" s="130">
        <f>SUM(F7:F9)</f>
        <v>0</v>
      </c>
      <c r="G10" s="128" t="str">
        <f>IF(OR(SUM(F8:F9)=0%,SUM(F8:F9)=100%),"OK","ERREUR : corrigez")</f>
        <v>OK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5"/>
      <c r="B11" s="130">
        <v>0</v>
      </c>
      <c r="C11" s="128" t="str">
        <f>IF(OR(SUM(B8:B10)=100%,SUM(B8:B10)=0%),"OK","ERREUR : corrigez")</f>
        <v>OK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123"/>
      <c r="B13" s="131"/>
      <c r="C13" s="122" t="s">
        <v>274</v>
      </c>
      <c r="D13" s="123"/>
      <c r="E13" s="123"/>
      <c r="F13" s="131"/>
      <c r="G13" s="122" t="s">
        <v>307</v>
      </c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</row>
    <row r="14" spans="1:38" s="4" customFormat="1" ht="21" customHeight="1" x14ac:dyDescent="0.25">
      <c r="A14" s="123"/>
      <c r="B14" s="131"/>
      <c r="C14" s="122" t="s">
        <v>306</v>
      </c>
      <c r="D14" s="123"/>
      <c r="E14" s="123"/>
      <c r="F14" s="131"/>
      <c r="G14" s="122" t="s">
        <v>299</v>
      </c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</row>
    <row r="15" spans="1:38" x14ac:dyDescent="0.25">
      <c r="A15" s="5"/>
      <c r="B15" s="29" t="s">
        <v>300</v>
      </c>
      <c r="C15" s="5"/>
      <c r="D15" s="5"/>
      <c r="E15" s="5"/>
      <c r="F15" s="5"/>
      <c r="G15" s="2" t="s">
        <v>148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5"/>
      <c r="B16" s="64">
        <v>0</v>
      </c>
      <c r="C16" s="134" t="s">
        <v>208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5"/>
      <c r="B17" s="64">
        <v>0</v>
      </c>
      <c r="C17" s="134" t="s">
        <v>209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5"/>
      <c r="B18" s="64">
        <v>1</v>
      </c>
      <c r="C18" s="134" t="s">
        <v>210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5"/>
      <c r="B19" s="130">
        <f>SUM(B16:B18)</f>
        <v>1</v>
      </c>
      <c r="C19" s="128" t="str">
        <f>IF(SUM(B16:B18)=B8,"OK","ERREUR : corrigez ; le total n'est pas égal à celui de la cellule A8")</f>
        <v>OK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101"/>
      <c r="C24" s="101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5"/>
      <c r="C25" s="5"/>
      <c r="D25" s="101"/>
      <c r="E25" s="101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10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yuxwuAHkHx9Gc/AZs8YLBpWx3xI5WR4gXtFUaKJ4S9FGifp3dOG/ch60EErTwYfn+MfaioTLOC49PKHnQIkLCQ==" saltValue="mzH99SJXyt7tAJoMP5TpC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zoomScaleNormal="100" workbookViewId="0">
      <selection sqref="A1:XFD1048576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269" t="s">
        <v>176</v>
      </c>
      <c r="C1" s="270"/>
      <c r="D1" s="270"/>
      <c r="E1" s="270"/>
      <c r="F1" s="270"/>
      <c r="G1" s="270"/>
      <c r="H1" s="271"/>
      <c r="I1" s="266" t="str">
        <f>IF('Données projet'!$B$9="","",'Données projet'!$B$9)</f>
        <v>Pin pignon</v>
      </c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8"/>
      <c r="AD1" s="267" t="str">
        <f>IF('Données projet'!$B$10="","",'Données projet'!$B$10)</f>
        <v>Chêne chevelu</v>
      </c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268"/>
      <c r="AY1" s="266" t="str">
        <f>IF('Données projet'!$B$11="","",'Données projet'!$B$11)</f>
        <v>Chêne pubescent</v>
      </c>
      <c r="AZ1" s="267"/>
      <c r="BA1" s="267"/>
      <c r="BB1" s="267"/>
      <c r="BC1" s="267"/>
      <c r="BD1" s="267"/>
      <c r="BE1" s="267"/>
      <c r="BF1" s="267"/>
      <c r="BG1" s="267"/>
      <c r="BH1" s="267"/>
      <c r="BI1" s="267"/>
      <c r="BJ1" s="267"/>
      <c r="BK1" s="267"/>
      <c r="BL1" s="267"/>
      <c r="BM1" s="267"/>
      <c r="BN1" s="267"/>
      <c r="BO1" s="267"/>
      <c r="BP1" s="267"/>
      <c r="BQ1" s="267"/>
      <c r="BR1" s="267"/>
      <c r="BS1" s="268"/>
      <c r="BT1" s="266" t="str">
        <f>IF('Données projet'!$B$12="","",'Données projet'!$B$12)</f>
        <v>Cormier</v>
      </c>
      <c r="BU1" s="267"/>
      <c r="BV1" s="267"/>
      <c r="BW1" s="267"/>
      <c r="BX1" s="267"/>
      <c r="BY1" s="267"/>
      <c r="BZ1" s="267"/>
      <c r="CA1" s="267"/>
      <c r="CB1" s="267"/>
      <c r="CC1" s="267"/>
      <c r="CD1" s="267"/>
      <c r="CE1" s="267"/>
      <c r="CF1" s="267"/>
      <c r="CG1" s="267"/>
      <c r="CH1" s="267"/>
      <c r="CI1" s="267"/>
      <c r="CJ1" s="267"/>
      <c r="CK1" s="267"/>
      <c r="CL1" s="267"/>
      <c r="CM1" s="267"/>
      <c r="CN1" s="268"/>
      <c r="CO1" s="266" t="str">
        <f>IF('Données projet'!$B$13="","",'Données projet'!$B$13)</f>
        <v>Micocoulier de Provence</v>
      </c>
      <c r="CP1" s="267"/>
      <c r="CQ1" s="267"/>
      <c r="CR1" s="267"/>
      <c r="CS1" s="267"/>
      <c r="CT1" s="267"/>
      <c r="CU1" s="267"/>
      <c r="CV1" s="267"/>
      <c r="CW1" s="267"/>
      <c r="CX1" s="267"/>
      <c r="CY1" s="267"/>
      <c r="CZ1" s="267"/>
      <c r="DA1" s="267"/>
      <c r="DB1" s="267"/>
      <c r="DC1" s="267"/>
      <c r="DD1" s="267"/>
      <c r="DE1" s="267"/>
      <c r="DF1" s="267"/>
      <c r="DG1" s="267"/>
      <c r="DH1" s="267"/>
      <c r="DI1" s="268"/>
      <c r="DJ1" s="266" t="str">
        <f>IF('Données projet'!$B$14="","",'Données projet'!$B$14)</f>
        <v>Pin d'Alep</v>
      </c>
      <c r="DK1" s="267"/>
      <c r="DL1" s="267"/>
      <c r="DM1" s="267"/>
      <c r="DN1" s="267"/>
      <c r="DO1" s="267"/>
      <c r="DP1" s="267"/>
      <c r="DQ1" s="267"/>
      <c r="DR1" s="267"/>
      <c r="DS1" s="267"/>
      <c r="DT1" s="267"/>
      <c r="DU1" s="267"/>
      <c r="DV1" s="267"/>
      <c r="DW1" s="267"/>
      <c r="DX1" s="267"/>
      <c r="DY1" s="267"/>
      <c r="DZ1" s="267"/>
      <c r="EA1" s="267"/>
      <c r="EB1" s="267"/>
      <c r="EC1" s="267"/>
      <c r="ED1" s="268"/>
      <c r="EE1" s="266" t="str">
        <f>IF('Données projet'!$B$15="","",'Données projet'!$B$15)</f>
        <v>Cèdre de l'Atlas</v>
      </c>
      <c r="EF1" s="267"/>
      <c r="EG1" s="267"/>
      <c r="EH1" s="267"/>
      <c r="EI1" s="267"/>
      <c r="EJ1" s="267"/>
      <c r="EK1" s="267"/>
      <c r="EL1" s="267"/>
      <c r="EM1" s="267"/>
      <c r="EN1" s="267"/>
      <c r="EO1" s="267"/>
      <c r="EP1" s="267"/>
      <c r="EQ1" s="267"/>
      <c r="ER1" s="267"/>
      <c r="ES1" s="267"/>
      <c r="ET1" s="267"/>
      <c r="EU1" s="267"/>
      <c r="EV1" s="267"/>
      <c r="EW1" s="267"/>
      <c r="EX1" s="267"/>
      <c r="EY1" s="268"/>
      <c r="EZ1" s="266" t="str">
        <f>IF('Données projet'!$B$16="","",'Données projet'!$B$16)</f>
        <v/>
      </c>
      <c r="FA1" s="267"/>
      <c r="FB1" s="267"/>
      <c r="FC1" s="267"/>
      <c r="FD1" s="267"/>
      <c r="FE1" s="267"/>
      <c r="FF1" s="267"/>
      <c r="FG1" s="267"/>
      <c r="FH1" s="267"/>
      <c r="FI1" s="267"/>
      <c r="FJ1" s="267"/>
      <c r="FK1" s="267"/>
      <c r="FL1" s="267"/>
      <c r="FM1" s="267"/>
      <c r="FN1" s="267"/>
      <c r="FO1" s="267"/>
      <c r="FP1" s="267"/>
      <c r="FQ1" s="267"/>
      <c r="FR1" s="267"/>
      <c r="FS1" s="267"/>
      <c r="FT1" s="268"/>
      <c r="FU1" s="266" t="str">
        <f>IF('Données projet'!$B$17="","",'Données projet'!$B$17)</f>
        <v/>
      </c>
      <c r="FV1" s="267"/>
      <c r="FW1" s="267"/>
      <c r="FX1" s="267"/>
      <c r="FY1" s="267"/>
      <c r="FZ1" s="267"/>
      <c r="GA1" s="267"/>
      <c r="GB1" s="267"/>
      <c r="GC1" s="267"/>
      <c r="GD1" s="267"/>
      <c r="GE1" s="267"/>
      <c r="GF1" s="267"/>
      <c r="GG1" s="267"/>
      <c r="GH1" s="267"/>
      <c r="GI1" s="267"/>
      <c r="GJ1" s="267"/>
      <c r="GK1" s="267"/>
      <c r="GL1" s="267"/>
      <c r="GM1" s="267"/>
      <c r="GN1" s="267"/>
      <c r="GO1" s="268"/>
      <c r="GP1" s="266" t="str">
        <f>IF('Données projet'!$B$18="","",'Données projet'!$B$18)</f>
        <v/>
      </c>
      <c r="GQ1" s="267"/>
      <c r="GR1" s="267"/>
      <c r="GS1" s="267"/>
      <c r="GT1" s="267"/>
      <c r="GU1" s="267"/>
      <c r="GV1" s="267"/>
      <c r="GW1" s="267"/>
      <c r="GX1" s="267"/>
      <c r="GY1" s="267"/>
      <c r="GZ1" s="267"/>
      <c r="HA1" s="267"/>
      <c r="HB1" s="267"/>
      <c r="HC1" s="267"/>
      <c r="HD1" s="267"/>
      <c r="HE1" s="267"/>
      <c r="HF1" s="267"/>
      <c r="HG1" s="267"/>
      <c r="HH1" s="267"/>
      <c r="HI1" s="267"/>
      <c r="HJ1" s="268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287</v>
      </c>
      <c r="E2" s="6" t="s">
        <v>303</v>
      </c>
      <c r="F2" s="6" t="s">
        <v>302</v>
      </c>
      <c r="G2" s="6" t="s">
        <v>308</v>
      </c>
      <c r="H2" s="69" t="s">
        <v>304</v>
      </c>
      <c r="I2" s="72" t="s">
        <v>303</v>
      </c>
      <c r="J2" s="73" t="s">
        <v>302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308</v>
      </c>
      <c r="R2" s="7" t="s">
        <v>305</v>
      </c>
      <c r="S2" s="7" t="s">
        <v>309</v>
      </c>
      <c r="T2" s="7" t="s">
        <v>310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303</v>
      </c>
      <c r="AE2" s="73" t="s">
        <v>302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308</v>
      </c>
      <c r="AM2" s="7" t="s">
        <v>305</v>
      </c>
      <c r="AN2" s="7" t="s">
        <v>309</v>
      </c>
      <c r="AO2" s="7" t="s">
        <v>310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303</v>
      </c>
      <c r="AZ2" s="73" t="s">
        <v>302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308</v>
      </c>
      <c r="BH2" s="7" t="s">
        <v>305</v>
      </c>
      <c r="BI2" s="7" t="s">
        <v>309</v>
      </c>
      <c r="BJ2" s="7" t="s">
        <v>310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303</v>
      </c>
      <c r="BU2" s="73" t="s">
        <v>302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308</v>
      </c>
      <c r="CC2" s="7" t="s">
        <v>305</v>
      </c>
      <c r="CD2" s="7" t="s">
        <v>309</v>
      </c>
      <c r="CE2" s="7" t="s">
        <v>310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303</v>
      </c>
      <c r="CP2" s="73" t="s">
        <v>302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308</v>
      </c>
      <c r="CX2" s="7" t="s">
        <v>305</v>
      </c>
      <c r="CY2" s="7" t="s">
        <v>309</v>
      </c>
      <c r="CZ2" s="7" t="s">
        <v>310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303</v>
      </c>
      <c r="DK2" s="73" t="s">
        <v>302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308</v>
      </c>
      <c r="DS2" s="7" t="s">
        <v>305</v>
      </c>
      <c r="DT2" s="7" t="s">
        <v>309</v>
      </c>
      <c r="DU2" s="7" t="s">
        <v>310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303</v>
      </c>
      <c r="EF2" s="73" t="s">
        <v>302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308</v>
      </c>
      <c r="EN2" s="7" t="s">
        <v>305</v>
      </c>
      <c r="EO2" s="7" t="s">
        <v>309</v>
      </c>
      <c r="EP2" s="7" t="s">
        <v>310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303</v>
      </c>
      <c r="FA2" s="73" t="s">
        <v>302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308</v>
      </c>
      <c r="FI2" s="7" t="s">
        <v>305</v>
      </c>
      <c r="FJ2" s="7" t="s">
        <v>309</v>
      </c>
      <c r="FK2" s="7" t="s">
        <v>310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303</v>
      </c>
      <c r="FV2" s="73" t="s">
        <v>302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308</v>
      </c>
      <c r="GD2" s="7" t="s">
        <v>305</v>
      </c>
      <c r="GE2" s="7" t="s">
        <v>309</v>
      </c>
      <c r="GF2" s="7" t="s">
        <v>310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303</v>
      </c>
      <c r="GQ2" s="73" t="s">
        <v>302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308</v>
      </c>
      <c r="GY2" s="7" t="s">
        <v>305</v>
      </c>
      <c r="GZ2" s="7" t="s">
        <v>309</v>
      </c>
      <c r="HA2" s="7" t="s">
        <v>310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135.66666666666666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projet'!$B$9,Paramètres!$A$1:$I$88,3,0)*VLOOKUP('Données projet'!$B$9,Paramètres!$A$1:$I$88,5,0)</f>
        <v>0</v>
      </c>
      <c r="P3" s="13">
        <v>0</v>
      </c>
      <c r="Q3" s="15">
        <f>(O3+P3)*0.475*44/12</f>
        <v>0</v>
      </c>
      <c r="R3" s="62">
        <f t="shared" ref="R3:R66" si="0">Q3+(I3+J3)*44/12</f>
        <v>117.33333333333333</v>
      </c>
      <c r="S3" s="62">
        <f ca="1">AVERAGE(OFFSET($R$3,0,0,'Données projet'!$E$9+1,1))-AVERAGE(OFFSET($H$3,0,0,'Données projet'!$E$9+1,1))</f>
        <v>314.72063458462026</v>
      </c>
      <c r="T3" s="62">
        <f>$R$33-$H$33</f>
        <v>216.4380325968244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projet'!$B$9,Paramètres!$A$1:$I$88,7,0))</f>
        <v>0</v>
      </c>
      <c r="X3" s="17">
        <f>IF(ISNA(VLOOKUP(A3,'Données projet'!$A$35:$I$55,6,0)),0%,VLOOKUP(A3,'Données projet'!$A$35:$I$55,6,0)*VLOOKUP('Données projet'!$B$9,Paramètres!$A$1:$I$88,7,0))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projet'!$B$10,Paramètres!$A$1:$I$88,3,0)*VLOOKUP('Données projet'!$B$10,Paramètres!$A$1:$I$88,5,0)</f>
        <v>0</v>
      </c>
      <c r="AK3" s="13">
        <v>0</v>
      </c>
      <c r="AL3" s="15">
        <f>(AJ3+AK3)*0.475*44/12</f>
        <v>0</v>
      </c>
      <c r="AM3" s="62">
        <f>AL3+(AD3+AE3)*44/12</f>
        <v>117.33333333333333</v>
      </c>
      <c r="AN3" s="62">
        <f ca="1">AVERAGE(OFFSET($AM$3,0,0,'Données projet'!$E$10+1,1))-AVERAGE(OFFSET($H$3,0,0,'Données projet'!$E$10+1,1))</f>
        <v>458.33072853676879</v>
      </c>
      <c r="AO3" s="62">
        <f>$AM$33-$H$33</f>
        <v>254.1734169352687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projet'!$B$10,Paramètres!$A$1:$I$88,7,0))</f>
        <v>0</v>
      </c>
      <c r="AS3" s="17">
        <f>IF(ISNA(VLOOKUP(A3,'Données projet'!$A$61:$I$81,6,0)),0%,VLOOKUP(A3,'Données projet'!$A$61:$I$81,6,0)*VLOOKUP('Données projet'!$B$10,Paramètres!$A$1:$I$88,7,0))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projet'!$B$11,Paramètres!$A$1:$I$88,3,0)*VLOOKUP('Données projet'!$B$11,Paramètres!$A$1:$I$88,5,0)</f>
        <v>0</v>
      </c>
      <c r="BF3" s="13">
        <v>0</v>
      </c>
      <c r="BG3" s="15">
        <f>(BE3+BF3)*0.475*44/12</f>
        <v>0</v>
      </c>
      <c r="BH3" s="62">
        <f>BG3+(AY3+AZ3)*44/12</f>
        <v>117.33333333333333</v>
      </c>
      <c r="BI3" s="62">
        <f ca="1">AVERAGE(OFFSET($BH$3,0,0,'Données projet'!$E$11+1,1))-AVERAGE(OFFSET($H$3,0,0,'Données projet'!$E$11+1,1))</f>
        <v>447.82618173893104</v>
      </c>
      <c r="BJ3" s="62">
        <f>$BH$33-$H$33</f>
        <v>248.96509970783379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projet'!$B$11,Paramètres!$A$1:$I$88,7,0))</f>
        <v>0</v>
      </c>
      <c r="BN3" s="17">
        <f>IF(ISNA(VLOOKUP(A3,'Données projet'!$A$87:$I$107,6,0)),0%,VLOOKUP(A3,'Données projet'!$A$87:$I$107,6,0)*VLOOKUP('Données projet'!$B$11,Paramètres!$A$1:$I$88,7,0))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projet'!$B$12,Paramètres!$A$1:$I$88,3,0)*VLOOKUP('Données projet'!$B$12,Paramètres!$A$1:$I$88,5,0)</f>
        <v>0</v>
      </c>
      <c r="CA3" s="13">
        <v>0</v>
      </c>
      <c r="CB3" s="15">
        <f>(BZ3+CA3)*0.475*44/12</f>
        <v>0</v>
      </c>
      <c r="CC3" s="62">
        <f>CB3+(BT3+BU3)*44/12</f>
        <v>117.33333333333333</v>
      </c>
      <c r="CD3" s="62">
        <f ca="1">AVERAGE(OFFSET($CC$3,0,0,'Données projet'!$E$12+1,1))-AVERAGE(OFFSET($H$3,0,0,'Données projet'!$E$12+1,1))</f>
        <v>468.82871618425406</v>
      </c>
      <c r="CE3" s="62">
        <f>$CC$33-$H$33</f>
        <v>259.37818128554397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projet'!$B$12,Paramètres!$A$1:$I$88,7,0))</f>
        <v>0</v>
      </c>
      <c r="CI3" s="17">
        <f>IF(ISNA(VLOOKUP(A3,'Données projet'!$A$113:$I$133,6,0)),0%,VLOOKUP(A3,'Données projet'!$A$113:$I$133,6,0)*VLOOKUP('Données projet'!$B$12,Paramètres!$A$1:$I$88,7,0))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projet'!$B$13,Paramètres!$A$1:$I$88,3,0)*VLOOKUP('Données projet'!$B$13,Paramètres!$A$1:$I$88,5,0)</f>
        <v>0</v>
      </c>
      <c r="CV3" s="13">
        <v>0</v>
      </c>
      <c r="CW3" s="15">
        <f>(CU3+CV3)*0.475*44/12</f>
        <v>0</v>
      </c>
      <c r="CX3" s="62">
        <f>CW3+(CO3+CP3)*44/12</f>
        <v>117.33333333333333</v>
      </c>
      <c r="CY3" s="62">
        <f ca="1">AVERAGE(OFFSET($CX$3,0,0,'Données projet'!$E$13+1,1))-AVERAGE(OFFSET($H$3,0,0,'Données projet'!$E$13+1,1))</f>
        <v>395.19659151668884</v>
      </c>
      <c r="CZ3" s="62">
        <f>$CX$33-$H$33</f>
        <v>222.86563304507339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projet'!$B$13,Paramètres!$A$1:$I$88,7,0))</f>
        <v>0</v>
      </c>
      <c r="DD3" s="17">
        <f>IF(ISNA(VLOOKUP(A3,'Données projet'!$A$139:$I$159,6,0)),0%,VLOOKUP(A3,'Données projet'!$A$139:$I$159,6,0)*VLOOKUP('Données projet'!$B$13,Paramètres!$A$1:$I$88,7,0))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>
        <f>DO3*VLOOKUP('Données projet'!$B$14,Paramètres!$A$1:$I$88,3,0)*VLOOKUP('Données projet'!$B$14,Paramètres!$A$1:$I$88,5,0)</f>
        <v>0</v>
      </c>
      <c r="DQ3" s="13">
        <v>0</v>
      </c>
      <c r="DR3" s="15">
        <f>(DP3+DQ3)*0.475*44/12</f>
        <v>0</v>
      </c>
      <c r="DS3" s="62">
        <f>DR3+(DJ3+DK3)*44/12</f>
        <v>117.33333333333333</v>
      </c>
      <c r="DT3" s="62">
        <f ca="1">AVERAGE(OFFSET($DS$3,0,0,'Données projet'!$E$14+1,1))-AVERAGE(OFFSET($H$3,0,0,'Données projet'!$E$14+1,1))</f>
        <v>155.18073137151848</v>
      </c>
      <c r="DU3" s="62">
        <f>$DS$33-$H$33</f>
        <v>115.19459155667272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projet'!$B$14,Paramètres!$A$1:$I$88,7,0))</f>
        <v>0</v>
      </c>
      <c r="DY3" s="17">
        <f>IF(ISNA(VLOOKUP(A3,'Données projet'!$A$165:$I$185,6,0)),0%,VLOOKUP(A3,'Données projet'!$A$165:$I$185,6,0)*VLOOKUP('Données projet'!$B$14,Paramètres!$A$1:$I$88,7,0))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>
        <f>EJ3*VLOOKUP('Données projet'!$B$15,Paramètres!$A$1:$I$88,3,0)*VLOOKUP('Données projet'!$B$15,Paramètres!$A$1:$I$88,5,0)</f>
        <v>0</v>
      </c>
      <c r="EL3" s="13">
        <v>0</v>
      </c>
      <c r="EM3" s="15">
        <f>(EK3+EL3)*0.475*44/12</f>
        <v>0</v>
      </c>
      <c r="EN3" s="62">
        <f>EM3+(EE3+EF3)*44/12</f>
        <v>117.33333333333333</v>
      </c>
      <c r="EO3" s="62">
        <f ca="1">AVERAGE(OFFSET($EN$3,0,0,'Données projet'!$E$15+1,1))-AVERAGE(OFFSET($H$3,0,0,'Données projet'!$E$15+1,1))</f>
        <v>238.59014604384171</v>
      </c>
      <c r="EP3" s="62">
        <f>$EN$33-$H$33</f>
        <v>90.841373219575217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projet'!$B$15,Paramètres!$A$1:$I$88,7,0))</f>
        <v>0</v>
      </c>
      <c r="ET3" s="17">
        <f>IF(ISNA(VLOOKUP(A3,'Données projet'!$A$191:$I$211,6,0)),0%,VLOOKUP(A3,'Données projet'!$A$191:$I$211,6,0)*VLOOKUP('Données projet'!$B$15,Paramètres!$A$1:$I$88,7,0))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projet'!$B$16,Paramètres!$A$1:$I$88,3,0)*VLOOKUP('Données projet'!$B$16,Paramètres!$A$1:$I$88,5,0)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$FI$33-$H$33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projet'!$B$16,Paramètres!$A$1:$I$88,7,0))</f>
        <v>0</v>
      </c>
      <c r="FO3" s="17">
        <f>IF(ISNA(VLOOKUP(A3,'Données projet'!$A$217:$I$237,6,0)),0%,VLOOKUP(A3,'Données projet'!$A$217:$I$237,6,0)*VLOOKUP('Données projet'!$B$16,Paramètres!$A$1:$I$88,7,0))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projet'!$B$17,Paramètres!$A$1:$I$88,3,0)*VLOOKUP('Données projet'!$B$17,Paramètres!$A$1:$I$88,5,0)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$GD$33-$H$33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projet'!$B$17,Paramètres!$A$1:$I$88,7,0))</f>
        <v>0</v>
      </c>
      <c r="GJ3" s="17">
        <f>IF(ISNA(VLOOKUP(A3,'Données projet'!$A$243:$I$263,6,0)),0%,VLOOKUP(A3,'Données projet'!$A$243:$I$263,6,0)*VLOOKUP('Données projet'!$B$17,Paramètres!$A$1:$I$88,7,0))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projet'!$B$18,Paramètres!$A$1:$I$88,3,0)*VLOOKUP('Données projet'!$B$18,Paramètres!$A$1:$I$88,5,0)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$GY$33-$H$33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projet'!$B$18,Paramètres!$A$1:$I$88,7,0))</f>
        <v>0</v>
      </c>
      <c r="HE3" s="17">
        <f>IF(ISNA(VLOOKUP(A3,'Données projet'!$A$269:$I$289,6,0)),0%,VLOOKUP(A3,'Données projet'!$A$269:$I$289,6,0)*VLOOKUP('Données projet'!$B$18,Paramètres!$A$1:$I$88,7,0))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135.66666666666666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1.5341666666666667</v>
      </c>
      <c r="N4" s="14">
        <f>IF(A4&lt;'Données projet'!$A$36,$K$205^A4,IF(A4='Données projet'!$A$36,'Données projet'!$B$36,N3+M4-V3))</f>
        <v>1.3139754596796083</v>
      </c>
      <c r="O4" s="14">
        <f>N4*VLOOKUP('Données projet'!$B$9,Paramètres!$A$1:$I$88,3,0)*VLOOKUP('Données projet'!$B$9,Paramètres!$A$1:$I$88,5,0)</f>
        <v>1.5136997295509085</v>
      </c>
      <c r="P4" s="14">
        <f>EXP(-1.0587+0.8836*LN(O4)+0.284)</f>
        <v>0.66471453171137918</v>
      </c>
      <c r="Q4" s="22">
        <f t="shared" ref="Q4:Q34" si="2">(O4+P4)*0.475*44/12</f>
        <v>3.7940715050318166</v>
      </c>
      <c r="R4" s="62">
        <f t="shared" si="0"/>
        <v>124.76674889125385</v>
      </c>
      <c r="S4" s="62">
        <f ca="1">AVERAGE(OFFSET($R$3,0,0,'Données projet'!$E$9+1,1))-AVERAGE(OFFSET($H$3,0,0,'Données projet'!$E$9+1,1))</f>
        <v>314.72063458462026</v>
      </c>
      <c r="T4" s="62">
        <f t="shared" ref="T4:T66" si="3">$R$33-$H$33</f>
        <v>216.4380325968244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projet'!$B$9,Paramètres!$A$1:$I$88,7,0))</f>
        <v>0</v>
      </c>
      <c r="X4" s="17">
        <f>IF(ISNA(VLOOKUP(A4,'Données projet'!$A$35:$I$55,6,0)),0%,VLOOKUP(A4,'Données projet'!$A$35:$I$55,6,0)*VLOOKUP('Données projet'!$B$9,Paramètres!$A$1:$I$88,7,0))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projet'!$B$9,Paramètres!$A$1:$I$88,3,0)*0.475*44/12</f>
        <v>0</v>
      </c>
      <c r="AA4" s="23">
        <f>EXP(-LN(2)/25)*AA3+(1-EXP(-LN(2)/25))/(LN(2)/25)*Calculateur!V4*Calculateur!X4*VLOOKUP('Données projet'!$B$9,Paramètres!$A$1:$I$88,3,0)*0.475*44/12</f>
        <v>0</v>
      </c>
      <c r="AB4" s="23">
        <f>EXP(-LN(2)/2)*AB3+(1-EXP(-LN(2)/2))/(LN(2)/2)*V4*Y4*VLOOKUP('Données projet'!$B$9,Paramètres!$A$1:$I$88,3,0)*0.475*44/12</f>
        <v>0</v>
      </c>
      <c r="AC4" s="24">
        <f t="shared" ref="AC4:AC67" si="4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2</v>
      </c>
      <c r="AI4" s="14">
        <f>IF(A4&lt;'Données projet'!$A$62,$AF$205^A4,IF(A4='Données projet'!$A$62,'Données projet'!$B$62,AI3+AH4-AQ3))</f>
        <v>1.1693884504284608</v>
      </c>
      <c r="AJ4" s="14">
        <f>AI4*VLOOKUP('Données projet'!$B$10,Paramètres!$A$1:$I$88,3,0)*VLOOKUP('Données projet'!$B$10,Paramètres!$A$1:$I$88,5,0)</f>
        <v>1.2222448083878275</v>
      </c>
      <c r="AK4" s="14">
        <f>EXP(-1.0587+0.8836*LN(AJ4)+0.284)</f>
        <v>0.55025633534029272</v>
      </c>
      <c r="AL4" s="22">
        <f t="shared" ref="AL4:AL67" si="5">(AJ4+AK4)*0.475*44/12</f>
        <v>3.0871061586598092</v>
      </c>
      <c r="AM4" s="62">
        <f t="shared" ref="AM4:AM67" si="6">AL4+(AD4+AE4)*44/12</f>
        <v>124.05978354488184</v>
      </c>
      <c r="AN4" s="62">
        <f ca="1">AVERAGE(OFFSET($AM$3,0,0,'Données projet'!$E$10+1,1))-AVERAGE(OFFSET($H$3,0,0,'Données projet'!$E$10+1,1))</f>
        <v>458.33072853676879</v>
      </c>
      <c r="AO4" s="62">
        <f t="shared" ref="AO4:AO67" si="7">$AM$33-$H$33</f>
        <v>254.1734169352687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projet'!$B$10,Paramètres!$A$1:$I$88,7,0))</f>
        <v>0</v>
      </c>
      <c r="AS4" s="17">
        <f>IF(ISNA(VLOOKUP(A4,'Données projet'!$A$61:$I$81,6,0)),0%,VLOOKUP(A4,'Données projet'!$A$61:$I$81,6,0)*VLOOKUP('Données projet'!$B$10,Paramètres!$A$1:$I$88,7,0))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projet'!$B$9,Paramètres!$A$1:$I$88,3,0)*0.475*44/12</f>
        <v>0</v>
      </c>
      <c r="AV4" s="23">
        <f>EXP(-LN(2)/25)*AV3+(1-EXP(-LN(2)/25))/(LN(2)/25)*Calculateur!AQ4*Calculateur!AS4*VLOOKUP('Données projet'!$B$9,Paramètres!$A$1:$I$88,3,0)*0.475*44/12</f>
        <v>0</v>
      </c>
      <c r="AW4" s="23">
        <f>EXP(-LN(2)/2)*AW3+(1-EXP(-LN(2)/2))/(LN(2)/2)*AQ4*AT4*VLOOKUP('Données projet'!$B$9,Paramètres!$A$1:$I$88,3,0)*0.475*44/12</f>
        <v>0</v>
      </c>
      <c r="AX4" s="23">
        <f t="shared" ref="AX4:AX67" si="8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2</v>
      </c>
      <c r="BD4" s="13">
        <f>IF(A4&lt;'Données projet'!$A$88,$BA$205^A4,IF(A4='Données projet'!$A$88,'Données projet'!$B$88,BD3+BC4-BL3))</f>
        <v>1.1693884504284608</v>
      </c>
      <c r="BE4" s="14">
        <f>BD4*VLOOKUP('Données projet'!$B$11,Paramètres!$A$1:$I$88,3,0)*VLOOKUP('Données projet'!$B$11,Paramètres!$A$1:$I$88,5,0)</f>
        <v>1.1857598887344594</v>
      </c>
      <c r="BF4" s="14">
        <f>EXP(-1.0587+0.8836*LN(BE4)+0.284)</f>
        <v>0.53571720921378085</v>
      </c>
      <c r="BG4" s="22">
        <f t="shared" ref="BG4:BG67" si="9">(BE4+BF4)*0.475*44/12</f>
        <v>2.9982392789265186</v>
      </c>
      <c r="BH4" s="62">
        <f t="shared" ref="BH4:BH67" si="10">BG4+(AY4+AZ4)*44/12</f>
        <v>123.97091666514855</v>
      </c>
      <c r="BI4" s="62">
        <f ca="1">AVERAGE(OFFSET($BH$3,0,0,'Données projet'!$E$11+1,1))-AVERAGE(OFFSET($H$3,0,0,'Données projet'!$E$11+1,1))</f>
        <v>447.82618173893104</v>
      </c>
      <c r="BJ4" s="62">
        <f t="shared" ref="BJ4:BJ67" si="11">$BH$33-$H$33</f>
        <v>248.96509970783379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projet'!$B$11,Paramètres!$A$1:$I$88,7,0))</f>
        <v>0</v>
      </c>
      <c r="BN4" s="17">
        <f>IF(ISNA(VLOOKUP(A4,'Données projet'!$A$87:$I$107,6,0)),0%,VLOOKUP(A4,'Données projet'!$A$87:$I$107,6,0)*VLOOKUP('Données projet'!$B$11,Paramètres!$A$1:$I$88,7,0))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projet'!$B$9,Paramètres!$A$1:$I$88,3,0)*0.475*44/12</f>
        <v>0</v>
      </c>
      <c r="BQ4" s="23">
        <f>EXP(-LN(2)/25)*BQ3+(1-EXP(-LN(2)/25))/(LN(2)/25)*Calculateur!BL4*Calculateur!BN4*VLOOKUP('Données projet'!$B$9,Paramètres!$A$1:$I$88,3,0)*0.475*44/12</f>
        <v>0</v>
      </c>
      <c r="BR4" s="23">
        <f>EXP(-LN(2)/2)*BR3+(1-EXP(-LN(2)/2))/(LN(2)/2)*BL4*BO4*VLOOKUP('Données projet'!$B$9,Paramètres!$A$1:$I$88,3,0)*0.475*44/12</f>
        <v>0</v>
      </c>
      <c r="BS4" s="24">
        <f t="shared" ref="BS4:BS67" si="12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2</v>
      </c>
      <c r="BY4" s="13">
        <f>IF(A4&lt;'Données projet'!$A$114,$BV$205^A4,IF(A4='Données projet'!$A$114,'Données projet'!$B$114,BY3+BX4-CG3))</f>
        <v>1.1693884504284608</v>
      </c>
      <c r="BZ4" s="14">
        <f>BY4*VLOOKUP('Données projet'!$B$12,Paramètres!$A$1:$I$88,3,0)*VLOOKUP('Données projet'!$B$12,Paramètres!$A$1:$I$88,5,0)</f>
        <v>1.2587297280411951</v>
      </c>
      <c r="CA4" s="14">
        <f>EXP(-1.0587+0.8836*LN(BZ4)+0.284)</f>
        <v>0.56474502317811348</v>
      </c>
      <c r="CB4" s="22">
        <f t="shared" ref="CB4:CB67" si="13">(BZ4+CA4)*0.475*44/12</f>
        <v>3.1758851917069624</v>
      </c>
      <c r="CC4" s="62">
        <f t="shared" ref="CC4:CC67" si="14">CB4+(BT4+BU4)*44/12</f>
        <v>124.148562577929</v>
      </c>
      <c r="CD4" s="62">
        <f ca="1">AVERAGE(OFFSET($CC$3,0,0,'Données projet'!$E$12+1,1))-AVERAGE(OFFSET($H$3,0,0,'Données projet'!$E$12+1,1))</f>
        <v>468.82871618425406</v>
      </c>
      <c r="CE4" s="62">
        <f t="shared" ref="CE4:CE67" si="15">$CC$33-$H$33</f>
        <v>259.37818128554397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projet'!$B$12,Paramètres!$A$1:$I$88,7,0))</f>
        <v>0</v>
      </c>
      <c r="CI4" s="17">
        <f>IF(ISNA(VLOOKUP(A4,'Données projet'!$A$113:$I$133,6,0)),0%,VLOOKUP(A4,'Données projet'!$A$113:$I$133,6,0)*VLOOKUP('Données projet'!$B$12,Paramètres!$A$1:$I$88,7,0))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projet'!$B$9,Paramètres!$A$1:$I$88,3,0)*0.475*44/12</f>
        <v>0</v>
      </c>
      <c r="CL4" s="23">
        <f>EXP(-LN(2)/25)*CL3+(1-EXP(-LN(2)/25))/(LN(2)/25)*Calculateur!CG4*Calculateur!CI4*VLOOKUP('Données projet'!$B$9,Paramètres!$A$1:$I$88,3,0)*0.475*44/12</f>
        <v>0</v>
      </c>
      <c r="CM4" s="23">
        <f>EXP(-LN(2)/2)*CM3+(1-EXP(-LN(2)/2))/(LN(2)/2)*CG4*CJ4*VLOOKUP('Données projet'!$B$9,Paramètres!$A$1:$I$88,3,0)*0.475*44/12</f>
        <v>0</v>
      </c>
      <c r="CN4" s="24">
        <f t="shared" ref="CN4:CN67" si="16">SUM(CK4:CM4)</f>
        <v>0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2</v>
      </c>
      <c r="CT4" s="13">
        <f>IF(A4&lt;'Données projet'!$A$140,$CQ$205^A4,IF(A4='Données projet'!$A$140,'Données projet'!$B$140,CT3+CS4-DB3))</f>
        <v>1.1693884504284608</v>
      </c>
      <c r="CU4" s="18">
        <f>CT4*VLOOKUP('Données projet'!$B$13,Paramètres!$A$1:$I$88,3,0)*VLOOKUP('Données projet'!$B$13,Paramètres!$A$1:$I$88,5,0)</f>
        <v>1.0033352904676194</v>
      </c>
      <c r="CV4" s="14">
        <f>EXP(-1.0587+0.8836*LN(CU4)+0.284)</f>
        <v>0.46219987984865579</v>
      </c>
      <c r="CW4" s="22">
        <f t="shared" ref="CW4:CW67" si="17">(CU4+CV4)*0.475*44/12</f>
        <v>2.5524737549675121</v>
      </c>
      <c r="CX4" s="62">
        <f t="shared" ref="CX4:CX67" si="18">CW4+(CO4+CP4)*44/12</f>
        <v>123.52515114118954</v>
      </c>
      <c r="CY4" s="62">
        <f ca="1">AVERAGE(OFFSET($CX$3,0,0,'Données projet'!$E$13+1,1))-AVERAGE(OFFSET($H$3,0,0,'Données projet'!$E$13+1,1))</f>
        <v>395.19659151668884</v>
      </c>
      <c r="CZ4" s="62">
        <f t="shared" ref="CZ4:CZ67" si="19">$CX$33-$H$33</f>
        <v>222.86563304507339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projet'!$B$13,Paramètres!$A$1:$I$88,7,0))</f>
        <v>0</v>
      </c>
      <c r="DD4" s="17">
        <f>IF(ISNA(VLOOKUP(A4,'Données projet'!$A$139:$I$159,6,0)),0%,VLOOKUP(A4,'Données projet'!$A$139:$I$159,6,0)*VLOOKUP('Données projet'!$B$13,Paramètres!$A$1:$I$88,7,0))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projet'!$B$9,Paramètres!$A$1:$I$88,3,0)*0.475*44/12</f>
        <v>0</v>
      </c>
      <c r="DG4" s="23">
        <f>EXP(-LN(2)/25)*DG3+(1-EXP(-LN(2)/25))/(LN(2)/25)*Calculateur!DB4*Calculateur!DD4*VLOOKUP('Données projet'!$B$9,Paramètres!$A$1:$I$88,3,0)*0.475*44/12</f>
        <v>0</v>
      </c>
      <c r="DH4" s="23">
        <f>EXP(-LN(2)/2)*DH3+(1-EXP(-LN(2)/2))/(LN(2)/2)*DB4*DE4*VLOOKUP('Données projet'!$B$9,Paramètres!$A$1:$I$88,3,0)*0.475*44/12</f>
        <v>0</v>
      </c>
      <c r="DI4" s="24">
        <f t="shared" ref="DI4:DI67" si="20">SUM(DF4:DH4)</f>
        <v>0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2.2749999999999999</v>
      </c>
      <c r="DO4" s="13">
        <f>IF(A4&lt;'Données projet'!$A$166,$DL$205^A4,IF(A4='Données projet'!$A$166,'Données projet'!$B$166,DO3+DN4-DW3))</f>
        <v>1.1193761124691008</v>
      </c>
      <c r="DP4" s="18">
        <f>DO4*VLOOKUP('Données projet'!$B$14,Paramètres!$A$1:$I$88,3,0)*VLOOKUP('Données projet'!$B$14,Paramètres!$A$1:$I$88,5,0)</f>
        <v>0.65483502579442399</v>
      </c>
      <c r="DQ4" s="14">
        <f>EXP(-1.0587+0.8836*LN(DP4)+0.284)</f>
        <v>0.31701967214341142</v>
      </c>
      <c r="DR4" s="22">
        <f t="shared" ref="DR4:DR67" si="21">(DP4+DQ4)*0.475*44/12</f>
        <v>1.6926469322417299</v>
      </c>
      <c r="DS4" s="62">
        <f t="shared" ref="DS4:DS67" si="22">DR4+(DJ4+DK4)*44/12</f>
        <v>122.66532431846376</v>
      </c>
      <c r="DT4" s="62">
        <f ca="1">AVERAGE(OFFSET($DS$3,0,0,'Données projet'!$E$14+1,1))-AVERAGE(OFFSET($H$3,0,0,'Données projet'!$E$14+1,1))</f>
        <v>155.18073137151848</v>
      </c>
      <c r="DU4" s="62">
        <f t="shared" ref="DU4:DU67" si="23">$DS$33-$H$33</f>
        <v>115.19459155667272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projet'!$B$14,Paramètres!$A$1:$I$88,7,0))</f>
        <v>0</v>
      </c>
      <c r="DY4" s="17">
        <f>IF(ISNA(VLOOKUP(A4,'Données projet'!$A$165:$I$185,6,0)),0%,VLOOKUP(A4,'Données projet'!$A$165:$I$185,6,0)*VLOOKUP('Données projet'!$B$14,Paramètres!$A$1:$I$88,7,0))</f>
        <v>0</v>
      </c>
      <c r="DZ4" s="17">
        <f>IF(ISNA(VLOOKUP(A4,'Données projet'!$A$165:$I$185,7,0)),0%,VLOOKUP(A4,'Données projet'!$A$165:$I$185,7,0))</f>
        <v>0</v>
      </c>
      <c r="EA4" s="23">
        <f>EXP(-LN(2)/35)*EA3+(1-EXP(-LN(2)/35))/(LN(2)/35)*DW4*DX4*VLOOKUP('Données projet'!$B$9,Paramètres!$A$1:$I$88,3,0)*0.475*44/12</f>
        <v>0</v>
      </c>
      <c r="EB4" s="23">
        <f>EXP(-LN(2)/25)*EB3+(1-EXP(-LN(2)/25))/(LN(2)/25)*Calculateur!DW4*Calculateur!DY4*VLOOKUP('Données projet'!$B$9,Paramètres!$A$1:$I$88,3,0)*0.475*44/12</f>
        <v>0</v>
      </c>
      <c r="EC4" s="23">
        <f>EXP(-LN(2)/2)*EC3+(1-EXP(-LN(2)/2))/(LN(2)/2)*DW4*DZ4*VLOOKUP('Données projet'!$B$9,Paramètres!$A$1:$I$88,3,0)*0.475*44/12</f>
        <v>0</v>
      </c>
      <c r="ED4" s="24">
        <f t="shared" ref="ED4:ED67" si="24">SUM(EA4:EC4)</f>
        <v>0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3.25</v>
      </c>
      <c r="EJ4" s="13">
        <f>IF(A4&lt;'Données projet'!$A$192,$EG$205^A4,IF(A4='Données projet'!$A$192,'Données projet'!$B$192,EJ3+EI4-ER3))</f>
        <v>1.0918607228121426</v>
      </c>
      <c r="EK4" s="18">
        <f>EJ4*VLOOKUP('Données projet'!$B$15,Paramètres!$A$1:$I$88,3,0)*VLOOKUP('Données projet'!$B$15,Paramètres!$A$1:$I$88,5,0)</f>
        <v>0.51099081827608273</v>
      </c>
      <c r="EL4" s="14">
        <f>EXP(-1.0587+0.8836*LN(EK4)+0.284)</f>
        <v>0.25462783476401002</v>
      </c>
      <c r="EM4" s="22">
        <f t="shared" ref="EM4:EM67" si="25">(EK4+EL4)*0.475*44/12</f>
        <v>1.3334524873781615</v>
      </c>
      <c r="EN4" s="62">
        <f t="shared" ref="EN4:EN67" si="26">EM4+(EE4+EF4)*44/12</f>
        <v>122.3061298736002</v>
      </c>
      <c r="EO4" s="62">
        <f ca="1">AVERAGE(OFFSET($EN$3,0,0,'Données projet'!$E$15+1,1))-AVERAGE(OFFSET($H$3,0,0,'Données projet'!$E$15+1,1))</f>
        <v>238.59014604384171</v>
      </c>
      <c r="EP4" s="62">
        <f t="shared" ref="EP4:EP67" si="27">$EN$33-$H$33</f>
        <v>90.841373219575217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projet'!$B$15,Paramètres!$A$1:$I$88,7,0))</f>
        <v>0</v>
      </c>
      <c r="ET4" s="17">
        <f>IF(ISNA(VLOOKUP(A4,'Données projet'!$A$191:$I$211,6,0)),0%,VLOOKUP(A4,'Données projet'!$A$191:$I$211,6,0)*VLOOKUP('Données projet'!$B$15,Paramètres!$A$1:$I$88,7,0))</f>
        <v>0</v>
      </c>
      <c r="EU4" s="17">
        <f>IF(ISNA(VLOOKUP(A4,'Données projet'!$A$191:$I$211,7,0)),0%,VLOOKUP(A4,'Données projet'!$A$191:$I$211,7,0))</f>
        <v>0</v>
      </c>
      <c r="EV4" s="23">
        <f>EXP(-LN(2)/35)*EV3+(1-EXP(-LN(2)/35))/(LN(2)/35)*ER4*ES4*VLOOKUP('Données projet'!$B$9,Paramètres!$A$1:$I$88,3,0)*0.475*44/12</f>
        <v>0</v>
      </c>
      <c r="EW4" s="23">
        <f>EXP(-LN(2)/25)*EW3+(1-EXP(-LN(2)/25))/(LN(2)/25)*Calculateur!ER4*Calculateur!ET4*VLOOKUP('Données projet'!$B$9,Paramètres!$A$1:$I$88,3,0)*0.475*44/12</f>
        <v>0</v>
      </c>
      <c r="EX4" s="23">
        <f>EXP(-LN(2)/2)*EX3+(1-EXP(-LN(2)/2))/(LN(2)/2)*ER4*EU4*VLOOKUP('Données projet'!$B$9,Paramètres!$A$1:$I$88,3,0)*0.475*44/12</f>
        <v>0</v>
      </c>
      <c r="EY4" s="24">
        <f t="shared" ref="EY4:EY67" si="28">SUM(EV4:EX4)</f>
        <v>0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IF(A4&lt;'Données projet'!$A$218,$FB$205^A4,IF(A4='Données projet'!$A$218,'Données projet'!$B$218,FE3+FD4-FM3))</f>
        <v>0</v>
      </c>
      <c r="FF4" s="18" t="e">
        <f>FE4*VLOOKUP('Données projet'!$B$16,Paramètres!$A$1:$I$88,3,0)*VLOOKUP('Données projet'!$B$16,Paramètres!$A$1:$I$88,5,0)</f>
        <v>#N/A</v>
      </c>
      <c r="FG4" s="14" t="e">
        <f>EXP(-1.0587+0.8836*LN(FF4)+0.284)</f>
        <v>#N/A</v>
      </c>
      <c r="FH4" s="22" t="e">
        <f t="shared" ref="FH4:FH67" si="29">(FF4+FG4)*0.475*44/12</f>
        <v>#N/A</v>
      </c>
      <c r="FI4" s="62" t="e">
        <f t="shared" ref="FI4:FI67" si="30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 t="shared" ref="FK4:FK67" si="31">$FI$33-$H$33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projet'!$B$16,Paramètres!$A$1:$I$88,7,0))</f>
        <v>0</v>
      </c>
      <c r="FO4" s="17">
        <f>IF(ISNA(VLOOKUP(A4,'Données projet'!$A$217:$I$237,6,0)),0%,VLOOKUP(A4,'Données projet'!$A$217:$I$237,6,0)*VLOOKUP('Données projet'!$B$16,Paramètres!$A$1:$I$88,7,0))</f>
        <v>0</v>
      </c>
      <c r="FP4" s="17">
        <f>IF(ISNA(VLOOKUP(A4,'Données projet'!$A$217:$I$237,7,0)),0%,VLOOKUP(A4,'Données projet'!$A$217:$I$237,7,0))</f>
        <v>0</v>
      </c>
      <c r="FQ4" s="23">
        <f>EXP(-LN(2)/35)*FQ3+(1-EXP(-LN(2)/35))/(LN(2)/35)*FM4*FN4*VLOOKUP('Données projet'!$B$9,Paramètres!$A$1:$I$88,3,0)*0.475*44/12</f>
        <v>0</v>
      </c>
      <c r="FR4" s="23">
        <f>EXP(-LN(2)/25)*FR3+(1-EXP(-LN(2)/25))/(LN(2)/25)*Calculateur!FM4*Calculateur!FO4*VLOOKUP('Données projet'!$B$9,Paramètres!$A$1:$I$88,3,0)*0.475*44/12</f>
        <v>0</v>
      </c>
      <c r="FS4" s="23">
        <f>EXP(-LN(2)/2)*FS3+(1-EXP(-LN(2)/2))/(LN(2)/2)*FM4*FP4*VLOOKUP('Données projet'!$B$9,Paramètres!$A$1:$I$88,3,0)*0.475*44/12</f>
        <v>0</v>
      </c>
      <c r="FT4" s="24">
        <f t="shared" ref="FT4:FT67" si="32">SUM(FQ4:FS4)</f>
        <v>0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IF(A4&lt;'Données projet'!$A$244,$FW$205^A4,IF(A4='Données projet'!$A$244,'Données projet'!$B$244,FZ3+FY4-GH3))</f>
        <v>0</v>
      </c>
      <c r="GA4" s="18" t="e">
        <f>FZ4*VLOOKUP('Données projet'!$B$17,Paramètres!$A$1:$I$88,3,0)*VLOOKUP('Données projet'!$B$17,Paramètres!$A$1:$I$88,5,0)</f>
        <v>#N/A</v>
      </c>
      <c r="GB4" s="14" t="e">
        <f>EXP(-1.0587+0.8836*LN(GA4)+0.284)</f>
        <v>#N/A</v>
      </c>
      <c r="GC4" s="22" t="e">
        <f t="shared" ref="GC4:GC67" si="33">(GA4+GB4)*0.475*44/12</f>
        <v>#N/A</v>
      </c>
      <c r="GD4" s="62" t="e">
        <f t="shared" ref="GD4:GD67" si="34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 t="shared" ref="GF4:GF67" si="35">$GD$33-$H$33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projet'!$B$17,Paramètres!$A$1:$I$88,7,0))</f>
        <v>0</v>
      </c>
      <c r="GJ4" s="17">
        <f>IF(ISNA(VLOOKUP(A4,'Données projet'!$A$243:$I$263,6,0)),0%,VLOOKUP(A4,'Données projet'!$A$243:$I$263,6,0)*VLOOKUP('Données projet'!$B$17,Paramètres!$A$1:$I$88,7,0))</f>
        <v>0</v>
      </c>
      <c r="GK4" s="17">
        <f>IF(ISNA(VLOOKUP(A4,'Données projet'!$A$243:$I$263,7,0)),0%,VLOOKUP(A4,'Données projet'!$A$243:$I$263,7,0))</f>
        <v>0</v>
      </c>
      <c r="GL4" s="23">
        <f>EXP(-LN(2)/35)*GL3+(1-EXP(-LN(2)/35))/(LN(2)/35)*GH4*GI4*VLOOKUP('Données projet'!$B$9,Paramètres!$A$1:$I$88,3,0)*0.475*44/12</f>
        <v>0</v>
      </c>
      <c r="GM4" s="23">
        <f>EXP(-LN(2)/25)*GM3+(1-EXP(-LN(2)/25))/(LN(2)/25)*Calculateur!GH4*Calculateur!GJ4*VLOOKUP('Données projet'!$B$9,Paramètres!$A$1:$I$88,3,0)*0.475*44/12</f>
        <v>0</v>
      </c>
      <c r="GN4" s="23">
        <f>EXP(-LN(2)/2)*GN3+(1-EXP(-LN(2)/2))/(LN(2)/2)*GH4*GK4*VLOOKUP('Données projet'!$B$9,Paramètres!$A$1:$I$88,3,0)*0.475*44/12</f>
        <v>0</v>
      </c>
      <c r="GO4" s="23">
        <f t="shared" ref="GO4:GO67" si="36">SUM(GL4:GN4)</f>
        <v>0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IF(A4&lt;'Données projet'!$A$270,$GR$205^A4,IF(A4='Données projet'!$A$270,'Données projet'!$B$270,GU3+GT4-HC3))</f>
        <v>0</v>
      </c>
      <c r="GV4" s="18" t="e">
        <f>GU4*VLOOKUP('Données projet'!$B$18,Paramètres!$A$1:$I$88,3,0)*VLOOKUP('Données projet'!$B$18,Paramètres!$A$1:$I$88,5,0)</f>
        <v>#N/A</v>
      </c>
      <c r="GW4" s="14" t="e">
        <f>EXP(-1.0587+0.8836*LN(GV4)+0.284)</f>
        <v>#N/A</v>
      </c>
      <c r="GX4" s="22" t="e">
        <f t="shared" ref="GX4:GX67" si="37">(GV4+GW4)*0.475*44/12</f>
        <v>#N/A</v>
      </c>
      <c r="GY4" s="62" t="e">
        <f t="shared" ref="GY4:GY67" si="38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 t="shared" ref="HA4:HA67" si="39">$GY$33-$H$33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projet'!$B$18,Paramètres!$A$1:$I$88,7,0))</f>
        <v>0</v>
      </c>
      <c r="HE4" s="17">
        <f>IF(ISNA(VLOOKUP(A4,'Données projet'!$A$269:$I$289,6,0)),0%,VLOOKUP(A4,'Données projet'!$A$269:$I$289,6,0)*VLOOKUP('Données projet'!$B$18,Paramètres!$A$1:$I$88,7,0))</f>
        <v>0</v>
      </c>
      <c r="HF4" s="17">
        <f>IF(ISNA(VLOOKUP(A4,'Données projet'!$A$269:$I$289,7,0)),0%,VLOOKUP(A4,'Données projet'!$A$269:$I$289,7,0))</f>
        <v>0</v>
      </c>
      <c r="HG4" s="23">
        <f>EXP(-LN(2)/35)*HG3+(1-EXP(-LN(2)/35))/(LN(2)/35)*HC4*HD4*VLOOKUP('Données projet'!$B$9,Paramètres!$A$1:$I$88,3,0)*0.475*44/12</f>
        <v>0</v>
      </c>
      <c r="HH4" s="23">
        <f>EXP(-LN(2)/25)*HH3+(1-EXP(-LN(2)/25))/(LN(2)/25)*Calculateur!HC4*Calculateur!HE4*VLOOKUP('Données projet'!$B$9,Paramètres!$A$1:$I$88,3,0)*0.475*44/12</f>
        <v>0</v>
      </c>
      <c r="HI4" s="23">
        <f>EXP(-LN(2)/2)*HI3+(1-EXP(-LN(2)/2))/(LN(2)/2)*HC4*HF4*VLOOKUP('Données projet'!$B$9,Paramètres!$A$1:$I$88,3,0)*0.475*44/12</f>
        <v>0</v>
      </c>
      <c r="HJ4" s="24">
        <f t="shared" ref="HJ4:HJ67" si="40">SUM(HG4:HI4)</f>
        <v>0</v>
      </c>
    </row>
    <row r="5" spans="1:218" s="5" customFormat="1" x14ac:dyDescent="0.25">
      <c r="A5" s="11">
        <f t="shared" ref="A5:A68" si="4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" s="12">
        <f t="shared" ref="D5:D68" si="4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135.66666666666666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1.5341666666666667</v>
      </c>
      <c r="N5" s="14">
        <f>IF(A5&lt;'Données projet'!$A$36,$K$205^A5,IF(A5='Données projet'!$A$36,'Données projet'!$B$36,N4+M5-V4))</f>
        <v>1.726531508640238</v>
      </c>
      <c r="O5" s="14">
        <f>N5*VLOOKUP('Données projet'!$B$9,Paramètres!$A$1:$I$88,3,0)*VLOOKUP('Données projet'!$B$9,Paramètres!$A$1:$I$88,5,0)</f>
        <v>1.988964297953554</v>
      </c>
      <c r="P5" s="14">
        <f t="shared" ref="P5:P68" si="43">EXP(-1.0587+0.8836*LN(O5)+0.284)</f>
        <v>0.84609449833706862</v>
      </c>
      <c r="Q5" s="22">
        <f t="shared" si="2"/>
        <v>4.9377274035395011</v>
      </c>
      <c r="R5" s="62">
        <f t="shared" si="0"/>
        <v>129.50781718276303</v>
      </c>
      <c r="S5" s="62">
        <f ca="1">AVERAGE(OFFSET($R$3,0,0,'Données projet'!$E$9+1,1))-AVERAGE(OFFSET($H$3,0,0,'Données projet'!$E$9+1,1))</f>
        <v>314.72063458462026</v>
      </c>
      <c r="T5" s="62">
        <f t="shared" si="3"/>
        <v>216.4380325968244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projet'!$B$9,Paramètres!$A$1:$I$88,7,0))</f>
        <v>0</v>
      </c>
      <c r="X5" s="17">
        <f>IF(ISNA(VLOOKUP(A5,'Données projet'!$A$35:$I$55,6,0)),0%,VLOOKUP(A5,'Données projet'!$A$35:$I$55,6,0)*VLOOKUP('Données projet'!$B$9,Paramètres!$A$1:$I$88,7,0))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projet'!$B$9,Paramètres!$A$1:$I$88,3,0)*0.475*44/12</f>
        <v>0</v>
      </c>
      <c r="AA5" s="23">
        <f>EXP(-LN(2)/25)*AA4+(1-EXP(-LN(2)/25))/(LN(2)/25)*Calculateur!V5*Calculateur!X5*VLOOKUP('Données projet'!$B$9,Paramètres!$A$1:$I$88,3,0)*0.475*44/12</f>
        <v>0</v>
      </c>
      <c r="AB5" s="23">
        <f>EXP(-LN(2)/2)*AB4+(1-EXP(-LN(2)/2))/(LN(2)/2)*V5*Y5*VLOOKUP('Données projet'!$B$9,Paramètres!$A$1:$I$88,3,0)*0.475*44/12</f>
        <v>0</v>
      </c>
      <c r="AC5" s="24">
        <f t="shared" si="4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2</v>
      </c>
      <c r="AI5" s="14">
        <f>IF(A5&lt;'Données projet'!$A$62,$AF$205^A5,IF(A5='Données projet'!$A$62,'Données projet'!$B$62,AI4+AH5-AQ4))</f>
        <v>1.3674693479954769</v>
      </c>
      <c r="AJ5" s="14">
        <f>AI5*VLOOKUP('Données projet'!$B$10,Paramètres!$A$1:$I$88,3,0)*VLOOKUP('Données projet'!$B$10,Paramètres!$A$1:$I$88,5,0)</f>
        <v>1.4292789625248725</v>
      </c>
      <c r="AK5" s="14">
        <f t="shared" ref="AK5:AK68" si="44">EXP(-1.0587+0.8836*LN(AJ5)+0.284)</f>
        <v>0.6318492106976088</v>
      </c>
      <c r="AL5" s="22">
        <f t="shared" si="5"/>
        <v>3.5897982350291548</v>
      </c>
      <c r="AM5" s="62">
        <f t="shared" si="6"/>
        <v>128.15988801425269</v>
      </c>
      <c r="AN5" s="62">
        <f ca="1">AVERAGE(OFFSET($AM$3,0,0,'Données projet'!$E$10+1,1))-AVERAGE(OFFSET($H$3,0,0,'Données projet'!$E$10+1,1))</f>
        <v>458.33072853676879</v>
      </c>
      <c r="AO5" s="62">
        <f t="shared" si="7"/>
        <v>254.1734169352687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projet'!$B$10,Paramètres!$A$1:$I$88,7,0))</f>
        <v>0</v>
      </c>
      <c r="AS5" s="17">
        <f>IF(ISNA(VLOOKUP(A5,'Données projet'!$A$61:$I$81,6,0)),0%,VLOOKUP(A5,'Données projet'!$A$61:$I$81,6,0)*VLOOKUP('Données projet'!$B$10,Paramètres!$A$1:$I$88,7,0))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projet'!$B$9,Paramètres!$A$1:$I$88,3,0)*0.475*44/12</f>
        <v>0</v>
      </c>
      <c r="AV5" s="23">
        <f>EXP(-LN(2)/25)*AV4+(1-EXP(-LN(2)/25))/(LN(2)/25)*Calculateur!AQ5*Calculateur!AS5*VLOOKUP('Données projet'!$B$9,Paramètres!$A$1:$I$88,3,0)*0.475*44/12</f>
        <v>0</v>
      </c>
      <c r="AW5" s="23">
        <f>EXP(-LN(2)/2)*AW4+(1-EXP(-LN(2)/2))/(LN(2)/2)*AQ5*AT5*VLOOKUP('Données projet'!$B$9,Paramètres!$A$1:$I$88,3,0)*0.475*44/12</f>
        <v>0</v>
      </c>
      <c r="AX5" s="23">
        <f t="shared" si="8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2</v>
      </c>
      <c r="BD5" s="13">
        <f>IF(A5&lt;'Données projet'!$A$88,$BA$205^A5,IF(A5='Données projet'!$A$88,'Données projet'!$B$88,BD4+BC5-BL4))</f>
        <v>1.3674693479954769</v>
      </c>
      <c r="BE5" s="14">
        <f>BD5*VLOOKUP('Données projet'!$B$11,Paramètres!$A$1:$I$88,3,0)*VLOOKUP('Données projet'!$B$11,Paramètres!$A$1:$I$88,5,0)</f>
        <v>1.3866139188674138</v>
      </c>
      <c r="BF5" s="14">
        <f t="shared" ref="BF5:BF68" si="45">EXP(-1.0587+0.8836*LN(BE5)+0.284)</f>
        <v>0.61515420006844768</v>
      </c>
      <c r="BG5" s="22">
        <f t="shared" si="9"/>
        <v>3.4864128071466247</v>
      </c>
      <c r="BH5" s="62">
        <f t="shared" si="10"/>
        <v>128.05650258637016</v>
      </c>
      <c r="BI5" s="62">
        <f ca="1">AVERAGE(OFFSET($BH$3,0,0,'Données projet'!$E$11+1,1))-AVERAGE(OFFSET($H$3,0,0,'Données projet'!$E$11+1,1))</f>
        <v>447.82618173893104</v>
      </c>
      <c r="BJ5" s="62">
        <f t="shared" si="11"/>
        <v>248.96509970783379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projet'!$B$11,Paramètres!$A$1:$I$88,7,0))</f>
        <v>0</v>
      </c>
      <c r="BN5" s="17">
        <f>IF(ISNA(VLOOKUP(A5,'Données projet'!$A$87:$I$107,6,0)),0%,VLOOKUP(A5,'Données projet'!$A$87:$I$107,6,0)*VLOOKUP('Données projet'!$B$11,Paramètres!$A$1:$I$88,7,0))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projet'!$B$9,Paramètres!$A$1:$I$88,3,0)*0.475*44/12</f>
        <v>0</v>
      </c>
      <c r="BQ5" s="23">
        <f>EXP(-LN(2)/25)*BQ4+(1-EXP(-LN(2)/25))/(LN(2)/25)*Calculateur!BL5*Calculateur!BN5*VLOOKUP('Données projet'!$B$9,Paramètres!$A$1:$I$88,3,0)*0.475*44/12</f>
        <v>0</v>
      </c>
      <c r="BR5" s="23">
        <f>EXP(-LN(2)/2)*BR4+(1-EXP(-LN(2)/2))/(LN(2)/2)*BL5*BO5*VLOOKUP('Données projet'!$B$9,Paramètres!$A$1:$I$88,3,0)*0.475*44/12</f>
        <v>0</v>
      </c>
      <c r="BS5" s="24">
        <f t="shared" si="12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2</v>
      </c>
      <c r="BY5" s="13">
        <f>IF(A5&lt;'Données projet'!$A$114,$BV$205^A5,IF(A5='Données projet'!$A$114,'Données projet'!$B$114,BY4+BX5-CG4))</f>
        <v>1.3674693479954769</v>
      </c>
      <c r="BZ5" s="14">
        <f>BY5*VLOOKUP('Données projet'!$B$12,Paramètres!$A$1:$I$88,3,0)*VLOOKUP('Données projet'!$B$12,Paramètres!$A$1:$I$88,5,0)</f>
        <v>1.4719440061823312</v>
      </c>
      <c r="CA5" s="14">
        <f t="shared" ref="CA5:CA68" si="46">EXP(-1.0587+0.8836*LN(BZ5)+0.284)</f>
        <v>0.64848630396925588</v>
      </c>
      <c r="CB5" s="22">
        <f t="shared" si="13"/>
        <v>3.6930827901806804</v>
      </c>
      <c r="CC5" s="62">
        <f t="shared" si="14"/>
        <v>128.26317256940419</v>
      </c>
      <c r="CD5" s="62">
        <f ca="1">AVERAGE(OFFSET($CC$3,0,0,'Données projet'!$E$12+1,1))-AVERAGE(OFFSET($H$3,0,0,'Données projet'!$E$12+1,1))</f>
        <v>468.82871618425406</v>
      </c>
      <c r="CE5" s="62">
        <f t="shared" si="15"/>
        <v>259.37818128554397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projet'!$B$12,Paramètres!$A$1:$I$88,7,0))</f>
        <v>0</v>
      </c>
      <c r="CI5" s="17">
        <f>IF(ISNA(VLOOKUP(A5,'Données projet'!$A$113:$I$133,6,0)),0%,VLOOKUP(A5,'Données projet'!$A$113:$I$133,6,0)*VLOOKUP('Données projet'!$B$12,Paramètres!$A$1:$I$88,7,0))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projet'!$B$9,Paramètres!$A$1:$I$88,3,0)*0.475*44/12</f>
        <v>0</v>
      </c>
      <c r="CL5" s="23">
        <f>EXP(-LN(2)/25)*CL4+(1-EXP(-LN(2)/25))/(LN(2)/25)*Calculateur!CG5*Calculateur!CI5*VLOOKUP('Données projet'!$B$9,Paramètres!$A$1:$I$88,3,0)*0.475*44/12</f>
        <v>0</v>
      </c>
      <c r="CM5" s="23">
        <f>EXP(-LN(2)/2)*CM4+(1-EXP(-LN(2)/2))/(LN(2)/2)*CG5*CJ5*VLOOKUP('Données projet'!$B$9,Paramètres!$A$1:$I$88,3,0)*0.475*44/12</f>
        <v>0</v>
      </c>
      <c r="CN5" s="24">
        <f t="shared" si="16"/>
        <v>0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2</v>
      </c>
      <c r="CT5" s="13">
        <f>IF(A5&lt;'Données projet'!$A$140,$CQ$205^A5,IF(A5='Données projet'!$A$140,'Données projet'!$B$140,CT4+CS5-DB4))</f>
        <v>1.3674693479954769</v>
      </c>
      <c r="CU5" s="18">
        <f>CT5*VLOOKUP('Données projet'!$B$13,Paramètres!$A$1:$I$88,3,0)*VLOOKUP('Données projet'!$B$13,Paramètres!$A$1:$I$88,5,0)</f>
        <v>1.1732887005801194</v>
      </c>
      <c r="CV5" s="14">
        <f t="shared" ref="CV5:CV68" si="47">EXP(-1.0587+0.8836*LN(CU5)+0.284)</f>
        <v>0.53073560540888165</v>
      </c>
      <c r="CW5" s="22">
        <f t="shared" si="17"/>
        <v>2.967842332930843</v>
      </c>
      <c r="CX5" s="62">
        <f t="shared" si="18"/>
        <v>127.53793211215437</v>
      </c>
      <c r="CY5" s="62">
        <f ca="1">AVERAGE(OFFSET($CX$3,0,0,'Données projet'!$E$13+1,1))-AVERAGE(OFFSET($H$3,0,0,'Données projet'!$E$13+1,1))</f>
        <v>395.19659151668884</v>
      </c>
      <c r="CZ5" s="62">
        <f t="shared" si="19"/>
        <v>222.86563304507339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projet'!$B$13,Paramètres!$A$1:$I$88,7,0))</f>
        <v>0</v>
      </c>
      <c r="DD5" s="17">
        <f>IF(ISNA(VLOOKUP(A5,'Données projet'!$A$139:$I$159,6,0)),0%,VLOOKUP(A5,'Données projet'!$A$139:$I$159,6,0)*VLOOKUP('Données projet'!$B$13,Paramètres!$A$1:$I$88,7,0))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projet'!$B$9,Paramètres!$A$1:$I$88,3,0)*0.475*44/12</f>
        <v>0</v>
      </c>
      <c r="DG5" s="23">
        <f>EXP(-LN(2)/25)*DG4+(1-EXP(-LN(2)/25))/(LN(2)/25)*Calculateur!DB5*Calculateur!DD5*VLOOKUP('Données projet'!$B$9,Paramètres!$A$1:$I$88,3,0)*0.475*44/12</f>
        <v>0</v>
      </c>
      <c r="DH5" s="23">
        <f>EXP(-LN(2)/2)*DH4+(1-EXP(-LN(2)/2))/(LN(2)/2)*DB5*DE5*VLOOKUP('Données projet'!$B$9,Paramètres!$A$1:$I$88,3,0)*0.475*44/12</f>
        <v>0</v>
      </c>
      <c r="DI5" s="24">
        <f t="shared" si="20"/>
        <v>0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2.2749999999999999</v>
      </c>
      <c r="DO5" s="13">
        <f>IF(A5&lt;'Données projet'!$A$166,$DL$205^A5,IF(A5='Données projet'!$A$166,'Données projet'!$B$166,DO4+DN5-DW4))</f>
        <v>1.2530028811664371</v>
      </c>
      <c r="DP5" s="18">
        <f>DO5*VLOOKUP('Données projet'!$B$14,Paramètres!$A$1:$I$88,3,0)*VLOOKUP('Données projet'!$B$14,Paramètres!$A$1:$I$88,5,0)</f>
        <v>0.73300668548236581</v>
      </c>
      <c r="DQ5" s="14">
        <f t="shared" ref="DQ5:DQ68" si="48">EXP(-1.0587+0.8836*LN(DP5)+0.284)</f>
        <v>0.35023652630571761</v>
      </c>
      <c r="DR5" s="22">
        <f t="shared" si="21"/>
        <v>1.8866485938642452</v>
      </c>
      <c r="DS5" s="62">
        <f t="shared" si="22"/>
        <v>126.45673837308777</v>
      </c>
      <c r="DT5" s="62">
        <f ca="1">AVERAGE(OFFSET($DS$3,0,0,'Données projet'!$E$14+1,1))-AVERAGE(OFFSET($H$3,0,0,'Données projet'!$E$14+1,1))</f>
        <v>155.18073137151848</v>
      </c>
      <c r="DU5" s="62">
        <f t="shared" si="23"/>
        <v>115.19459155667272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projet'!$B$14,Paramètres!$A$1:$I$88,7,0))</f>
        <v>0</v>
      </c>
      <c r="DY5" s="17">
        <f>IF(ISNA(VLOOKUP(A5,'Données projet'!$A$165:$I$185,6,0)),0%,VLOOKUP(A5,'Données projet'!$A$165:$I$185,6,0)*VLOOKUP('Données projet'!$B$14,Paramètres!$A$1:$I$88,7,0))</f>
        <v>0</v>
      </c>
      <c r="DZ5" s="17">
        <f>IF(ISNA(VLOOKUP(A5,'Données projet'!$A$165:$I$185,7,0)),0%,VLOOKUP(A5,'Données projet'!$A$165:$I$185,7,0))</f>
        <v>0</v>
      </c>
      <c r="EA5" s="23">
        <f>EXP(-LN(2)/35)*EA4+(1-EXP(-LN(2)/35))/(LN(2)/35)*DW5*DX5*VLOOKUP('Données projet'!$B$9,Paramètres!$A$1:$I$88,3,0)*0.475*44/12</f>
        <v>0</v>
      </c>
      <c r="EB5" s="23">
        <f>EXP(-LN(2)/25)*EB4+(1-EXP(-LN(2)/25))/(LN(2)/25)*Calculateur!DW5*Calculateur!DY5*VLOOKUP('Données projet'!$B$9,Paramètres!$A$1:$I$88,3,0)*0.475*44/12</f>
        <v>0</v>
      </c>
      <c r="EC5" s="23">
        <f>EXP(-LN(2)/2)*EC4+(1-EXP(-LN(2)/2))/(LN(2)/2)*DW5*DZ5*VLOOKUP('Données projet'!$B$9,Paramètres!$A$1:$I$88,3,0)*0.475*44/12</f>
        <v>0</v>
      </c>
      <c r="ED5" s="24">
        <f t="shared" si="24"/>
        <v>0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3.25</v>
      </c>
      <c r="EJ5" s="13">
        <f>IF(A5&lt;'Données projet'!$A$192,$EG$205^A5,IF(A5='Données projet'!$A$192,'Données projet'!$B$192,EJ4+EI5-ER4))</f>
        <v>1.1921598380198546</v>
      </c>
      <c r="EK5" s="18">
        <f>EJ5*VLOOKUP('Données projet'!$B$15,Paramètres!$A$1:$I$88,3,0)*VLOOKUP('Données projet'!$B$15,Paramètres!$A$1:$I$88,5,0)</f>
        <v>0.55793080419329188</v>
      </c>
      <c r="EL5" s="14">
        <f t="shared" ref="EL5:EL68" si="49">EXP(-1.0587+0.8836*LN(EK5)+0.284)</f>
        <v>0.27518860925423011</v>
      </c>
      <c r="EM5" s="22">
        <f t="shared" si="25"/>
        <v>1.4510163117544339</v>
      </c>
      <c r="EN5" s="62">
        <f t="shared" si="26"/>
        <v>126.02110609097795</v>
      </c>
      <c r="EO5" s="62">
        <f ca="1">AVERAGE(OFFSET($EN$3,0,0,'Données projet'!$E$15+1,1))-AVERAGE(OFFSET($H$3,0,0,'Données projet'!$E$15+1,1))</f>
        <v>238.59014604384171</v>
      </c>
      <c r="EP5" s="62">
        <f t="shared" si="27"/>
        <v>90.841373219575217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projet'!$B$15,Paramètres!$A$1:$I$88,7,0))</f>
        <v>0</v>
      </c>
      <c r="ET5" s="17">
        <f>IF(ISNA(VLOOKUP(A5,'Données projet'!$A$191:$I$211,6,0)),0%,VLOOKUP(A5,'Données projet'!$A$191:$I$211,6,0)*VLOOKUP('Données projet'!$B$15,Paramètres!$A$1:$I$88,7,0))</f>
        <v>0</v>
      </c>
      <c r="EU5" s="17">
        <f>IF(ISNA(VLOOKUP(A5,'Données projet'!$A$191:$I$211,7,0)),0%,VLOOKUP(A5,'Données projet'!$A$191:$I$211,7,0))</f>
        <v>0</v>
      </c>
      <c r="EV5" s="23">
        <f>EXP(-LN(2)/35)*EV4+(1-EXP(-LN(2)/35))/(LN(2)/35)*ER5*ES5*VLOOKUP('Données projet'!$B$9,Paramètres!$A$1:$I$88,3,0)*0.475*44/12</f>
        <v>0</v>
      </c>
      <c r="EW5" s="23">
        <f>EXP(-LN(2)/25)*EW4+(1-EXP(-LN(2)/25))/(LN(2)/25)*Calculateur!ER5*Calculateur!ET5*VLOOKUP('Données projet'!$B$9,Paramètres!$A$1:$I$88,3,0)*0.475*44/12</f>
        <v>0</v>
      </c>
      <c r="EX5" s="23">
        <f>EXP(-LN(2)/2)*EX4+(1-EXP(-LN(2)/2))/(LN(2)/2)*ER5*EU5*VLOOKUP('Données projet'!$B$9,Paramètres!$A$1:$I$88,3,0)*0.475*44/12</f>
        <v>0</v>
      </c>
      <c r="EY5" s="24">
        <f t="shared" si="28"/>
        <v>0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IF(A5&lt;'Données projet'!$A$218,$FB$205^A5,IF(A5='Données projet'!$A$218,'Données projet'!$B$218,FE4+FD5-FM4))</f>
        <v>0</v>
      </c>
      <c r="FF5" s="18" t="e">
        <f>FE5*VLOOKUP('Données projet'!$B$16,Paramètres!$A$1:$I$88,3,0)*VLOOKUP('Données projet'!$B$16,Paramètres!$A$1:$I$88,5,0)</f>
        <v>#N/A</v>
      </c>
      <c r="FG5" s="14" t="e">
        <f t="shared" ref="FG5:FG68" si="50">EXP(-1.0587+0.8836*LN(FF5)+0.284)</f>
        <v>#N/A</v>
      </c>
      <c r="FH5" s="22" t="e">
        <f t="shared" si="29"/>
        <v>#N/A</v>
      </c>
      <c r="FI5" s="62" t="e">
        <f t="shared" si="30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si="31"/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projet'!$B$16,Paramètres!$A$1:$I$88,7,0))</f>
        <v>0</v>
      </c>
      <c r="FO5" s="17">
        <f>IF(ISNA(VLOOKUP(A5,'Données projet'!$A$217:$I$237,6,0)),0%,VLOOKUP(A5,'Données projet'!$A$217:$I$237,6,0)*VLOOKUP('Données projet'!$B$16,Paramètres!$A$1:$I$88,7,0))</f>
        <v>0</v>
      </c>
      <c r="FP5" s="17">
        <f>IF(ISNA(VLOOKUP(A5,'Données projet'!$A$217:$I$237,7,0)),0%,VLOOKUP(A5,'Données projet'!$A$217:$I$237,7,0))</f>
        <v>0</v>
      </c>
      <c r="FQ5" s="23">
        <f>EXP(-LN(2)/35)*FQ4+(1-EXP(-LN(2)/35))/(LN(2)/35)*FM5*FN5*VLOOKUP('Données projet'!$B$9,Paramètres!$A$1:$I$88,3,0)*0.475*44/12</f>
        <v>0</v>
      </c>
      <c r="FR5" s="23">
        <f>EXP(-LN(2)/25)*FR4+(1-EXP(-LN(2)/25))/(LN(2)/25)*Calculateur!FM5*Calculateur!FO5*VLOOKUP('Données projet'!$B$9,Paramètres!$A$1:$I$88,3,0)*0.475*44/12</f>
        <v>0</v>
      </c>
      <c r="FS5" s="23">
        <f>EXP(-LN(2)/2)*FS4+(1-EXP(-LN(2)/2))/(LN(2)/2)*FM5*FP5*VLOOKUP('Données projet'!$B$9,Paramètres!$A$1:$I$88,3,0)*0.475*44/12</f>
        <v>0</v>
      </c>
      <c r="FT5" s="24">
        <f t="shared" si="32"/>
        <v>0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IF(A5&lt;'Données projet'!$A$244,$FW$205^A5,IF(A5='Données projet'!$A$244,'Données projet'!$B$244,FZ4+FY5-GH4))</f>
        <v>0</v>
      </c>
      <c r="GA5" s="18" t="e">
        <f>FZ5*VLOOKUP('Données projet'!$B$17,Paramètres!$A$1:$I$88,3,0)*VLOOKUP('Données projet'!$B$17,Paramètres!$A$1:$I$88,5,0)</f>
        <v>#N/A</v>
      </c>
      <c r="GB5" s="14" t="e">
        <f t="shared" ref="GB5:GB68" si="51">EXP(-1.0587+0.8836*LN(GA5)+0.284)</f>
        <v>#N/A</v>
      </c>
      <c r="GC5" s="22" t="e">
        <f t="shared" si="33"/>
        <v>#N/A</v>
      </c>
      <c r="GD5" s="62" t="e">
        <f t="shared" si="34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si="35"/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projet'!$B$17,Paramètres!$A$1:$I$88,7,0))</f>
        <v>0</v>
      </c>
      <c r="GJ5" s="17">
        <f>IF(ISNA(VLOOKUP(A5,'Données projet'!$A$243:$I$263,6,0)),0%,VLOOKUP(A5,'Données projet'!$A$243:$I$263,6,0)*VLOOKUP('Données projet'!$B$17,Paramètres!$A$1:$I$88,7,0))</f>
        <v>0</v>
      </c>
      <c r="GK5" s="17">
        <f>IF(ISNA(VLOOKUP(A5,'Données projet'!$A$243:$I$263,7,0)),0%,VLOOKUP(A5,'Données projet'!$A$243:$I$263,7,0))</f>
        <v>0</v>
      </c>
      <c r="GL5" s="23">
        <f>EXP(-LN(2)/35)*GL4+(1-EXP(-LN(2)/35))/(LN(2)/35)*GH5*GI5*VLOOKUP('Données projet'!$B$9,Paramètres!$A$1:$I$88,3,0)*0.475*44/12</f>
        <v>0</v>
      </c>
      <c r="GM5" s="23">
        <f>EXP(-LN(2)/25)*GM4+(1-EXP(-LN(2)/25))/(LN(2)/25)*Calculateur!GH5*Calculateur!GJ5*VLOOKUP('Données projet'!$B$9,Paramètres!$A$1:$I$88,3,0)*0.475*44/12</f>
        <v>0</v>
      </c>
      <c r="GN5" s="23">
        <f>EXP(-LN(2)/2)*GN4+(1-EXP(-LN(2)/2))/(LN(2)/2)*GH5*GK5*VLOOKUP('Données projet'!$B$9,Paramètres!$A$1:$I$88,3,0)*0.475*44/12</f>
        <v>0</v>
      </c>
      <c r="GO5" s="23">
        <f t="shared" si="36"/>
        <v>0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IF(A5&lt;'Données projet'!$A$270,$GR$205^A5,IF(A5='Données projet'!$A$270,'Données projet'!$B$270,GU4+GT5-HC4))</f>
        <v>0</v>
      </c>
      <c r="GV5" s="18" t="e">
        <f>GU5*VLOOKUP('Données projet'!$B$18,Paramètres!$A$1:$I$88,3,0)*VLOOKUP('Données projet'!$B$18,Paramètres!$A$1:$I$88,5,0)</f>
        <v>#N/A</v>
      </c>
      <c r="GW5" s="14" t="e">
        <f t="shared" ref="GW5:GW68" si="52">EXP(-1.0587+0.8836*LN(GV5)+0.284)</f>
        <v>#N/A</v>
      </c>
      <c r="GX5" s="22" t="e">
        <f t="shared" si="37"/>
        <v>#N/A</v>
      </c>
      <c r="GY5" s="62" t="e">
        <f t="shared" si="38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si="39"/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projet'!$B$18,Paramètres!$A$1:$I$88,7,0))</f>
        <v>0</v>
      </c>
      <c r="HE5" s="17">
        <f>IF(ISNA(VLOOKUP(A5,'Données projet'!$A$269:$I$289,6,0)),0%,VLOOKUP(A5,'Données projet'!$A$269:$I$289,6,0)*VLOOKUP('Données projet'!$B$18,Paramètres!$A$1:$I$88,7,0))</f>
        <v>0</v>
      </c>
      <c r="HF5" s="17">
        <f>IF(ISNA(VLOOKUP(A5,'Données projet'!$A$269:$I$289,7,0)),0%,VLOOKUP(A5,'Données projet'!$A$269:$I$289,7,0))</f>
        <v>0</v>
      </c>
      <c r="HG5" s="23">
        <f>EXP(-LN(2)/35)*HG4+(1-EXP(-LN(2)/35))/(LN(2)/35)*HC5*HD5*VLOOKUP('Données projet'!$B$9,Paramètres!$A$1:$I$88,3,0)*0.475*44/12</f>
        <v>0</v>
      </c>
      <c r="HH5" s="23">
        <f>EXP(-LN(2)/25)*HH4+(1-EXP(-LN(2)/25))/(LN(2)/25)*Calculateur!HC5*Calculateur!HE5*VLOOKUP('Données projet'!$B$9,Paramètres!$A$1:$I$88,3,0)*0.475*44/12</f>
        <v>0</v>
      </c>
      <c r="HI5" s="23">
        <f>EXP(-LN(2)/2)*HI4+(1-EXP(-LN(2)/2))/(LN(2)/2)*HC5*HF5*VLOOKUP('Données projet'!$B$9,Paramètres!$A$1:$I$88,3,0)*0.475*44/12</f>
        <v>0</v>
      </c>
      <c r="HJ5" s="24">
        <f t="shared" si="40"/>
        <v>0</v>
      </c>
    </row>
    <row r="6" spans="1:218" s="5" customFormat="1" x14ac:dyDescent="0.25">
      <c r="A6" s="11">
        <f t="shared" si="4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" s="12">
        <f t="shared" si="4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135.66666666666666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1.5341666666666667</v>
      </c>
      <c r="N6" s="14">
        <f>IF(A6&lt;'Données projet'!$A$36,$K$205^A6,IF(A6='Données projet'!$A$36,'Données projet'!$B$36,N5+M6-V5))</f>
        <v>2.2686200327168842</v>
      </c>
      <c r="O6" s="14">
        <f>N6*VLOOKUP('Données projet'!$B$9,Paramètres!$A$1:$I$88,3,0)*VLOOKUP('Données projet'!$B$9,Paramètres!$A$1:$I$88,5,0)</f>
        <v>2.6134502776898505</v>
      </c>
      <c r="P6" s="14">
        <f t="shared" si="43"/>
        <v>1.0769674288196409</v>
      </c>
      <c r="Q6" s="22">
        <f t="shared" si="2"/>
        <v>6.4274775055040303</v>
      </c>
      <c r="R6" s="62">
        <f t="shared" si="0"/>
        <v>134.55377543839575</v>
      </c>
      <c r="S6" s="62">
        <f ca="1">AVERAGE(OFFSET($R$3,0,0,'Données projet'!$E$9+1,1))-AVERAGE(OFFSET($H$3,0,0,'Données projet'!$E$9+1,1))</f>
        <v>314.72063458462026</v>
      </c>
      <c r="T6" s="62">
        <f t="shared" si="3"/>
        <v>216.4380325968244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projet'!$B$9,Paramètres!$A$1:$I$88,7,0))</f>
        <v>0</v>
      </c>
      <c r="X6" s="17">
        <f>IF(ISNA(VLOOKUP(A6,'Données projet'!$A$35:$I$55,6,0)),0%,VLOOKUP(A6,'Données projet'!$A$35:$I$55,6,0)*VLOOKUP('Données projet'!$B$9,Paramètres!$A$1:$I$88,7,0))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projet'!$B$9,Paramètres!$A$1:$I$88,3,0)*0.475*44/12</f>
        <v>0</v>
      </c>
      <c r="AA6" s="23">
        <f>EXP(-LN(2)/25)*AA5+(1-EXP(-LN(2)/25))/(LN(2)/25)*Calculateur!V6*Calculateur!X6*VLOOKUP('Données projet'!$B$9,Paramètres!$A$1:$I$88,3,0)*0.475*44/12</f>
        <v>0</v>
      </c>
      <c r="AB6" s="23">
        <f>EXP(-LN(2)/2)*AB5+(1-EXP(-LN(2)/2))/(LN(2)/2)*V6*Y6*VLOOKUP('Données projet'!$B$9,Paramètres!$A$1:$I$88,3,0)*0.475*44/12</f>
        <v>0</v>
      </c>
      <c r="AC6" s="24">
        <f t="shared" si="4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2</v>
      </c>
      <c r="AI6" s="14">
        <f>IF(A6&lt;'Données projet'!$A$62,$AF$205^A6,IF(A6='Données projet'!$A$62,'Données projet'!$B$62,AI5+AH6-AQ5))</f>
        <v>1.5991028618608485</v>
      </c>
      <c r="AJ6" s="14">
        <f>AI6*VLOOKUP('Données projet'!$B$10,Paramètres!$A$1:$I$88,3,0)*VLOOKUP('Données projet'!$B$10,Paramètres!$A$1:$I$88,5,0)</f>
        <v>1.671382311216959</v>
      </c>
      <c r="AK6" s="14">
        <f t="shared" si="44"/>
        <v>0.72554080601779003</v>
      </c>
      <c r="AL6" s="22">
        <f t="shared" si="5"/>
        <v>4.1746410958505207</v>
      </c>
      <c r="AM6" s="62">
        <f t="shared" si="6"/>
        <v>132.30093902874222</v>
      </c>
      <c r="AN6" s="62">
        <f ca="1">AVERAGE(OFFSET($AM$3,0,0,'Données projet'!$E$10+1,1))-AVERAGE(OFFSET($H$3,0,0,'Données projet'!$E$10+1,1))</f>
        <v>458.33072853676879</v>
      </c>
      <c r="AO6" s="62">
        <f t="shared" si="7"/>
        <v>254.1734169352687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projet'!$B$10,Paramètres!$A$1:$I$88,7,0))</f>
        <v>0</v>
      </c>
      <c r="AS6" s="17">
        <f>IF(ISNA(VLOOKUP(A6,'Données projet'!$A$61:$I$81,6,0)),0%,VLOOKUP(A6,'Données projet'!$A$61:$I$81,6,0)*VLOOKUP('Données projet'!$B$10,Paramètres!$A$1:$I$88,7,0))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projet'!$B$9,Paramètres!$A$1:$I$88,3,0)*0.475*44/12</f>
        <v>0</v>
      </c>
      <c r="AV6" s="23">
        <f>EXP(-LN(2)/25)*AV5+(1-EXP(-LN(2)/25))/(LN(2)/25)*Calculateur!AQ6*Calculateur!AS6*VLOOKUP('Données projet'!$B$9,Paramètres!$A$1:$I$88,3,0)*0.475*44/12</f>
        <v>0</v>
      </c>
      <c r="AW6" s="23">
        <f>EXP(-LN(2)/2)*AW5+(1-EXP(-LN(2)/2))/(LN(2)/2)*AQ6*AT6*VLOOKUP('Données projet'!$B$9,Paramètres!$A$1:$I$88,3,0)*0.475*44/12</f>
        <v>0</v>
      </c>
      <c r="AX6" s="23">
        <f t="shared" si="8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2</v>
      </c>
      <c r="BD6" s="13">
        <f>IF(A6&lt;'Données projet'!$A$88,$BA$205^A6,IF(A6='Données projet'!$A$88,'Données projet'!$B$88,BD5+BC6-BL5))</f>
        <v>1.5991028618608485</v>
      </c>
      <c r="BE6" s="14">
        <f>BD6*VLOOKUP('Données projet'!$B$11,Paramètres!$A$1:$I$88,3,0)*VLOOKUP('Données projet'!$B$11,Paramètres!$A$1:$I$88,5,0)</f>
        <v>1.6214903019269005</v>
      </c>
      <c r="BF6" s="14">
        <f t="shared" si="45"/>
        <v>0.70637023293915369</v>
      </c>
      <c r="BG6" s="22">
        <f t="shared" si="9"/>
        <v>4.0543570982250445</v>
      </c>
      <c r="BH6" s="62">
        <f t="shared" si="10"/>
        <v>132.18065503111674</v>
      </c>
      <c r="BI6" s="62">
        <f ca="1">AVERAGE(OFFSET($BH$3,0,0,'Données projet'!$E$11+1,1))-AVERAGE(OFFSET($H$3,0,0,'Données projet'!$E$11+1,1))</f>
        <v>447.82618173893104</v>
      </c>
      <c r="BJ6" s="62">
        <f t="shared" si="11"/>
        <v>248.96509970783379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projet'!$B$11,Paramètres!$A$1:$I$88,7,0))</f>
        <v>0</v>
      </c>
      <c r="BN6" s="17">
        <f>IF(ISNA(VLOOKUP(A6,'Données projet'!$A$87:$I$107,6,0)),0%,VLOOKUP(A6,'Données projet'!$A$87:$I$107,6,0)*VLOOKUP('Données projet'!$B$11,Paramètres!$A$1:$I$88,7,0))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projet'!$B$9,Paramètres!$A$1:$I$88,3,0)*0.475*44/12</f>
        <v>0</v>
      </c>
      <c r="BQ6" s="23">
        <f>EXP(-LN(2)/25)*BQ5+(1-EXP(-LN(2)/25))/(LN(2)/25)*Calculateur!BL6*Calculateur!BN6*VLOOKUP('Données projet'!$B$9,Paramètres!$A$1:$I$88,3,0)*0.475*44/12</f>
        <v>0</v>
      </c>
      <c r="BR6" s="23">
        <f>EXP(-LN(2)/2)*BR5+(1-EXP(-LN(2)/2))/(LN(2)/2)*BL6*BO6*VLOOKUP('Données projet'!$B$9,Paramètres!$A$1:$I$88,3,0)*0.475*44/12</f>
        <v>0</v>
      </c>
      <c r="BS6" s="24">
        <f t="shared" si="12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2</v>
      </c>
      <c r="BY6" s="13">
        <f>IF(A6&lt;'Données projet'!$A$114,$BV$205^A6,IF(A6='Données projet'!$A$114,'Données projet'!$B$114,BY5+BX6-CG5))</f>
        <v>1.5991028618608485</v>
      </c>
      <c r="BZ6" s="14">
        <f>BY6*VLOOKUP('Données projet'!$B$12,Paramètres!$A$1:$I$88,3,0)*VLOOKUP('Données projet'!$B$12,Paramètres!$A$1:$I$88,5,0)</f>
        <v>1.7212743205070171</v>
      </c>
      <c r="CA6" s="14">
        <f t="shared" si="46"/>
        <v>0.74464487366199383</v>
      </c>
      <c r="CB6" s="22">
        <f t="shared" si="13"/>
        <v>4.2948092631776946</v>
      </c>
      <c r="CC6" s="62">
        <f t="shared" si="14"/>
        <v>132.42110719606939</v>
      </c>
      <c r="CD6" s="62">
        <f ca="1">AVERAGE(OFFSET($CC$3,0,0,'Données projet'!$E$12+1,1))-AVERAGE(OFFSET($H$3,0,0,'Données projet'!$E$12+1,1))</f>
        <v>468.82871618425406</v>
      </c>
      <c r="CE6" s="62">
        <f t="shared" si="15"/>
        <v>259.37818128554397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projet'!$B$12,Paramètres!$A$1:$I$88,7,0))</f>
        <v>0</v>
      </c>
      <c r="CI6" s="17">
        <f>IF(ISNA(VLOOKUP(A6,'Données projet'!$A$113:$I$133,6,0)),0%,VLOOKUP(A6,'Données projet'!$A$113:$I$133,6,0)*VLOOKUP('Données projet'!$B$12,Paramètres!$A$1:$I$88,7,0))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projet'!$B$9,Paramètres!$A$1:$I$88,3,0)*0.475*44/12</f>
        <v>0</v>
      </c>
      <c r="CL6" s="23">
        <f>EXP(-LN(2)/25)*CL5+(1-EXP(-LN(2)/25))/(LN(2)/25)*Calculateur!CG6*Calculateur!CI6*VLOOKUP('Données projet'!$B$9,Paramètres!$A$1:$I$88,3,0)*0.475*44/12</f>
        <v>0</v>
      </c>
      <c r="CM6" s="23">
        <f>EXP(-LN(2)/2)*CM5+(1-EXP(-LN(2)/2))/(LN(2)/2)*CG6*CJ6*VLOOKUP('Données projet'!$B$9,Paramètres!$A$1:$I$88,3,0)*0.475*44/12</f>
        <v>0</v>
      </c>
      <c r="CN6" s="24">
        <f t="shared" si="16"/>
        <v>0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2</v>
      </c>
      <c r="CT6" s="13">
        <f>IF(A6&lt;'Données projet'!$A$140,$CQ$205^A6,IF(A6='Données projet'!$A$140,'Données projet'!$B$140,CT5+CS6-DB5))</f>
        <v>1.5991028618608485</v>
      </c>
      <c r="CU6" s="18">
        <f>CT6*VLOOKUP('Données projet'!$B$13,Paramètres!$A$1:$I$88,3,0)*VLOOKUP('Données projet'!$B$13,Paramètres!$A$1:$I$88,5,0)</f>
        <v>1.3720302554766082</v>
      </c>
      <c r="CV6" s="14">
        <f t="shared" si="47"/>
        <v>0.6094339162116752</v>
      </c>
      <c r="CW6" s="22">
        <f t="shared" si="17"/>
        <v>3.4510500990237603</v>
      </c>
      <c r="CX6" s="62">
        <f t="shared" si="18"/>
        <v>131.57734803191545</v>
      </c>
      <c r="CY6" s="62">
        <f ca="1">AVERAGE(OFFSET($CX$3,0,0,'Données projet'!$E$13+1,1))-AVERAGE(OFFSET($H$3,0,0,'Données projet'!$E$13+1,1))</f>
        <v>395.19659151668884</v>
      </c>
      <c r="CZ6" s="62">
        <f t="shared" si="19"/>
        <v>222.86563304507339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projet'!$B$13,Paramètres!$A$1:$I$88,7,0))</f>
        <v>0</v>
      </c>
      <c r="DD6" s="17">
        <f>IF(ISNA(VLOOKUP(A6,'Données projet'!$A$139:$I$159,6,0)),0%,VLOOKUP(A6,'Données projet'!$A$139:$I$159,6,0)*VLOOKUP('Données projet'!$B$13,Paramètres!$A$1:$I$88,7,0))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projet'!$B$9,Paramètres!$A$1:$I$88,3,0)*0.475*44/12</f>
        <v>0</v>
      </c>
      <c r="DG6" s="23">
        <f>EXP(-LN(2)/25)*DG5+(1-EXP(-LN(2)/25))/(LN(2)/25)*Calculateur!DB6*Calculateur!DD6*VLOOKUP('Données projet'!$B$9,Paramètres!$A$1:$I$88,3,0)*0.475*44/12</f>
        <v>0</v>
      </c>
      <c r="DH6" s="23">
        <f>EXP(-LN(2)/2)*DH5+(1-EXP(-LN(2)/2))/(LN(2)/2)*DB6*DE6*VLOOKUP('Données projet'!$B$9,Paramètres!$A$1:$I$88,3,0)*0.475*44/12</f>
        <v>0</v>
      </c>
      <c r="DI6" s="24">
        <f t="shared" si="20"/>
        <v>0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2.2749999999999999</v>
      </c>
      <c r="DO6" s="13">
        <f>IF(A6&lt;'Données projet'!$A$166,$DL$205^A6,IF(A6='Données projet'!$A$166,'Données projet'!$B$166,DO5+DN6-DW5))</f>
        <v>1.4025814940326691</v>
      </c>
      <c r="DP6" s="18">
        <f>DO6*VLOOKUP('Données projet'!$B$14,Paramètres!$A$1:$I$88,3,0)*VLOOKUP('Données projet'!$B$14,Paramètres!$A$1:$I$88,5,0)</f>
        <v>0.82051017400911141</v>
      </c>
      <c r="DQ6" s="14">
        <f t="shared" si="48"/>
        <v>0.38693379350668461</v>
      </c>
      <c r="DR6" s="22">
        <f t="shared" si="21"/>
        <v>2.102964910090011</v>
      </c>
      <c r="DS6" s="62">
        <f t="shared" si="22"/>
        <v>130.22926284298171</v>
      </c>
      <c r="DT6" s="62">
        <f ca="1">AVERAGE(OFFSET($DS$3,0,0,'Données projet'!$E$14+1,1))-AVERAGE(OFFSET($H$3,0,0,'Données projet'!$E$14+1,1))</f>
        <v>155.18073137151848</v>
      </c>
      <c r="DU6" s="62">
        <f t="shared" si="23"/>
        <v>115.19459155667272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projet'!$B$14,Paramètres!$A$1:$I$88,7,0))</f>
        <v>0</v>
      </c>
      <c r="DY6" s="17">
        <f>IF(ISNA(VLOOKUP(A6,'Données projet'!$A$165:$I$185,6,0)),0%,VLOOKUP(A6,'Données projet'!$A$165:$I$185,6,0)*VLOOKUP('Données projet'!$B$14,Paramètres!$A$1:$I$88,7,0))</f>
        <v>0</v>
      </c>
      <c r="DZ6" s="17">
        <f>IF(ISNA(VLOOKUP(A6,'Données projet'!$A$165:$I$185,7,0)),0%,VLOOKUP(A6,'Données projet'!$A$165:$I$185,7,0))</f>
        <v>0</v>
      </c>
      <c r="EA6" s="23">
        <f>EXP(-LN(2)/35)*EA5+(1-EXP(-LN(2)/35))/(LN(2)/35)*DW6*DX6*VLOOKUP('Données projet'!$B$9,Paramètres!$A$1:$I$88,3,0)*0.475*44/12</f>
        <v>0</v>
      </c>
      <c r="EB6" s="23">
        <f>EXP(-LN(2)/25)*EB5+(1-EXP(-LN(2)/25))/(LN(2)/25)*Calculateur!DW6*Calculateur!DY6*VLOOKUP('Données projet'!$B$9,Paramètres!$A$1:$I$88,3,0)*0.475*44/12</f>
        <v>0</v>
      </c>
      <c r="EC6" s="23">
        <f>EXP(-LN(2)/2)*EC5+(1-EXP(-LN(2)/2))/(LN(2)/2)*DW6*DZ6*VLOOKUP('Données projet'!$B$9,Paramètres!$A$1:$I$88,3,0)*0.475*44/12</f>
        <v>0</v>
      </c>
      <c r="ED6" s="24">
        <f t="shared" si="24"/>
        <v>0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3.25</v>
      </c>
      <c r="EJ6" s="13">
        <f>IF(A6&lt;'Données projet'!$A$192,$EG$205^A6,IF(A6='Données projet'!$A$192,'Données projet'!$B$192,EJ5+EI6-ER5))</f>
        <v>1.3016725024479654</v>
      </c>
      <c r="EK6" s="18">
        <f>EJ6*VLOOKUP('Données projet'!$B$15,Paramètres!$A$1:$I$88,3,0)*VLOOKUP('Données projet'!$B$15,Paramètres!$A$1:$I$88,5,0)</f>
        <v>0.6091827311456478</v>
      </c>
      <c r="EL6" s="14">
        <f t="shared" si="49"/>
        <v>0.29740963211450561</v>
      </c>
      <c r="EM6" s="22">
        <f t="shared" si="25"/>
        <v>1.578981699344767</v>
      </c>
      <c r="EN6" s="62">
        <f t="shared" si="26"/>
        <v>129.70527963223648</v>
      </c>
      <c r="EO6" s="62">
        <f ca="1">AVERAGE(OFFSET($EN$3,0,0,'Données projet'!$E$15+1,1))-AVERAGE(OFFSET($H$3,0,0,'Données projet'!$E$15+1,1))</f>
        <v>238.59014604384171</v>
      </c>
      <c r="EP6" s="62">
        <f t="shared" si="27"/>
        <v>90.841373219575217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projet'!$B$15,Paramètres!$A$1:$I$88,7,0))</f>
        <v>0</v>
      </c>
      <c r="ET6" s="17">
        <f>IF(ISNA(VLOOKUP(A6,'Données projet'!$A$191:$I$211,6,0)),0%,VLOOKUP(A6,'Données projet'!$A$191:$I$211,6,0)*VLOOKUP('Données projet'!$B$15,Paramètres!$A$1:$I$88,7,0))</f>
        <v>0</v>
      </c>
      <c r="EU6" s="17">
        <f>IF(ISNA(VLOOKUP(A6,'Données projet'!$A$191:$I$211,7,0)),0%,VLOOKUP(A6,'Données projet'!$A$191:$I$211,7,0))</f>
        <v>0</v>
      </c>
      <c r="EV6" s="23">
        <f>EXP(-LN(2)/35)*EV5+(1-EXP(-LN(2)/35))/(LN(2)/35)*ER6*ES6*VLOOKUP('Données projet'!$B$9,Paramètres!$A$1:$I$88,3,0)*0.475*44/12</f>
        <v>0</v>
      </c>
      <c r="EW6" s="23">
        <f>EXP(-LN(2)/25)*EW5+(1-EXP(-LN(2)/25))/(LN(2)/25)*Calculateur!ER6*Calculateur!ET6*VLOOKUP('Données projet'!$B$9,Paramètres!$A$1:$I$88,3,0)*0.475*44/12</f>
        <v>0</v>
      </c>
      <c r="EX6" s="23">
        <f>EXP(-LN(2)/2)*EX5+(1-EXP(-LN(2)/2))/(LN(2)/2)*ER6*EU6*VLOOKUP('Données projet'!$B$9,Paramètres!$A$1:$I$88,3,0)*0.475*44/12</f>
        <v>0</v>
      </c>
      <c r="EY6" s="24">
        <f t="shared" si="28"/>
        <v>0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IF(A6&lt;'Données projet'!$A$218,$FB$205^A6,IF(A6='Données projet'!$A$218,'Données projet'!$B$218,FE5+FD6-FM5))</f>
        <v>0</v>
      </c>
      <c r="FF6" s="18" t="e">
        <f>FE6*VLOOKUP('Données projet'!$B$16,Paramètres!$A$1:$I$88,3,0)*VLOOKUP('Données projet'!$B$16,Paramètres!$A$1:$I$88,5,0)</f>
        <v>#N/A</v>
      </c>
      <c r="FG6" s="14" t="e">
        <f t="shared" si="50"/>
        <v>#N/A</v>
      </c>
      <c r="FH6" s="22" t="e">
        <f t="shared" si="29"/>
        <v>#N/A</v>
      </c>
      <c r="FI6" s="62" t="e">
        <f t="shared" si="30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31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projet'!$B$16,Paramètres!$A$1:$I$88,7,0))</f>
        <v>0</v>
      </c>
      <c r="FO6" s="17">
        <f>IF(ISNA(VLOOKUP(A6,'Données projet'!$A$217:$I$237,6,0)),0%,VLOOKUP(A6,'Données projet'!$A$217:$I$237,6,0)*VLOOKUP('Données projet'!$B$16,Paramètres!$A$1:$I$88,7,0))</f>
        <v>0</v>
      </c>
      <c r="FP6" s="17">
        <f>IF(ISNA(VLOOKUP(A6,'Données projet'!$A$217:$I$237,7,0)),0%,VLOOKUP(A6,'Données projet'!$A$217:$I$237,7,0))</f>
        <v>0</v>
      </c>
      <c r="FQ6" s="23">
        <f>EXP(-LN(2)/35)*FQ5+(1-EXP(-LN(2)/35))/(LN(2)/35)*FM6*FN6*VLOOKUP('Données projet'!$B$9,Paramètres!$A$1:$I$88,3,0)*0.475*44/12</f>
        <v>0</v>
      </c>
      <c r="FR6" s="23">
        <f>EXP(-LN(2)/25)*FR5+(1-EXP(-LN(2)/25))/(LN(2)/25)*Calculateur!FM6*Calculateur!FO6*VLOOKUP('Données projet'!$B$9,Paramètres!$A$1:$I$88,3,0)*0.475*44/12</f>
        <v>0</v>
      </c>
      <c r="FS6" s="23">
        <f>EXP(-LN(2)/2)*FS5+(1-EXP(-LN(2)/2))/(LN(2)/2)*FM6*FP6*VLOOKUP('Données projet'!$B$9,Paramètres!$A$1:$I$88,3,0)*0.475*44/12</f>
        <v>0</v>
      </c>
      <c r="FT6" s="24">
        <f t="shared" si="32"/>
        <v>0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IF(A6&lt;'Données projet'!$A$244,$FW$205^A6,IF(A6='Données projet'!$A$244,'Données projet'!$B$244,FZ5+FY6-GH5))</f>
        <v>0</v>
      </c>
      <c r="GA6" s="18" t="e">
        <f>FZ6*VLOOKUP('Données projet'!$B$17,Paramètres!$A$1:$I$88,3,0)*VLOOKUP('Données projet'!$B$17,Paramètres!$A$1:$I$88,5,0)</f>
        <v>#N/A</v>
      </c>
      <c r="GB6" s="14" t="e">
        <f t="shared" si="51"/>
        <v>#N/A</v>
      </c>
      <c r="GC6" s="22" t="e">
        <f t="shared" si="33"/>
        <v>#N/A</v>
      </c>
      <c r="GD6" s="62" t="e">
        <f t="shared" si="34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35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projet'!$B$17,Paramètres!$A$1:$I$88,7,0))</f>
        <v>0</v>
      </c>
      <c r="GJ6" s="17">
        <f>IF(ISNA(VLOOKUP(A6,'Données projet'!$A$243:$I$263,6,0)),0%,VLOOKUP(A6,'Données projet'!$A$243:$I$263,6,0)*VLOOKUP('Données projet'!$B$17,Paramètres!$A$1:$I$88,7,0))</f>
        <v>0</v>
      </c>
      <c r="GK6" s="17">
        <f>IF(ISNA(VLOOKUP(A6,'Données projet'!$A$243:$I$263,7,0)),0%,VLOOKUP(A6,'Données projet'!$A$243:$I$263,7,0))</f>
        <v>0</v>
      </c>
      <c r="GL6" s="23">
        <f>EXP(-LN(2)/35)*GL5+(1-EXP(-LN(2)/35))/(LN(2)/35)*GH6*GI6*VLOOKUP('Données projet'!$B$9,Paramètres!$A$1:$I$88,3,0)*0.475*44/12</f>
        <v>0</v>
      </c>
      <c r="GM6" s="23">
        <f>EXP(-LN(2)/25)*GM5+(1-EXP(-LN(2)/25))/(LN(2)/25)*Calculateur!GH6*Calculateur!GJ6*VLOOKUP('Données projet'!$B$9,Paramètres!$A$1:$I$88,3,0)*0.475*44/12</f>
        <v>0</v>
      </c>
      <c r="GN6" s="23">
        <f>EXP(-LN(2)/2)*GN5+(1-EXP(-LN(2)/2))/(LN(2)/2)*GH6*GK6*VLOOKUP('Données projet'!$B$9,Paramètres!$A$1:$I$88,3,0)*0.475*44/12</f>
        <v>0</v>
      </c>
      <c r="GO6" s="23">
        <f t="shared" si="36"/>
        <v>0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IF(A6&lt;'Données projet'!$A$270,$GR$205^A6,IF(A6='Données projet'!$A$270,'Données projet'!$B$270,GU5+GT6-HC5))</f>
        <v>0</v>
      </c>
      <c r="GV6" s="18" t="e">
        <f>GU6*VLOOKUP('Données projet'!$B$18,Paramètres!$A$1:$I$88,3,0)*VLOOKUP('Données projet'!$B$18,Paramètres!$A$1:$I$88,5,0)</f>
        <v>#N/A</v>
      </c>
      <c r="GW6" s="14" t="e">
        <f t="shared" si="52"/>
        <v>#N/A</v>
      </c>
      <c r="GX6" s="22" t="e">
        <f t="shared" si="37"/>
        <v>#N/A</v>
      </c>
      <c r="GY6" s="62" t="e">
        <f t="shared" si="38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39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projet'!$B$18,Paramètres!$A$1:$I$88,7,0))</f>
        <v>0</v>
      </c>
      <c r="HE6" s="17">
        <f>IF(ISNA(VLOOKUP(A6,'Données projet'!$A$269:$I$289,6,0)),0%,VLOOKUP(A6,'Données projet'!$A$269:$I$289,6,0)*VLOOKUP('Données projet'!$B$18,Paramètres!$A$1:$I$88,7,0))</f>
        <v>0</v>
      </c>
      <c r="HF6" s="17">
        <f>IF(ISNA(VLOOKUP(A6,'Données projet'!$A$269:$I$289,7,0)),0%,VLOOKUP(A6,'Données projet'!$A$269:$I$289,7,0))</f>
        <v>0</v>
      </c>
      <c r="HG6" s="23">
        <f>EXP(-LN(2)/35)*HG5+(1-EXP(-LN(2)/35))/(LN(2)/35)*HC6*HD6*VLOOKUP('Données projet'!$B$9,Paramètres!$A$1:$I$88,3,0)*0.475*44/12</f>
        <v>0</v>
      </c>
      <c r="HH6" s="23">
        <f>EXP(-LN(2)/25)*HH5+(1-EXP(-LN(2)/25))/(LN(2)/25)*Calculateur!HC6*Calculateur!HE6*VLOOKUP('Données projet'!$B$9,Paramètres!$A$1:$I$88,3,0)*0.475*44/12</f>
        <v>0</v>
      </c>
      <c r="HI6" s="23">
        <f>EXP(-LN(2)/2)*HI5+(1-EXP(-LN(2)/2))/(LN(2)/2)*HC6*HF6*VLOOKUP('Données projet'!$B$9,Paramètres!$A$1:$I$88,3,0)*0.475*44/12</f>
        <v>0</v>
      </c>
      <c r="HJ6" s="24">
        <f t="shared" si="40"/>
        <v>0</v>
      </c>
    </row>
    <row r="7" spans="1:218" s="5" customFormat="1" x14ac:dyDescent="0.25">
      <c r="A7" s="11">
        <f t="shared" si="4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" s="12">
        <f t="shared" si="4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135.66666666666666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1.5341666666666667</v>
      </c>
      <c r="N7" s="14">
        <f>IF(A7&lt;'Données projet'!$A$36,$K$205^A7,IF(A7='Données projet'!$A$36,'Données projet'!$B$36,N6+M7-V6))</f>
        <v>2.9809110503275362</v>
      </c>
      <c r="O7" s="14">
        <f>N7*VLOOKUP('Données projet'!$B$9,Paramètres!$A$1:$I$88,3,0)*VLOOKUP('Données projet'!$B$9,Paramètres!$A$1:$I$88,5,0)</f>
        <v>3.4340095299773217</v>
      </c>
      <c r="P7" s="14">
        <f t="shared" si="43"/>
        <v>1.3708384170066097</v>
      </c>
      <c r="Q7" s="22">
        <f t="shared" si="2"/>
        <v>8.3684435076636809</v>
      </c>
      <c r="R7" s="62">
        <f t="shared" si="0"/>
        <v>140.01046015632377</v>
      </c>
      <c r="S7" s="62">
        <f ca="1">AVERAGE(OFFSET($R$3,0,0,'Données projet'!$E$9+1,1))-AVERAGE(OFFSET($H$3,0,0,'Données projet'!$E$9+1,1))</f>
        <v>314.72063458462026</v>
      </c>
      <c r="T7" s="62">
        <f t="shared" si="3"/>
        <v>216.4380325968244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projet'!$B$9,Paramètres!$A$1:$I$88,7,0))</f>
        <v>0</v>
      </c>
      <c r="X7" s="17">
        <f>IF(ISNA(VLOOKUP(A7,'Données projet'!$A$35:$I$55,6,0)),0%,VLOOKUP(A7,'Données projet'!$A$35:$I$55,6,0)*VLOOKUP('Données projet'!$B$9,Paramètres!$A$1:$I$88,7,0))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projet'!$B$9,Paramètres!$A$1:$I$88,3,0)*0.475*44/12</f>
        <v>0</v>
      </c>
      <c r="AA7" s="23">
        <f>EXP(-LN(2)/25)*AA6+(1-EXP(-LN(2)/25))/(LN(2)/25)*Calculateur!V7*Calculateur!X7*VLOOKUP('Données projet'!$B$9,Paramètres!$A$1:$I$88,3,0)*0.475*44/12</f>
        <v>0</v>
      </c>
      <c r="AB7" s="23">
        <f>EXP(-LN(2)/2)*AB6+(1-EXP(-LN(2)/2))/(LN(2)/2)*V7*Y7*VLOOKUP('Données projet'!$B$9,Paramètres!$A$1:$I$88,3,0)*0.475*44/12</f>
        <v>0</v>
      </c>
      <c r="AC7" s="24">
        <f t="shared" si="4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2</v>
      </c>
      <c r="AI7" s="14">
        <f>IF(A7&lt;'Données projet'!$A$62,$AF$205^A7,IF(A7='Données projet'!$A$62,'Données projet'!$B$62,AI6+AH7-AQ6))</f>
        <v>1.8699724177071748</v>
      </c>
      <c r="AJ7" s="14">
        <f>AI7*VLOOKUP('Données projet'!$B$10,Paramètres!$A$1:$I$88,3,0)*VLOOKUP('Données projet'!$B$10,Paramètres!$A$1:$I$88,5,0)</f>
        <v>1.9544951709875393</v>
      </c>
      <c r="AK7" s="14">
        <f t="shared" si="44"/>
        <v>0.83312513853700776</v>
      </c>
      <c r="AL7" s="22">
        <f t="shared" si="5"/>
        <v>4.8551053724219182</v>
      </c>
      <c r="AM7" s="62">
        <f t="shared" si="6"/>
        <v>136.49712202108202</v>
      </c>
      <c r="AN7" s="62">
        <f ca="1">AVERAGE(OFFSET($AM$3,0,0,'Données projet'!$E$10+1,1))-AVERAGE(OFFSET($H$3,0,0,'Données projet'!$E$10+1,1))</f>
        <v>458.33072853676879</v>
      </c>
      <c r="AO7" s="62">
        <f t="shared" si="7"/>
        <v>254.1734169352687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projet'!$B$10,Paramètres!$A$1:$I$88,7,0))</f>
        <v>0</v>
      </c>
      <c r="AS7" s="17">
        <f>IF(ISNA(VLOOKUP(A7,'Données projet'!$A$61:$I$81,6,0)),0%,VLOOKUP(A7,'Données projet'!$A$61:$I$81,6,0)*VLOOKUP('Données projet'!$B$10,Paramètres!$A$1:$I$88,7,0))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projet'!$B$9,Paramètres!$A$1:$I$88,3,0)*0.475*44/12</f>
        <v>0</v>
      </c>
      <c r="AV7" s="23">
        <f>EXP(-LN(2)/25)*AV6+(1-EXP(-LN(2)/25))/(LN(2)/25)*Calculateur!AQ7*Calculateur!AS7*VLOOKUP('Données projet'!$B$9,Paramètres!$A$1:$I$88,3,0)*0.475*44/12</f>
        <v>0</v>
      </c>
      <c r="AW7" s="23">
        <f>EXP(-LN(2)/2)*AW6+(1-EXP(-LN(2)/2))/(LN(2)/2)*AQ7*AT7*VLOOKUP('Données projet'!$B$9,Paramètres!$A$1:$I$88,3,0)*0.475*44/12</f>
        <v>0</v>
      </c>
      <c r="AX7" s="23">
        <f t="shared" si="8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2</v>
      </c>
      <c r="BD7" s="13">
        <f>IF(A7&lt;'Données projet'!$A$88,$BA$205^A7,IF(A7='Données projet'!$A$88,'Données projet'!$B$88,BD6+BC7-BL6))</f>
        <v>1.8699724177071748</v>
      </c>
      <c r="BE7" s="14">
        <f>BD7*VLOOKUP('Données projet'!$B$11,Paramètres!$A$1:$I$88,3,0)*VLOOKUP('Données projet'!$B$11,Paramètres!$A$1:$I$88,5,0)</f>
        <v>1.8961520315550755</v>
      </c>
      <c r="BF7" s="14">
        <f t="shared" si="45"/>
        <v>0.81111192271302957</v>
      </c>
      <c r="BG7" s="22">
        <f t="shared" si="9"/>
        <v>4.7151513870169497</v>
      </c>
      <c r="BH7" s="62">
        <f t="shared" si="10"/>
        <v>136.35716803567706</v>
      </c>
      <c r="BI7" s="62">
        <f ca="1">AVERAGE(OFFSET($BH$3,0,0,'Données projet'!$E$11+1,1))-AVERAGE(OFFSET($H$3,0,0,'Données projet'!$E$11+1,1))</f>
        <v>447.82618173893104</v>
      </c>
      <c r="BJ7" s="62">
        <f t="shared" si="11"/>
        <v>248.96509970783379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projet'!$B$11,Paramètres!$A$1:$I$88,7,0))</f>
        <v>0</v>
      </c>
      <c r="BN7" s="17">
        <f>IF(ISNA(VLOOKUP(A7,'Données projet'!$A$87:$I$107,6,0)),0%,VLOOKUP(A7,'Données projet'!$A$87:$I$107,6,0)*VLOOKUP('Données projet'!$B$11,Paramètres!$A$1:$I$88,7,0))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projet'!$B$9,Paramètres!$A$1:$I$88,3,0)*0.475*44/12</f>
        <v>0</v>
      </c>
      <c r="BQ7" s="23">
        <f>EXP(-LN(2)/25)*BQ6+(1-EXP(-LN(2)/25))/(LN(2)/25)*Calculateur!BL7*Calculateur!BN7*VLOOKUP('Données projet'!$B$9,Paramètres!$A$1:$I$88,3,0)*0.475*44/12</f>
        <v>0</v>
      </c>
      <c r="BR7" s="23">
        <f>EXP(-LN(2)/2)*BR6+(1-EXP(-LN(2)/2))/(LN(2)/2)*BL7*BO7*VLOOKUP('Données projet'!$B$9,Paramètres!$A$1:$I$88,3,0)*0.475*44/12</f>
        <v>0</v>
      </c>
      <c r="BS7" s="24">
        <f t="shared" si="12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2</v>
      </c>
      <c r="BY7" s="13">
        <f>IF(A7&lt;'Données projet'!$A$114,$BV$205^A7,IF(A7='Données projet'!$A$114,'Données projet'!$B$114,BY6+BX7-CG6))</f>
        <v>1.8699724177071748</v>
      </c>
      <c r="BZ7" s="14">
        <f>BY7*VLOOKUP('Données projet'!$B$12,Paramètres!$A$1:$I$88,3,0)*VLOOKUP('Données projet'!$B$12,Paramètres!$A$1:$I$88,5,0)</f>
        <v>2.0128383104200029</v>
      </c>
      <c r="CA7" s="14">
        <f t="shared" si="46"/>
        <v>0.85506198739607453</v>
      </c>
      <c r="CB7" s="22">
        <f t="shared" si="13"/>
        <v>4.9949263520296681</v>
      </c>
      <c r="CC7" s="62">
        <f t="shared" si="14"/>
        <v>136.63694300068977</v>
      </c>
      <c r="CD7" s="62">
        <f ca="1">AVERAGE(OFFSET($CC$3,0,0,'Données projet'!$E$12+1,1))-AVERAGE(OFFSET($H$3,0,0,'Données projet'!$E$12+1,1))</f>
        <v>468.82871618425406</v>
      </c>
      <c r="CE7" s="62">
        <f t="shared" si="15"/>
        <v>259.37818128554397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projet'!$B$12,Paramètres!$A$1:$I$88,7,0))</f>
        <v>0</v>
      </c>
      <c r="CI7" s="17">
        <f>IF(ISNA(VLOOKUP(A7,'Données projet'!$A$113:$I$133,6,0)),0%,VLOOKUP(A7,'Données projet'!$A$113:$I$133,6,0)*VLOOKUP('Données projet'!$B$12,Paramètres!$A$1:$I$88,7,0))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projet'!$B$9,Paramètres!$A$1:$I$88,3,0)*0.475*44/12</f>
        <v>0</v>
      </c>
      <c r="CL7" s="23">
        <f>EXP(-LN(2)/25)*CL6+(1-EXP(-LN(2)/25))/(LN(2)/25)*Calculateur!CG7*Calculateur!CI7*VLOOKUP('Données projet'!$B$9,Paramètres!$A$1:$I$88,3,0)*0.475*44/12</f>
        <v>0</v>
      </c>
      <c r="CM7" s="23">
        <f>EXP(-LN(2)/2)*CM6+(1-EXP(-LN(2)/2))/(LN(2)/2)*CG7*CJ7*VLOOKUP('Données projet'!$B$9,Paramètres!$A$1:$I$88,3,0)*0.475*44/12</f>
        <v>0</v>
      </c>
      <c r="CN7" s="24">
        <f t="shared" si="16"/>
        <v>0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2</v>
      </c>
      <c r="CT7" s="13">
        <f>IF(A7&lt;'Données projet'!$A$140,$CQ$205^A7,IF(A7='Données projet'!$A$140,'Données projet'!$B$140,CT6+CS7-DB6))</f>
        <v>1.8699724177071748</v>
      </c>
      <c r="CU7" s="18">
        <f>CT7*VLOOKUP('Données projet'!$B$13,Paramètres!$A$1:$I$88,3,0)*VLOOKUP('Données projet'!$B$13,Paramètres!$A$1:$I$88,5,0)</f>
        <v>1.6044363343927561</v>
      </c>
      <c r="CV7" s="14">
        <f t="shared" si="47"/>
        <v>0.69980173638993592</v>
      </c>
      <c r="CW7" s="22">
        <f t="shared" si="17"/>
        <v>4.0132146399465221</v>
      </c>
      <c r="CX7" s="62">
        <f t="shared" si="18"/>
        <v>135.65523128860661</v>
      </c>
      <c r="CY7" s="62">
        <f ca="1">AVERAGE(OFFSET($CX$3,0,0,'Données projet'!$E$13+1,1))-AVERAGE(OFFSET($H$3,0,0,'Données projet'!$E$13+1,1))</f>
        <v>395.19659151668884</v>
      </c>
      <c r="CZ7" s="62">
        <f t="shared" si="19"/>
        <v>222.86563304507339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projet'!$B$13,Paramètres!$A$1:$I$88,7,0))</f>
        <v>0</v>
      </c>
      <c r="DD7" s="17">
        <f>IF(ISNA(VLOOKUP(A7,'Données projet'!$A$139:$I$159,6,0)),0%,VLOOKUP(A7,'Données projet'!$A$139:$I$159,6,0)*VLOOKUP('Données projet'!$B$13,Paramètres!$A$1:$I$88,7,0))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projet'!$B$9,Paramètres!$A$1:$I$88,3,0)*0.475*44/12</f>
        <v>0</v>
      </c>
      <c r="DG7" s="23">
        <f>EXP(-LN(2)/25)*DG6+(1-EXP(-LN(2)/25))/(LN(2)/25)*Calculateur!DB7*Calculateur!DD7*VLOOKUP('Données projet'!$B$9,Paramètres!$A$1:$I$88,3,0)*0.475*44/12</f>
        <v>0</v>
      </c>
      <c r="DH7" s="23">
        <f>EXP(-LN(2)/2)*DH6+(1-EXP(-LN(2)/2))/(LN(2)/2)*DB7*DE7*VLOOKUP('Données projet'!$B$9,Paramètres!$A$1:$I$88,3,0)*0.475*44/12</f>
        <v>0</v>
      </c>
      <c r="DI7" s="24">
        <f t="shared" si="20"/>
        <v>0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2.2749999999999999</v>
      </c>
      <c r="DO7" s="13">
        <f>IF(A7&lt;'Données projet'!$A$166,$DL$205^A7,IF(A7='Données projet'!$A$166,'Données projet'!$B$166,DO6+DN7-DW6))</f>
        <v>1.5700162202113925</v>
      </c>
      <c r="DP7" s="18">
        <f>DO7*VLOOKUP('Données projet'!$B$14,Paramètres!$A$1:$I$88,3,0)*VLOOKUP('Données projet'!$B$14,Paramètres!$A$1:$I$88,5,0)</f>
        <v>0.91845948882366468</v>
      </c>
      <c r="DQ7" s="14">
        <f t="shared" si="48"/>
        <v>0.4274761462965937</v>
      </c>
      <c r="DR7" s="22">
        <f t="shared" si="21"/>
        <v>2.3441712311677834</v>
      </c>
      <c r="DS7" s="62">
        <f t="shared" si="22"/>
        <v>133.9861878798279</v>
      </c>
      <c r="DT7" s="62">
        <f ca="1">AVERAGE(OFFSET($DS$3,0,0,'Données projet'!$E$14+1,1))-AVERAGE(OFFSET($H$3,0,0,'Données projet'!$E$14+1,1))</f>
        <v>155.18073137151848</v>
      </c>
      <c r="DU7" s="62">
        <f t="shared" si="23"/>
        <v>115.19459155667272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projet'!$B$14,Paramètres!$A$1:$I$88,7,0))</f>
        <v>0</v>
      </c>
      <c r="DY7" s="17">
        <f>IF(ISNA(VLOOKUP(A7,'Données projet'!$A$165:$I$185,6,0)),0%,VLOOKUP(A7,'Données projet'!$A$165:$I$185,6,0)*VLOOKUP('Données projet'!$B$14,Paramètres!$A$1:$I$88,7,0))</f>
        <v>0</v>
      </c>
      <c r="DZ7" s="17">
        <f>IF(ISNA(VLOOKUP(A7,'Données projet'!$A$165:$I$185,7,0)),0%,VLOOKUP(A7,'Données projet'!$A$165:$I$185,7,0))</f>
        <v>0</v>
      </c>
      <c r="EA7" s="23">
        <f>EXP(-LN(2)/35)*EA6+(1-EXP(-LN(2)/35))/(LN(2)/35)*DW7*DX7*VLOOKUP('Données projet'!$B$9,Paramètres!$A$1:$I$88,3,0)*0.475*44/12</f>
        <v>0</v>
      </c>
      <c r="EB7" s="23">
        <f>EXP(-LN(2)/25)*EB6+(1-EXP(-LN(2)/25))/(LN(2)/25)*Calculateur!DW7*Calculateur!DY7*VLOOKUP('Données projet'!$B$9,Paramètres!$A$1:$I$88,3,0)*0.475*44/12</f>
        <v>0</v>
      </c>
      <c r="EC7" s="23">
        <f>EXP(-LN(2)/2)*EC6+(1-EXP(-LN(2)/2))/(LN(2)/2)*DW7*DZ7*VLOOKUP('Données projet'!$B$9,Paramètres!$A$1:$I$88,3,0)*0.475*44/12</f>
        <v>0</v>
      </c>
      <c r="ED7" s="24">
        <f t="shared" si="24"/>
        <v>0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3.25</v>
      </c>
      <c r="EJ7" s="13">
        <f>IF(A7&lt;'Données projet'!$A$192,$EG$205^A7,IF(A7='Données projet'!$A$192,'Données projet'!$B$192,EJ6+EI7-ER6))</f>
        <v>1.421245079387526</v>
      </c>
      <c r="EK7" s="18">
        <f>EJ7*VLOOKUP('Données projet'!$B$15,Paramètres!$A$1:$I$88,3,0)*VLOOKUP('Données projet'!$B$15,Paramètres!$A$1:$I$88,5,0)</f>
        <v>0.66514269715336216</v>
      </c>
      <c r="EL7" s="14">
        <f t="shared" si="49"/>
        <v>0.32142496564154527</v>
      </c>
      <c r="EM7" s="22">
        <f t="shared" si="25"/>
        <v>1.7182720127011304</v>
      </c>
      <c r="EN7" s="62">
        <f t="shared" si="26"/>
        <v>133.36028866136124</v>
      </c>
      <c r="EO7" s="62">
        <f ca="1">AVERAGE(OFFSET($EN$3,0,0,'Données projet'!$E$15+1,1))-AVERAGE(OFFSET($H$3,0,0,'Données projet'!$E$15+1,1))</f>
        <v>238.59014604384171</v>
      </c>
      <c r="EP7" s="62">
        <f t="shared" si="27"/>
        <v>90.841373219575217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projet'!$B$15,Paramètres!$A$1:$I$88,7,0))</f>
        <v>0</v>
      </c>
      <c r="ET7" s="17">
        <f>IF(ISNA(VLOOKUP(A7,'Données projet'!$A$191:$I$211,6,0)),0%,VLOOKUP(A7,'Données projet'!$A$191:$I$211,6,0)*VLOOKUP('Données projet'!$B$15,Paramètres!$A$1:$I$88,7,0))</f>
        <v>0</v>
      </c>
      <c r="EU7" s="17">
        <f>IF(ISNA(VLOOKUP(A7,'Données projet'!$A$191:$I$211,7,0)),0%,VLOOKUP(A7,'Données projet'!$A$191:$I$211,7,0))</f>
        <v>0</v>
      </c>
      <c r="EV7" s="23">
        <f>EXP(-LN(2)/35)*EV6+(1-EXP(-LN(2)/35))/(LN(2)/35)*ER7*ES7*VLOOKUP('Données projet'!$B$9,Paramètres!$A$1:$I$88,3,0)*0.475*44/12</f>
        <v>0</v>
      </c>
      <c r="EW7" s="23">
        <f>EXP(-LN(2)/25)*EW6+(1-EXP(-LN(2)/25))/(LN(2)/25)*Calculateur!ER7*Calculateur!ET7*VLOOKUP('Données projet'!$B$9,Paramètres!$A$1:$I$88,3,0)*0.475*44/12</f>
        <v>0</v>
      </c>
      <c r="EX7" s="23">
        <f>EXP(-LN(2)/2)*EX6+(1-EXP(-LN(2)/2))/(LN(2)/2)*ER7*EU7*VLOOKUP('Données projet'!$B$9,Paramètres!$A$1:$I$88,3,0)*0.475*44/12</f>
        <v>0</v>
      </c>
      <c r="EY7" s="24">
        <f t="shared" si="28"/>
        <v>0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IF(A7&lt;'Données projet'!$A$218,$FB$205^A7,IF(A7='Données projet'!$A$218,'Données projet'!$B$218,FE6+FD7-FM6))</f>
        <v>0</v>
      </c>
      <c r="FF7" s="18" t="e">
        <f>FE7*VLOOKUP('Données projet'!$B$16,Paramètres!$A$1:$I$88,3,0)*VLOOKUP('Données projet'!$B$16,Paramètres!$A$1:$I$88,5,0)</f>
        <v>#N/A</v>
      </c>
      <c r="FG7" s="14" t="e">
        <f t="shared" si="50"/>
        <v>#N/A</v>
      </c>
      <c r="FH7" s="22" t="e">
        <f t="shared" si="29"/>
        <v>#N/A</v>
      </c>
      <c r="FI7" s="62" t="e">
        <f t="shared" si="30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31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projet'!$B$16,Paramètres!$A$1:$I$88,7,0))</f>
        <v>0</v>
      </c>
      <c r="FO7" s="17">
        <f>IF(ISNA(VLOOKUP(A7,'Données projet'!$A$217:$I$237,6,0)),0%,VLOOKUP(A7,'Données projet'!$A$217:$I$237,6,0)*VLOOKUP('Données projet'!$B$16,Paramètres!$A$1:$I$88,7,0))</f>
        <v>0</v>
      </c>
      <c r="FP7" s="17">
        <f>IF(ISNA(VLOOKUP(A7,'Données projet'!$A$217:$I$237,7,0)),0%,VLOOKUP(A7,'Données projet'!$A$217:$I$237,7,0))</f>
        <v>0</v>
      </c>
      <c r="FQ7" s="23">
        <f>EXP(-LN(2)/35)*FQ6+(1-EXP(-LN(2)/35))/(LN(2)/35)*FM7*FN7*VLOOKUP('Données projet'!$B$9,Paramètres!$A$1:$I$88,3,0)*0.475*44/12</f>
        <v>0</v>
      </c>
      <c r="FR7" s="23">
        <f>EXP(-LN(2)/25)*FR6+(1-EXP(-LN(2)/25))/(LN(2)/25)*Calculateur!FM7*Calculateur!FO7*VLOOKUP('Données projet'!$B$9,Paramètres!$A$1:$I$88,3,0)*0.475*44/12</f>
        <v>0</v>
      </c>
      <c r="FS7" s="23">
        <f>EXP(-LN(2)/2)*FS6+(1-EXP(-LN(2)/2))/(LN(2)/2)*FM7*FP7*VLOOKUP('Données projet'!$B$9,Paramètres!$A$1:$I$88,3,0)*0.475*44/12</f>
        <v>0</v>
      </c>
      <c r="FT7" s="24">
        <f t="shared" si="32"/>
        <v>0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IF(A7&lt;'Données projet'!$A$244,$FW$205^A7,IF(A7='Données projet'!$A$244,'Données projet'!$B$244,FZ6+FY7-GH6))</f>
        <v>0</v>
      </c>
      <c r="GA7" s="18" t="e">
        <f>FZ7*VLOOKUP('Données projet'!$B$17,Paramètres!$A$1:$I$88,3,0)*VLOOKUP('Données projet'!$B$17,Paramètres!$A$1:$I$88,5,0)</f>
        <v>#N/A</v>
      </c>
      <c r="GB7" s="14" t="e">
        <f t="shared" si="51"/>
        <v>#N/A</v>
      </c>
      <c r="GC7" s="22" t="e">
        <f t="shared" si="33"/>
        <v>#N/A</v>
      </c>
      <c r="GD7" s="62" t="e">
        <f t="shared" si="34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35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projet'!$B$17,Paramètres!$A$1:$I$88,7,0))</f>
        <v>0</v>
      </c>
      <c r="GJ7" s="17">
        <f>IF(ISNA(VLOOKUP(A7,'Données projet'!$A$243:$I$263,6,0)),0%,VLOOKUP(A7,'Données projet'!$A$243:$I$263,6,0)*VLOOKUP('Données projet'!$B$17,Paramètres!$A$1:$I$88,7,0))</f>
        <v>0</v>
      </c>
      <c r="GK7" s="17">
        <f>IF(ISNA(VLOOKUP(A7,'Données projet'!$A$243:$I$263,7,0)),0%,VLOOKUP(A7,'Données projet'!$A$243:$I$263,7,0))</f>
        <v>0</v>
      </c>
      <c r="GL7" s="23">
        <f>EXP(-LN(2)/35)*GL6+(1-EXP(-LN(2)/35))/(LN(2)/35)*GH7*GI7*VLOOKUP('Données projet'!$B$9,Paramètres!$A$1:$I$88,3,0)*0.475*44/12</f>
        <v>0</v>
      </c>
      <c r="GM7" s="23">
        <f>EXP(-LN(2)/25)*GM6+(1-EXP(-LN(2)/25))/(LN(2)/25)*Calculateur!GH7*Calculateur!GJ7*VLOOKUP('Données projet'!$B$9,Paramètres!$A$1:$I$88,3,0)*0.475*44/12</f>
        <v>0</v>
      </c>
      <c r="GN7" s="23">
        <f>EXP(-LN(2)/2)*GN6+(1-EXP(-LN(2)/2))/(LN(2)/2)*GH7*GK7*VLOOKUP('Données projet'!$B$9,Paramètres!$A$1:$I$88,3,0)*0.475*44/12</f>
        <v>0</v>
      </c>
      <c r="GO7" s="23">
        <f t="shared" si="36"/>
        <v>0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IF(A7&lt;'Données projet'!$A$270,$GR$205^A7,IF(A7='Données projet'!$A$270,'Données projet'!$B$270,GU6+GT7-HC6))</f>
        <v>0</v>
      </c>
      <c r="GV7" s="18" t="e">
        <f>GU7*VLOOKUP('Données projet'!$B$18,Paramètres!$A$1:$I$88,3,0)*VLOOKUP('Données projet'!$B$18,Paramètres!$A$1:$I$88,5,0)</f>
        <v>#N/A</v>
      </c>
      <c r="GW7" s="14" t="e">
        <f t="shared" si="52"/>
        <v>#N/A</v>
      </c>
      <c r="GX7" s="22" t="e">
        <f t="shared" si="37"/>
        <v>#N/A</v>
      </c>
      <c r="GY7" s="62" t="e">
        <f t="shared" si="38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39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projet'!$B$18,Paramètres!$A$1:$I$88,7,0))</f>
        <v>0</v>
      </c>
      <c r="HE7" s="17">
        <f>IF(ISNA(VLOOKUP(A7,'Données projet'!$A$269:$I$289,6,0)),0%,VLOOKUP(A7,'Données projet'!$A$269:$I$289,6,0)*VLOOKUP('Données projet'!$B$18,Paramètres!$A$1:$I$88,7,0))</f>
        <v>0</v>
      </c>
      <c r="HF7" s="17">
        <f>IF(ISNA(VLOOKUP(A7,'Données projet'!$A$269:$I$289,7,0)),0%,VLOOKUP(A7,'Données projet'!$A$269:$I$289,7,0))</f>
        <v>0</v>
      </c>
      <c r="HG7" s="23">
        <f>EXP(-LN(2)/35)*HG6+(1-EXP(-LN(2)/35))/(LN(2)/35)*HC7*HD7*VLOOKUP('Données projet'!$B$9,Paramètres!$A$1:$I$88,3,0)*0.475*44/12</f>
        <v>0</v>
      </c>
      <c r="HH7" s="23">
        <f>EXP(-LN(2)/25)*HH6+(1-EXP(-LN(2)/25))/(LN(2)/25)*Calculateur!HC7*Calculateur!HE7*VLOOKUP('Données projet'!$B$9,Paramètres!$A$1:$I$88,3,0)*0.475*44/12</f>
        <v>0</v>
      </c>
      <c r="HI7" s="23">
        <f>EXP(-LN(2)/2)*HI6+(1-EXP(-LN(2)/2))/(LN(2)/2)*HC7*HF7*VLOOKUP('Données projet'!$B$9,Paramètres!$A$1:$I$88,3,0)*0.475*44/12</f>
        <v>0</v>
      </c>
      <c r="HJ7" s="24">
        <f t="shared" si="40"/>
        <v>0</v>
      </c>
    </row>
    <row r="8" spans="1:218" s="5" customFormat="1" x14ac:dyDescent="0.25">
      <c r="A8" s="11">
        <f t="shared" si="4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" s="12">
        <f t="shared" si="4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135.66666666666666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1.5341666666666667</v>
      </c>
      <c r="N8" s="14">
        <f>IF(A8&lt;'Données projet'!$A$36,$K$205^A8,IF(A8='Données projet'!$A$36,'Données projet'!$B$36,N7+M8-V7))</f>
        <v>3.9168439676181483</v>
      </c>
      <c r="O8" s="14">
        <f>N8*VLOOKUP('Données projet'!$B$9,Paramètres!$A$1:$I$88,3,0)*VLOOKUP('Données projet'!$B$9,Paramètres!$A$1:$I$88,5,0)</f>
        <v>4.5122042506961062</v>
      </c>
      <c r="P8" s="14">
        <f t="shared" si="43"/>
        <v>1.7448976777327356</v>
      </c>
      <c r="Q8" s="22">
        <f t="shared" si="2"/>
        <v>10.897785858680232</v>
      </c>
      <c r="R8" s="62">
        <f t="shared" si="0"/>
        <v>146.01573418643574</v>
      </c>
      <c r="S8" s="62">
        <f ca="1">AVERAGE(OFFSET($R$3,0,0,'Données projet'!$E$9+1,1))-AVERAGE(OFFSET($H$3,0,0,'Données projet'!$E$9+1,1))</f>
        <v>314.72063458462026</v>
      </c>
      <c r="T8" s="62">
        <f t="shared" si="3"/>
        <v>216.4380325968244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projet'!$B$9,Paramètres!$A$1:$I$88,7,0))</f>
        <v>0</v>
      </c>
      <c r="X8" s="17">
        <f>IF(ISNA(VLOOKUP(A8,'Données projet'!$A$35:$I$55,6,0)),0%,VLOOKUP(A8,'Données projet'!$A$35:$I$55,6,0)*VLOOKUP('Données projet'!$B$9,Paramètres!$A$1:$I$88,7,0))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projet'!$B$9,Paramètres!$A$1:$I$88,3,0)*0.475*44/12</f>
        <v>0</v>
      </c>
      <c r="AA8" s="23">
        <f>EXP(-LN(2)/25)*AA7+(1-EXP(-LN(2)/25))/(LN(2)/25)*Calculateur!V8*Calculateur!X8*VLOOKUP('Données projet'!$B$9,Paramètres!$A$1:$I$88,3,0)*0.475*44/12</f>
        <v>0</v>
      </c>
      <c r="AB8" s="23">
        <f>EXP(-LN(2)/2)*AB7+(1-EXP(-LN(2)/2))/(LN(2)/2)*V8*Y8*VLOOKUP('Données projet'!$B$9,Paramètres!$A$1:$I$88,3,0)*0.475*44/12</f>
        <v>0</v>
      </c>
      <c r="AC8" s="24">
        <f t="shared" si="4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2</v>
      </c>
      <c r="AI8" s="14">
        <f>IF(A8&lt;'Données projet'!$A$62,$AF$205^A8,IF(A8='Données projet'!$A$62,'Données projet'!$B$62,AI7+AH8-AQ7))</f>
        <v>2.1867241478865558</v>
      </c>
      <c r="AJ8" s="14">
        <f>AI8*VLOOKUP('Données projet'!$B$10,Paramètres!$A$1:$I$88,3,0)*VLOOKUP('Données projet'!$B$10,Paramètres!$A$1:$I$88,5,0)</f>
        <v>2.2855640793710283</v>
      </c>
      <c r="AK8" s="14">
        <f t="shared" si="44"/>
        <v>0.95666224519050613</v>
      </c>
      <c r="AL8" s="22">
        <f t="shared" si="5"/>
        <v>5.646877515278006</v>
      </c>
      <c r="AM8" s="62">
        <f t="shared" si="6"/>
        <v>140.76482584303349</v>
      </c>
      <c r="AN8" s="62">
        <f ca="1">AVERAGE(OFFSET($AM$3,0,0,'Données projet'!$E$10+1,1))-AVERAGE(OFFSET($H$3,0,0,'Données projet'!$E$10+1,1))</f>
        <v>458.33072853676879</v>
      </c>
      <c r="AO8" s="62">
        <f t="shared" si="7"/>
        <v>254.1734169352687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projet'!$B$10,Paramètres!$A$1:$I$88,7,0))</f>
        <v>0</v>
      </c>
      <c r="AS8" s="17">
        <f>IF(ISNA(VLOOKUP(A8,'Données projet'!$A$61:$I$81,6,0)),0%,VLOOKUP(A8,'Données projet'!$A$61:$I$81,6,0)*VLOOKUP('Données projet'!$B$10,Paramètres!$A$1:$I$88,7,0))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projet'!$B$9,Paramètres!$A$1:$I$88,3,0)*0.475*44/12</f>
        <v>0</v>
      </c>
      <c r="AV8" s="23">
        <f>EXP(-LN(2)/25)*AV7+(1-EXP(-LN(2)/25))/(LN(2)/25)*Calculateur!AQ8*Calculateur!AS8*VLOOKUP('Données projet'!$B$9,Paramètres!$A$1:$I$88,3,0)*0.475*44/12</f>
        <v>0</v>
      </c>
      <c r="AW8" s="23">
        <f>EXP(-LN(2)/2)*AW7+(1-EXP(-LN(2)/2))/(LN(2)/2)*AQ8*AT8*VLOOKUP('Données projet'!$B$9,Paramètres!$A$1:$I$88,3,0)*0.475*44/12</f>
        <v>0</v>
      </c>
      <c r="AX8" s="23">
        <f t="shared" si="8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2</v>
      </c>
      <c r="BD8" s="13">
        <f>IF(A8&lt;'Données projet'!$A$88,$BA$205^A8,IF(A8='Données projet'!$A$88,'Données projet'!$B$88,BD7+BC8-BL7))</f>
        <v>2.1867241478865558</v>
      </c>
      <c r="BE8" s="14">
        <f>BD8*VLOOKUP('Données projet'!$B$11,Paramètres!$A$1:$I$88,3,0)*VLOOKUP('Données projet'!$B$11,Paramètres!$A$1:$I$88,5,0)</f>
        <v>2.2173382859569677</v>
      </c>
      <c r="BF8" s="14">
        <f t="shared" si="45"/>
        <v>0.93138487508136403</v>
      </c>
      <c r="BG8" s="22">
        <f t="shared" si="9"/>
        <v>5.4840261721417605</v>
      </c>
      <c r="BH8" s="62">
        <f t="shared" si="10"/>
        <v>140.60197449989727</v>
      </c>
      <c r="BI8" s="62">
        <f ca="1">AVERAGE(OFFSET($BH$3,0,0,'Données projet'!$E$11+1,1))-AVERAGE(OFFSET($H$3,0,0,'Données projet'!$E$11+1,1))</f>
        <v>447.82618173893104</v>
      </c>
      <c r="BJ8" s="62">
        <f t="shared" si="11"/>
        <v>248.96509970783379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projet'!$B$11,Paramètres!$A$1:$I$88,7,0))</f>
        <v>0</v>
      </c>
      <c r="BN8" s="17">
        <f>IF(ISNA(VLOOKUP(A8,'Données projet'!$A$87:$I$107,6,0)),0%,VLOOKUP(A8,'Données projet'!$A$87:$I$107,6,0)*VLOOKUP('Données projet'!$B$11,Paramètres!$A$1:$I$88,7,0))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projet'!$B$9,Paramètres!$A$1:$I$88,3,0)*0.475*44/12</f>
        <v>0</v>
      </c>
      <c r="BQ8" s="23">
        <f>EXP(-LN(2)/25)*BQ7+(1-EXP(-LN(2)/25))/(LN(2)/25)*Calculateur!BL8*Calculateur!BN8*VLOOKUP('Données projet'!$B$9,Paramètres!$A$1:$I$88,3,0)*0.475*44/12</f>
        <v>0</v>
      </c>
      <c r="BR8" s="23">
        <f>EXP(-LN(2)/2)*BR7+(1-EXP(-LN(2)/2))/(LN(2)/2)*BL8*BO8*VLOOKUP('Données projet'!$B$9,Paramètres!$A$1:$I$88,3,0)*0.475*44/12</f>
        <v>0</v>
      </c>
      <c r="BS8" s="24">
        <f t="shared" si="12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2</v>
      </c>
      <c r="BY8" s="13">
        <f>IF(A8&lt;'Données projet'!$A$114,$BV$205^A8,IF(A8='Données projet'!$A$114,'Données projet'!$B$114,BY7+BX8-CG7))</f>
        <v>2.1867241478865558</v>
      </c>
      <c r="BZ8" s="14">
        <f>BY8*VLOOKUP('Données projet'!$B$12,Paramètres!$A$1:$I$88,3,0)*VLOOKUP('Données projet'!$B$12,Paramètres!$A$1:$I$88,5,0)</f>
        <v>2.3537898727850886</v>
      </c>
      <c r="CA8" s="14">
        <f t="shared" si="46"/>
        <v>0.9818519245209989</v>
      </c>
      <c r="CB8" s="22">
        <f t="shared" si="13"/>
        <v>5.8095761303081019</v>
      </c>
      <c r="CC8" s="62">
        <f t="shared" si="14"/>
        <v>140.9275244580636</v>
      </c>
      <c r="CD8" s="62">
        <f ca="1">AVERAGE(OFFSET($CC$3,0,0,'Données projet'!$E$12+1,1))-AVERAGE(OFFSET($H$3,0,0,'Données projet'!$E$12+1,1))</f>
        <v>468.82871618425406</v>
      </c>
      <c r="CE8" s="62">
        <f t="shared" si="15"/>
        <v>259.37818128554397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projet'!$B$12,Paramètres!$A$1:$I$88,7,0))</f>
        <v>0</v>
      </c>
      <c r="CI8" s="17">
        <f>IF(ISNA(VLOOKUP(A8,'Données projet'!$A$113:$I$133,6,0)),0%,VLOOKUP(A8,'Données projet'!$A$113:$I$133,6,0)*VLOOKUP('Données projet'!$B$12,Paramètres!$A$1:$I$88,7,0))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projet'!$B$9,Paramètres!$A$1:$I$88,3,0)*0.475*44/12</f>
        <v>0</v>
      </c>
      <c r="CL8" s="23">
        <f>EXP(-LN(2)/25)*CL7+(1-EXP(-LN(2)/25))/(LN(2)/25)*Calculateur!CG8*Calculateur!CI8*VLOOKUP('Données projet'!$B$9,Paramètres!$A$1:$I$88,3,0)*0.475*44/12</f>
        <v>0</v>
      </c>
      <c r="CM8" s="23">
        <f>EXP(-LN(2)/2)*CM7+(1-EXP(-LN(2)/2))/(LN(2)/2)*CG8*CJ8*VLOOKUP('Données projet'!$B$9,Paramètres!$A$1:$I$88,3,0)*0.475*44/12</f>
        <v>0</v>
      </c>
      <c r="CN8" s="24">
        <f t="shared" si="16"/>
        <v>0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2</v>
      </c>
      <c r="CT8" s="13">
        <f>IF(A8&lt;'Données projet'!$A$140,$CQ$205^A8,IF(A8='Données projet'!$A$140,'Données projet'!$B$140,CT7+CS8-DB7))</f>
        <v>2.1867241478865558</v>
      </c>
      <c r="CU8" s="18">
        <f>CT8*VLOOKUP('Données projet'!$B$13,Paramètres!$A$1:$I$88,3,0)*VLOOKUP('Données projet'!$B$13,Paramètres!$A$1:$I$88,5,0)</f>
        <v>1.8762093188866649</v>
      </c>
      <c r="CV8" s="14">
        <f t="shared" si="47"/>
        <v>0.80356943915847567</v>
      </c>
      <c r="CW8" s="22">
        <f t="shared" si="17"/>
        <v>4.6672813369286201</v>
      </c>
      <c r="CX8" s="62">
        <f t="shared" si="18"/>
        <v>139.78522966468412</v>
      </c>
      <c r="CY8" s="62">
        <f ca="1">AVERAGE(OFFSET($CX$3,0,0,'Données projet'!$E$13+1,1))-AVERAGE(OFFSET($H$3,0,0,'Données projet'!$E$13+1,1))</f>
        <v>395.19659151668884</v>
      </c>
      <c r="CZ8" s="62">
        <f t="shared" si="19"/>
        <v>222.86563304507339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projet'!$B$13,Paramètres!$A$1:$I$88,7,0))</f>
        <v>0</v>
      </c>
      <c r="DD8" s="17">
        <f>IF(ISNA(VLOOKUP(A8,'Données projet'!$A$139:$I$159,6,0)),0%,VLOOKUP(A8,'Données projet'!$A$139:$I$159,6,0)*VLOOKUP('Données projet'!$B$13,Paramètres!$A$1:$I$88,7,0))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projet'!$B$9,Paramètres!$A$1:$I$88,3,0)*0.475*44/12</f>
        <v>0</v>
      </c>
      <c r="DG8" s="23">
        <f>EXP(-LN(2)/25)*DG7+(1-EXP(-LN(2)/25))/(LN(2)/25)*Calculateur!DB8*Calculateur!DD8*VLOOKUP('Données projet'!$B$9,Paramètres!$A$1:$I$88,3,0)*0.475*44/12</f>
        <v>0</v>
      </c>
      <c r="DH8" s="23">
        <f>EXP(-LN(2)/2)*DH7+(1-EXP(-LN(2)/2))/(LN(2)/2)*DB8*DE8*VLOOKUP('Données projet'!$B$9,Paramètres!$A$1:$I$88,3,0)*0.475*44/12</f>
        <v>0</v>
      </c>
      <c r="DI8" s="24">
        <f t="shared" si="20"/>
        <v>0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2.2749999999999999</v>
      </c>
      <c r="DO8" s="13">
        <f>IF(A8&lt;'Données projet'!$A$166,$DL$205^A8,IF(A8='Données projet'!$A$166,'Données projet'!$B$166,DO7+DN8-DW7))</f>
        <v>1.7574386530936603</v>
      </c>
      <c r="DP8" s="18">
        <f>DO8*VLOOKUP('Données projet'!$B$14,Paramètres!$A$1:$I$88,3,0)*VLOOKUP('Données projet'!$B$14,Paramètres!$A$1:$I$88,5,0)</f>
        <v>1.0281016120597914</v>
      </c>
      <c r="DQ8" s="14">
        <f t="shared" si="48"/>
        <v>0.4722664670782491</v>
      </c>
      <c r="DR8" s="22">
        <f t="shared" si="21"/>
        <v>2.6131410711654204</v>
      </c>
      <c r="DS8" s="62">
        <f t="shared" si="22"/>
        <v>137.73108939892091</v>
      </c>
      <c r="DT8" s="62">
        <f ca="1">AVERAGE(OFFSET($DS$3,0,0,'Données projet'!$E$14+1,1))-AVERAGE(OFFSET($H$3,0,0,'Données projet'!$E$14+1,1))</f>
        <v>155.18073137151848</v>
      </c>
      <c r="DU8" s="62">
        <f t="shared" si="23"/>
        <v>115.19459155667272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projet'!$B$14,Paramètres!$A$1:$I$88,7,0))</f>
        <v>0</v>
      </c>
      <c r="DY8" s="17">
        <f>IF(ISNA(VLOOKUP(A8,'Données projet'!$A$165:$I$185,6,0)),0%,VLOOKUP(A8,'Données projet'!$A$165:$I$185,6,0)*VLOOKUP('Données projet'!$B$14,Paramètres!$A$1:$I$88,7,0))</f>
        <v>0</v>
      </c>
      <c r="DZ8" s="17">
        <f>IF(ISNA(VLOOKUP(A8,'Données projet'!$A$165:$I$185,7,0)),0%,VLOOKUP(A8,'Données projet'!$A$165:$I$185,7,0))</f>
        <v>0</v>
      </c>
      <c r="EA8" s="23">
        <f>EXP(-LN(2)/35)*EA7+(1-EXP(-LN(2)/35))/(LN(2)/35)*DW8*DX8*VLOOKUP('Données projet'!$B$9,Paramètres!$A$1:$I$88,3,0)*0.475*44/12</f>
        <v>0</v>
      </c>
      <c r="EB8" s="23">
        <f>EXP(-LN(2)/25)*EB7+(1-EXP(-LN(2)/25))/(LN(2)/25)*Calculateur!DW8*Calculateur!DY8*VLOOKUP('Données projet'!$B$9,Paramètres!$A$1:$I$88,3,0)*0.475*44/12</f>
        <v>0</v>
      </c>
      <c r="EC8" s="23">
        <f>EXP(-LN(2)/2)*EC7+(1-EXP(-LN(2)/2))/(LN(2)/2)*DW8*DZ8*VLOOKUP('Données projet'!$B$9,Paramètres!$A$1:$I$88,3,0)*0.475*44/12</f>
        <v>0</v>
      </c>
      <c r="ED8" s="24">
        <f t="shared" si="24"/>
        <v>0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3.25</v>
      </c>
      <c r="EJ8" s="13">
        <f>IF(A8&lt;'Données projet'!$A$192,$EG$205^A8,IF(A8='Données projet'!$A$192,'Données projet'!$B$192,EJ7+EI8-ER7))</f>
        <v>1.5518016796732652</v>
      </c>
      <c r="EK8" s="18">
        <f>EJ8*VLOOKUP('Données projet'!$B$15,Paramètres!$A$1:$I$88,3,0)*VLOOKUP('Données projet'!$B$15,Paramètres!$A$1:$I$88,5,0)</f>
        <v>0.72624318608708804</v>
      </c>
      <c r="EL8" s="14">
        <f t="shared" si="49"/>
        <v>0.34737949743971869</v>
      </c>
      <c r="EM8" s="22">
        <f t="shared" si="25"/>
        <v>1.8698928404758552</v>
      </c>
      <c r="EN8" s="62">
        <f t="shared" si="26"/>
        <v>136.98784116823134</v>
      </c>
      <c r="EO8" s="62">
        <f ca="1">AVERAGE(OFFSET($EN$3,0,0,'Données projet'!$E$15+1,1))-AVERAGE(OFFSET($H$3,0,0,'Données projet'!$E$15+1,1))</f>
        <v>238.59014604384171</v>
      </c>
      <c r="EP8" s="62">
        <f t="shared" si="27"/>
        <v>90.841373219575217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projet'!$B$15,Paramètres!$A$1:$I$88,7,0))</f>
        <v>0</v>
      </c>
      <c r="ET8" s="17">
        <f>IF(ISNA(VLOOKUP(A8,'Données projet'!$A$191:$I$211,6,0)),0%,VLOOKUP(A8,'Données projet'!$A$191:$I$211,6,0)*VLOOKUP('Données projet'!$B$15,Paramètres!$A$1:$I$88,7,0))</f>
        <v>0</v>
      </c>
      <c r="EU8" s="17">
        <f>IF(ISNA(VLOOKUP(A8,'Données projet'!$A$191:$I$211,7,0)),0%,VLOOKUP(A8,'Données projet'!$A$191:$I$211,7,0))</f>
        <v>0</v>
      </c>
      <c r="EV8" s="23">
        <f>EXP(-LN(2)/35)*EV7+(1-EXP(-LN(2)/35))/(LN(2)/35)*ER8*ES8*VLOOKUP('Données projet'!$B$9,Paramètres!$A$1:$I$88,3,0)*0.475*44/12</f>
        <v>0</v>
      </c>
      <c r="EW8" s="23">
        <f>EXP(-LN(2)/25)*EW7+(1-EXP(-LN(2)/25))/(LN(2)/25)*Calculateur!ER8*Calculateur!ET8*VLOOKUP('Données projet'!$B$9,Paramètres!$A$1:$I$88,3,0)*0.475*44/12</f>
        <v>0</v>
      </c>
      <c r="EX8" s="23">
        <f>EXP(-LN(2)/2)*EX7+(1-EXP(-LN(2)/2))/(LN(2)/2)*ER8*EU8*VLOOKUP('Données projet'!$B$9,Paramètres!$A$1:$I$88,3,0)*0.475*44/12</f>
        <v>0</v>
      </c>
      <c r="EY8" s="24">
        <f t="shared" si="28"/>
        <v>0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IF(A8&lt;'Données projet'!$A$218,$FB$205^A8,IF(A8='Données projet'!$A$218,'Données projet'!$B$218,FE7+FD8-FM7))</f>
        <v>0</v>
      </c>
      <c r="FF8" s="18" t="e">
        <f>FE8*VLOOKUP('Données projet'!$B$16,Paramètres!$A$1:$I$88,3,0)*VLOOKUP('Données projet'!$B$16,Paramètres!$A$1:$I$88,5,0)</f>
        <v>#N/A</v>
      </c>
      <c r="FG8" s="14" t="e">
        <f t="shared" si="50"/>
        <v>#N/A</v>
      </c>
      <c r="FH8" s="22" t="e">
        <f t="shared" si="29"/>
        <v>#N/A</v>
      </c>
      <c r="FI8" s="62" t="e">
        <f t="shared" si="30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31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projet'!$B$16,Paramètres!$A$1:$I$88,7,0))</f>
        <v>0</v>
      </c>
      <c r="FO8" s="17">
        <f>IF(ISNA(VLOOKUP(A8,'Données projet'!$A$217:$I$237,6,0)),0%,VLOOKUP(A8,'Données projet'!$A$217:$I$237,6,0)*VLOOKUP('Données projet'!$B$16,Paramètres!$A$1:$I$88,7,0))</f>
        <v>0</v>
      </c>
      <c r="FP8" s="17">
        <f>IF(ISNA(VLOOKUP(A8,'Données projet'!$A$217:$I$237,7,0)),0%,VLOOKUP(A8,'Données projet'!$A$217:$I$237,7,0))</f>
        <v>0</v>
      </c>
      <c r="FQ8" s="23">
        <f>EXP(-LN(2)/35)*FQ7+(1-EXP(-LN(2)/35))/(LN(2)/35)*FM8*FN8*VLOOKUP('Données projet'!$B$9,Paramètres!$A$1:$I$88,3,0)*0.475*44/12</f>
        <v>0</v>
      </c>
      <c r="FR8" s="23">
        <f>EXP(-LN(2)/25)*FR7+(1-EXP(-LN(2)/25))/(LN(2)/25)*Calculateur!FM8*Calculateur!FO8*VLOOKUP('Données projet'!$B$9,Paramètres!$A$1:$I$88,3,0)*0.475*44/12</f>
        <v>0</v>
      </c>
      <c r="FS8" s="23">
        <f>EXP(-LN(2)/2)*FS7+(1-EXP(-LN(2)/2))/(LN(2)/2)*FM8*FP8*VLOOKUP('Données projet'!$B$9,Paramètres!$A$1:$I$88,3,0)*0.475*44/12</f>
        <v>0</v>
      </c>
      <c r="FT8" s="24">
        <f t="shared" si="32"/>
        <v>0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IF(A8&lt;'Données projet'!$A$244,$FW$205^A8,IF(A8='Données projet'!$A$244,'Données projet'!$B$244,FZ7+FY8-GH7))</f>
        <v>0</v>
      </c>
      <c r="GA8" s="18" t="e">
        <f>FZ8*VLOOKUP('Données projet'!$B$17,Paramètres!$A$1:$I$88,3,0)*VLOOKUP('Données projet'!$B$17,Paramètres!$A$1:$I$88,5,0)</f>
        <v>#N/A</v>
      </c>
      <c r="GB8" s="14" t="e">
        <f t="shared" si="51"/>
        <v>#N/A</v>
      </c>
      <c r="GC8" s="22" t="e">
        <f t="shared" si="33"/>
        <v>#N/A</v>
      </c>
      <c r="GD8" s="62" t="e">
        <f t="shared" si="34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35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projet'!$B$17,Paramètres!$A$1:$I$88,7,0))</f>
        <v>0</v>
      </c>
      <c r="GJ8" s="17">
        <f>IF(ISNA(VLOOKUP(A8,'Données projet'!$A$243:$I$263,6,0)),0%,VLOOKUP(A8,'Données projet'!$A$243:$I$263,6,0)*VLOOKUP('Données projet'!$B$17,Paramètres!$A$1:$I$88,7,0))</f>
        <v>0</v>
      </c>
      <c r="GK8" s="17">
        <f>IF(ISNA(VLOOKUP(A8,'Données projet'!$A$243:$I$263,7,0)),0%,VLOOKUP(A8,'Données projet'!$A$243:$I$263,7,0))</f>
        <v>0</v>
      </c>
      <c r="GL8" s="23">
        <f>EXP(-LN(2)/35)*GL7+(1-EXP(-LN(2)/35))/(LN(2)/35)*GH8*GI8*VLOOKUP('Données projet'!$B$9,Paramètres!$A$1:$I$88,3,0)*0.475*44/12</f>
        <v>0</v>
      </c>
      <c r="GM8" s="23">
        <f>EXP(-LN(2)/25)*GM7+(1-EXP(-LN(2)/25))/(LN(2)/25)*Calculateur!GH8*Calculateur!GJ8*VLOOKUP('Données projet'!$B$9,Paramètres!$A$1:$I$88,3,0)*0.475*44/12</f>
        <v>0</v>
      </c>
      <c r="GN8" s="23">
        <f>EXP(-LN(2)/2)*GN7+(1-EXP(-LN(2)/2))/(LN(2)/2)*GH8*GK8*VLOOKUP('Données projet'!$B$9,Paramètres!$A$1:$I$88,3,0)*0.475*44/12</f>
        <v>0</v>
      </c>
      <c r="GO8" s="23">
        <f t="shared" si="36"/>
        <v>0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IF(A8&lt;'Données projet'!$A$270,$GR$205^A8,IF(A8='Données projet'!$A$270,'Données projet'!$B$270,GU7+GT8-HC7))</f>
        <v>0</v>
      </c>
      <c r="GV8" s="18" t="e">
        <f>GU8*VLOOKUP('Données projet'!$B$18,Paramètres!$A$1:$I$88,3,0)*VLOOKUP('Données projet'!$B$18,Paramètres!$A$1:$I$88,5,0)</f>
        <v>#N/A</v>
      </c>
      <c r="GW8" s="14" t="e">
        <f t="shared" si="52"/>
        <v>#N/A</v>
      </c>
      <c r="GX8" s="22" t="e">
        <f t="shared" si="37"/>
        <v>#N/A</v>
      </c>
      <c r="GY8" s="62" t="e">
        <f t="shared" si="38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39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projet'!$B$18,Paramètres!$A$1:$I$88,7,0))</f>
        <v>0</v>
      </c>
      <c r="HE8" s="17">
        <f>IF(ISNA(VLOOKUP(A8,'Données projet'!$A$269:$I$289,6,0)),0%,VLOOKUP(A8,'Données projet'!$A$269:$I$289,6,0)*VLOOKUP('Données projet'!$B$18,Paramètres!$A$1:$I$88,7,0))</f>
        <v>0</v>
      </c>
      <c r="HF8" s="17">
        <f>IF(ISNA(VLOOKUP(A8,'Données projet'!$A$269:$I$289,7,0)),0%,VLOOKUP(A8,'Données projet'!$A$269:$I$289,7,0))</f>
        <v>0</v>
      </c>
      <c r="HG8" s="23">
        <f>EXP(-LN(2)/35)*HG7+(1-EXP(-LN(2)/35))/(LN(2)/35)*HC8*HD8*VLOOKUP('Données projet'!$B$9,Paramètres!$A$1:$I$88,3,0)*0.475*44/12</f>
        <v>0</v>
      </c>
      <c r="HH8" s="23">
        <f>EXP(-LN(2)/25)*HH7+(1-EXP(-LN(2)/25))/(LN(2)/25)*Calculateur!HC8*Calculateur!HE8*VLOOKUP('Données projet'!$B$9,Paramètres!$A$1:$I$88,3,0)*0.475*44/12</f>
        <v>0</v>
      </c>
      <c r="HI8" s="23">
        <f>EXP(-LN(2)/2)*HI7+(1-EXP(-LN(2)/2))/(LN(2)/2)*HC8*HF8*VLOOKUP('Données projet'!$B$9,Paramètres!$A$1:$I$88,3,0)*0.475*44/12</f>
        <v>0</v>
      </c>
      <c r="HJ8" s="24">
        <f t="shared" si="40"/>
        <v>0</v>
      </c>
    </row>
    <row r="9" spans="1:218" s="5" customFormat="1" x14ac:dyDescent="0.25">
      <c r="A9" s="11">
        <f t="shared" si="4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" s="12">
        <f t="shared" si="4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135.66666666666666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1.5341666666666667</v>
      </c>
      <c r="N9" s="14">
        <f>IF(A9&lt;'Données projet'!$A$36,$K$205^A9,IF(A9='Données projet'!$A$36,'Données projet'!$B$36,N8+M9-V8))</f>
        <v>5.1466368528443578</v>
      </c>
      <c r="O9" s="14">
        <f>N9*VLOOKUP('Données projet'!$B$9,Paramètres!$A$1:$I$88,3,0)*VLOOKUP('Données projet'!$B$9,Paramètres!$A$1:$I$88,5,0)</f>
        <v>5.9289256544766999</v>
      </c>
      <c r="P9" s="14">
        <f t="shared" si="43"/>
        <v>2.2210261019715896</v>
      </c>
      <c r="Q9" s="22">
        <f t="shared" si="2"/>
        <v>14.194499309147433</v>
      </c>
      <c r="R9" s="62">
        <f t="shared" si="0"/>
        <v>152.7492824954611</v>
      </c>
      <c r="S9" s="62">
        <f ca="1">AVERAGE(OFFSET($R$3,0,0,'Données projet'!$E$9+1,1))-AVERAGE(OFFSET($H$3,0,0,'Données projet'!$E$9+1,1))</f>
        <v>314.72063458462026</v>
      </c>
      <c r="T9" s="62">
        <f t="shared" si="3"/>
        <v>216.4380325968244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projet'!$B$9,Paramètres!$A$1:$I$88,7,0))</f>
        <v>0</v>
      </c>
      <c r="X9" s="17">
        <f>IF(ISNA(VLOOKUP(A9,'Données projet'!$A$35:$I$55,6,0)),0%,VLOOKUP(A9,'Données projet'!$A$35:$I$55,6,0)*VLOOKUP('Données projet'!$B$9,Paramètres!$A$1:$I$88,7,0))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projet'!$B$9,Paramètres!$A$1:$I$88,3,0)*0.475*44/12</f>
        <v>0</v>
      </c>
      <c r="AA9" s="23">
        <f>EXP(-LN(2)/25)*AA8+(1-EXP(-LN(2)/25))/(LN(2)/25)*Calculateur!V9*Calculateur!X9*VLOOKUP('Données projet'!$B$9,Paramètres!$A$1:$I$88,3,0)*0.475*44/12</f>
        <v>0</v>
      </c>
      <c r="AB9" s="23">
        <f>EXP(-LN(2)/2)*AB8+(1-EXP(-LN(2)/2))/(LN(2)/2)*V9*Y9*VLOOKUP('Données projet'!$B$9,Paramètres!$A$1:$I$88,3,0)*0.475*44/12</f>
        <v>0</v>
      </c>
      <c r="AC9" s="24">
        <f t="shared" si="4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2</v>
      </c>
      <c r="AI9" s="14">
        <f>IF(A9&lt;'Données projet'!$A$62,$AF$205^A9,IF(A9='Données projet'!$A$62,'Données projet'!$B$62,AI8+AH9-AQ8))</f>
        <v>2.557129962811556</v>
      </c>
      <c r="AJ9" s="14">
        <f>AI9*VLOOKUP('Données projet'!$B$10,Paramètres!$A$1:$I$88,3,0)*VLOOKUP('Données projet'!$B$10,Paramètres!$A$1:$I$88,5,0)</f>
        <v>2.6727122371306389</v>
      </c>
      <c r="AK9" s="14">
        <f t="shared" si="44"/>
        <v>1.0985176284322218</v>
      </c>
      <c r="AL9" s="22">
        <f t="shared" si="5"/>
        <v>6.5682253491886478</v>
      </c>
      <c r="AM9" s="62">
        <f t="shared" si="6"/>
        <v>145.12300853550232</v>
      </c>
      <c r="AN9" s="62">
        <f ca="1">AVERAGE(OFFSET($AM$3,0,0,'Données projet'!$E$10+1,1))-AVERAGE(OFFSET($H$3,0,0,'Données projet'!$E$10+1,1))</f>
        <v>458.33072853676879</v>
      </c>
      <c r="AO9" s="62">
        <f t="shared" si="7"/>
        <v>254.1734169352687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projet'!$B$10,Paramètres!$A$1:$I$88,7,0))</f>
        <v>0</v>
      </c>
      <c r="AS9" s="17">
        <f>IF(ISNA(VLOOKUP(A9,'Données projet'!$A$61:$I$81,6,0)),0%,VLOOKUP(A9,'Données projet'!$A$61:$I$81,6,0)*VLOOKUP('Données projet'!$B$10,Paramètres!$A$1:$I$88,7,0))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projet'!$B$9,Paramètres!$A$1:$I$88,3,0)*0.475*44/12</f>
        <v>0</v>
      </c>
      <c r="AV9" s="23">
        <f>EXP(-LN(2)/25)*AV8+(1-EXP(-LN(2)/25))/(LN(2)/25)*Calculateur!AQ9*Calculateur!AS9*VLOOKUP('Données projet'!$B$9,Paramètres!$A$1:$I$88,3,0)*0.475*44/12</f>
        <v>0</v>
      </c>
      <c r="AW9" s="23">
        <f>EXP(-LN(2)/2)*AW8+(1-EXP(-LN(2)/2))/(LN(2)/2)*AQ9*AT9*VLOOKUP('Données projet'!$B$9,Paramètres!$A$1:$I$88,3,0)*0.475*44/12</f>
        <v>0</v>
      </c>
      <c r="AX9" s="23">
        <f t="shared" si="8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2</v>
      </c>
      <c r="BD9" s="13">
        <f>IF(A9&lt;'Données projet'!$A$88,$BA$205^A9,IF(A9='Données projet'!$A$88,'Données projet'!$B$88,BD8+BC9-BL8))</f>
        <v>2.557129962811556</v>
      </c>
      <c r="BE9" s="14">
        <f>BD9*VLOOKUP('Données projet'!$B$11,Paramètres!$A$1:$I$88,3,0)*VLOOKUP('Données projet'!$B$11,Paramètres!$A$1:$I$88,5,0)</f>
        <v>2.5929297822909176</v>
      </c>
      <c r="BF9" s="14">
        <f t="shared" si="45"/>
        <v>1.0694920901036251</v>
      </c>
      <c r="BG9" s="22">
        <f t="shared" si="9"/>
        <v>6.3787180944204946</v>
      </c>
      <c r="BH9" s="62">
        <f t="shared" si="10"/>
        <v>144.93350128073416</v>
      </c>
      <c r="BI9" s="62">
        <f ca="1">AVERAGE(OFFSET($BH$3,0,0,'Données projet'!$E$11+1,1))-AVERAGE(OFFSET($H$3,0,0,'Données projet'!$E$11+1,1))</f>
        <v>447.82618173893104</v>
      </c>
      <c r="BJ9" s="62">
        <f t="shared" si="11"/>
        <v>248.96509970783379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projet'!$B$11,Paramètres!$A$1:$I$88,7,0))</f>
        <v>0</v>
      </c>
      <c r="BN9" s="17">
        <f>IF(ISNA(VLOOKUP(A9,'Données projet'!$A$87:$I$107,6,0)),0%,VLOOKUP(A9,'Données projet'!$A$87:$I$107,6,0)*VLOOKUP('Données projet'!$B$11,Paramètres!$A$1:$I$88,7,0))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projet'!$B$9,Paramètres!$A$1:$I$88,3,0)*0.475*44/12</f>
        <v>0</v>
      </c>
      <c r="BQ9" s="23">
        <f>EXP(-LN(2)/25)*BQ8+(1-EXP(-LN(2)/25))/(LN(2)/25)*Calculateur!BL9*Calculateur!BN9*VLOOKUP('Données projet'!$B$9,Paramètres!$A$1:$I$88,3,0)*0.475*44/12</f>
        <v>0</v>
      </c>
      <c r="BR9" s="23">
        <f>EXP(-LN(2)/2)*BR8+(1-EXP(-LN(2)/2))/(LN(2)/2)*BL9*BO9*VLOOKUP('Données projet'!$B$9,Paramètres!$A$1:$I$88,3,0)*0.475*44/12</f>
        <v>0</v>
      </c>
      <c r="BS9" s="24">
        <f t="shared" si="12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2</v>
      </c>
      <c r="BY9" s="13">
        <f>IF(A9&lt;'Données projet'!$A$114,$BV$205^A9,IF(A9='Données projet'!$A$114,'Données projet'!$B$114,BY8+BX9-CG8))</f>
        <v>2.557129962811556</v>
      </c>
      <c r="BZ9" s="14">
        <f>BY9*VLOOKUP('Données projet'!$B$12,Paramètres!$A$1:$I$88,3,0)*VLOOKUP('Données projet'!$B$12,Paramètres!$A$1:$I$88,5,0)</f>
        <v>2.7524946919703588</v>
      </c>
      <c r="CA9" s="14">
        <f t="shared" si="46"/>
        <v>1.1274424730555095</v>
      </c>
      <c r="CB9" s="22">
        <f t="shared" si="13"/>
        <v>6.7575572290867214</v>
      </c>
      <c r="CC9" s="62">
        <f t="shared" si="14"/>
        <v>145.3123404154004</v>
      </c>
      <c r="CD9" s="62">
        <f ca="1">AVERAGE(OFFSET($CC$3,0,0,'Données projet'!$E$12+1,1))-AVERAGE(OFFSET($H$3,0,0,'Données projet'!$E$12+1,1))</f>
        <v>468.82871618425406</v>
      </c>
      <c r="CE9" s="62">
        <f t="shared" si="15"/>
        <v>259.37818128554397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projet'!$B$12,Paramètres!$A$1:$I$88,7,0))</f>
        <v>0</v>
      </c>
      <c r="CI9" s="17">
        <f>IF(ISNA(VLOOKUP(A9,'Données projet'!$A$113:$I$133,6,0)),0%,VLOOKUP(A9,'Données projet'!$A$113:$I$133,6,0)*VLOOKUP('Données projet'!$B$12,Paramètres!$A$1:$I$88,7,0))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projet'!$B$9,Paramètres!$A$1:$I$88,3,0)*0.475*44/12</f>
        <v>0</v>
      </c>
      <c r="CL9" s="23">
        <f>EXP(-LN(2)/25)*CL8+(1-EXP(-LN(2)/25))/(LN(2)/25)*Calculateur!CG9*Calculateur!CI9*VLOOKUP('Données projet'!$B$9,Paramètres!$A$1:$I$88,3,0)*0.475*44/12</f>
        <v>0</v>
      </c>
      <c r="CM9" s="23">
        <f>EXP(-LN(2)/2)*CM8+(1-EXP(-LN(2)/2))/(LN(2)/2)*CG9*CJ9*VLOOKUP('Données projet'!$B$9,Paramètres!$A$1:$I$88,3,0)*0.475*44/12</f>
        <v>0</v>
      </c>
      <c r="CN9" s="24">
        <f t="shared" si="16"/>
        <v>0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2</v>
      </c>
      <c r="CT9" s="13">
        <f>IF(A9&lt;'Données projet'!$A$140,$CQ$205^A9,IF(A9='Données projet'!$A$140,'Données projet'!$B$140,CT8+CS9-DB8))</f>
        <v>2.557129962811556</v>
      </c>
      <c r="CU9" s="18">
        <f>CT9*VLOOKUP('Données projet'!$B$13,Paramètres!$A$1:$I$88,3,0)*VLOOKUP('Données projet'!$B$13,Paramètres!$A$1:$I$88,5,0)</f>
        <v>2.1940175080923154</v>
      </c>
      <c r="CV9" s="14">
        <f t="shared" si="47"/>
        <v>0.9227239801955337</v>
      </c>
      <c r="CW9" s="22">
        <f t="shared" si="17"/>
        <v>5.4283247587680039</v>
      </c>
      <c r="CX9" s="62">
        <f t="shared" si="18"/>
        <v>143.98310794508168</v>
      </c>
      <c r="CY9" s="62">
        <f ca="1">AVERAGE(OFFSET($CX$3,0,0,'Données projet'!$E$13+1,1))-AVERAGE(OFFSET($H$3,0,0,'Données projet'!$E$13+1,1))</f>
        <v>395.19659151668884</v>
      </c>
      <c r="CZ9" s="62">
        <f t="shared" si="19"/>
        <v>222.86563304507339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projet'!$B$13,Paramètres!$A$1:$I$88,7,0))</f>
        <v>0</v>
      </c>
      <c r="DD9" s="17">
        <f>IF(ISNA(VLOOKUP(A9,'Données projet'!$A$139:$I$159,6,0)),0%,VLOOKUP(A9,'Données projet'!$A$139:$I$159,6,0)*VLOOKUP('Données projet'!$B$13,Paramètres!$A$1:$I$88,7,0))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projet'!$B$9,Paramètres!$A$1:$I$88,3,0)*0.475*44/12</f>
        <v>0</v>
      </c>
      <c r="DG9" s="23">
        <f>EXP(-LN(2)/25)*DG8+(1-EXP(-LN(2)/25))/(LN(2)/25)*Calculateur!DB9*Calculateur!DD9*VLOOKUP('Données projet'!$B$9,Paramètres!$A$1:$I$88,3,0)*0.475*44/12</f>
        <v>0</v>
      </c>
      <c r="DH9" s="23">
        <f>EXP(-LN(2)/2)*DH8+(1-EXP(-LN(2)/2))/(LN(2)/2)*DB9*DE9*VLOOKUP('Données projet'!$B$9,Paramètres!$A$1:$I$88,3,0)*0.475*44/12</f>
        <v>0</v>
      </c>
      <c r="DI9" s="24">
        <f t="shared" si="20"/>
        <v>0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2.2749999999999999</v>
      </c>
      <c r="DO9" s="13">
        <f>IF(A9&lt;'Données projet'!$A$166,$DL$205^A9,IF(A9='Données projet'!$A$166,'Données projet'!$B$166,DO8+DN9-DW8))</f>
        <v>1.9672348474029142</v>
      </c>
      <c r="DP9" s="18">
        <f>DO9*VLOOKUP('Données projet'!$B$14,Paramètres!$A$1:$I$88,3,0)*VLOOKUP('Données projet'!$B$14,Paramètres!$A$1:$I$88,5,0)</f>
        <v>1.1508323857307048</v>
      </c>
      <c r="DQ9" s="14">
        <f t="shared" si="48"/>
        <v>0.52174985167902954</v>
      </c>
      <c r="DR9" s="22">
        <f t="shared" si="21"/>
        <v>2.9130807301552868</v>
      </c>
      <c r="DS9" s="62">
        <f t="shared" si="22"/>
        <v>141.46786391646896</v>
      </c>
      <c r="DT9" s="62">
        <f ca="1">AVERAGE(OFFSET($DS$3,0,0,'Données projet'!$E$14+1,1))-AVERAGE(OFFSET($H$3,0,0,'Données projet'!$E$14+1,1))</f>
        <v>155.18073137151848</v>
      </c>
      <c r="DU9" s="62">
        <f t="shared" si="23"/>
        <v>115.19459155667272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projet'!$B$14,Paramètres!$A$1:$I$88,7,0))</f>
        <v>0</v>
      </c>
      <c r="DY9" s="17">
        <f>IF(ISNA(VLOOKUP(A9,'Données projet'!$A$165:$I$185,6,0)),0%,VLOOKUP(A9,'Données projet'!$A$165:$I$185,6,0)*VLOOKUP('Données projet'!$B$14,Paramètres!$A$1:$I$88,7,0))</f>
        <v>0</v>
      </c>
      <c r="DZ9" s="17">
        <f>IF(ISNA(VLOOKUP(A9,'Données projet'!$A$165:$I$185,7,0)),0%,VLOOKUP(A9,'Données projet'!$A$165:$I$185,7,0))</f>
        <v>0</v>
      </c>
      <c r="EA9" s="23">
        <f>EXP(-LN(2)/35)*EA8+(1-EXP(-LN(2)/35))/(LN(2)/35)*DW9*DX9*VLOOKUP('Données projet'!$B$9,Paramètres!$A$1:$I$88,3,0)*0.475*44/12</f>
        <v>0</v>
      </c>
      <c r="EB9" s="23">
        <f>EXP(-LN(2)/25)*EB8+(1-EXP(-LN(2)/25))/(LN(2)/25)*Calculateur!DW9*Calculateur!DY9*VLOOKUP('Données projet'!$B$9,Paramètres!$A$1:$I$88,3,0)*0.475*44/12</f>
        <v>0</v>
      </c>
      <c r="EC9" s="23">
        <f>EXP(-LN(2)/2)*EC8+(1-EXP(-LN(2)/2))/(LN(2)/2)*DW9*DZ9*VLOOKUP('Données projet'!$B$9,Paramètres!$A$1:$I$88,3,0)*0.475*44/12</f>
        <v>0</v>
      </c>
      <c r="ED9" s="24">
        <f t="shared" si="24"/>
        <v>0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3.25</v>
      </c>
      <c r="EJ9" s="13">
        <f>IF(A9&lt;'Données projet'!$A$192,$EG$205^A9,IF(A9='Données projet'!$A$192,'Données projet'!$B$192,EJ8+EI9-ER8))</f>
        <v>1.6943513036291484</v>
      </c>
      <c r="EK9" s="18">
        <f>EJ9*VLOOKUP('Données projet'!$B$15,Paramètres!$A$1:$I$88,3,0)*VLOOKUP('Données projet'!$B$15,Paramètres!$A$1:$I$88,5,0)</f>
        <v>0.79295641009844153</v>
      </c>
      <c r="EL9" s="14">
        <f t="shared" si="49"/>
        <v>0.37542981454665886</v>
      </c>
      <c r="EM9" s="22">
        <f t="shared" si="25"/>
        <v>2.0349393412568832</v>
      </c>
      <c r="EN9" s="62">
        <f t="shared" si="26"/>
        <v>140.58972252757056</v>
      </c>
      <c r="EO9" s="62">
        <f ca="1">AVERAGE(OFFSET($EN$3,0,0,'Données projet'!$E$15+1,1))-AVERAGE(OFFSET($H$3,0,0,'Données projet'!$E$15+1,1))</f>
        <v>238.59014604384171</v>
      </c>
      <c r="EP9" s="62">
        <f t="shared" si="27"/>
        <v>90.841373219575217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projet'!$B$15,Paramètres!$A$1:$I$88,7,0))</f>
        <v>0</v>
      </c>
      <c r="ET9" s="17">
        <f>IF(ISNA(VLOOKUP(A9,'Données projet'!$A$191:$I$211,6,0)),0%,VLOOKUP(A9,'Données projet'!$A$191:$I$211,6,0)*VLOOKUP('Données projet'!$B$15,Paramètres!$A$1:$I$88,7,0))</f>
        <v>0</v>
      </c>
      <c r="EU9" s="17">
        <f>IF(ISNA(VLOOKUP(A9,'Données projet'!$A$191:$I$211,7,0)),0%,VLOOKUP(A9,'Données projet'!$A$191:$I$211,7,0))</f>
        <v>0</v>
      </c>
      <c r="EV9" s="23">
        <f>EXP(-LN(2)/35)*EV8+(1-EXP(-LN(2)/35))/(LN(2)/35)*ER9*ES9*VLOOKUP('Données projet'!$B$9,Paramètres!$A$1:$I$88,3,0)*0.475*44/12</f>
        <v>0</v>
      </c>
      <c r="EW9" s="23">
        <f>EXP(-LN(2)/25)*EW8+(1-EXP(-LN(2)/25))/(LN(2)/25)*Calculateur!ER9*Calculateur!ET9*VLOOKUP('Données projet'!$B$9,Paramètres!$A$1:$I$88,3,0)*0.475*44/12</f>
        <v>0</v>
      </c>
      <c r="EX9" s="23">
        <f>EXP(-LN(2)/2)*EX8+(1-EXP(-LN(2)/2))/(LN(2)/2)*ER9*EU9*VLOOKUP('Données projet'!$B$9,Paramètres!$A$1:$I$88,3,0)*0.475*44/12</f>
        <v>0</v>
      </c>
      <c r="EY9" s="24">
        <f t="shared" si="28"/>
        <v>0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IF(A9&lt;'Données projet'!$A$218,$FB$205^A9,IF(A9='Données projet'!$A$218,'Données projet'!$B$218,FE8+FD9-FM8))</f>
        <v>0</v>
      </c>
      <c r="FF9" s="18" t="e">
        <f>FE9*VLOOKUP('Données projet'!$B$16,Paramètres!$A$1:$I$88,3,0)*VLOOKUP('Données projet'!$B$16,Paramètres!$A$1:$I$88,5,0)</f>
        <v>#N/A</v>
      </c>
      <c r="FG9" s="14" t="e">
        <f t="shared" si="50"/>
        <v>#N/A</v>
      </c>
      <c r="FH9" s="22" t="e">
        <f t="shared" si="29"/>
        <v>#N/A</v>
      </c>
      <c r="FI9" s="62" t="e">
        <f t="shared" si="30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31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projet'!$B$16,Paramètres!$A$1:$I$88,7,0))</f>
        <v>0</v>
      </c>
      <c r="FO9" s="17">
        <f>IF(ISNA(VLOOKUP(A9,'Données projet'!$A$217:$I$237,6,0)),0%,VLOOKUP(A9,'Données projet'!$A$217:$I$237,6,0)*VLOOKUP('Données projet'!$B$16,Paramètres!$A$1:$I$88,7,0))</f>
        <v>0</v>
      </c>
      <c r="FP9" s="17">
        <f>IF(ISNA(VLOOKUP(A9,'Données projet'!$A$217:$I$237,7,0)),0%,VLOOKUP(A9,'Données projet'!$A$217:$I$237,7,0))</f>
        <v>0</v>
      </c>
      <c r="FQ9" s="23">
        <f>EXP(-LN(2)/35)*FQ8+(1-EXP(-LN(2)/35))/(LN(2)/35)*FM9*FN9*VLOOKUP('Données projet'!$B$9,Paramètres!$A$1:$I$88,3,0)*0.475*44/12</f>
        <v>0</v>
      </c>
      <c r="FR9" s="23">
        <f>EXP(-LN(2)/25)*FR8+(1-EXP(-LN(2)/25))/(LN(2)/25)*Calculateur!FM9*Calculateur!FO9*VLOOKUP('Données projet'!$B$9,Paramètres!$A$1:$I$88,3,0)*0.475*44/12</f>
        <v>0</v>
      </c>
      <c r="FS9" s="23">
        <f>EXP(-LN(2)/2)*FS8+(1-EXP(-LN(2)/2))/(LN(2)/2)*FM9*FP9*VLOOKUP('Données projet'!$B$9,Paramètres!$A$1:$I$88,3,0)*0.475*44/12</f>
        <v>0</v>
      </c>
      <c r="FT9" s="24">
        <f t="shared" si="32"/>
        <v>0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IF(A9&lt;'Données projet'!$A$244,$FW$205^A9,IF(A9='Données projet'!$A$244,'Données projet'!$B$244,FZ8+FY9-GH8))</f>
        <v>0</v>
      </c>
      <c r="GA9" s="18" t="e">
        <f>FZ9*VLOOKUP('Données projet'!$B$17,Paramètres!$A$1:$I$88,3,0)*VLOOKUP('Données projet'!$B$17,Paramètres!$A$1:$I$88,5,0)</f>
        <v>#N/A</v>
      </c>
      <c r="GB9" s="14" t="e">
        <f t="shared" si="51"/>
        <v>#N/A</v>
      </c>
      <c r="GC9" s="22" t="e">
        <f t="shared" si="33"/>
        <v>#N/A</v>
      </c>
      <c r="GD9" s="62" t="e">
        <f t="shared" si="34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35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projet'!$B$17,Paramètres!$A$1:$I$88,7,0))</f>
        <v>0</v>
      </c>
      <c r="GJ9" s="17">
        <f>IF(ISNA(VLOOKUP(A9,'Données projet'!$A$243:$I$263,6,0)),0%,VLOOKUP(A9,'Données projet'!$A$243:$I$263,6,0)*VLOOKUP('Données projet'!$B$17,Paramètres!$A$1:$I$88,7,0))</f>
        <v>0</v>
      </c>
      <c r="GK9" s="17">
        <f>IF(ISNA(VLOOKUP(A9,'Données projet'!$A$243:$I$263,7,0)),0%,VLOOKUP(A9,'Données projet'!$A$243:$I$263,7,0))</f>
        <v>0</v>
      </c>
      <c r="GL9" s="23">
        <f>EXP(-LN(2)/35)*GL8+(1-EXP(-LN(2)/35))/(LN(2)/35)*GH9*GI9*VLOOKUP('Données projet'!$B$9,Paramètres!$A$1:$I$88,3,0)*0.475*44/12</f>
        <v>0</v>
      </c>
      <c r="GM9" s="23">
        <f>EXP(-LN(2)/25)*GM8+(1-EXP(-LN(2)/25))/(LN(2)/25)*Calculateur!GH9*Calculateur!GJ9*VLOOKUP('Données projet'!$B$9,Paramètres!$A$1:$I$88,3,0)*0.475*44/12</f>
        <v>0</v>
      </c>
      <c r="GN9" s="23">
        <f>EXP(-LN(2)/2)*GN8+(1-EXP(-LN(2)/2))/(LN(2)/2)*GH9*GK9*VLOOKUP('Données projet'!$B$9,Paramètres!$A$1:$I$88,3,0)*0.475*44/12</f>
        <v>0</v>
      </c>
      <c r="GO9" s="23">
        <f t="shared" si="36"/>
        <v>0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IF(A9&lt;'Données projet'!$A$270,$GR$205^A9,IF(A9='Données projet'!$A$270,'Données projet'!$B$270,GU8+GT9-HC8))</f>
        <v>0</v>
      </c>
      <c r="GV9" s="18" t="e">
        <f>GU9*VLOOKUP('Données projet'!$B$18,Paramètres!$A$1:$I$88,3,0)*VLOOKUP('Données projet'!$B$18,Paramètres!$A$1:$I$88,5,0)</f>
        <v>#N/A</v>
      </c>
      <c r="GW9" s="14" t="e">
        <f t="shared" si="52"/>
        <v>#N/A</v>
      </c>
      <c r="GX9" s="22" t="e">
        <f t="shared" si="37"/>
        <v>#N/A</v>
      </c>
      <c r="GY9" s="62" t="e">
        <f t="shared" si="38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39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projet'!$B$18,Paramètres!$A$1:$I$88,7,0))</f>
        <v>0</v>
      </c>
      <c r="HE9" s="17">
        <f>IF(ISNA(VLOOKUP(A9,'Données projet'!$A$269:$I$289,6,0)),0%,VLOOKUP(A9,'Données projet'!$A$269:$I$289,6,0)*VLOOKUP('Données projet'!$B$18,Paramètres!$A$1:$I$88,7,0))</f>
        <v>0</v>
      </c>
      <c r="HF9" s="17">
        <f>IF(ISNA(VLOOKUP(A9,'Données projet'!$A$269:$I$289,7,0)),0%,VLOOKUP(A9,'Données projet'!$A$269:$I$289,7,0))</f>
        <v>0</v>
      </c>
      <c r="HG9" s="23">
        <f>EXP(-LN(2)/35)*HG8+(1-EXP(-LN(2)/35))/(LN(2)/35)*HC9*HD9*VLOOKUP('Données projet'!$B$9,Paramètres!$A$1:$I$88,3,0)*0.475*44/12</f>
        <v>0</v>
      </c>
      <c r="HH9" s="23">
        <f>EXP(-LN(2)/25)*HH8+(1-EXP(-LN(2)/25))/(LN(2)/25)*Calculateur!HC9*Calculateur!HE9*VLOOKUP('Données projet'!$B$9,Paramètres!$A$1:$I$88,3,0)*0.475*44/12</f>
        <v>0</v>
      </c>
      <c r="HI9" s="23">
        <f>EXP(-LN(2)/2)*HI8+(1-EXP(-LN(2)/2))/(LN(2)/2)*HC9*HF9*VLOOKUP('Données projet'!$B$9,Paramètres!$A$1:$I$88,3,0)*0.475*44/12</f>
        <v>0</v>
      </c>
      <c r="HJ9" s="24">
        <f t="shared" si="40"/>
        <v>0</v>
      </c>
    </row>
    <row r="10" spans="1:218" s="5" customFormat="1" x14ac:dyDescent="0.25">
      <c r="A10" s="11">
        <f t="shared" si="4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" s="12">
        <f t="shared" si="4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135.66666666666666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1.5341666666666667</v>
      </c>
      <c r="N10" s="14">
        <f>IF(A10&lt;'Données projet'!$A$36,$K$205^A10,IF(A10='Données projet'!$A$36,'Données projet'!$B$36,N9+M10-V9))</f>
        <v>6.7625545245201764</v>
      </c>
      <c r="O10" s="14">
        <f>N10*VLOOKUP('Données projet'!$B$9,Paramètres!$A$1:$I$88,3,0)*VLOOKUP('Données projet'!$B$9,Paramètres!$A$1:$I$88,5,0)</f>
        <v>7.7904628122472417</v>
      </c>
      <c r="P10" s="14">
        <f t="shared" si="43"/>
        <v>2.8270751967810739</v>
      </c>
      <c r="Q10" s="22">
        <f t="shared" si="2"/>
        <v>18.492212032390984</v>
      </c>
      <c r="R10" s="62">
        <f t="shared" si="0"/>
        <v>160.44541149915452</v>
      </c>
      <c r="S10" s="62">
        <f ca="1">AVERAGE(OFFSET($R$3,0,0,'Données projet'!$E$9+1,1))-AVERAGE(OFFSET($H$3,0,0,'Données projet'!$E$9+1,1))</f>
        <v>314.72063458462026</v>
      </c>
      <c r="T10" s="62">
        <f t="shared" si="3"/>
        <v>216.4380325968244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projet'!$B$9,Paramètres!$A$1:$I$88,7,0))</f>
        <v>0</v>
      </c>
      <c r="X10" s="17">
        <f>IF(ISNA(VLOOKUP(A10,'Données projet'!$A$35:$I$55,6,0)),0%,VLOOKUP(A10,'Données projet'!$A$35:$I$55,6,0)*VLOOKUP('Données projet'!$B$9,Paramètres!$A$1:$I$88,7,0))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projet'!$B$9,Paramètres!$A$1:$I$88,3,0)*0.475*44/12</f>
        <v>0</v>
      </c>
      <c r="AA10" s="23">
        <f>EXP(-LN(2)/25)*AA9+(1-EXP(-LN(2)/25))/(LN(2)/25)*Calculateur!V10*Calculateur!X10*VLOOKUP('Données projet'!$B$9,Paramètres!$A$1:$I$88,3,0)*0.475*44/12</f>
        <v>0</v>
      </c>
      <c r="AB10" s="23">
        <f>EXP(-LN(2)/2)*AB9+(1-EXP(-LN(2)/2))/(LN(2)/2)*V10*Y10*VLOOKUP('Données projet'!$B$9,Paramètres!$A$1:$I$88,3,0)*0.475*44/12</f>
        <v>0</v>
      </c>
      <c r="AC10" s="24">
        <f t="shared" si="4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2</v>
      </c>
      <c r="AI10" s="14">
        <f>IF(A10&lt;'Données projet'!$A$62,$AF$205^A10,IF(A10='Données projet'!$A$62,'Données projet'!$B$62,AI9+AH10-AQ9))</f>
        <v>2.9902782447563934</v>
      </c>
      <c r="AJ10" s="14">
        <f>AI10*VLOOKUP('Données projet'!$B$10,Paramètres!$A$1:$I$88,3,0)*VLOOKUP('Données projet'!$B$10,Paramètres!$A$1:$I$88,5,0)</f>
        <v>3.1254388214193827</v>
      </c>
      <c r="AK10" s="14">
        <f t="shared" si="44"/>
        <v>1.2614075511426155</v>
      </c>
      <c r="AL10" s="22">
        <f t="shared" si="5"/>
        <v>7.6404240988788139</v>
      </c>
      <c r="AM10" s="62">
        <f t="shared" si="6"/>
        <v>149.59362356564233</v>
      </c>
      <c r="AN10" s="62">
        <f ca="1">AVERAGE(OFFSET($AM$3,0,0,'Données projet'!$E$10+1,1))-AVERAGE(OFFSET($H$3,0,0,'Données projet'!$E$10+1,1))</f>
        <v>458.33072853676879</v>
      </c>
      <c r="AO10" s="62">
        <f t="shared" si="7"/>
        <v>254.1734169352687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projet'!$B$10,Paramètres!$A$1:$I$88,7,0))</f>
        <v>0</v>
      </c>
      <c r="AS10" s="17">
        <f>IF(ISNA(VLOOKUP(A10,'Données projet'!$A$61:$I$81,6,0)),0%,VLOOKUP(A10,'Données projet'!$A$61:$I$81,6,0)*VLOOKUP('Données projet'!$B$10,Paramètres!$A$1:$I$88,7,0))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projet'!$B$9,Paramètres!$A$1:$I$88,3,0)*0.475*44/12</f>
        <v>0</v>
      </c>
      <c r="AV10" s="23">
        <f>EXP(-LN(2)/25)*AV9+(1-EXP(-LN(2)/25))/(LN(2)/25)*Calculateur!AQ10*Calculateur!AS10*VLOOKUP('Données projet'!$B$9,Paramètres!$A$1:$I$88,3,0)*0.475*44/12</f>
        <v>0</v>
      </c>
      <c r="AW10" s="23">
        <f>EXP(-LN(2)/2)*AW9+(1-EXP(-LN(2)/2))/(LN(2)/2)*AQ10*AT10*VLOOKUP('Données projet'!$B$9,Paramètres!$A$1:$I$88,3,0)*0.475*44/12</f>
        <v>0</v>
      </c>
      <c r="AX10" s="23">
        <f t="shared" si="8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2</v>
      </c>
      <c r="BD10" s="13">
        <f>IF(A10&lt;'Données projet'!$A$88,$BA$205^A10,IF(A10='Données projet'!$A$88,'Données projet'!$B$88,BD9+BC10-BL9))</f>
        <v>2.9902782447563934</v>
      </c>
      <c r="BE10" s="14">
        <f>BD10*VLOOKUP('Données projet'!$B$11,Paramètres!$A$1:$I$88,3,0)*VLOOKUP('Données projet'!$B$11,Paramètres!$A$1:$I$88,5,0)</f>
        <v>3.0321421401829829</v>
      </c>
      <c r="BF10" s="14">
        <f t="shared" si="45"/>
        <v>1.2280780603123915</v>
      </c>
      <c r="BG10" s="22">
        <f t="shared" si="9"/>
        <v>7.4198835158627761</v>
      </c>
      <c r="BH10" s="62">
        <f t="shared" si="10"/>
        <v>149.3730829826263</v>
      </c>
      <c r="BI10" s="62">
        <f ca="1">AVERAGE(OFFSET($BH$3,0,0,'Données projet'!$E$11+1,1))-AVERAGE(OFFSET($H$3,0,0,'Données projet'!$E$11+1,1))</f>
        <v>447.82618173893104</v>
      </c>
      <c r="BJ10" s="62">
        <f t="shared" si="11"/>
        <v>248.96509970783379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projet'!$B$11,Paramètres!$A$1:$I$88,7,0))</f>
        <v>0</v>
      </c>
      <c r="BN10" s="17">
        <f>IF(ISNA(VLOOKUP(A10,'Données projet'!$A$87:$I$107,6,0)),0%,VLOOKUP(A10,'Données projet'!$A$87:$I$107,6,0)*VLOOKUP('Données projet'!$B$11,Paramètres!$A$1:$I$88,7,0))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projet'!$B$9,Paramètres!$A$1:$I$88,3,0)*0.475*44/12</f>
        <v>0</v>
      </c>
      <c r="BQ10" s="23">
        <f>EXP(-LN(2)/25)*BQ9+(1-EXP(-LN(2)/25))/(LN(2)/25)*Calculateur!BL10*Calculateur!BN10*VLOOKUP('Données projet'!$B$9,Paramètres!$A$1:$I$88,3,0)*0.475*44/12</f>
        <v>0</v>
      </c>
      <c r="BR10" s="23">
        <f>EXP(-LN(2)/2)*BR9+(1-EXP(-LN(2)/2))/(LN(2)/2)*BL10*BO10*VLOOKUP('Données projet'!$B$9,Paramètres!$A$1:$I$88,3,0)*0.475*44/12</f>
        <v>0</v>
      </c>
      <c r="BS10" s="24">
        <f t="shared" si="12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2</v>
      </c>
      <c r="BY10" s="13">
        <f>IF(A10&lt;'Données projet'!$A$114,$BV$205^A10,IF(A10='Données projet'!$A$114,'Données projet'!$B$114,BY9+BX10-CG9))</f>
        <v>2.9902782447563934</v>
      </c>
      <c r="BZ10" s="14">
        <f>BY10*VLOOKUP('Données projet'!$B$12,Paramètres!$A$1:$I$88,3,0)*VLOOKUP('Données projet'!$B$12,Paramètres!$A$1:$I$88,5,0)</f>
        <v>3.218735502655782</v>
      </c>
      <c r="CA10" s="14">
        <f t="shared" si="46"/>
        <v>1.2946214172464434</v>
      </c>
      <c r="CB10" s="22">
        <f t="shared" si="13"/>
        <v>7.8607633021630408</v>
      </c>
      <c r="CC10" s="62">
        <f t="shared" si="14"/>
        <v>149.81396276892656</v>
      </c>
      <c r="CD10" s="62">
        <f ca="1">AVERAGE(OFFSET($CC$3,0,0,'Données projet'!$E$12+1,1))-AVERAGE(OFFSET($H$3,0,0,'Données projet'!$E$12+1,1))</f>
        <v>468.82871618425406</v>
      </c>
      <c r="CE10" s="62">
        <f t="shared" si="15"/>
        <v>259.37818128554397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projet'!$B$12,Paramètres!$A$1:$I$88,7,0))</f>
        <v>0</v>
      </c>
      <c r="CI10" s="17">
        <f>IF(ISNA(VLOOKUP(A10,'Données projet'!$A$113:$I$133,6,0)),0%,VLOOKUP(A10,'Données projet'!$A$113:$I$133,6,0)*VLOOKUP('Données projet'!$B$12,Paramètres!$A$1:$I$88,7,0))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projet'!$B$9,Paramètres!$A$1:$I$88,3,0)*0.475*44/12</f>
        <v>0</v>
      </c>
      <c r="CL10" s="23">
        <f>EXP(-LN(2)/25)*CL9+(1-EXP(-LN(2)/25))/(LN(2)/25)*Calculateur!CG10*Calculateur!CI10*VLOOKUP('Données projet'!$B$9,Paramètres!$A$1:$I$88,3,0)*0.475*44/12</f>
        <v>0</v>
      </c>
      <c r="CM10" s="23">
        <f>EXP(-LN(2)/2)*CM9+(1-EXP(-LN(2)/2))/(LN(2)/2)*CG10*CJ10*VLOOKUP('Données projet'!$B$9,Paramètres!$A$1:$I$88,3,0)*0.475*44/12</f>
        <v>0</v>
      </c>
      <c r="CN10" s="24">
        <f t="shared" si="16"/>
        <v>0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2</v>
      </c>
      <c r="CT10" s="13">
        <f>IF(A10&lt;'Données projet'!$A$140,$CQ$205^A10,IF(A10='Données projet'!$A$140,'Données projet'!$B$140,CT9+CS10-DB9))</f>
        <v>2.9902782447563934</v>
      </c>
      <c r="CU10" s="18">
        <f>CT10*VLOOKUP('Données projet'!$B$13,Paramètres!$A$1:$I$88,3,0)*VLOOKUP('Données projet'!$B$13,Paramètres!$A$1:$I$88,5,0)</f>
        <v>2.5656587340009858</v>
      </c>
      <c r="CV10" s="14">
        <f t="shared" si="47"/>
        <v>1.0595469440942429</v>
      </c>
      <c r="CW10" s="22">
        <f t="shared" si="17"/>
        <v>6.31389988934919</v>
      </c>
      <c r="CX10" s="62">
        <f t="shared" si="18"/>
        <v>148.26709935611271</v>
      </c>
      <c r="CY10" s="62">
        <f ca="1">AVERAGE(OFFSET($CX$3,0,0,'Données projet'!$E$13+1,1))-AVERAGE(OFFSET($H$3,0,0,'Données projet'!$E$13+1,1))</f>
        <v>395.19659151668884</v>
      </c>
      <c r="CZ10" s="62">
        <f t="shared" si="19"/>
        <v>222.86563304507339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projet'!$B$13,Paramètres!$A$1:$I$88,7,0))</f>
        <v>0</v>
      </c>
      <c r="DD10" s="17">
        <f>IF(ISNA(VLOOKUP(A10,'Données projet'!$A$139:$I$159,6,0)),0%,VLOOKUP(A10,'Données projet'!$A$139:$I$159,6,0)*VLOOKUP('Données projet'!$B$13,Paramètres!$A$1:$I$88,7,0))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projet'!$B$9,Paramètres!$A$1:$I$88,3,0)*0.475*44/12</f>
        <v>0</v>
      </c>
      <c r="DG10" s="23">
        <f>EXP(-LN(2)/25)*DG9+(1-EXP(-LN(2)/25))/(LN(2)/25)*Calculateur!DB10*Calculateur!DD10*VLOOKUP('Données projet'!$B$9,Paramètres!$A$1:$I$88,3,0)*0.475*44/12</f>
        <v>0</v>
      </c>
      <c r="DH10" s="23">
        <f>EXP(-LN(2)/2)*DH9+(1-EXP(-LN(2)/2))/(LN(2)/2)*DB10*DE10*VLOOKUP('Données projet'!$B$9,Paramètres!$A$1:$I$88,3,0)*0.475*44/12</f>
        <v>0</v>
      </c>
      <c r="DI10" s="24">
        <f t="shared" si="20"/>
        <v>0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2.2749999999999999</v>
      </c>
      <c r="DO10" s="13">
        <f>IF(A10&lt;'Données projet'!$A$166,$DL$205^A10,IF(A10='Données projet'!$A$166,'Données projet'!$B$166,DO9+DN10-DW9))</f>
        <v>2.202075695799619</v>
      </c>
      <c r="DP10" s="18">
        <f>DO10*VLOOKUP('Données projet'!$B$14,Paramètres!$A$1:$I$88,3,0)*VLOOKUP('Données projet'!$B$14,Paramètres!$A$1:$I$88,5,0)</f>
        <v>1.2882142820427771</v>
      </c>
      <c r="DQ10" s="14">
        <f t="shared" si="48"/>
        <v>0.57641803241131928</v>
      </c>
      <c r="DR10" s="22">
        <f t="shared" si="21"/>
        <v>3.2475679476742179</v>
      </c>
      <c r="DS10" s="62">
        <f t="shared" si="22"/>
        <v>145.20076741443773</v>
      </c>
      <c r="DT10" s="62">
        <f ca="1">AVERAGE(OFFSET($DS$3,0,0,'Données projet'!$E$14+1,1))-AVERAGE(OFFSET($H$3,0,0,'Données projet'!$E$14+1,1))</f>
        <v>155.18073137151848</v>
      </c>
      <c r="DU10" s="62">
        <f t="shared" si="23"/>
        <v>115.19459155667272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projet'!$B$14,Paramètres!$A$1:$I$88,7,0))</f>
        <v>0</v>
      </c>
      <c r="DY10" s="17">
        <f>IF(ISNA(VLOOKUP(A10,'Données projet'!$A$165:$I$185,6,0)),0%,VLOOKUP(A10,'Données projet'!$A$165:$I$185,6,0)*VLOOKUP('Données projet'!$B$14,Paramètres!$A$1:$I$88,7,0))</f>
        <v>0</v>
      </c>
      <c r="DZ10" s="17">
        <f>IF(ISNA(VLOOKUP(A10,'Données projet'!$A$165:$I$185,7,0)),0%,VLOOKUP(A10,'Données projet'!$A$165:$I$185,7,0))</f>
        <v>0</v>
      </c>
      <c r="EA10" s="23">
        <f>EXP(-LN(2)/35)*EA9+(1-EXP(-LN(2)/35))/(LN(2)/35)*DW10*DX10*VLOOKUP('Données projet'!$B$9,Paramètres!$A$1:$I$88,3,0)*0.475*44/12</f>
        <v>0</v>
      </c>
      <c r="EB10" s="23">
        <f>EXP(-LN(2)/25)*EB9+(1-EXP(-LN(2)/25))/(LN(2)/25)*Calculateur!DW10*Calculateur!DY10*VLOOKUP('Données projet'!$B$9,Paramètres!$A$1:$I$88,3,0)*0.475*44/12</f>
        <v>0</v>
      </c>
      <c r="EC10" s="23">
        <f>EXP(-LN(2)/2)*EC9+(1-EXP(-LN(2)/2))/(LN(2)/2)*DW10*DZ10*VLOOKUP('Données projet'!$B$9,Paramètres!$A$1:$I$88,3,0)*0.475*44/12</f>
        <v>0</v>
      </c>
      <c r="ED10" s="24">
        <f t="shared" si="24"/>
        <v>0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3.25</v>
      </c>
      <c r="EJ10" s="13">
        <f>IF(A10&lt;'Données projet'!$A$192,$EG$205^A10,IF(A10='Données projet'!$A$192,'Données projet'!$B$192,EJ9+EI10-ER9))</f>
        <v>1.8499956390782182</v>
      </c>
      <c r="EK10" s="18">
        <f>EJ10*VLOOKUP('Données projet'!$B$15,Paramètres!$A$1:$I$88,3,0)*VLOOKUP('Données projet'!$B$15,Paramètres!$A$1:$I$88,5,0)</f>
        <v>0.86579795908860613</v>
      </c>
      <c r="EL10" s="14">
        <f t="shared" si="49"/>
        <v>0.40574514814305496</v>
      </c>
      <c r="EM10" s="22">
        <f t="shared" si="25"/>
        <v>2.2146042450951433</v>
      </c>
      <c r="EN10" s="62">
        <f t="shared" si="26"/>
        <v>144.16780371185865</v>
      </c>
      <c r="EO10" s="62">
        <f ca="1">AVERAGE(OFFSET($EN$3,0,0,'Données projet'!$E$15+1,1))-AVERAGE(OFFSET($H$3,0,0,'Données projet'!$E$15+1,1))</f>
        <v>238.59014604384171</v>
      </c>
      <c r="EP10" s="62">
        <f t="shared" si="27"/>
        <v>90.841373219575217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projet'!$B$15,Paramètres!$A$1:$I$88,7,0))</f>
        <v>0</v>
      </c>
      <c r="ET10" s="17">
        <f>IF(ISNA(VLOOKUP(A10,'Données projet'!$A$191:$I$211,6,0)),0%,VLOOKUP(A10,'Données projet'!$A$191:$I$211,6,0)*VLOOKUP('Données projet'!$B$15,Paramètres!$A$1:$I$88,7,0))</f>
        <v>0</v>
      </c>
      <c r="EU10" s="17">
        <f>IF(ISNA(VLOOKUP(A10,'Données projet'!$A$191:$I$211,7,0)),0%,VLOOKUP(A10,'Données projet'!$A$191:$I$211,7,0))</f>
        <v>0</v>
      </c>
      <c r="EV10" s="23">
        <f>EXP(-LN(2)/35)*EV9+(1-EXP(-LN(2)/35))/(LN(2)/35)*ER10*ES10*VLOOKUP('Données projet'!$B$9,Paramètres!$A$1:$I$88,3,0)*0.475*44/12</f>
        <v>0</v>
      </c>
      <c r="EW10" s="23">
        <f>EXP(-LN(2)/25)*EW9+(1-EXP(-LN(2)/25))/(LN(2)/25)*Calculateur!ER10*Calculateur!ET10*VLOOKUP('Données projet'!$B$9,Paramètres!$A$1:$I$88,3,0)*0.475*44/12</f>
        <v>0</v>
      </c>
      <c r="EX10" s="23">
        <f>EXP(-LN(2)/2)*EX9+(1-EXP(-LN(2)/2))/(LN(2)/2)*ER10*EU10*VLOOKUP('Données projet'!$B$9,Paramètres!$A$1:$I$88,3,0)*0.475*44/12</f>
        <v>0</v>
      </c>
      <c r="EY10" s="24">
        <f t="shared" si="28"/>
        <v>0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IF(A10&lt;'Données projet'!$A$218,$FB$205^A10,IF(A10='Données projet'!$A$218,'Données projet'!$B$218,FE9+FD10-FM9))</f>
        <v>0</v>
      </c>
      <c r="FF10" s="18" t="e">
        <f>FE10*VLOOKUP('Données projet'!$B$16,Paramètres!$A$1:$I$88,3,0)*VLOOKUP('Données projet'!$B$16,Paramètres!$A$1:$I$88,5,0)</f>
        <v>#N/A</v>
      </c>
      <c r="FG10" s="14" t="e">
        <f t="shared" si="50"/>
        <v>#N/A</v>
      </c>
      <c r="FH10" s="22" t="e">
        <f t="shared" si="29"/>
        <v>#N/A</v>
      </c>
      <c r="FI10" s="62" t="e">
        <f t="shared" si="30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31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projet'!$B$16,Paramètres!$A$1:$I$88,7,0))</f>
        <v>0</v>
      </c>
      <c r="FO10" s="17">
        <f>IF(ISNA(VLOOKUP(A10,'Données projet'!$A$217:$I$237,6,0)),0%,VLOOKUP(A10,'Données projet'!$A$217:$I$237,6,0)*VLOOKUP('Données projet'!$B$16,Paramètres!$A$1:$I$88,7,0))</f>
        <v>0</v>
      </c>
      <c r="FP10" s="17">
        <f>IF(ISNA(VLOOKUP(A10,'Données projet'!$A$217:$I$237,7,0)),0%,VLOOKUP(A10,'Données projet'!$A$217:$I$237,7,0))</f>
        <v>0</v>
      </c>
      <c r="FQ10" s="23">
        <f>EXP(-LN(2)/35)*FQ9+(1-EXP(-LN(2)/35))/(LN(2)/35)*FM10*FN10*VLOOKUP('Données projet'!$B$9,Paramètres!$A$1:$I$88,3,0)*0.475*44/12</f>
        <v>0</v>
      </c>
      <c r="FR10" s="23">
        <f>EXP(-LN(2)/25)*FR9+(1-EXP(-LN(2)/25))/(LN(2)/25)*Calculateur!FM10*Calculateur!FO10*VLOOKUP('Données projet'!$B$9,Paramètres!$A$1:$I$88,3,0)*0.475*44/12</f>
        <v>0</v>
      </c>
      <c r="FS10" s="23">
        <f>EXP(-LN(2)/2)*FS9+(1-EXP(-LN(2)/2))/(LN(2)/2)*FM10*FP10*VLOOKUP('Données projet'!$B$9,Paramètres!$A$1:$I$88,3,0)*0.475*44/12</f>
        <v>0</v>
      </c>
      <c r="FT10" s="24">
        <f t="shared" si="32"/>
        <v>0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IF(A10&lt;'Données projet'!$A$244,$FW$205^A10,IF(A10='Données projet'!$A$244,'Données projet'!$B$244,FZ9+FY10-GH9))</f>
        <v>0</v>
      </c>
      <c r="GA10" s="18" t="e">
        <f>FZ10*VLOOKUP('Données projet'!$B$17,Paramètres!$A$1:$I$88,3,0)*VLOOKUP('Données projet'!$B$17,Paramètres!$A$1:$I$88,5,0)</f>
        <v>#N/A</v>
      </c>
      <c r="GB10" s="14" t="e">
        <f t="shared" si="51"/>
        <v>#N/A</v>
      </c>
      <c r="GC10" s="22" t="e">
        <f t="shared" si="33"/>
        <v>#N/A</v>
      </c>
      <c r="GD10" s="62" t="e">
        <f t="shared" si="34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35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projet'!$B$17,Paramètres!$A$1:$I$88,7,0))</f>
        <v>0</v>
      </c>
      <c r="GJ10" s="17">
        <f>IF(ISNA(VLOOKUP(A10,'Données projet'!$A$243:$I$263,6,0)),0%,VLOOKUP(A10,'Données projet'!$A$243:$I$263,6,0)*VLOOKUP('Données projet'!$B$17,Paramètres!$A$1:$I$88,7,0))</f>
        <v>0</v>
      </c>
      <c r="GK10" s="17">
        <f>IF(ISNA(VLOOKUP(A10,'Données projet'!$A$243:$I$263,7,0)),0%,VLOOKUP(A10,'Données projet'!$A$243:$I$263,7,0))</f>
        <v>0</v>
      </c>
      <c r="GL10" s="23">
        <f>EXP(-LN(2)/35)*GL9+(1-EXP(-LN(2)/35))/(LN(2)/35)*GH10*GI10*VLOOKUP('Données projet'!$B$9,Paramètres!$A$1:$I$88,3,0)*0.475*44/12</f>
        <v>0</v>
      </c>
      <c r="GM10" s="23">
        <f>EXP(-LN(2)/25)*GM9+(1-EXP(-LN(2)/25))/(LN(2)/25)*Calculateur!GH10*Calculateur!GJ10*VLOOKUP('Données projet'!$B$9,Paramètres!$A$1:$I$88,3,0)*0.475*44/12</f>
        <v>0</v>
      </c>
      <c r="GN10" s="23">
        <f>EXP(-LN(2)/2)*GN9+(1-EXP(-LN(2)/2))/(LN(2)/2)*GH10*GK10*VLOOKUP('Données projet'!$B$9,Paramètres!$A$1:$I$88,3,0)*0.475*44/12</f>
        <v>0</v>
      </c>
      <c r="GO10" s="23">
        <f t="shared" si="36"/>
        <v>0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IF(A10&lt;'Données projet'!$A$270,$GR$205^A10,IF(A10='Données projet'!$A$270,'Données projet'!$B$270,GU9+GT10-HC9))</f>
        <v>0</v>
      </c>
      <c r="GV10" s="18" t="e">
        <f>GU10*VLOOKUP('Données projet'!$B$18,Paramètres!$A$1:$I$88,3,0)*VLOOKUP('Données projet'!$B$18,Paramètres!$A$1:$I$88,5,0)</f>
        <v>#N/A</v>
      </c>
      <c r="GW10" s="14" t="e">
        <f t="shared" si="52"/>
        <v>#N/A</v>
      </c>
      <c r="GX10" s="22" t="e">
        <f t="shared" si="37"/>
        <v>#N/A</v>
      </c>
      <c r="GY10" s="62" t="e">
        <f t="shared" si="38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39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projet'!$B$18,Paramètres!$A$1:$I$88,7,0))</f>
        <v>0</v>
      </c>
      <c r="HE10" s="17">
        <f>IF(ISNA(VLOOKUP(A10,'Données projet'!$A$269:$I$289,6,0)),0%,VLOOKUP(A10,'Données projet'!$A$269:$I$289,6,0)*VLOOKUP('Données projet'!$B$18,Paramètres!$A$1:$I$88,7,0))</f>
        <v>0</v>
      </c>
      <c r="HF10" s="17">
        <f>IF(ISNA(VLOOKUP(A10,'Données projet'!$A$269:$I$289,7,0)),0%,VLOOKUP(A10,'Données projet'!$A$269:$I$289,7,0))</f>
        <v>0</v>
      </c>
      <c r="HG10" s="23">
        <f>EXP(-LN(2)/35)*HG9+(1-EXP(-LN(2)/35))/(LN(2)/35)*HC10*HD10*VLOOKUP('Données projet'!$B$9,Paramètres!$A$1:$I$88,3,0)*0.475*44/12</f>
        <v>0</v>
      </c>
      <c r="HH10" s="23">
        <f>EXP(-LN(2)/25)*HH9+(1-EXP(-LN(2)/25))/(LN(2)/25)*Calculateur!HC10*Calculateur!HE10*VLOOKUP('Données projet'!$B$9,Paramètres!$A$1:$I$88,3,0)*0.475*44/12</f>
        <v>0</v>
      </c>
      <c r="HI10" s="23">
        <f>EXP(-LN(2)/2)*HI9+(1-EXP(-LN(2)/2))/(LN(2)/2)*HC10*HF10*VLOOKUP('Données projet'!$B$9,Paramètres!$A$1:$I$88,3,0)*0.475*44/12</f>
        <v>0</v>
      </c>
      <c r="HJ10" s="24">
        <f t="shared" si="40"/>
        <v>0</v>
      </c>
    </row>
    <row r="11" spans="1:218" s="5" customFormat="1" x14ac:dyDescent="0.25">
      <c r="A11" s="11">
        <f t="shared" si="4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" s="12">
        <f t="shared" si="4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135.66666666666666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1.5341666666666667</v>
      </c>
      <c r="N11" s="14">
        <f>IF(A11&lt;'Données projet'!$A$36,$K$205^A11,IF(A11='Données projet'!$A$36,'Données projet'!$B$36,N10+M11-V10))</f>
        <v>8.8858306899648145</v>
      </c>
      <c r="O11" s="14">
        <f>N11*VLOOKUP('Données projet'!$B$9,Paramètres!$A$1:$I$88,3,0)*VLOOKUP('Données projet'!$B$9,Paramètres!$A$1:$I$88,5,0)</f>
        <v>10.236476954839466</v>
      </c>
      <c r="P11" s="14">
        <f t="shared" si="43"/>
        <v>3.5984962811377996</v>
      </c>
      <c r="Q11" s="22">
        <f t="shared" si="2"/>
        <v>24.095911719327074</v>
      </c>
      <c r="R11" s="62">
        <f t="shared" si="0"/>
        <v>169.40977536487122</v>
      </c>
      <c r="S11" s="62">
        <f ca="1">AVERAGE(OFFSET($R$3,0,0,'Données projet'!$E$9+1,1))-AVERAGE(OFFSET($H$3,0,0,'Données projet'!$E$9+1,1))</f>
        <v>314.72063458462026</v>
      </c>
      <c r="T11" s="62">
        <f t="shared" si="3"/>
        <v>216.4380325968244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projet'!$B$9,Paramètres!$A$1:$I$88,7,0))</f>
        <v>0</v>
      </c>
      <c r="X11" s="17">
        <f>IF(ISNA(VLOOKUP(A11,'Données projet'!$A$35:$I$55,6,0)),0%,VLOOKUP(A11,'Données projet'!$A$35:$I$55,6,0)*VLOOKUP('Données projet'!$B$9,Paramètres!$A$1:$I$88,7,0))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projet'!$B$9,Paramètres!$A$1:$I$88,3,0)*0.475*44/12</f>
        <v>0</v>
      </c>
      <c r="AA11" s="23">
        <f>EXP(-LN(2)/25)*AA10+(1-EXP(-LN(2)/25))/(LN(2)/25)*Calculateur!V11*Calculateur!X11*VLOOKUP('Données projet'!$B$9,Paramètres!$A$1:$I$88,3,0)*0.475*44/12</f>
        <v>0</v>
      </c>
      <c r="AB11" s="23">
        <f>EXP(-LN(2)/2)*AB10+(1-EXP(-LN(2)/2))/(LN(2)/2)*V11*Y11*VLOOKUP('Données projet'!$B$9,Paramètres!$A$1:$I$88,3,0)*0.475*44/12</f>
        <v>0</v>
      </c>
      <c r="AC11" s="24">
        <f t="shared" si="4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2</v>
      </c>
      <c r="AI11" s="14">
        <f>IF(A11&lt;'Données projet'!$A$62,$AF$205^A11,IF(A11='Données projet'!$A$62,'Données projet'!$B$62,AI10+AH11-AQ10))</f>
        <v>3.4967968429856167</v>
      </c>
      <c r="AJ11" s="14">
        <f>AI11*VLOOKUP('Données projet'!$B$10,Paramètres!$A$1:$I$88,3,0)*VLOOKUP('Données projet'!$B$10,Paramètres!$A$1:$I$88,5,0)</f>
        <v>3.654852060288567</v>
      </c>
      <c r="AK11" s="14">
        <f t="shared" si="44"/>
        <v>1.4484510479367185</v>
      </c>
      <c r="AL11" s="22">
        <f t="shared" si="5"/>
        <v>8.8882529134923711</v>
      </c>
      <c r="AM11" s="62">
        <f t="shared" si="6"/>
        <v>154.20211655903654</v>
      </c>
      <c r="AN11" s="62">
        <f ca="1">AVERAGE(OFFSET($AM$3,0,0,'Données projet'!$E$10+1,1))-AVERAGE(OFFSET($H$3,0,0,'Données projet'!$E$10+1,1))</f>
        <v>458.33072853676879</v>
      </c>
      <c r="AO11" s="62">
        <f t="shared" si="7"/>
        <v>254.1734169352687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projet'!$B$10,Paramètres!$A$1:$I$88,7,0))</f>
        <v>0</v>
      </c>
      <c r="AS11" s="17">
        <f>IF(ISNA(VLOOKUP(A11,'Données projet'!$A$61:$I$81,6,0)),0%,VLOOKUP(A11,'Données projet'!$A$61:$I$81,6,0)*VLOOKUP('Données projet'!$B$10,Paramètres!$A$1:$I$88,7,0))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projet'!$B$9,Paramètres!$A$1:$I$88,3,0)*0.475*44/12</f>
        <v>0</v>
      </c>
      <c r="AV11" s="23">
        <f>EXP(-LN(2)/25)*AV10+(1-EXP(-LN(2)/25))/(LN(2)/25)*Calculateur!AQ11*Calculateur!AS11*VLOOKUP('Données projet'!$B$9,Paramètres!$A$1:$I$88,3,0)*0.475*44/12</f>
        <v>0</v>
      </c>
      <c r="AW11" s="23">
        <f>EXP(-LN(2)/2)*AW10+(1-EXP(-LN(2)/2))/(LN(2)/2)*AQ11*AT11*VLOOKUP('Données projet'!$B$9,Paramètres!$A$1:$I$88,3,0)*0.475*44/12</f>
        <v>0</v>
      </c>
      <c r="AX11" s="23">
        <f t="shared" si="8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2</v>
      </c>
      <c r="BD11" s="13">
        <f>IF(A11&lt;'Données projet'!$A$88,$BA$205^A11,IF(A11='Données projet'!$A$88,'Données projet'!$B$88,BD10+BC11-BL10))</f>
        <v>3.4967968429856167</v>
      </c>
      <c r="BE11" s="14">
        <f>BD11*VLOOKUP('Données projet'!$B$11,Paramètres!$A$1:$I$88,3,0)*VLOOKUP('Données projet'!$B$11,Paramètres!$A$1:$I$88,5,0)</f>
        <v>3.5457519987874155</v>
      </c>
      <c r="BF11" s="14">
        <f t="shared" si="45"/>
        <v>1.4101794077546808</v>
      </c>
      <c r="BG11" s="22">
        <f t="shared" si="9"/>
        <v>8.6315805330608182</v>
      </c>
      <c r="BH11" s="62">
        <f t="shared" si="10"/>
        <v>153.94544417860499</v>
      </c>
      <c r="BI11" s="62">
        <f ca="1">AVERAGE(OFFSET($BH$3,0,0,'Données projet'!$E$11+1,1))-AVERAGE(OFFSET($H$3,0,0,'Données projet'!$E$11+1,1))</f>
        <v>447.82618173893104</v>
      </c>
      <c r="BJ11" s="62">
        <f t="shared" si="11"/>
        <v>248.96509970783379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projet'!$B$11,Paramètres!$A$1:$I$88,7,0))</f>
        <v>0</v>
      </c>
      <c r="BN11" s="17">
        <f>IF(ISNA(VLOOKUP(A11,'Données projet'!$A$87:$I$107,6,0)),0%,VLOOKUP(A11,'Données projet'!$A$87:$I$107,6,0)*VLOOKUP('Données projet'!$B$11,Paramètres!$A$1:$I$88,7,0))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projet'!$B$9,Paramètres!$A$1:$I$88,3,0)*0.475*44/12</f>
        <v>0</v>
      </c>
      <c r="BQ11" s="23">
        <f>EXP(-LN(2)/25)*BQ10+(1-EXP(-LN(2)/25))/(LN(2)/25)*Calculateur!BL11*Calculateur!BN11*VLOOKUP('Données projet'!$B$9,Paramètres!$A$1:$I$88,3,0)*0.475*44/12</f>
        <v>0</v>
      </c>
      <c r="BR11" s="23">
        <f>EXP(-LN(2)/2)*BR10+(1-EXP(-LN(2)/2))/(LN(2)/2)*BL11*BO11*VLOOKUP('Données projet'!$B$9,Paramètres!$A$1:$I$88,3,0)*0.475*44/12</f>
        <v>0</v>
      </c>
      <c r="BS11" s="24">
        <f t="shared" si="12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2</v>
      </c>
      <c r="BY11" s="13">
        <f>IF(A11&lt;'Données projet'!$A$114,$BV$205^A11,IF(A11='Données projet'!$A$114,'Données projet'!$B$114,BY10+BX11-CG10))</f>
        <v>3.4967968429856167</v>
      </c>
      <c r="BZ11" s="14">
        <f>BY11*VLOOKUP('Données projet'!$B$12,Paramètres!$A$1:$I$88,3,0)*VLOOKUP('Données projet'!$B$12,Paramètres!$A$1:$I$88,5,0)</f>
        <v>3.7639521217897172</v>
      </c>
      <c r="CA11" s="14">
        <f t="shared" si="46"/>
        <v>1.4865899183759679</v>
      </c>
      <c r="CB11" s="22">
        <f t="shared" si="13"/>
        <v>9.1446940532885677</v>
      </c>
      <c r="CC11" s="62">
        <f t="shared" si="14"/>
        <v>154.45855769883272</v>
      </c>
      <c r="CD11" s="62">
        <f ca="1">AVERAGE(OFFSET($CC$3,0,0,'Données projet'!$E$12+1,1))-AVERAGE(OFFSET($H$3,0,0,'Données projet'!$E$12+1,1))</f>
        <v>468.82871618425406</v>
      </c>
      <c r="CE11" s="62">
        <f t="shared" si="15"/>
        <v>259.37818128554397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projet'!$B$12,Paramètres!$A$1:$I$88,7,0))</f>
        <v>0</v>
      </c>
      <c r="CI11" s="17">
        <f>IF(ISNA(VLOOKUP(A11,'Données projet'!$A$113:$I$133,6,0)),0%,VLOOKUP(A11,'Données projet'!$A$113:$I$133,6,0)*VLOOKUP('Données projet'!$B$12,Paramètres!$A$1:$I$88,7,0))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projet'!$B$9,Paramètres!$A$1:$I$88,3,0)*0.475*44/12</f>
        <v>0</v>
      </c>
      <c r="CL11" s="23">
        <f>EXP(-LN(2)/25)*CL10+(1-EXP(-LN(2)/25))/(LN(2)/25)*Calculateur!CG11*Calculateur!CI11*VLOOKUP('Données projet'!$B$9,Paramètres!$A$1:$I$88,3,0)*0.475*44/12</f>
        <v>0</v>
      </c>
      <c r="CM11" s="23">
        <f>EXP(-LN(2)/2)*CM10+(1-EXP(-LN(2)/2))/(LN(2)/2)*CG11*CJ11*VLOOKUP('Données projet'!$B$9,Paramètres!$A$1:$I$88,3,0)*0.475*44/12</f>
        <v>0</v>
      </c>
      <c r="CN11" s="24">
        <f t="shared" si="16"/>
        <v>0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2</v>
      </c>
      <c r="CT11" s="13">
        <f>IF(A11&lt;'Données projet'!$A$140,$CQ$205^A11,IF(A11='Données projet'!$A$140,'Données projet'!$B$140,CT10+CS11-DB10))</f>
        <v>3.4967968429856167</v>
      </c>
      <c r="CU11" s="18">
        <f>CT11*VLOOKUP('Données projet'!$B$13,Paramètres!$A$1:$I$88,3,0)*VLOOKUP('Données projet'!$B$13,Paramètres!$A$1:$I$88,5,0)</f>
        <v>3.0002516912816595</v>
      </c>
      <c r="CV11" s="14">
        <f t="shared" si="47"/>
        <v>1.2166582324017967</v>
      </c>
      <c r="CW11" s="22">
        <f t="shared" si="17"/>
        <v>7.3444514504153524</v>
      </c>
      <c r="CX11" s="62">
        <f t="shared" si="18"/>
        <v>152.65831509595952</v>
      </c>
      <c r="CY11" s="62">
        <f ca="1">AVERAGE(OFFSET($CX$3,0,0,'Données projet'!$E$13+1,1))-AVERAGE(OFFSET($H$3,0,0,'Données projet'!$E$13+1,1))</f>
        <v>395.19659151668884</v>
      </c>
      <c r="CZ11" s="62">
        <f t="shared" si="19"/>
        <v>222.86563304507339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projet'!$B$13,Paramètres!$A$1:$I$88,7,0))</f>
        <v>0</v>
      </c>
      <c r="DD11" s="17">
        <f>IF(ISNA(VLOOKUP(A11,'Données projet'!$A$139:$I$159,6,0)),0%,VLOOKUP(A11,'Données projet'!$A$139:$I$159,6,0)*VLOOKUP('Données projet'!$B$13,Paramètres!$A$1:$I$88,7,0))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projet'!$B$9,Paramètres!$A$1:$I$88,3,0)*0.475*44/12</f>
        <v>0</v>
      </c>
      <c r="DG11" s="23">
        <f>EXP(-LN(2)/25)*DG10+(1-EXP(-LN(2)/25))/(LN(2)/25)*Calculateur!DB11*Calculateur!DD11*VLOOKUP('Données projet'!$B$9,Paramètres!$A$1:$I$88,3,0)*0.475*44/12</f>
        <v>0</v>
      </c>
      <c r="DH11" s="23">
        <f>EXP(-LN(2)/2)*DH10+(1-EXP(-LN(2)/2))/(LN(2)/2)*DB11*DE11*VLOOKUP('Données projet'!$B$9,Paramètres!$A$1:$I$88,3,0)*0.475*44/12</f>
        <v>0</v>
      </c>
      <c r="DI11" s="24">
        <f t="shared" si="20"/>
        <v>0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2.2749999999999999</v>
      </c>
      <c r="DO11" s="13">
        <f>IF(A11&lt;'Données projet'!$A$166,$DL$205^A11,IF(A11='Données projet'!$A$166,'Données projet'!$B$166,DO10+DN11-DW10))</f>
        <v>2.4649509317268676</v>
      </c>
      <c r="DP11" s="18">
        <f>DO11*VLOOKUP('Données projet'!$B$14,Paramètres!$A$1:$I$88,3,0)*VLOOKUP('Données projet'!$B$14,Paramètres!$A$1:$I$88,5,0)</f>
        <v>1.4419962950602176</v>
      </c>
      <c r="DQ11" s="14">
        <f t="shared" si="48"/>
        <v>0.63681426457469348</v>
      </c>
      <c r="DR11" s="22">
        <f t="shared" si="21"/>
        <v>3.6205950580308035</v>
      </c>
      <c r="DS11" s="62">
        <f t="shared" si="22"/>
        <v>148.93445870357496</v>
      </c>
      <c r="DT11" s="62">
        <f ca="1">AVERAGE(OFFSET($DS$3,0,0,'Données projet'!$E$14+1,1))-AVERAGE(OFFSET($H$3,0,0,'Données projet'!$E$14+1,1))</f>
        <v>155.18073137151848</v>
      </c>
      <c r="DU11" s="62">
        <f t="shared" si="23"/>
        <v>115.19459155667272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projet'!$B$14,Paramètres!$A$1:$I$88,7,0))</f>
        <v>0</v>
      </c>
      <c r="DY11" s="17">
        <f>IF(ISNA(VLOOKUP(A11,'Données projet'!$A$165:$I$185,6,0)),0%,VLOOKUP(A11,'Données projet'!$A$165:$I$185,6,0)*VLOOKUP('Données projet'!$B$14,Paramètres!$A$1:$I$88,7,0))</f>
        <v>0</v>
      </c>
      <c r="DZ11" s="17">
        <f>IF(ISNA(VLOOKUP(A11,'Données projet'!$A$165:$I$185,7,0)),0%,VLOOKUP(A11,'Données projet'!$A$165:$I$185,7,0))</f>
        <v>0</v>
      </c>
      <c r="EA11" s="23">
        <f>EXP(-LN(2)/35)*EA10+(1-EXP(-LN(2)/35))/(LN(2)/35)*DW11*DX11*VLOOKUP('Données projet'!$B$9,Paramètres!$A$1:$I$88,3,0)*0.475*44/12</f>
        <v>0</v>
      </c>
      <c r="EB11" s="23">
        <f>EXP(-LN(2)/25)*EB10+(1-EXP(-LN(2)/25))/(LN(2)/25)*Calculateur!DW11*Calculateur!DY11*VLOOKUP('Données projet'!$B$9,Paramètres!$A$1:$I$88,3,0)*0.475*44/12</f>
        <v>0</v>
      </c>
      <c r="EC11" s="23">
        <f>EXP(-LN(2)/2)*EC10+(1-EXP(-LN(2)/2))/(LN(2)/2)*DW11*DZ11*VLOOKUP('Données projet'!$B$9,Paramètres!$A$1:$I$88,3,0)*0.475*44/12</f>
        <v>0</v>
      </c>
      <c r="ED11" s="24">
        <f t="shared" si="24"/>
        <v>0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3.25</v>
      </c>
      <c r="EJ11" s="13">
        <f>IF(A11&lt;'Données projet'!$A$192,$EG$205^A11,IF(A11='Données projet'!$A$192,'Données projet'!$B$192,EJ10+EI11-ER10))</f>
        <v>2.0199375756832549</v>
      </c>
      <c r="EK11" s="18">
        <f>EJ11*VLOOKUP('Données projet'!$B$15,Paramètres!$A$1:$I$88,3,0)*VLOOKUP('Données projet'!$B$15,Paramètres!$A$1:$I$88,5,0)</f>
        <v>0.94533078541976323</v>
      </c>
      <c r="EL11" s="14">
        <f t="shared" si="49"/>
        <v>0.43850839454619095</v>
      </c>
      <c r="EM11" s="22">
        <f t="shared" si="25"/>
        <v>2.4101865717740369</v>
      </c>
      <c r="EN11" s="62">
        <f t="shared" si="26"/>
        <v>147.72405021731819</v>
      </c>
      <c r="EO11" s="62">
        <f ca="1">AVERAGE(OFFSET($EN$3,0,0,'Données projet'!$E$15+1,1))-AVERAGE(OFFSET($H$3,0,0,'Données projet'!$E$15+1,1))</f>
        <v>238.59014604384171</v>
      </c>
      <c r="EP11" s="62">
        <f t="shared" si="27"/>
        <v>90.841373219575217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projet'!$B$15,Paramètres!$A$1:$I$88,7,0))</f>
        <v>0</v>
      </c>
      <c r="ET11" s="17">
        <f>IF(ISNA(VLOOKUP(A11,'Données projet'!$A$191:$I$211,6,0)),0%,VLOOKUP(A11,'Données projet'!$A$191:$I$211,6,0)*VLOOKUP('Données projet'!$B$15,Paramètres!$A$1:$I$88,7,0))</f>
        <v>0</v>
      </c>
      <c r="EU11" s="17">
        <f>IF(ISNA(VLOOKUP(A11,'Données projet'!$A$191:$I$211,7,0)),0%,VLOOKUP(A11,'Données projet'!$A$191:$I$211,7,0))</f>
        <v>0</v>
      </c>
      <c r="EV11" s="23">
        <f>EXP(-LN(2)/35)*EV10+(1-EXP(-LN(2)/35))/(LN(2)/35)*ER11*ES11*VLOOKUP('Données projet'!$B$9,Paramètres!$A$1:$I$88,3,0)*0.475*44/12</f>
        <v>0</v>
      </c>
      <c r="EW11" s="23">
        <f>EXP(-LN(2)/25)*EW10+(1-EXP(-LN(2)/25))/(LN(2)/25)*Calculateur!ER11*Calculateur!ET11*VLOOKUP('Données projet'!$B$9,Paramètres!$A$1:$I$88,3,0)*0.475*44/12</f>
        <v>0</v>
      </c>
      <c r="EX11" s="23">
        <f>EXP(-LN(2)/2)*EX10+(1-EXP(-LN(2)/2))/(LN(2)/2)*ER11*EU11*VLOOKUP('Données projet'!$B$9,Paramètres!$A$1:$I$88,3,0)*0.475*44/12</f>
        <v>0</v>
      </c>
      <c r="EY11" s="24">
        <f t="shared" si="28"/>
        <v>0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IF(A11&lt;'Données projet'!$A$218,$FB$205^A11,IF(A11='Données projet'!$A$218,'Données projet'!$B$218,FE10+FD11-FM10))</f>
        <v>0</v>
      </c>
      <c r="FF11" s="18" t="e">
        <f>FE11*VLOOKUP('Données projet'!$B$16,Paramètres!$A$1:$I$88,3,0)*VLOOKUP('Données projet'!$B$16,Paramètres!$A$1:$I$88,5,0)</f>
        <v>#N/A</v>
      </c>
      <c r="FG11" s="14" t="e">
        <f t="shared" si="50"/>
        <v>#N/A</v>
      </c>
      <c r="FH11" s="22" t="e">
        <f t="shared" si="29"/>
        <v>#N/A</v>
      </c>
      <c r="FI11" s="62" t="e">
        <f t="shared" si="30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31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projet'!$B$16,Paramètres!$A$1:$I$88,7,0))</f>
        <v>0</v>
      </c>
      <c r="FO11" s="17">
        <f>IF(ISNA(VLOOKUP(A11,'Données projet'!$A$217:$I$237,6,0)),0%,VLOOKUP(A11,'Données projet'!$A$217:$I$237,6,0)*VLOOKUP('Données projet'!$B$16,Paramètres!$A$1:$I$88,7,0))</f>
        <v>0</v>
      </c>
      <c r="FP11" s="17">
        <f>IF(ISNA(VLOOKUP(A11,'Données projet'!$A$217:$I$237,7,0)),0%,VLOOKUP(A11,'Données projet'!$A$217:$I$237,7,0))</f>
        <v>0</v>
      </c>
      <c r="FQ11" s="23">
        <f>EXP(-LN(2)/35)*FQ10+(1-EXP(-LN(2)/35))/(LN(2)/35)*FM11*FN11*VLOOKUP('Données projet'!$B$9,Paramètres!$A$1:$I$88,3,0)*0.475*44/12</f>
        <v>0</v>
      </c>
      <c r="FR11" s="23">
        <f>EXP(-LN(2)/25)*FR10+(1-EXP(-LN(2)/25))/(LN(2)/25)*Calculateur!FM11*Calculateur!FO11*VLOOKUP('Données projet'!$B$9,Paramètres!$A$1:$I$88,3,0)*0.475*44/12</f>
        <v>0</v>
      </c>
      <c r="FS11" s="23">
        <f>EXP(-LN(2)/2)*FS10+(1-EXP(-LN(2)/2))/(LN(2)/2)*FM11*FP11*VLOOKUP('Données projet'!$B$9,Paramètres!$A$1:$I$88,3,0)*0.475*44/12</f>
        <v>0</v>
      </c>
      <c r="FT11" s="24">
        <f t="shared" si="32"/>
        <v>0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IF(A11&lt;'Données projet'!$A$244,$FW$205^A11,IF(A11='Données projet'!$A$244,'Données projet'!$B$244,FZ10+FY11-GH10))</f>
        <v>0</v>
      </c>
      <c r="GA11" s="18" t="e">
        <f>FZ11*VLOOKUP('Données projet'!$B$17,Paramètres!$A$1:$I$88,3,0)*VLOOKUP('Données projet'!$B$17,Paramètres!$A$1:$I$88,5,0)</f>
        <v>#N/A</v>
      </c>
      <c r="GB11" s="14" t="e">
        <f t="shared" si="51"/>
        <v>#N/A</v>
      </c>
      <c r="GC11" s="22" t="e">
        <f t="shared" si="33"/>
        <v>#N/A</v>
      </c>
      <c r="GD11" s="62" t="e">
        <f t="shared" si="34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35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projet'!$B$17,Paramètres!$A$1:$I$88,7,0))</f>
        <v>0</v>
      </c>
      <c r="GJ11" s="17">
        <f>IF(ISNA(VLOOKUP(A11,'Données projet'!$A$243:$I$263,6,0)),0%,VLOOKUP(A11,'Données projet'!$A$243:$I$263,6,0)*VLOOKUP('Données projet'!$B$17,Paramètres!$A$1:$I$88,7,0))</f>
        <v>0</v>
      </c>
      <c r="GK11" s="17">
        <f>IF(ISNA(VLOOKUP(A11,'Données projet'!$A$243:$I$263,7,0)),0%,VLOOKUP(A11,'Données projet'!$A$243:$I$263,7,0))</f>
        <v>0</v>
      </c>
      <c r="GL11" s="23">
        <f>EXP(-LN(2)/35)*GL10+(1-EXP(-LN(2)/35))/(LN(2)/35)*GH11*GI11*VLOOKUP('Données projet'!$B$9,Paramètres!$A$1:$I$88,3,0)*0.475*44/12</f>
        <v>0</v>
      </c>
      <c r="GM11" s="23">
        <f>EXP(-LN(2)/25)*GM10+(1-EXP(-LN(2)/25))/(LN(2)/25)*Calculateur!GH11*Calculateur!GJ11*VLOOKUP('Données projet'!$B$9,Paramètres!$A$1:$I$88,3,0)*0.475*44/12</f>
        <v>0</v>
      </c>
      <c r="GN11" s="23">
        <f>EXP(-LN(2)/2)*GN10+(1-EXP(-LN(2)/2))/(LN(2)/2)*GH11*GK11*VLOOKUP('Données projet'!$B$9,Paramètres!$A$1:$I$88,3,0)*0.475*44/12</f>
        <v>0</v>
      </c>
      <c r="GO11" s="23">
        <f t="shared" si="36"/>
        <v>0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IF(A11&lt;'Données projet'!$A$270,$GR$205^A11,IF(A11='Données projet'!$A$270,'Données projet'!$B$270,GU10+GT11-HC10))</f>
        <v>0</v>
      </c>
      <c r="GV11" s="18" t="e">
        <f>GU11*VLOOKUP('Données projet'!$B$18,Paramètres!$A$1:$I$88,3,0)*VLOOKUP('Données projet'!$B$18,Paramètres!$A$1:$I$88,5,0)</f>
        <v>#N/A</v>
      </c>
      <c r="GW11" s="14" t="e">
        <f t="shared" si="52"/>
        <v>#N/A</v>
      </c>
      <c r="GX11" s="22" t="e">
        <f t="shared" si="37"/>
        <v>#N/A</v>
      </c>
      <c r="GY11" s="62" t="e">
        <f t="shared" si="38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39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projet'!$B$18,Paramètres!$A$1:$I$88,7,0))</f>
        <v>0</v>
      </c>
      <c r="HE11" s="17">
        <f>IF(ISNA(VLOOKUP(A11,'Données projet'!$A$269:$I$289,6,0)),0%,VLOOKUP(A11,'Données projet'!$A$269:$I$289,6,0)*VLOOKUP('Données projet'!$B$18,Paramètres!$A$1:$I$88,7,0))</f>
        <v>0</v>
      </c>
      <c r="HF11" s="17">
        <f>IF(ISNA(VLOOKUP(A11,'Données projet'!$A$269:$I$289,7,0)),0%,VLOOKUP(A11,'Données projet'!$A$269:$I$289,7,0))</f>
        <v>0</v>
      </c>
      <c r="HG11" s="23">
        <f>EXP(-LN(2)/35)*HG10+(1-EXP(-LN(2)/35))/(LN(2)/35)*HC11*HD11*VLOOKUP('Données projet'!$B$9,Paramètres!$A$1:$I$88,3,0)*0.475*44/12</f>
        <v>0</v>
      </c>
      <c r="HH11" s="23">
        <f>EXP(-LN(2)/25)*HH10+(1-EXP(-LN(2)/25))/(LN(2)/25)*Calculateur!HC11*Calculateur!HE11*VLOOKUP('Données projet'!$B$9,Paramètres!$A$1:$I$88,3,0)*0.475*44/12</f>
        <v>0</v>
      </c>
      <c r="HI11" s="23">
        <f>EXP(-LN(2)/2)*HI10+(1-EXP(-LN(2)/2))/(LN(2)/2)*HC11*HF11*VLOOKUP('Données projet'!$B$9,Paramètres!$A$1:$I$88,3,0)*0.475*44/12</f>
        <v>0</v>
      </c>
      <c r="HJ11" s="24">
        <f t="shared" si="40"/>
        <v>0</v>
      </c>
    </row>
    <row r="12" spans="1:218" s="5" customFormat="1" x14ac:dyDescent="0.25">
      <c r="A12" s="11">
        <f t="shared" si="4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" s="12">
        <f t="shared" si="4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135.66666666666666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1.5341666666666667</v>
      </c>
      <c r="N12" s="14">
        <f>IF(A12&lt;'Données projet'!$A$36,$K$205^A12,IF(A12='Données projet'!$A$36,'Données projet'!$B$36,N11+M12-V11))</f>
        <v>11.675763465481689</v>
      </c>
      <c r="O12" s="14">
        <f>N12*VLOOKUP('Données projet'!$B$9,Paramètres!$A$1:$I$88,3,0)*VLOOKUP('Données projet'!$B$9,Paramètres!$A$1:$I$88,5,0)</f>
        <v>13.450479512234905</v>
      </c>
      <c r="P12" s="14">
        <f t="shared" si="43"/>
        <v>4.5804142387533915</v>
      </c>
      <c r="Q12" s="22">
        <f t="shared" si="2"/>
        <v>31.403806616304621</v>
      </c>
      <c r="R12" s="62">
        <f t="shared" si="0"/>
        <v>180.04123725352312</v>
      </c>
      <c r="S12" s="62">
        <f ca="1">AVERAGE(OFFSET($R$3,0,0,'Données projet'!$E$9+1,1))-AVERAGE(OFFSET($H$3,0,0,'Données projet'!$E$9+1,1))</f>
        <v>314.72063458462026</v>
      </c>
      <c r="T12" s="62">
        <f t="shared" si="3"/>
        <v>216.4380325968244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projet'!$B$9,Paramètres!$A$1:$I$88,7,0))</f>
        <v>0</v>
      </c>
      <c r="X12" s="17">
        <f>IF(ISNA(VLOOKUP(A12,'Données projet'!$A$35:$I$55,6,0)),0%,VLOOKUP(A12,'Données projet'!$A$35:$I$55,6,0)*VLOOKUP('Données projet'!$B$9,Paramètres!$A$1:$I$88,7,0))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projet'!$B$9,Paramètres!$A$1:$I$88,3,0)*0.475*44/12</f>
        <v>0</v>
      </c>
      <c r="AA12" s="23">
        <f>EXP(-LN(2)/25)*AA11+(1-EXP(-LN(2)/25))/(LN(2)/25)*Calculateur!V12*Calculateur!X12*VLOOKUP('Données projet'!$B$9,Paramètres!$A$1:$I$88,3,0)*0.475*44/12</f>
        <v>0</v>
      </c>
      <c r="AB12" s="23">
        <f>EXP(-LN(2)/2)*AB11+(1-EXP(-LN(2)/2))/(LN(2)/2)*V12*Y12*VLOOKUP('Données projet'!$B$9,Paramètres!$A$1:$I$88,3,0)*0.475*44/12</f>
        <v>0</v>
      </c>
      <c r="AC12" s="24">
        <f t="shared" si="4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2</v>
      </c>
      <c r="AI12" s="14">
        <f>IF(A12&lt;'Données projet'!$A$62,$AF$205^A12,IF(A12='Données projet'!$A$62,'Données projet'!$B$62,AI11+AH12-AQ11))</f>
        <v>4.0891138416820842</v>
      </c>
      <c r="AJ12" s="14">
        <f>AI12*VLOOKUP('Données projet'!$B$10,Paramètres!$A$1:$I$88,3,0)*VLOOKUP('Données projet'!$B$10,Paramètres!$A$1:$I$88,5,0)</f>
        <v>4.2739417873261152</v>
      </c>
      <c r="AK12" s="14">
        <f t="shared" si="44"/>
        <v>1.6632296487907863</v>
      </c>
      <c r="AL12" s="22">
        <f t="shared" si="5"/>
        <v>10.34057358457027</v>
      </c>
      <c r="AM12" s="62">
        <f t="shared" si="6"/>
        <v>158.97800422178878</v>
      </c>
      <c r="AN12" s="62">
        <f ca="1">AVERAGE(OFFSET($AM$3,0,0,'Données projet'!$E$10+1,1))-AVERAGE(OFFSET($H$3,0,0,'Données projet'!$E$10+1,1))</f>
        <v>458.33072853676879</v>
      </c>
      <c r="AO12" s="62">
        <f t="shared" si="7"/>
        <v>254.1734169352687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projet'!$B$10,Paramètres!$A$1:$I$88,7,0))</f>
        <v>0</v>
      </c>
      <c r="AS12" s="17">
        <f>IF(ISNA(VLOOKUP(A12,'Données projet'!$A$61:$I$81,6,0)),0%,VLOOKUP(A12,'Données projet'!$A$61:$I$81,6,0)*VLOOKUP('Données projet'!$B$10,Paramètres!$A$1:$I$88,7,0))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projet'!$B$9,Paramètres!$A$1:$I$88,3,0)*0.475*44/12</f>
        <v>0</v>
      </c>
      <c r="AV12" s="23">
        <f>EXP(-LN(2)/25)*AV11+(1-EXP(-LN(2)/25))/(LN(2)/25)*Calculateur!AQ12*Calculateur!AS12*VLOOKUP('Données projet'!$B$9,Paramètres!$A$1:$I$88,3,0)*0.475*44/12</f>
        <v>0</v>
      </c>
      <c r="AW12" s="23">
        <f>EXP(-LN(2)/2)*AW11+(1-EXP(-LN(2)/2))/(LN(2)/2)*AQ12*AT12*VLOOKUP('Données projet'!$B$9,Paramètres!$A$1:$I$88,3,0)*0.475*44/12</f>
        <v>0</v>
      </c>
      <c r="AX12" s="23">
        <f t="shared" si="8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2</v>
      </c>
      <c r="BD12" s="13">
        <f>IF(A12&lt;'Données projet'!$A$88,$BA$205^A12,IF(A12='Données projet'!$A$88,'Données projet'!$B$88,BD11+BC12-BL11))</f>
        <v>4.0891138416820842</v>
      </c>
      <c r="BE12" s="14">
        <f>BD12*VLOOKUP('Données projet'!$B$11,Paramètres!$A$1:$I$88,3,0)*VLOOKUP('Données projet'!$B$11,Paramètres!$A$1:$I$88,5,0)</f>
        <v>4.146361435465634</v>
      </c>
      <c r="BF12" s="14">
        <f t="shared" si="45"/>
        <v>1.6192830295734562</v>
      </c>
      <c r="BG12" s="22">
        <f t="shared" si="9"/>
        <v>10.041830776609748</v>
      </c>
      <c r="BH12" s="62">
        <f t="shared" si="10"/>
        <v>158.67926141382824</v>
      </c>
      <c r="BI12" s="62">
        <f ca="1">AVERAGE(OFFSET($BH$3,0,0,'Données projet'!$E$11+1,1))-AVERAGE(OFFSET($H$3,0,0,'Données projet'!$E$11+1,1))</f>
        <v>447.82618173893104</v>
      </c>
      <c r="BJ12" s="62">
        <f t="shared" si="11"/>
        <v>248.96509970783379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projet'!$B$11,Paramètres!$A$1:$I$88,7,0))</f>
        <v>0</v>
      </c>
      <c r="BN12" s="17">
        <f>IF(ISNA(VLOOKUP(A12,'Données projet'!$A$87:$I$107,6,0)),0%,VLOOKUP(A12,'Données projet'!$A$87:$I$107,6,0)*VLOOKUP('Données projet'!$B$11,Paramètres!$A$1:$I$88,7,0))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projet'!$B$9,Paramètres!$A$1:$I$88,3,0)*0.475*44/12</f>
        <v>0</v>
      </c>
      <c r="BQ12" s="23">
        <f>EXP(-LN(2)/25)*BQ11+(1-EXP(-LN(2)/25))/(LN(2)/25)*Calculateur!BL12*Calculateur!BN12*VLOOKUP('Données projet'!$B$9,Paramètres!$A$1:$I$88,3,0)*0.475*44/12</f>
        <v>0</v>
      </c>
      <c r="BR12" s="23">
        <f>EXP(-LN(2)/2)*BR11+(1-EXP(-LN(2)/2))/(LN(2)/2)*BL12*BO12*VLOOKUP('Données projet'!$B$9,Paramètres!$A$1:$I$88,3,0)*0.475*44/12</f>
        <v>0</v>
      </c>
      <c r="BS12" s="24">
        <f t="shared" si="12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2</v>
      </c>
      <c r="BY12" s="13">
        <f>IF(A12&lt;'Données projet'!$A$114,$BV$205^A12,IF(A12='Données projet'!$A$114,'Données projet'!$B$114,BY11+BX12-CG11))</f>
        <v>4.0891138416820842</v>
      </c>
      <c r="BZ12" s="14">
        <f>BY12*VLOOKUP('Données projet'!$B$12,Paramètres!$A$1:$I$88,3,0)*VLOOKUP('Données projet'!$B$12,Paramètres!$A$1:$I$88,5,0)</f>
        <v>4.4015221391865955</v>
      </c>
      <c r="CA12" s="14">
        <f t="shared" si="46"/>
        <v>1.707023810958924</v>
      </c>
      <c r="CB12" s="22">
        <f t="shared" si="13"/>
        <v>10.639050863170111</v>
      </c>
      <c r="CC12" s="62">
        <f t="shared" si="14"/>
        <v>159.2764815003886</v>
      </c>
      <c r="CD12" s="62">
        <f ca="1">AVERAGE(OFFSET($CC$3,0,0,'Données projet'!$E$12+1,1))-AVERAGE(OFFSET($H$3,0,0,'Données projet'!$E$12+1,1))</f>
        <v>468.82871618425406</v>
      </c>
      <c r="CE12" s="62">
        <f t="shared" si="15"/>
        <v>259.37818128554397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projet'!$B$12,Paramètres!$A$1:$I$88,7,0))</f>
        <v>0</v>
      </c>
      <c r="CI12" s="17">
        <f>IF(ISNA(VLOOKUP(A12,'Données projet'!$A$113:$I$133,6,0)),0%,VLOOKUP(A12,'Données projet'!$A$113:$I$133,6,0)*VLOOKUP('Données projet'!$B$12,Paramètres!$A$1:$I$88,7,0))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projet'!$B$9,Paramètres!$A$1:$I$88,3,0)*0.475*44/12</f>
        <v>0</v>
      </c>
      <c r="CL12" s="23">
        <f>EXP(-LN(2)/25)*CL11+(1-EXP(-LN(2)/25))/(LN(2)/25)*Calculateur!CG12*Calculateur!CI12*VLOOKUP('Données projet'!$B$9,Paramètres!$A$1:$I$88,3,0)*0.475*44/12</f>
        <v>0</v>
      </c>
      <c r="CM12" s="23">
        <f>EXP(-LN(2)/2)*CM11+(1-EXP(-LN(2)/2))/(LN(2)/2)*CG12*CJ12*VLOOKUP('Données projet'!$B$9,Paramètres!$A$1:$I$88,3,0)*0.475*44/12</f>
        <v>0</v>
      </c>
      <c r="CN12" s="24">
        <f t="shared" si="16"/>
        <v>0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2</v>
      </c>
      <c r="CT12" s="13">
        <f>IF(A12&lt;'Données projet'!$A$140,$CQ$205^A12,IF(A12='Données projet'!$A$140,'Données projet'!$B$140,CT11+CS12-DB11))</f>
        <v>4.0891138416820842</v>
      </c>
      <c r="CU12" s="18">
        <f>CT12*VLOOKUP('Données projet'!$B$13,Paramètres!$A$1:$I$88,3,0)*VLOOKUP('Données projet'!$B$13,Paramètres!$A$1:$I$88,5,0)</f>
        <v>3.5084596761632287</v>
      </c>
      <c r="CV12" s="14">
        <f t="shared" si="47"/>
        <v>1.3970662297898158</v>
      </c>
      <c r="CW12" s="22">
        <f t="shared" si="17"/>
        <v>8.5437909528682194</v>
      </c>
      <c r="CX12" s="62">
        <f t="shared" si="18"/>
        <v>157.18122159008672</v>
      </c>
      <c r="CY12" s="62">
        <f ca="1">AVERAGE(OFFSET($CX$3,0,0,'Données projet'!$E$13+1,1))-AVERAGE(OFFSET($H$3,0,0,'Données projet'!$E$13+1,1))</f>
        <v>395.19659151668884</v>
      </c>
      <c r="CZ12" s="62">
        <f t="shared" si="19"/>
        <v>222.86563304507339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projet'!$B$13,Paramètres!$A$1:$I$88,7,0))</f>
        <v>0</v>
      </c>
      <c r="DD12" s="17">
        <f>IF(ISNA(VLOOKUP(A12,'Données projet'!$A$139:$I$159,6,0)),0%,VLOOKUP(A12,'Données projet'!$A$139:$I$159,6,0)*VLOOKUP('Données projet'!$B$13,Paramètres!$A$1:$I$88,7,0))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projet'!$B$9,Paramètres!$A$1:$I$88,3,0)*0.475*44/12</f>
        <v>0</v>
      </c>
      <c r="DG12" s="23">
        <f>EXP(-LN(2)/25)*DG11+(1-EXP(-LN(2)/25))/(LN(2)/25)*Calculateur!DB12*Calculateur!DD12*VLOOKUP('Données projet'!$B$9,Paramètres!$A$1:$I$88,3,0)*0.475*44/12</f>
        <v>0</v>
      </c>
      <c r="DH12" s="23">
        <f>EXP(-LN(2)/2)*DH11+(1-EXP(-LN(2)/2))/(LN(2)/2)*DB12*DE12*VLOOKUP('Données projet'!$B$9,Paramètres!$A$1:$I$88,3,0)*0.475*44/12</f>
        <v>0</v>
      </c>
      <c r="DI12" s="24">
        <f t="shared" si="20"/>
        <v>0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2.2749999999999999</v>
      </c>
      <c r="DO12" s="13">
        <f>IF(A12&lt;'Données projet'!$A$166,$DL$205^A12,IF(A12='Données projet'!$A$166,'Données projet'!$B$166,DO11+DN12-DW11))</f>
        <v>2.759207191383509</v>
      </c>
      <c r="DP12" s="18">
        <f>DO12*VLOOKUP('Données projet'!$B$14,Paramètres!$A$1:$I$88,3,0)*VLOOKUP('Données projet'!$B$14,Paramètres!$A$1:$I$88,5,0)</f>
        <v>1.6141362069593528</v>
      </c>
      <c r="DQ12" s="14">
        <f t="shared" si="48"/>
        <v>0.70353872495860559</v>
      </c>
      <c r="DR12" s="22">
        <f t="shared" si="21"/>
        <v>4.0366171730904439</v>
      </c>
      <c r="DS12" s="62">
        <f t="shared" si="22"/>
        <v>152.67404781030893</v>
      </c>
      <c r="DT12" s="62">
        <f ca="1">AVERAGE(OFFSET($DS$3,0,0,'Données projet'!$E$14+1,1))-AVERAGE(OFFSET($H$3,0,0,'Données projet'!$E$14+1,1))</f>
        <v>155.18073137151848</v>
      </c>
      <c r="DU12" s="62">
        <f t="shared" si="23"/>
        <v>115.19459155667272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projet'!$B$14,Paramètres!$A$1:$I$88,7,0))</f>
        <v>0</v>
      </c>
      <c r="DY12" s="17">
        <f>IF(ISNA(VLOOKUP(A12,'Données projet'!$A$165:$I$185,6,0)),0%,VLOOKUP(A12,'Données projet'!$A$165:$I$185,6,0)*VLOOKUP('Données projet'!$B$14,Paramètres!$A$1:$I$88,7,0))</f>
        <v>0</v>
      </c>
      <c r="DZ12" s="17">
        <f>IF(ISNA(VLOOKUP(A12,'Données projet'!$A$165:$I$185,7,0)),0%,VLOOKUP(A12,'Données projet'!$A$165:$I$185,7,0))</f>
        <v>0</v>
      </c>
      <c r="EA12" s="23">
        <f>EXP(-LN(2)/35)*EA11+(1-EXP(-LN(2)/35))/(LN(2)/35)*DW12*DX12*VLOOKUP('Données projet'!$B$9,Paramètres!$A$1:$I$88,3,0)*0.475*44/12</f>
        <v>0</v>
      </c>
      <c r="EB12" s="23">
        <f>EXP(-LN(2)/25)*EB11+(1-EXP(-LN(2)/25))/(LN(2)/25)*Calculateur!DW12*Calculateur!DY12*VLOOKUP('Données projet'!$B$9,Paramètres!$A$1:$I$88,3,0)*0.475*44/12</f>
        <v>0</v>
      </c>
      <c r="EC12" s="23">
        <f>EXP(-LN(2)/2)*EC11+(1-EXP(-LN(2)/2))/(LN(2)/2)*DW12*DZ12*VLOOKUP('Données projet'!$B$9,Paramètres!$A$1:$I$88,3,0)*0.475*44/12</f>
        <v>0</v>
      </c>
      <c r="ED12" s="24">
        <f t="shared" si="24"/>
        <v>0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3.25</v>
      </c>
      <c r="EJ12" s="13">
        <f>IF(A12&lt;'Données projet'!$A$192,$EG$205^A12,IF(A12='Données projet'!$A$192,'Données projet'!$B$192,EJ11+EI12-ER11))</f>
        <v>2.2054905014209258</v>
      </c>
      <c r="EK12" s="18">
        <f>EJ12*VLOOKUP('Données projet'!$B$15,Paramètres!$A$1:$I$88,3,0)*VLOOKUP('Données projet'!$B$15,Paramètres!$A$1:$I$88,5,0)</f>
        <v>1.0321695546649934</v>
      </c>
      <c r="EL12" s="14">
        <f t="shared" si="49"/>
        <v>0.47391721864701569</v>
      </c>
      <c r="EM12" s="22">
        <f t="shared" si="25"/>
        <v>2.6231011301850824</v>
      </c>
      <c r="EN12" s="62">
        <f t="shared" si="26"/>
        <v>151.26053176740359</v>
      </c>
      <c r="EO12" s="62">
        <f ca="1">AVERAGE(OFFSET($EN$3,0,0,'Données projet'!$E$15+1,1))-AVERAGE(OFFSET($H$3,0,0,'Données projet'!$E$15+1,1))</f>
        <v>238.59014604384171</v>
      </c>
      <c r="EP12" s="62">
        <f t="shared" si="27"/>
        <v>90.841373219575217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projet'!$B$15,Paramètres!$A$1:$I$88,7,0))</f>
        <v>0</v>
      </c>
      <c r="ET12" s="17">
        <f>IF(ISNA(VLOOKUP(A12,'Données projet'!$A$191:$I$211,6,0)),0%,VLOOKUP(A12,'Données projet'!$A$191:$I$211,6,0)*VLOOKUP('Données projet'!$B$15,Paramètres!$A$1:$I$88,7,0))</f>
        <v>0</v>
      </c>
      <c r="EU12" s="17">
        <f>IF(ISNA(VLOOKUP(A12,'Données projet'!$A$191:$I$211,7,0)),0%,VLOOKUP(A12,'Données projet'!$A$191:$I$211,7,0))</f>
        <v>0</v>
      </c>
      <c r="EV12" s="23">
        <f>EXP(-LN(2)/35)*EV11+(1-EXP(-LN(2)/35))/(LN(2)/35)*ER12*ES12*VLOOKUP('Données projet'!$B$9,Paramètres!$A$1:$I$88,3,0)*0.475*44/12</f>
        <v>0</v>
      </c>
      <c r="EW12" s="23">
        <f>EXP(-LN(2)/25)*EW11+(1-EXP(-LN(2)/25))/(LN(2)/25)*Calculateur!ER12*Calculateur!ET12*VLOOKUP('Données projet'!$B$9,Paramètres!$A$1:$I$88,3,0)*0.475*44/12</f>
        <v>0</v>
      </c>
      <c r="EX12" s="23">
        <f>EXP(-LN(2)/2)*EX11+(1-EXP(-LN(2)/2))/(LN(2)/2)*ER12*EU12*VLOOKUP('Données projet'!$B$9,Paramètres!$A$1:$I$88,3,0)*0.475*44/12</f>
        <v>0</v>
      </c>
      <c r="EY12" s="24">
        <f t="shared" si="28"/>
        <v>0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IF(A12&lt;'Données projet'!$A$218,$FB$205^A12,IF(A12='Données projet'!$A$218,'Données projet'!$B$218,FE11+FD12-FM11))</f>
        <v>0</v>
      </c>
      <c r="FF12" s="18" t="e">
        <f>FE12*VLOOKUP('Données projet'!$B$16,Paramètres!$A$1:$I$88,3,0)*VLOOKUP('Données projet'!$B$16,Paramètres!$A$1:$I$88,5,0)</f>
        <v>#N/A</v>
      </c>
      <c r="FG12" s="14" t="e">
        <f t="shared" si="50"/>
        <v>#N/A</v>
      </c>
      <c r="FH12" s="22" t="e">
        <f t="shared" si="29"/>
        <v>#N/A</v>
      </c>
      <c r="FI12" s="62" t="e">
        <f t="shared" si="30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31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projet'!$B$16,Paramètres!$A$1:$I$88,7,0))</f>
        <v>0</v>
      </c>
      <c r="FO12" s="17">
        <f>IF(ISNA(VLOOKUP(A12,'Données projet'!$A$217:$I$237,6,0)),0%,VLOOKUP(A12,'Données projet'!$A$217:$I$237,6,0)*VLOOKUP('Données projet'!$B$16,Paramètres!$A$1:$I$88,7,0))</f>
        <v>0</v>
      </c>
      <c r="FP12" s="17">
        <f>IF(ISNA(VLOOKUP(A12,'Données projet'!$A$217:$I$237,7,0)),0%,VLOOKUP(A12,'Données projet'!$A$217:$I$237,7,0))</f>
        <v>0</v>
      </c>
      <c r="FQ12" s="23">
        <f>EXP(-LN(2)/35)*FQ11+(1-EXP(-LN(2)/35))/(LN(2)/35)*FM12*FN12*VLOOKUP('Données projet'!$B$9,Paramètres!$A$1:$I$88,3,0)*0.475*44/12</f>
        <v>0</v>
      </c>
      <c r="FR12" s="23">
        <f>EXP(-LN(2)/25)*FR11+(1-EXP(-LN(2)/25))/(LN(2)/25)*Calculateur!FM12*Calculateur!FO12*VLOOKUP('Données projet'!$B$9,Paramètres!$A$1:$I$88,3,0)*0.475*44/12</f>
        <v>0</v>
      </c>
      <c r="FS12" s="23">
        <f>EXP(-LN(2)/2)*FS11+(1-EXP(-LN(2)/2))/(LN(2)/2)*FM12*FP12*VLOOKUP('Données projet'!$B$9,Paramètres!$A$1:$I$88,3,0)*0.475*44/12</f>
        <v>0</v>
      </c>
      <c r="FT12" s="24">
        <f t="shared" si="32"/>
        <v>0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IF(A12&lt;'Données projet'!$A$244,$FW$205^A12,IF(A12='Données projet'!$A$244,'Données projet'!$B$244,FZ11+FY12-GH11))</f>
        <v>0</v>
      </c>
      <c r="GA12" s="18" t="e">
        <f>FZ12*VLOOKUP('Données projet'!$B$17,Paramètres!$A$1:$I$88,3,0)*VLOOKUP('Données projet'!$B$17,Paramètres!$A$1:$I$88,5,0)</f>
        <v>#N/A</v>
      </c>
      <c r="GB12" s="14" t="e">
        <f t="shared" si="51"/>
        <v>#N/A</v>
      </c>
      <c r="GC12" s="22" t="e">
        <f t="shared" si="33"/>
        <v>#N/A</v>
      </c>
      <c r="GD12" s="62" t="e">
        <f t="shared" si="34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35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projet'!$B$17,Paramètres!$A$1:$I$88,7,0))</f>
        <v>0</v>
      </c>
      <c r="GJ12" s="17">
        <f>IF(ISNA(VLOOKUP(A12,'Données projet'!$A$243:$I$263,6,0)),0%,VLOOKUP(A12,'Données projet'!$A$243:$I$263,6,0)*VLOOKUP('Données projet'!$B$17,Paramètres!$A$1:$I$88,7,0))</f>
        <v>0</v>
      </c>
      <c r="GK12" s="17">
        <f>IF(ISNA(VLOOKUP(A12,'Données projet'!$A$243:$I$263,7,0)),0%,VLOOKUP(A12,'Données projet'!$A$243:$I$263,7,0))</f>
        <v>0</v>
      </c>
      <c r="GL12" s="23">
        <f>EXP(-LN(2)/35)*GL11+(1-EXP(-LN(2)/35))/(LN(2)/35)*GH12*GI12*VLOOKUP('Données projet'!$B$9,Paramètres!$A$1:$I$88,3,0)*0.475*44/12</f>
        <v>0</v>
      </c>
      <c r="GM12" s="23">
        <f>EXP(-LN(2)/25)*GM11+(1-EXP(-LN(2)/25))/(LN(2)/25)*Calculateur!GH12*Calculateur!GJ12*VLOOKUP('Données projet'!$B$9,Paramètres!$A$1:$I$88,3,0)*0.475*44/12</f>
        <v>0</v>
      </c>
      <c r="GN12" s="23">
        <f>EXP(-LN(2)/2)*GN11+(1-EXP(-LN(2)/2))/(LN(2)/2)*GH12*GK12*VLOOKUP('Données projet'!$B$9,Paramètres!$A$1:$I$88,3,0)*0.475*44/12</f>
        <v>0</v>
      </c>
      <c r="GO12" s="23">
        <f t="shared" si="36"/>
        <v>0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IF(A12&lt;'Données projet'!$A$270,$GR$205^A12,IF(A12='Données projet'!$A$270,'Données projet'!$B$270,GU11+GT12-HC11))</f>
        <v>0</v>
      </c>
      <c r="GV12" s="18" t="e">
        <f>GU12*VLOOKUP('Données projet'!$B$18,Paramètres!$A$1:$I$88,3,0)*VLOOKUP('Données projet'!$B$18,Paramètres!$A$1:$I$88,5,0)</f>
        <v>#N/A</v>
      </c>
      <c r="GW12" s="14" t="e">
        <f t="shared" si="52"/>
        <v>#N/A</v>
      </c>
      <c r="GX12" s="22" t="e">
        <f t="shared" si="37"/>
        <v>#N/A</v>
      </c>
      <c r="GY12" s="62" t="e">
        <f t="shared" si="38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39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projet'!$B$18,Paramètres!$A$1:$I$88,7,0))</f>
        <v>0</v>
      </c>
      <c r="HE12" s="17">
        <f>IF(ISNA(VLOOKUP(A12,'Données projet'!$A$269:$I$289,6,0)),0%,VLOOKUP(A12,'Données projet'!$A$269:$I$289,6,0)*VLOOKUP('Données projet'!$B$18,Paramètres!$A$1:$I$88,7,0))</f>
        <v>0</v>
      </c>
      <c r="HF12" s="17">
        <f>IF(ISNA(VLOOKUP(A12,'Données projet'!$A$269:$I$289,7,0)),0%,VLOOKUP(A12,'Données projet'!$A$269:$I$289,7,0))</f>
        <v>0</v>
      </c>
      <c r="HG12" s="23">
        <f>EXP(-LN(2)/35)*HG11+(1-EXP(-LN(2)/35))/(LN(2)/35)*HC12*HD12*VLOOKUP('Données projet'!$B$9,Paramètres!$A$1:$I$88,3,0)*0.475*44/12</f>
        <v>0</v>
      </c>
      <c r="HH12" s="23">
        <f>EXP(-LN(2)/25)*HH11+(1-EXP(-LN(2)/25))/(LN(2)/25)*Calculateur!HC12*Calculateur!HE12*VLOOKUP('Données projet'!$B$9,Paramètres!$A$1:$I$88,3,0)*0.475*44/12</f>
        <v>0</v>
      </c>
      <c r="HI12" s="23">
        <f>EXP(-LN(2)/2)*HI11+(1-EXP(-LN(2)/2))/(LN(2)/2)*HC12*HF12*VLOOKUP('Données projet'!$B$9,Paramètres!$A$1:$I$88,3,0)*0.475*44/12</f>
        <v>0</v>
      </c>
      <c r="HJ12" s="24">
        <f t="shared" si="40"/>
        <v>0</v>
      </c>
    </row>
    <row r="13" spans="1:218" s="5" customFormat="1" x14ac:dyDescent="0.25">
      <c r="A13" s="11">
        <f t="shared" si="4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" s="12">
        <f t="shared" si="4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135.66666666666666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>
        <f>VLOOKUP(A13,'Données projet'!$A$35:$I$55,2,0)</f>
        <v>15.341666666666667</v>
      </c>
      <c r="L13" s="13">
        <f>VLOOKUP(A13,'Données projet'!$A$35:$I$55,9,0)</f>
        <v>1.5341666666666667</v>
      </c>
      <c r="M13" s="13">
        <f t="array" ref="M13">INDEX(L:L,MIN(IF(ISNUMBER(L13:L209),ROW(L13:L209),"")))</f>
        <v>1.5341666666666667</v>
      </c>
      <c r="N13" s="14">
        <f>IF(A13&lt;'Données projet'!$A$36,$K$205^A13,IF(A13='Données projet'!$A$36,'Données projet'!$B$36,N12+M13-V12))</f>
        <v>15.341666666666667</v>
      </c>
      <c r="O13" s="14">
        <f>N13*VLOOKUP('Données projet'!$B$9,Paramètres!$A$1:$I$88,3,0)*VLOOKUP('Données projet'!$B$9,Paramètres!$A$1:$I$88,5,0)</f>
        <v>17.6736</v>
      </c>
      <c r="P13" s="14">
        <f t="shared" si="43"/>
        <v>5.8302671336764922</v>
      </c>
      <c r="Q13" s="22">
        <f t="shared" si="2"/>
        <v>40.935901924486565</v>
      </c>
      <c r="R13" s="62">
        <f t="shared" si="0"/>
        <v>192.86044591953257</v>
      </c>
      <c r="S13" s="62">
        <f ca="1">AVERAGE(OFFSET($R$3,0,0,'Données projet'!$E$9+1,1))-AVERAGE(OFFSET($H$3,0,0,'Données projet'!$E$9+1,1))</f>
        <v>314.72063458462026</v>
      </c>
      <c r="T13" s="62">
        <f t="shared" si="3"/>
        <v>216.4380325968244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projet'!$B$9,Paramètres!$A$1:$I$88,7,0))</f>
        <v>0</v>
      </c>
      <c r="X13" s="17">
        <f>IF(ISNA(VLOOKUP(A13,'Données projet'!$A$35:$I$55,6,0)),0%,VLOOKUP(A13,'Données projet'!$A$35:$I$55,6,0)*VLOOKUP('Données projet'!$B$9,Paramètres!$A$1:$I$88,7,0))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projet'!$B$9,Paramètres!$A$1:$I$88,3,0)*0.475*44/12</f>
        <v>0</v>
      </c>
      <c r="AA13" s="23">
        <f>EXP(-LN(2)/25)*AA12+(1-EXP(-LN(2)/25))/(LN(2)/25)*Calculateur!V13*Calculateur!X13*VLOOKUP('Données projet'!$B$9,Paramètres!$A$1:$I$88,3,0)*0.475*44/12</f>
        <v>0</v>
      </c>
      <c r="AB13" s="23">
        <f>EXP(-LN(2)/2)*AB12+(1-EXP(-LN(2)/2))/(LN(2)/2)*V13*Y13*VLOOKUP('Données projet'!$B$9,Paramètres!$A$1:$I$88,3,0)*0.475*44/12</f>
        <v>0</v>
      </c>
      <c r="AC13" s="24">
        <f t="shared" si="4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2</v>
      </c>
      <c r="AI13" s="14">
        <f>IF(A13&lt;'Données projet'!$A$62,$AF$205^A13,IF(A13='Données projet'!$A$62,'Données projet'!$B$62,AI12+AH13-AQ12))</f>
        <v>4.781762498950183</v>
      </c>
      <c r="AJ13" s="14">
        <f>AI13*VLOOKUP('Données projet'!$B$10,Paramètres!$A$1:$I$88,3,0)*VLOOKUP('Données projet'!$B$10,Paramètres!$A$1:$I$88,5,0)</f>
        <v>4.9978981639027316</v>
      </c>
      <c r="AK13" s="14">
        <f t="shared" si="44"/>
        <v>1.9098559585823018</v>
      </c>
      <c r="AL13" s="22">
        <f t="shared" si="5"/>
        <v>12.031005096661431</v>
      </c>
      <c r="AM13" s="62">
        <f t="shared" si="6"/>
        <v>163.95554909170744</v>
      </c>
      <c r="AN13" s="62">
        <f ca="1">AVERAGE(OFFSET($AM$3,0,0,'Données projet'!$E$10+1,1))-AVERAGE(OFFSET($H$3,0,0,'Données projet'!$E$10+1,1))</f>
        <v>458.33072853676879</v>
      </c>
      <c r="AO13" s="62">
        <f t="shared" si="7"/>
        <v>254.1734169352687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projet'!$B$10,Paramètres!$A$1:$I$88,7,0))</f>
        <v>0</v>
      </c>
      <c r="AS13" s="17">
        <f>IF(ISNA(VLOOKUP(A13,'Données projet'!$A$61:$I$81,6,0)),0%,VLOOKUP(A13,'Données projet'!$A$61:$I$81,6,0)*VLOOKUP('Données projet'!$B$10,Paramètres!$A$1:$I$88,7,0))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projet'!$B$9,Paramètres!$A$1:$I$88,3,0)*0.475*44/12</f>
        <v>0</v>
      </c>
      <c r="AV13" s="23">
        <f>EXP(-LN(2)/25)*AV12+(1-EXP(-LN(2)/25))/(LN(2)/25)*Calculateur!AQ13*Calculateur!AS13*VLOOKUP('Données projet'!$B$9,Paramètres!$A$1:$I$88,3,0)*0.475*44/12</f>
        <v>0</v>
      </c>
      <c r="AW13" s="23">
        <f>EXP(-LN(2)/2)*AW12+(1-EXP(-LN(2)/2))/(LN(2)/2)*AQ13*AT13*VLOOKUP('Données projet'!$B$9,Paramètres!$A$1:$I$88,3,0)*0.475*44/12</f>
        <v>0</v>
      </c>
      <c r="AX13" s="23">
        <f t="shared" si="8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2</v>
      </c>
      <c r="BD13" s="13">
        <f>IF(A13&lt;'Données projet'!$A$88,$BA$205^A13,IF(A13='Données projet'!$A$88,'Données projet'!$B$88,BD12+BC13-BL12))</f>
        <v>4.781762498950183</v>
      </c>
      <c r="BE13" s="14">
        <f>BD13*VLOOKUP('Données projet'!$B$11,Paramètres!$A$1:$I$88,3,0)*VLOOKUP('Données projet'!$B$11,Paramètres!$A$1:$I$88,5,0)</f>
        <v>4.8487071739354857</v>
      </c>
      <c r="BF13" s="14">
        <f t="shared" si="45"/>
        <v>1.8593928655074605</v>
      </c>
      <c r="BG13" s="22">
        <f t="shared" si="9"/>
        <v>11.683274235363131</v>
      </c>
      <c r="BH13" s="62">
        <f t="shared" si="10"/>
        <v>163.60781823040915</v>
      </c>
      <c r="BI13" s="62">
        <f ca="1">AVERAGE(OFFSET($BH$3,0,0,'Données projet'!$E$11+1,1))-AVERAGE(OFFSET($H$3,0,0,'Données projet'!$E$11+1,1))</f>
        <v>447.82618173893104</v>
      </c>
      <c r="BJ13" s="62">
        <f t="shared" si="11"/>
        <v>248.96509970783379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projet'!$B$11,Paramètres!$A$1:$I$88,7,0))</f>
        <v>0</v>
      </c>
      <c r="BN13" s="17">
        <f>IF(ISNA(VLOOKUP(A13,'Données projet'!$A$87:$I$107,6,0)),0%,VLOOKUP(A13,'Données projet'!$A$87:$I$107,6,0)*VLOOKUP('Données projet'!$B$11,Paramètres!$A$1:$I$88,7,0))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projet'!$B$9,Paramètres!$A$1:$I$88,3,0)*0.475*44/12</f>
        <v>0</v>
      </c>
      <c r="BQ13" s="23">
        <f>EXP(-LN(2)/25)*BQ12+(1-EXP(-LN(2)/25))/(LN(2)/25)*Calculateur!BL13*Calculateur!BN13*VLOOKUP('Données projet'!$B$9,Paramètres!$A$1:$I$88,3,0)*0.475*44/12</f>
        <v>0</v>
      </c>
      <c r="BR13" s="23">
        <f>EXP(-LN(2)/2)*BR12+(1-EXP(-LN(2)/2))/(LN(2)/2)*BL13*BO13*VLOOKUP('Données projet'!$B$9,Paramètres!$A$1:$I$88,3,0)*0.475*44/12</f>
        <v>0</v>
      </c>
      <c r="BS13" s="24">
        <f t="shared" si="12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2</v>
      </c>
      <c r="BY13" s="13">
        <f>IF(A13&lt;'Données projet'!$A$114,$BV$205^A13,IF(A13='Données projet'!$A$114,'Données projet'!$B$114,BY12+BX13-CG12))</f>
        <v>4.781762498950183</v>
      </c>
      <c r="BZ13" s="14">
        <f>BY13*VLOOKUP('Données projet'!$B$12,Paramètres!$A$1:$I$88,3,0)*VLOOKUP('Données projet'!$B$12,Paramètres!$A$1:$I$88,5,0)</f>
        <v>5.1470891538699766</v>
      </c>
      <c r="CA13" s="14">
        <f t="shared" si="46"/>
        <v>1.960143988036771</v>
      </c>
      <c r="CB13" s="22">
        <f t="shared" si="13"/>
        <v>12.378431055487587</v>
      </c>
      <c r="CC13" s="62">
        <f t="shared" si="14"/>
        <v>164.3029750505336</v>
      </c>
      <c r="CD13" s="62">
        <f ca="1">AVERAGE(OFFSET($CC$3,0,0,'Données projet'!$E$12+1,1))-AVERAGE(OFFSET($H$3,0,0,'Données projet'!$E$12+1,1))</f>
        <v>468.82871618425406</v>
      </c>
      <c r="CE13" s="62">
        <f t="shared" si="15"/>
        <v>259.37818128554397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projet'!$B$12,Paramètres!$A$1:$I$88,7,0))</f>
        <v>0</v>
      </c>
      <c r="CI13" s="17">
        <f>IF(ISNA(VLOOKUP(A13,'Données projet'!$A$113:$I$133,6,0)),0%,VLOOKUP(A13,'Données projet'!$A$113:$I$133,6,0)*VLOOKUP('Données projet'!$B$12,Paramètres!$A$1:$I$88,7,0))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projet'!$B$9,Paramètres!$A$1:$I$88,3,0)*0.475*44/12</f>
        <v>0</v>
      </c>
      <c r="CL13" s="23">
        <f>EXP(-LN(2)/25)*CL12+(1-EXP(-LN(2)/25))/(LN(2)/25)*Calculateur!CG13*Calculateur!CI13*VLOOKUP('Données projet'!$B$9,Paramètres!$A$1:$I$88,3,0)*0.475*44/12</f>
        <v>0</v>
      </c>
      <c r="CM13" s="23">
        <f>EXP(-LN(2)/2)*CM12+(1-EXP(-LN(2)/2))/(LN(2)/2)*CG13*CJ13*VLOOKUP('Données projet'!$B$9,Paramètres!$A$1:$I$88,3,0)*0.475*44/12</f>
        <v>0</v>
      </c>
      <c r="CN13" s="24">
        <f t="shared" si="16"/>
        <v>0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2</v>
      </c>
      <c r="CT13" s="13">
        <f>IF(A13&lt;'Données projet'!$A$140,$CQ$205^A13,IF(A13='Données projet'!$A$140,'Données projet'!$B$140,CT12+CS13-DB12))</f>
        <v>4.781762498950183</v>
      </c>
      <c r="CU13" s="18">
        <f>CT13*VLOOKUP('Données projet'!$B$13,Paramètres!$A$1:$I$88,3,0)*VLOOKUP('Données projet'!$B$13,Paramètres!$A$1:$I$88,5,0)</f>
        <v>4.102752224099258</v>
      </c>
      <c r="CV13" s="14">
        <f t="shared" si="47"/>
        <v>1.6042254089434027</v>
      </c>
      <c r="CW13" s="22">
        <f t="shared" si="17"/>
        <v>9.9396527108826316</v>
      </c>
      <c r="CX13" s="62">
        <f t="shared" si="18"/>
        <v>161.86419670592863</v>
      </c>
      <c r="CY13" s="62">
        <f ca="1">AVERAGE(OFFSET($CX$3,0,0,'Données projet'!$E$13+1,1))-AVERAGE(OFFSET($H$3,0,0,'Données projet'!$E$13+1,1))</f>
        <v>395.19659151668884</v>
      </c>
      <c r="CZ13" s="62">
        <f t="shared" si="19"/>
        <v>222.86563304507339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projet'!$B$13,Paramètres!$A$1:$I$88,7,0))</f>
        <v>0</v>
      </c>
      <c r="DD13" s="17">
        <f>IF(ISNA(VLOOKUP(A13,'Données projet'!$A$139:$I$159,6,0)),0%,VLOOKUP(A13,'Données projet'!$A$139:$I$159,6,0)*VLOOKUP('Données projet'!$B$13,Paramètres!$A$1:$I$88,7,0))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projet'!$B$9,Paramètres!$A$1:$I$88,3,0)*0.475*44/12</f>
        <v>0</v>
      </c>
      <c r="DG13" s="23">
        <f>EXP(-LN(2)/25)*DG12+(1-EXP(-LN(2)/25))/(LN(2)/25)*Calculateur!DB13*Calculateur!DD13*VLOOKUP('Données projet'!$B$9,Paramètres!$A$1:$I$88,3,0)*0.475*44/12</f>
        <v>0</v>
      </c>
      <c r="DH13" s="23">
        <f>EXP(-LN(2)/2)*DH12+(1-EXP(-LN(2)/2))/(LN(2)/2)*DB13*DE13*VLOOKUP('Données projet'!$B$9,Paramètres!$A$1:$I$88,3,0)*0.475*44/12</f>
        <v>0</v>
      </c>
      <c r="DI13" s="24">
        <f t="shared" si="20"/>
        <v>0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2.2749999999999999</v>
      </c>
      <c r="DO13" s="13">
        <f>IF(A13&lt;'Données projet'!$A$166,$DL$205^A13,IF(A13='Données projet'!$A$166,'Données projet'!$B$166,DO12+DN13-DW12))</f>
        <v>3.0885906193876589</v>
      </c>
      <c r="DP13" s="18">
        <f>DO13*VLOOKUP('Données projet'!$B$14,Paramètres!$A$1:$I$88,3,0)*VLOOKUP('Données projet'!$B$14,Paramètres!$A$1:$I$88,5,0)</f>
        <v>1.8068255123417807</v>
      </c>
      <c r="DQ13" s="14">
        <f t="shared" si="48"/>
        <v>0.77725447599222985</v>
      </c>
      <c r="DR13" s="22">
        <f t="shared" si="21"/>
        <v>4.5006059796817359</v>
      </c>
      <c r="DS13" s="62">
        <f t="shared" si="22"/>
        <v>156.42514997472773</v>
      </c>
      <c r="DT13" s="62">
        <f ca="1">AVERAGE(OFFSET($DS$3,0,0,'Données projet'!$E$14+1,1))-AVERAGE(OFFSET($H$3,0,0,'Données projet'!$E$14+1,1))</f>
        <v>155.18073137151848</v>
      </c>
      <c r="DU13" s="62">
        <f t="shared" si="23"/>
        <v>115.19459155667272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projet'!$B$14,Paramètres!$A$1:$I$88,7,0))</f>
        <v>0</v>
      </c>
      <c r="DY13" s="17">
        <f>IF(ISNA(VLOOKUP(A13,'Données projet'!$A$165:$I$185,6,0)),0%,VLOOKUP(A13,'Données projet'!$A$165:$I$185,6,0)*VLOOKUP('Données projet'!$B$14,Paramètres!$A$1:$I$88,7,0))</f>
        <v>0</v>
      </c>
      <c r="DZ13" s="17">
        <f>IF(ISNA(VLOOKUP(A13,'Données projet'!$A$165:$I$185,7,0)),0%,VLOOKUP(A13,'Données projet'!$A$165:$I$185,7,0))</f>
        <v>0</v>
      </c>
      <c r="EA13" s="23">
        <f>EXP(-LN(2)/35)*EA12+(1-EXP(-LN(2)/35))/(LN(2)/35)*DW13*DX13*VLOOKUP('Données projet'!$B$9,Paramètres!$A$1:$I$88,3,0)*0.475*44/12</f>
        <v>0</v>
      </c>
      <c r="EB13" s="23">
        <f>EXP(-LN(2)/25)*EB12+(1-EXP(-LN(2)/25))/(LN(2)/25)*Calculateur!DW13*Calculateur!DY13*VLOOKUP('Données projet'!$B$9,Paramètres!$A$1:$I$88,3,0)*0.475*44/12</f>
        <v>0</v>
      </c>
      <c r="EC13" s="23">
        <f>EXP(-LN(2)/2)*EC12+(1-EXP(-LN(2)/2))/(LN(2)/2)*DW13*DZ13*VLOOKUP('Données projet'!$B$9,Paramètres!$A$1:$I$88,3,0)*0.475*44/12</f>
        <v>0</v>
      </c>
      <c r="ED13" s="24">
        <f t="shared" si="24"/>
        <v>0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3.25</v>
      </c>
      <c r="EJ13" s="13">
        <f>IF(A13&lt;'Données projet'!$A$192,$EG$205^A13,IF(A13='Données projet'!$A$192,'Données projet'!$B$192,EJ12+EI13-ER12))</f>
        <v>2.408088453036767</v>
      </c>
      <c r="EK13" s="18">
        <f>EJ13*VLOOKUP('Données projet'!$B$15,Paramètres!$A$1:$I$88,3,0)*VLOOKUP('Données projet'!$B$15,Paramètres!$A$1:$I$88,5,0)</f>
        <v>1.1269853960212071</v>
      </c>
      <c r="EL13" s="14">
        <f t="shared" si="49"/>
        <v>0.51218524644792163</v>
      </c>
      <c r="EM13" s="22">
        <f t="shared" si="25"/>
        <v>2.8548888689670648</v>
      </c>
      <c r="EN13" s="62">
        <f t="shared" si="26"/>
        <v>154.77943286401307</v>
      </c>
      <c r="EO13" s="62">
        <f ca="1">AVERAGE(OFFSET($EN$3,0,0,'Données projet'!$E$15+1,1))-AVERAGE(OFFSET($H$3,0,0,'Données projet'!$E$15+1,1))</f>
        <v>238.59014604384171</v>
      </c>
      <c r="EP13" s="62">
        <f t="shared" si="27"/>
        <v>90.841373219575217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projet'!$B$15,Paramètres!$A$1:$I$88,7,0))</f>
        <v>0</v>
      </c>
      <c r="ET13" s="17">
        <f>IF(ISNA(VLOOKUP(A13,'Données projet'!$A$191:$I$211,6,0)),0%,VLOOKUP(A13,'Données projet'!$A$191:$I$211,6,0)*VLOOKUP('Données projet'!$B$15,Paramètres!$A$1:$I$88,7,0))</f>
        <v>0</v>
      </c>
      <c r="EU13" s="17">
        <f>IF(ISNA(VLOOKUP(A13,'Données projet'!$A$191:$I$211,7,0)),0%,VLOOKUP(A13,'Données projet'!$A$191:$I$211,7,0))</f>
        <v>0</v>
      </c>
      <c r="EV13" s="23">
        <f>EXP(-LN(2)/35)*EV12+(1-EXP(-LN(2)/35))/(LN(2)/35)*ER13*ES13*VLOOKUP('Données projet'!$B$9,Paramètres!$A$1:$I$88,3,0)*0.475*44/12</f>
        <v>0</v>
      </c>
      <c r="EW13" s="23">
        <f>EXP(-LN(2)/25)*EW12+(1-EXP(-LN(2)/25))/(LN(2)/25)*Calculateur!ER13*Calculateur!ET13*VLOOKUP('Données projet'!$B$9,Paramètres!$A$1:$I$88,3,0)*0.475*44/12</f>
        <v>0</v>
      </c>
      <c r="EX13" s="23">
        <f>EXP(-LN(2)/2)*EX12+(1-EXP(-LN(2)/2))/(LN(2)/2)*ER13*EU13*VLOOKUP('Données projet'!$B$9,Paramètres!$A$1:$I$88,3,0)*0.475*44/12</f>
        <v>0</v>
      </c>
      <c r="EY13" s="24">
        <f t="shared" si="28"/>
        <v>0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IF(A13&lt;'Données projet'!$A$218,$FB$205^A13,IF(A13='Données projet'!$A$218,'Données projet'!$B$218,FE12+FD13-FM12))</f>
        <v>0</v>
      </c>
      <c r="FF13" s="18" t="e">
        <f>FE13*VLOOKUP('Données projet'!$B$16,Paramètres!$A$1:$I$88,3,0)*VLOOKUP('Données projet'!$B$16,Paramètres!$A$1:$I$88,5,0)</f>
        <v>#N/A</v>
      </c>
      <c r="FG13" s="14" t="e">
        <f t="shared" si="50"/>
        <v>#N/A</v>
      </c>
      <c r="FH13" s="22" t="e">
        <f t="shared" si="29"/>
        <v>#N/A</v>
      </c>
      <c r="FI13" s="62" t="e">
        <f t="shared" si="30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31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projet'!$B$16,Paramètres!$A$1:$I$88,7,0))</f>
        <v>0</v>
      </c>
      <c r="FO13" s="17">
        <f>IF(ISNA(VLOOKUP(A13,'Données projet'!$A$217:$I$237,6,0)),0%,VLOOKUP(A13,'Données projet'!$A$217:$I$237,6,0)*VLOOKUP('Données projet'!$B$16,Paramètres!$A$1:$I$88,7,0))</f>
        <v>0</v>
      </c>
      <c r="FP13" s="17">
        <f>IF(ISNA(VLOOKUP(A13,'Données projet'!$A$217:$I$237,7,0)),0%,VLOOKUP(A13,'Données projet'!$A$217:$I$237,7,0))</f>
        <v>0</v>
      </c>
      <c r="FQ13" s="23">
        <f>EXP(-LN(2)/35)*FQ12+(1-EXP(-LN(2)/35))/(LN(2)/35)*FM13*FN13*VLOOKUP('Données projet'!$B$9,Paramètres!$A$1:$I$88,3,0)*0.475*44/12</f>
        <v>0</v>
      </c>
      <c r="FR13" s="23">
        <f>EXP(-LN(2)/25)*FR12+(1-EXP(-LN(2)/25))/(LN(2)/25)*Calculateur!FM13*Calculateur!FO13*VLOOKUP('Données projet'!$B$9,Paramètres!$A$1:$I$88,3,0)*0.475*44/12</f>
        <v>0</v>
      </c>
      <c r="FS13" s="23">
        <f>EXP(-LN(2)/2)*FS12+(1-EXP(-LN(2)/2))/(LN(2)/2)*FM13*FP13*VLOOKUP('Données projet'!$B$9,Paramètres!$A$1:$I$88,3,0)*0.475*44/12</f>
        <v>0</v>
      </c>
      <c r="FT13" s="24">
        <f t="shared" si="32"/>
        <v>0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IF(A13&lt;'Données projet'!$A$244,$FW$205^A13,IF(A13='Données projet'!$A$244,'Données projet'!$B$244,FZ12+FY13-GH12))</f>
        <v>0</v>
      </c>
      <c r="GA13" s="18" t="e">
        <f>FZ13*VLOOKUP('Données projet'!$B$17,Paramètres!$A$1:$I$88,3,0)*VLOOKUP('Données projet'!$B$17,Paramètres!$A$1:$I$88,5,0)</f>
        <v>#N/A</v>
      </c>
      <c r="GB13" s="14" t="e">
        <f t="shared" si="51"/>
        <v>#N/A</v>
      </c>
      <c r="GC13" s="22" t="e">
        <f t="shared" si="33"/>
        <v>#N/A</v>
      </c>
      <c r="GD13" s="62" t="e">
        <f t="shared" si="34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35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projet'!$B$17,Paramètres!$A$1:$I$88,7,0))</f>
        <v>0</v>
      </c>
      <c r="GJ13" s="17">
        <f>IF(ISNA(VLOOKUP(A13,'Données projet'!$A$243:$I$263,6,0)),0%,VLOOKUP(A13,'Données projet'!$A$243:$I$263,6,0)*VLOOKUP('Données projet'!$B$17,Paramètres!$A$1:$I$88,7,0))</f>
        <v>0</v>
      </c>
      <c r="GK13" s="17">
        <f>IF(ISNA(VLOOKUP(A13,'Données projet'!$A$243:$I$263,7,0)),0%,VLOOKUP(A13,'Données projet'!$A$243:$I$263,7,0))</f>
        <v>0</v>
      </c>
      <c r="GL13" s="23">
        <f>EXP(-LN(2)/35)*GL12+(1-EXP(-LN(2)/35))/(LN(2)/35)*GH13*GI13*VLOOKUP('Données projet'!$B$9,Paramètres!$A$1:$I$88,3,0)*0.475*44/12</f>
        <v>0</v>
      </c>
      <c r="GM13" s="23">
        <f>EXP(-LN(2)/25)*GM12+(1-EXP(-LN(2)/25))/(LN(2)/25)*Calculateur!GH13*Calculateur!GJ13*VLOOKUP('Données projet'!$B$9,Paramètres!$A$1:$I$88,3,0)*0.475*44/12</f>
        <v>0</v>
      </c>
      <c r="GN13" s="23">
        <f>EXP(-LN(2)/2)*GN12+(1-EXP(-LN(2)/2))/(LN(2)/2)*GH13*GK13*VLOOKUP('Données projet'!$B$9,Paramètres!$A$1:$I$88,3,0)*0.475*44/12</f>
        <v>0</v>
      </c>
      <c r="GO13" s="23">
        <f t="shared" si="36"/>
        <v>0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IF(A13&lt;'Données projet'!$A$270,$GR$205^A13,IF(A13='Données projet'!$A$270,'Données projet'!$B$270,GU12+GT13-HC12))</f>
        <v>0</v>
      </c>
      <c r="GV13" s="18" t="e">
        <f>GU13*VLOOKUP('Données projet'!$B$18,Paramètres!$A$1:$I$88,3,0)*VLOOKUP('Données projet'!$B$18,Paramètres!$A$1:$I$88,5,0)</f>
        <v>#N/A</v>
      </c>
      <c r="GW13" s="14" t="e">
        <f t="shared" si="52"/>
        <v>#N/A</v>
      </c>
      <c r="GX13" s="22" t="e">
        <f t="shared" si="37"/>
        <v>#N/A</v>
      </c>
      <c r="GY13" s="62" t="e">
        <f t="shared" si="38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39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projet'!$B$18,Paramètres!$A$1:$I$88,7,0))</f>
        <v>0</v>
      </c>
      <c r="HE13" s="17">
        <f>IF(ISNA(VLOOKUP(A13,'Données projet'!$A$269:$I$289,6,0)),0%,VLOOKUP(A13,'Données projet'!$A$269:$I$289,6,0)*VLOOKUP('Données projet'!$B$18,Paramètres!$A$1:$I$88,7,0))</f>
        <v>0</v>
      </c>
      <c r="HF13" s="17">
        <f>IF(ISNA(VLOOKUP(A13,'Données projet'!$A$269:$I$289,7,0)),0%,VLOOKUP(A13,'Données projet'!$A$269:$I$289,7,0))</f>
        <v>0</v>
      </c>
      <c r="HG13" s="23">
        <f>EXP(-LN(2)/35)*HG12+(1-EXP(-LN(2)/35))/(LN(2)/35)*HC13*HD13*VLOOKUP('Données projet'!$B$9,Paramètres!$A$1:$I$88,3,0)*0.475*44/12</f>
        <v>0</v>
      </c>
      <c r="HH13" s="23">
        <f>EXP(-LN(2)/25)*HH12+(1-EXP(-LN(2)/25))/(LN(2)/25)*Calculateur!HC13*Calculateur!HE13*VLOOKUP('Données projet'!$B$9,Paramètres!$A$1:$I$88,3,0)*0.475*44/12</f>
        <v>0</v>
      </c>
      <c r="HI13" s="23">
        <f>EXP(-LN(2)/2)*HI12+(1-EXP(-LN(2)/2))/(LN(2)/2)*HC13*HF13*VLOOKUP('Données projet'!$B$9,Paramètres!$A$1:$I$88,3,0)*0.475*44/12</f>
        <v>0</v>
      </c>
      <c r="HJ13" s="24">
        <f t="shared" si="40"/>
        <v>0</v>
      </c>
    </row>
    <row r="14" spans="1:218" s="5" customFormat="1" x14ac:dyDescent="0.25">
      <c r="A14" s="11">
        <f t="shared" si="4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" s="12">
        <f t="shared" si="4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135.66666666666666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1.9558333333333331</v>
      </c>
      <c r="N14" s="14">
        <f>IF(A14&lt;'Données projet'!$A$36,$K$205^A14,IF(A14='Données projet'!$A$36,'Données projet'!$B$36,N13+M14-V13))</f>
        <v>17.297499999999999</v>
      </c>
      <c r="O14" s="14">
        <f>N14*VLOOKUP('Données projet'!$B$9,Paramètres!$A$1:$I$88,3,0)*VLOOKUP('Données projet'!$B$9,Paramètres!$A$1:$I$88,5,0)</f>
        <v>19.92672</v>
      </c>
      <c r="P14" s="14">
        <f t="shared" si="43"/>
        <v>6.4823660887173542</v>
      </c>
      <c r="Q14" s="22">
        <f t="shared" si="2"/>
        <v>45.995824937849385</v>
      </c>
      <c r="R14" s="62">
        <f t="shared" si="0"/>
        <v>201.17166104592508</v>
      </c>
      <c r="S14" s="62">
        <f ca="1">AVERAGE(OFFSET($R$3,0,0,'Données projet'!$E$9+1,1))-AVERAGE(OFFSET($H$3,0,0,'Données projet'!$E$9+1,1))</f>
        <v>314.72063458462026</v>
      </c>
      <c r="T14" s="62">
        <f t="shared" si="3"/>
        <v>216.4380325968244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projet'!$B$9,Paramètres!$A$1:$I$88,7,0))</f>
        <v>0</v>
      </c>
      <c r="X14" s="17">
        <f>IF(ISNA(VLOOKUP(A14,'Données projet'!$A$35:$I$55,6,0)),0%,VLOOKUP(A14,'Données projet'!$A$35:$I$55,6,0)*VLOOKUP('Données projet'!$B$9,Paramètres!$A$1:$I$88,7,0))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projet'!$B$9,Paramètres!$A$1:$I$88,3,0)*0.475*44/12</f>
        <v>0</v>
      </c>
      <c r="AA14" s="23">
        <f>EXP(-LN(2)/25)*AA13+(1-EXP(-LN(2)/25))/(LN(2)/25)*Calculateur!V14*Calculateur!X14*VLOOKUP('Données projet'!$B$9,Paramètres!$A$1:$I$88,3,0)*0.475*44/12</f>
        <v>0</v>
      </c>
      <c r="AB14" s="23">
        <f>EXP(-LN(2)/2)*AB13+(1-EXP(-LN(2)/2))/(LN(2)/2)*V14*Y14*VLOOKUP('Données projet'!$B$9,Paramètres!$A$1:$I$88,3,0)*0.475*44/12</f>
        <v>0</v>
      </c>
      <c r="AC14" s="24">
        <f t="shared" si="4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2</v>
      </c>
      <c r="AI14" s="14">
        <f>IF(A14&lt;'Données projet'!$A$62,$AF$205^A14,IF(A14='Données projet'!$A$62,'Données projet'!$B$62,AI13+AH14-AQ13))</f>
        <v>5.5917378389642796</v>
      </c>
      <c r="AJ14" s="14">
        <f>AI14*VLOOKUP('Données projet'!$B$10,Paramètres!$A$1:$I$88,3,0)*VLOOKUP('Données projet'!$B$10,Paramètres!$A$1:$I$88,5,0)</f>
        <v>5.8444843892854657</v>
      </c>
      <c r="AK14" s="14">
        <f t="shared" si="44"/>
        <v>2.1930524057120993</v>
      </c>
      <c r="AL14" s="22">
        <f t="shared" si="5"/>
        <v>13.998709917954089</v>
      </c>
      <c r="AM14" s="62">
        <f t="shared" si="6"/>
        <v>169.17454602602979</v>
      </c>
      <c r="AN14" s="62">
        <f ca="1">AVERAGE(OFFSET($AM$3,0,0,'Données projet'!$E$10+1,1))-AVERAGE(OFFSET($H$3,0,0,'Données projet'!$E$10+1,1))</f>
        <v>458.33072853676879</v>
      </c>
      <c r="AO14" s="62">
        <f t="shared" si="7"/>
        <v>254.1734169352687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projet'!$B$10,Paramètres!$A$1:$I$88,7,0))</f>
        <v>0</v>
      </c>
      <c r="AS14" s="17">
        <f>IF(ISNA(VLOOKUP(A14,'Données projet'!$A$61:$I$81,6,0)),0%,VLOOKUP(A14,'Données projet'!$A$61:$I$81,6,0)*VLOOKUP('Données projet'!$B$10,Paramètres!$A$1:$I$88,7,0))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projet'!$B$9,Paramètres!$A$1:$I$88,3,0)*0.475*44/12</f>
        <v>0</v>
      </c>
      <c r="AV14" s="23">
        <f>EXP(-LN(2)/25)*AV13+(1-EXP(-LN(2)/25))/(LN(2)/25)*Calculateur!AQ14*Calculateur!AS14*VLOOKUP('Données projet'!$B$9,Paramètres!$A$1:$I$88,3,0)*0.475*44/12</f>
        <v>0</v>
      </c>
      <c r="AW14" s="23">
        <f>EXP(-LN(2)/2)*AW13+(1-EXP(-LN(2)/2))/(LN(2)/2)*AQ14*AT14*VLOOKUP('Données projet'!$B$9,Paramètres!$A$1:$I$88,3,0)*0.475*44/12</f>
        <v>0</v>
      </c>
      <c r="AX14" s="23">
        <f t="shared" si="8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2</v>
      </c>
      <c r="BD14" s="13">
        <f>IF(A14&lt;'Données projet'!$A$88,$BA$205^A14,IF(A14='Données projet'!$A$88,'Données projet'!$B$88,BD13+BC14-BL13))</f>
        <v>5.5917378389642796</v>
      </c>
      <c r="BE14" s="14">
        <f>BD14*VLOOKUP('Données projet'!$B$11,Paramètres!$A$1:$I$88,3,0)*VLOOKUP('Données projet'!$B$11,Paramètres!$A$1:$I$88,5,0)</f>
        <v>5.6700221687097798</v>
      </c>
      <c r="BF14" s="14">
        <f t="shared" si="45"/>
        <v>2.1351065657810064</v>
      </c>
      <c r="BG14" s="22">
        <f t="shared" si="9"/>
        <v>13.593932545904785</v>
      </c>
      <c r="BH14" s="62">
        <f t="shared" si="10"/>
        <v>168.76976865398046</v>
      </c>
      <c r="BI14" s="62">
        <f ca="1">AVERAGE(OFFSET($BH$3,0,0,'Données projet'!$E$11+1,1))-AVERAGE(OFFSET($H$3,0,0,'Données projet'!$E$11+1,1))</f>
        <v>447.82618173893104</v>
      </c>
      <c r="BJ14" s="62">
        <f t="shared" si="11"/>
        <v>248.96509970783379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projet'!$B$11,Paramètres!$A$1:$I$88,7,0))</f>
        <v>0</v>
      </c>
      <c r="BN14" s="17">
        <f>IF(ISNA(VLOOKUP(A14,'Données projet'!$A$87:$I$107,6,0)),0%,VLOOKUP(A14,'Données projet'!$A$87:$I$107,6,0)*VLOOKUP('Données projet'!$B$11,Paramètres!$A$1:$I$88,7,0))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projet'!$B$9,Paramètres!$A$1:$I$88,3,0)*0.475*44/12</f>
        <v>0</v>
      </c>
      <c r="BQ14" s="23">
        <f>EXP(-LN(2)/25)*BQ13+(1-EXP(-LN(2)/25))/(LN(2)/25)*Calculateur!BL14*Calculateur!BN14*VLOOKUP('Données projet'!$B$9,Paramètres!$A$1:$I$88,3,0)*0.475*44/12</f>
        <v>0</v>
      </c>
      <c r="BR14" s="23">
        <f>EXP(-LN(2)/2)*BR13+(1-EXP(-LN(2)/2))/(LN(2)/2)*BL14*BO14*VLOOKUP('Données projet'!$B$9,Paramètres!$A$1:$I$88,3,0)*0.475*44/12</f>
        <v>0</v>
      </c>
      <c r="BS14" s="24">
        <f t="shared" si="12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2</v>
      </c>
      <c r="BY14" s="13">
        <f>IF(A14&lt;'Données projet'!$A$114,$BV$205^A14,IF(A14='Données projet'!$A$114,'Données projet'!$B$114,BY13+BX14-CG13))</f>
        <v>5.5917378389642796</v>
      </c>
      <c r="BZ14" s="14">
        <f>BY14*VLOOKUP('Données projet'!$B$12,Paramètres!$A$1:$I$88,3,0)*VLOOKUP('Données projet'!$B$12,Paramètres!$A$1:$I$88,5,0)</f>
        <v>6.0189466098611497</v>
      </c>
      <c r="CA14" s="14">
        <f t="shared" si="46"/>
        <v>2.2507972233136893</v>
      </c>
      <c r="CB14" s="22">
        <f t="shared" si="13"/>
        <v>14.403137176112844</v>
      </c>
      <c r="CC14" s="62">
        <f t="shared" si="14"/>
        <v>169.57897328418852</v>
      </c>
      <c r="CD14" s="62">
        <f ca="1">AVERAGE(OFFSET($CC$3,0,0,'Données projet'!$E$12+1,1))-AVERAGE(OFFSET($H$3,0,0,'Données projet'!$E$12+1,1))</f>
        <v>468.82871618425406</v>
      </c>
      <c r="CE14" s="62">
        <f t="shared" si="15"/>
        <v>259.37818128554397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projet'!$B$12,Paramètres!$A$1:$I$88,7,0))</f>
        <v>0</v>
      </c>
      <c r="CI14" s="17">
        <f>IF(ISNA(VLOOKUP(A14,'Données projet'!$A$113:$I$133,6,0)),0%,VLOOKUP(A14,'Données projet'!$A$113:$I$133,6,0)*VLOOKUP('Données projet'!$B$12,Paramètres!$A$1:$I$88,7,0))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projet'!$B$9,Paramètres!$A$1:$I$88,3,0)*0.475*44/12</f>
        <v>0</v>
      </c>
      <c r="CL14" s="23">
        <f>EXP(-LN(2)/25)*CL13+(1-EXP(-LN(2)/25))/(LN(2)/25)*Calculateur!CG14*Calculateur!CI14*VLOOKUP('Données projet'!$B$9,Paramètres!$A$1:$I$88,3,0)*0.475*44/12</f>
        <v>0</v>
      </c>
      <c r="CM14" s="23">
        <f>EXP(-LN(2)/2)*CM13+(1-EXP(-LN(2)/2))/(LN(2)/2)*CG14*CJ14*VLOOKUP('Données projet'!$B$9,Paramètres!$A$1:$I$88,3,0)*0.475*44/12</f>
        <v>0</v>
      </c>
      <c r="CN14" s="24">
        <f t="shared" si="16"/>
        <v>0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2</v>
      </c>
      <c r="CT14" s="13">
        <f>IF(A14&lt;'Données projet'!$A$140,$CQ$205^A14,IF(A14='Données projet'!$A$140,'Données projet'!$B$140,CT13+CS14-DB13))</f>
        <v>5.5917378389642796</v>
      </c>
      <c r="CU14" s="18">
        <f>CT14*VLOOKUP('Données projet'!$B$13,Paramètres!$A$1:$I$88,3,0)*VLOOKUP('Données projet'!$B$13,Paramètres!$A$1:$I$88,5,0)</f>
        <v>4.7977110658313524</v>
      </c>
      <c r="CV14" s="14">
        <f t="shared" si="47"/>
        <v>1.8421024771938044</v>
      </c>
      <c r="CW14" s="22">
        <f t="shared" si="17"/>
        <v>11.564341920768813</v>
      </c>
      <c r="CX14" s="62">
        <f t="shared" si="18"/>
        <v>166.7401780288445</v>
      </c>
      <c r="CY14" s="62">
        <f ca="1">AVERAGE(OFFSET($CX$3,0,0,'Données projet'!$E$13+1,1))-AVERAGE(OFFSET($H$3,0,0,'Données projet'!$E$13+1,1))</f>
        <v>395.19659151668884</v>
      </c>
      <c r="CZ14" s="62">
        <f t="shared" si="19"/>
        <v>222.86563304507339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projet'!$B$13,Paramètres!$A$1:$I$88,7,0))</f>
        <v>0</v>
      </c>
      <c r="DD14" s="17">
        <f>IF(ISNA(VLOOKUP(A14,'Données projet'!$A$139:$I$159,6,0)),0%,VLOOKUP(A14,'Données projet'!$A$139:$I$159,6,0)*VLOOKUP('Données projet'!$B$13,Paramètres!$A$1:$I$88,7,0))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projet'!$B$9,Paramètres!$A$1:$I$88,3,0)*0.475*44/12</f>
        <v>0</v>
      </c>
      <c r="DG14" s="23">
        <f>EXP(-LN(2)/25)*DG13+(1-EXP(-LN(2)/25))/(LN(2)/25)*Calculateur!DB14*Calculateur!DD14*VLOOKUP('Données projet'!$B$9,Paramètres!$A$1:$I$88,3,0)*0.475*44/12</f>
        <v>0</v>
      </c>
      <c r="DH14" s="23">
        <f>EXP(-LN(2)/2)*DH13+(1-EXP(-LN(2)/2))/(LN(2)/2)*DB14*DE14*VLOOKUP('Données projet'!$B$9,Paramètres!$A$1:$I$88,3,0)*0.475*44/12</f>
        <v>0</v>
      </c>
      <c r="DI14" s="24">
        <f t="shared" si="20"/>
        <v>0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2.2749999999999999</v>
      </c>
      <c r="DO14" s="13">
        <f>IF(A14&lt;'Données projet'!$A$166,$DL$205^A14,IF(A14='Données projet'!$A$166,'Données projet'!$B$166,DO13+DN14-DW13))</f>
        <v>3.4572945605386898</v>
      </c>
      <c r="DP14" s="18">
        <f>DO14*VLOOKUP('Données projet'!$B$14,Paramètres!$A$1:$I$88,3,0)*VLOOKUP('Données projet'!$B$14,Paramètres!$A$1:$I$88,5,0)</f>
        <v>2.0225173179151339</v>
      </c>
      <c r="DQ14" s="14">
        <f t="shared" si="48"/>
        <v>0.85869405480913763</v>
      </c>
      <c r="DR14" s="22">
        <f t="shared" si="21"/>
        <v>5.0181098074947723</v>
      </c>
      <c r="DS14" s="62">
        <f t="shared" si="22"/>
        <v>160.19394591557045</v>
      </c>
      <c r="DT14" s="62">
        <f ca="1">AVERAGE(OFFSET($DS$3,0,0,'Données projet'!$E$14+1,1))-AVERAGE(OFFSET($H$3,0,0,'Données projet'!$E$14+1,1))</f>
        <v>155.18073137151848</v>
      </c>
      <c r="DU14" s="62">
        <f t="shared" si="23"/>
        <v>115.19459155667272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projet'!$B$14,Paramètres!$A$1:$I$88,7,0))</f>
        <v>0</v>
      </c>
      <c r="DY14" s="17">
        <f>IF(ISNA(VLOOKUP(A14,'Données projet'!$A$165:$I$185,6,0)),0%,VLOOKUP(A14,'Données projet'!$A$165:$I$185,6,0)*VLOOKUP('Données projet'!$B$14,Paramètres!$A$1:$I$88,7,0))</f>
        <v>0</v>
      </c>
      <c r="DZ14" s="17">
        <f>IF(ISNA(VLOOKUP(A14,'Données projet'!$A$165:$I$185,7,0)),0%,VLOOKUP(A14,'Données projet'!$A$165:$I$185,7,0))</f>
        <v>0</v>
      </c>
      <c r="EA14" s="23">
        <f>EXP(-LN(2)/35)*EA13+(1-EXP(-LN(2)/35))/(LN(2)/35)*DW14*DX14*VLOOKUP('Données projet'!$B$9,Paramètres!$A$1:$I$88,3,0)*0.475*44/12</f>
        <v>0</v>
      </c>
      <c r="EB14" s="23">
        <f>EXP(-LN(2)/25)*EB13+(1-EXP(-LN(2)/25))/(LN(2)/25)*Calculateur!DW14*Calculateur!DY14*VLOOKUP('Données projet'!$B$9,Paramètres!$A$1:$I$88,3,0)*0.475*44/12</f>
        <v>0</v>
      </c>
      <c r="EC14" s="23">
        <f>EXP(-LN(2)/2)*EC13+(1-EXP(-LN(2)/2))/(LN(2)/2)*DW14*DZ14*VLOOKUP('Données projet'!$B$9,Paramètres!$A$1:$I$88,3,0)*0.475*44/12</f>
        <v>0</v>
      </c>
      <c r="ED14" s="24">
        <f t="shared" si="24"/>
        <v>0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3.25</v>
      </c>
      <c r="EJ14" s="13">
        <f>IF(A14&lt;'Données projet'!$A$192,$EG$205^A14,IF(A14='Données projet'!$A$192,'Données projet'!$B$192,EJ13+EI14-ER13))</f>
        <v>2.6292971989282989</v>
      </c>
      <c r="EK14" s="18">
        <f>EJ14*VLOOKUP('Données projet'!$B$15,Paramètres!$A$1:$I$88,3,0)*VLOOKUP('Données projet'!$B$15,Paramètres!$A$1:$I$88,5,0)</f>
        <v>1.2305110890984439</v>
      </c>
      <c r="EL14" s="14">
        <f t="shared" si="49"/>
        <v>0.55354335389596865</v>
      </c>
      <c r="EM14" s="22">
        <f t="shared" si="25"/>
        <v>3.1072281548819354</v>
      </c>
      <c r="EN14" s="62">
        <f t="shared" si="26"/>
        <v>158.28306426295762</v>
      </c>
      <c r="EO14" s="62">
        <f ca="1">AVERAGE(OFFSET($EN$3,0,0,'Données projet'!$E$15+1,1))-AVERAGE(OFFSET($H$3,0,0,'Données projet'!$E$15+1,1))</f>
        <v>238.59014604384171</v>
      </c>
      <c r="EP14" s="62">
        <f t="shared" si="27"/>
        <v>90.841373219575217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projet'!$B$15,Paramètres!$A$1:$I$88,7,0))</f>
        <v>0</v>
      </c>
      <c r="ET14" s="17">
        <f>IF(ISNA(VLOOKUP(A14,'Données projet'!$A$191:$I$211,6,0)),0%,VLOOKUP(A14,'Données projet'!$A$191:$I$211,6,0)*VLOOKUP('Données projet'!$B$15,Paramètres!$A$1:$I$88,7,0))</f>
        <v>0</v>
      </c>
      <c r="EU14" s="17">
        <f>IF(ISNA(VLOOKUP(A14,'Données projet'!$A$191:$I$211,7,0)),0%,VLOOKUP(A14,'Données projet'!$A$191:$I$211,7,0))</f>
        <v>0</v>
      </c>
      <c r="EV14" s="23">
        <f>EXP(-LN(2)/35)*EV13+(1-EXP(-LN(2)/35))/(LN(2)/35)*ER14*ES14*VLOOKUP('Données projet'!$B$9,Paramètres!$A$1:$I$88,3,0)*0.475*44/12</f>
        <v>0</v>
      </c>
      <c r="EW14" s="23">
        <f>EXP(-LN(2)/25)*EW13+(1-EXP(-LN(2)/25))/(LN(2)/25)*Calculateur!ER14*Calculateur!ET14*VLOOKUP('Données projet'!$B$9,Paramètres!$A$1:$I$88,3,0)*0.475*44/12</f>
        <v>0</v>
      </c>
      <c r="EX14" s="23">
        <f>EXP(-LN(2)/2)*EX13+(1-EXP(-LN(2)/2))/(LN(2)/2)*ER14*EU14*VLOOKUP('Données projet'!$B$9,Paramètres!$A$1:$I$88,3,0)*0.475*44/12</f>
        <v>0</v>
      </c>
      <c r="EY14" s="24">
        <f t="shared" si="28"/>
        <v>0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IF(A14&lt;'Données projet'!$A$218,$FB$205^A14,IF(A14='Données projet'!$A$218,'Données projet'!$B$218,FE13+FD14-FM13))</f>
        <v>0</v>
      </c>
      <c r="FF14" s="18" t="e">
        <f>FE14*VLOOKUP('Données projet'!$B$16,Paramètres!$A$1:$I$88,3,0)*VLOOKUP('Données projet'!$B$16,Paramètres!$A$1:$I$88,5,0)</f>
        <v>#N/A</v>
      </c>
      <c r="FG14" s="14" t="e">
        <f t="shared" si="50"/>
        <v>#N/A</v>
      </c>
      <c r="FH14" s="22" t="e">
        <f t="shared" si="29"/>
        <v>#N/A</v>
      </c>
      <c r="FI14" s="62" t="e">
        <f t="shared" si="30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31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projet'!$B$16,Paramètres!$A$1:$I$88,7,0))</f>
        <v>0</v>
      </c>
      <c r="FO14" s="17">
        <f>IF(ISNA(VLOOKUP(A14,'Données projet'!$A$217:$I$237,6,0)),0%,VLOOKUP(A14,'Données projet'!$A$217:$I$237,6,0)*VLOOKUP('Données projet'!$B$16,Paramètres!$A$1:$I$88,7,0))</f>
        <v>0</v>
      </c>
      <c r="FP14" s="17">
        <f>IF(ISNA(VLOOKUP(A14,'Données projet'!$A$217:$I$237,7,0)),0%,VLOOKUP(A14,'Données projet'!$A$217:$I$237,7,0))</f>
        <v>0</v>
      </c>
      <c r="FQ14" s="23">
        <f>EXP(-LN(2)/35)*FQ13+(1-EXP(-LN(2)/35))/(LN(2)/35)*FM14*FN14*VLOOKUP('Données projet'!$B$9,Paramètres!$A$1:$I$88,3,0)*0.475*44/12</f>
        <v>0</v>
      </c>
      <c r="FR14" s="23">
        <f>EXP(-LN(2)/25)*FR13+(1-EXP(-LN(2)/25))/(LN(2)/25)*Calculateur!FM14*Calculateur!FO14*VLOOKUP('Données projet'!$B$9,Paramètres!$A$1:$I$88,3,0)*0.475*44/12</f>
        <v>0</v>
      </c>
      <c r="FS14" s="23">
        <f>EXP(-LN(2)/2)*FS13+(1-EXP(-LN(2)/2))/(LN(2)/2)*FM14*FP14*VLOOKUP('Données projet'!$B$9,Paramètres!$A$1:$I$88,3,0)*0.475*44/12</f>
        <v>0</v>
      </c>
      <c r="FT14" s="24">
        <f t="shared" si="32"/>
        <v>0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IF(A14&lt;'Données projet'!$A$244,$FW$205^A14,IF(A14='Données projet'!$A$244,'Données projet'!$B$244,FZ13+FY14-GH13))</f>
        <v>0</v>
      </c>
      <c r="GA14" s="18" t="e">
        <f>FZ14*VLOOKUP('Données projet'!$B$17,Paramètres!$A$1:$I$88,3,0)*VLOOKUP('Données projet'!$B$17,Paramètres!$A$1:$I$88,5,0)</f>
        <v>#N/A</v>
      </c>
      <c r="GB14" s="14" t="e">
        <f t="shared" si="51"/>
        <v>#N/A</v>
      </c>
      <c r="GC14" s="22" t="e">
        <f t="shared" si="33"/>
        <v>#N/A</v>
      </c>
      <c r="GD14" s="62" t="e">
        <f t="shared" si="34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35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projet'!$B$17,Paramètres!$A$1:$I$88,7,0))</f>
        <v>0</v>
      </c>
      <c r="GJ14" s="17">
        <f>IF(ISNA(VLOOKUP(A14,'Données projet'!$A$243:$I$263,6,0)),0%,VLOOKUP(A14,'Données projet'!$A$243:$I$263,6,0)*VLOOKUP('Données projet'!$B$17,Paramètres!$A$1:$I$88,7,0))</f>
        <v>0</v>
      </c>
      <c r="GK14" s="17">
        <f>IF(ISNA(VLOOKUP(A14,'Données projet'!$A$243:$I$263,7,0)),0%,VLOOKUP(A14,'Données projet'!$A$243:$I$263,7,0))</f>
        <v>0</v>
      </c>
      <c r="GL14" s="23">
        <f>EXP(-LN(2)/35)*GL13+(1-EXP(-LN(2)/35))/(LN(2)/35)*GH14*GI14*VLOOKUP('Données projet'!$B$9,Paramètres!$A$1:$I$88,3,0)*0.475*44/12</f>
        <v>0</v>
      </c>
      <c r="GM14" s="23">
        <f>EXP(-LN(2)/25)*GM13+(1-EXP(-LN(2)/25))/(LN(2)/25)*Calculateur!GH14*Calculateur!GJ14*VLOOKUP('Données projet'!$B$9,Paramètres!$A$1:$I$88,3,0)*0.475*44/12</f>
        <v>0</v>
      </c>
      <c r="GN14" s="23">
        <f>EXP(-LN(2)/2)*GN13+(1-EXP(-LN(2)/2))/(LN(2)/2)*GH14*GK14*VLOOKUP('Données projet'!$B$9,Paramètres!$A$1:$I$88,3,0)*0.475*44/12</f>
        <v>0</v>
      </c>
      <c r="GO14" s="23">
        <f t="shared" si="36"/>
        <v>0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IF(A14&lt;'Données projet'!$A$270,$GR$205^A14,IF(A14='Données projet'!$A$270,'Données projet'!$B$270,GU13+GT14-HC13))</f>
        <v>0</v>
      </c>
      <c r="GV14" s="18" t="e">
        <f>GU14*VLOOKUP('Données projet'!$B$18,Paramètres!$A$1:$I$88,3,0)*VLOOKUP('Données projet'!$B$18,Paramètres!$A$1:$I$88,5,0)</f>
        <v>#N/A</v>
      </c>
      <c r="GW14" s="14" t="e">
        <f t="shared" si="52"/>
        <v>#N/A</v>
      </c>
      <c r="GX14" s="22" t="e">
        <f t="shared" si="37"/>
        <v>#N/A</v>
      </c>
      <c r="GY14" s="62" t="e">
        <f t="shared" si="38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39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projet'!$B$18,Paramètres!$A$1:$I$88,7,0))</f>
        <v>0</v>
      </c>
      <c r="HE14" s="17">
        <f>IF(ISNA(VLOOKUP(A14,'Données projet'!$A$269:$I$289,6,0)),0%,VLOOKUP(A14,'Données projet'!$A$269:$I$289,6,0)*VLOOKUP('Données projet'!$B$18,Paramètres!$A$1:$I$88,7,0))</f>
        <v>0</v>
      </c>
      <c r="HF14" s="17">
        <f>IF(ISNA(VLOOKUP(A14,'Données projet'!$A$269:$I$289,7,0)),0%,VLOOKUP(A14,'Données projet'!$A$269:$I$289,7,0))</f>
        <v>0</v>
      </c>
      <c r="HG14" s="23">
        <f>EXP(-LN(2)/35)*HG13+(1-EXP(-LN(2)/35))/(LN(2)/35)*HC14*HD14*VLOOKUP('Données projet'!$B$9,Paramètres!$A$1:$I$88,3,0)*0.475*44/12</f>
        <v>0</v>
      </c>
      <c r="HH14" s="23">
        <f>EXP(-LN(2)/25)*HH13+(1-EXP(-LN(2)/25))/(LN(2)/25)*Calculateur!HC14*Calculateur!HE14*VLOOKUP('Données projet'!$B$9,Paramètres!$A$1:$I$88,3,0)*0.475*44/12</f>
        <v>0</v>
      </c>
      <c r="HI14" s="23">
        <f>EXP(-LN(2)/2)*HI13+(1-EXP(-LN(2)/2))/(LN(2)/2)*HC14*HF14*VLOOKUP('Données projet'!$B$9,Paramètres!$A$1:$I$88,3,0)*0.475*44/12</f>
        <v>0</v>
      </c>
      <c r="HJ14" s="24">
        <f t="shared" si="40"/>
        <v>0</v>
      </c>
    </row>
    <row r="15" spans="1:218" s="5" customFormat="1" x14ac:dyDescent="0.25">
      <c r="A15" s="11">
        <f t="shared" si="4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" s="12">
        <f t="shared" si="4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135.66666666666666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1.9558333333333331</v>
      </c>
      <c r="N15" s="14">
        <f>IF(A15&lt;'Données projet'!$A$36,$K$205^A15,IF(A15='Données projet'!$A$36,'Données projet'!$B$36,N14+M15-V14))</f>
        <v>19.253333333333334</v>
      </c>
      <c r="O15" s="14">
        <f>N15*VLOOKUP('Données projet'!$B$9,Paramètres!$A$1:$I$88,3,0)*VLOOKUP('Données projet'!$B$9,Paramètres!$A$1:$I$88,5,0)</f>
        <v>22.179839999999999</v>
      </c>
      <c r="P15" s="14">
        <f t="shared" si="43"/>
        <v>7.1259195506874313</v>
      </c>
      <c r="Q15" s="22">
        <f t="shared" si="2"/>
        <v>51.040864550780604</v>
      </c>
      <c r="R15" s="62">
        <f t="shared" si="0"/>
        <v>209.43279294560122</v>
      </c>
      <c r="S15" s="62">
        <f ca="1">AVERAGE(OFFSET($R$3,0,0,'Données projet'!$E$9+1,1))-AVERAGE(OFFSET($H$3,0,0,'Données projet'!$E$9+1,1))</f>
        <v>314.72063458462026</v>
      </c>
      <c r="T15" s="62">
        <f t="shared" si="3"/>
        <v>216.4380325968244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projet'!$B$9,Paramètres!$A$1:$I$88,7,0))</f>
        <v>0</v>
      </c>
      <c r="X15" s="17">
        <f>IF(ISNA(VLOOKUP(A15,'Données projet'!$A$35:$I$55,6,0)),0%,VLOOKUP(A15,'Données projet'!$A$35:$I$55,6,0)*VLOOKUP('Données projet'!$B$9,Paramètres!$A$1:$I$88,7,0))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projet'!$B$9,Paramètres!$A$1:$I$88,3,0)*0.475*44/12</f>
        <v>0</v>
      </c>
      <c r="AA15" s="23">
        <f>EXP(-LN(2)/25)*AA14+(1-EXP(-LN(2)/25))/(LN(2)/25)*Calculateur!V15*Calculateur!X15*VLOOKUP('Données projet'!$B$9,Paramètres!$A$1:$I$88,3,0)*0.475*44/12</f>
        <v>0</v>
      </c>
      <c r="AB15" s="23">
        <f>EXP(-LN(2)/2)*AB14+(1-EXP(-LN(2)/2))/(LN(2)/2)*V15*Y15*VLOOKUP('Données projet'!$B$9,Paramètres!$A$1:$I$88,3,0)*0.475*44/12</f>
        <v>0</v>
      </c>
      <c r="AC15" s="24">
        <f t="shared" si="4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2</v>
      </c>
      <c r="AI15" s="14">
        <f>IF(A15&lt;'Données projet'!$A$62,$AF$205^A15,IF(A15='Données projet'!$A$62,'Données projet'!$B$62,AI14+AH15-AQ14))</f>
        <v>6.5389136467086297</v>
      </c>
      <c r="AJ15" s="14">
        <f>AI15*VLOOKUP('Données projet'!$B$10,Paramètres!$A$1:$I$88,3,0)*VLOOKUP('Données projet'!$B$10,Paramètres!$A$1:$I$88,5,0)</f>
        <v>6.8344725435398601</v>
      </c>
      <c r="AK15" s="14">
        <f t="shared" si="44"/>
        <v>2.5182416676960986</v>
      </c>
      <c r="AL15" s="22">
        <f t="shared" si="5"/>
        <v>16.289310584569293</v>
      </c>
      <c r="AM15" s="62">
        <f t="shared" si="6"/>
        <v>174.68123897938989</v>
      </c>
      <c r="AN15" s="62">
        <f ca="1">AVERAGE(OFFSET($AM$3,0,0,'Données projet'!$E$10+1,1))-AVERAGE(OFFSET($H$3,0,0,'Données projet'!$E$10+1,1))</f>
        <v>458.33072853676879</v>
      </c>
      <c r="AO15" s="62">
        <f t="shared" si="7"/>
        <v>254.1734169352687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projet'!$B$10,Paramètres!$A$1:$I$88,7,0))</f>
        <v>0</v>
      </c>
      <c r="AS15" s="17">
        <f>IF(ISNA(VLOOKUP(A15,'Données projet'!$A$61:$I$81,6,0)),0%,VLOOKUP(A15,'Données projet'!$A$61:$I$81,6,0)*VLOOKUP('Données projet'!$B$10,Paramètres!$A$1:$I$88,7,0))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projet'!$B$9,Paramètres!$A$1:$I$88,3,0)*0.475*44/12</f>
        <v>0</v>
      </c>
      <c r="AV15" s="23">
        <f>EXP(-LN(2)/25)*AV14+(1-EXP(-LN(2)/25))/(LN(2)/25)*Calculateur!AQ15*Calculateur!AS15*VLOOKUP('Données projet'!$B$9,Paramètres!$A$1:$I$88,3,0)*0.475*44/12</f>
        <v>0</v>
      </c>
      <c r="AW15" s="23">
        <f>EXP(-LN(2)/2)*AW14+(1-EXP(-LN(2)/2))/(LN(2)/2)*AQ15*AT15*VLOOKUP('Données projet'!$B$9,Paramètres!$A$1:$I$88,3,0)*0.475*44/12</f>
        <v>0</v>
      </c>
      <c r="AX15" s="23">
        <f t="shared" si="8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2</v>
      </c>
      <c r="BD15" s="13">
        <f>IF(A15&lt;'Données projet'!$A$88,$BA$205^A15,IF(A15='Données projet'!$A$88,'Données projet'!$B$88,BD14+BC15-BL14))</f>
        <v>6.5389136467086297</v>
      </c>
      <c r="BE15" s="14">
        <f>BD15*VLOOKUP('Données projet'!$B$11,Paramètres!$A$1:$I$88,3,0)*VLOOKUP('Données projet'!$B$11,Paramètres!$A$1:$I$88,5,0)</f>
        <v>6.6304584377625506</v>
      </c>
      <c r="BF15" s="14">
        <f t="shared" si="45"/>
        <v>2.4517035274291108</v>
      </c>
      <c r="BG15" s="22">
        <f t="shared" si="9"/>
        <v>15.818098756042142</v>
      </c>
      <c r="BH15" s="62">
        <f t="shared" si="10"/>
        <v>174.21002715086274</v>
      </c>
      <c r="BI15" s="62">
        <f ca="1">AVERAGE(OFFSET($BH$3,0,0,'Données projet'!$E$11+1,1))-AVERAGE(OFFSET($H$3,0,0,'Données projet'!$E$11+1,1))</f>
        <v>447.82618173893104</v>
      </c>
      <c r="BJ15" s="62">
        <f t="shared" si="11"/>
        <v>248.96509970783379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projet'!$B$11,Paramètres!$A$1:$I$88,7,0))</f>
        <v>0</v>
      </c>
      <c r="BN15" s="17">
        <f>IF(ISNA(VLOOKUP(A15,'Données projet'!$A$87:$I$107,6,0)),0%,VLOOKUP(A15,'Données projet'!$A$87:$I$107,6,0)*VLOOKUP('Données projet'!$B$11,Paramètres!$A$1:$I$88,7,0))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projet'!$B$9,Paramètres!$A$1:$I$88,3,0)*0.475*44/12</f>
        <v>0</v>
      </c>
      <c r="BQ15" s="23">
        <f>EXP(-LN(2)/25)*BQ14+(1-EXP(-LN(2)/25))/(LN(2)/25)*Calculateur!BL15*Calculateur!BN15*VLOOKUP('Données projet'!$B$9,Paramètres!$A$1:$I$88,3,0)*0.475*44/12</f>
        <v>0</v>
      </c>
      <c r="BR15" s="23">
        <f>EXP(-LN(2)/2)*BR14+(1-EXP(-LN(2)/2))/(LN(2)/2)*BL15*BO15*VLOOKUP('Données projet'!$B$9,Paramètres!$A$1:$I$88,3,0)*0.475*44/12</f>
        <v>0</v>
      </c>
      <c r="BS15" s="24">
        <f t="shared" si="12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2</v>
      </c>
      <c r="BY15" s="13">
        <f>IF(A15&lt;'Données projet'!$A$114,$BV$205^A15,IF(A15='Données projet'!$A$114,'Données projet'!$B$114,BY14+BX15-CG14))</f>
        <v>6.5389136467086297</v>
      </c>
      <c r="BZ15" s="14">
        <f>BY15*VLOOKUP('Données projet'!$B$12,Paramètres!$A$1:$I$88,3,0)*VLOOKUP('Données projet'!$B$12,Paramètres!$A$1:$I$88,5,0)</f>
        <v>7.0384866493171687</v>
      </c>
      <c r="CA15" s="14">
        <f t="shared" si="46"/>
        <v>2.5845489777262105</v>
      </c>
      <c r="CB15" s="22">
        <f t="shared" si="13"/>
        <v>16.760120383767219</v>
      </c>
      <c r="CC15" s="62">
        <f t="shared" si="14"/>
        <v>175.15204877858784</v>
      </c>
      <c r="CD15" s="62">
        <f ca="1">AVERAGE(OFFSET($CC$3,0,0,'Données projet'!$E$12+1,1))-AVERAGE(OFFSET($H$3,0,0,'Données projet'!$E$12+1,1))</f>
        <v>468.82871618425406</v>
      </c>
      <c r="CE15" s="62">
        <f t="shared" si="15"/>
        <v>259.37818128554397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projet'!$B$12,Paramètres!$A$1:$I$88,7,0))</f>
        <v>0</v>
      </c>
      <c r="CI15" s="17">
        <f>IF(ISNA(VLOOKUP(A15,'Données projet'!$A$113:$I$133,6,0)),0%,VLOOKUP(A15,'Données projet'!$A$113:$I$133,6,0)*VLOOKUP('Données projet'!$B$12,Paramètres!$A$1:$I$88,7,0))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projet'!$B$9,Paramètres!$A$1:$I$88,3,0)*0.475*44/12</f>
        <v>0</v>
      </c>
      <c r="CL15" s="23">
        <f>EXP(-LN(2)/25)*CL14+(1-EXP(-LN(2)/25))/(LN(2)/25)*Calculateur!CG15*Calculateur!CI15*VLOOKUP('Données projet'!$B$9,Paramètres!$A$1:$I$88,3,0)*0.475*44/12</f>
        <v>0</v>
      </c>
      <c r="CM15" s="23">
        <f>EXP(-LN(2)/2)*CM14+(1-EXP(-LN(2)/2))/(LN(2)/2)*CG15*CJ15*VLOOKUP('Données projet'!$B$9,Paramètres!$A$1:$I$88,3,0)*0.475*44/12</f>
        <v>0</v>
      </c>
      <c r="CN15" s="24">
        <f t="shared" si="16"/>
        <v>0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2</v>
      </c>
      <c r="CT15" s="13">
        <f>IF(A15&lt;'Données projet'!$A$140,$CQ$205^A15,IF(A15='Données projet'!$A$140,'Données projet'!$B$140,CT14+CS15-DB14))</f>
        <v>6.5389136467086297</v>
      </c>
      <c r="CU15" s="18">
        <f>CT15*VLOOKUP('Données projet'!$B$13,Paramètres!$A$1:$I$88,3,0)*VLOOKUP('Données projet'!$B$13,Paramètres!$A$1:$I$88,5,0)</f>
        <v>5.6103879088760049</v>
      </c>
      <c r="CV15" s="14">
        <f t="shared" si="47"/>
        <v>2.1152523314778562</v>
      </c>
      <c r="CW15" s="22">
        <f t="shared" si="17"/>
        <v>13.455490085282975</v>
      </c>
      <c r="CX15" s="62">
        <f t="shared" si="18"/>
        <v>171.84741848010358</v>
      </c>
      <c r="CY15" s="62">
        <f ca="1">AVERAGE(OFFSET($CX$3,0,0,'Données projet'!$E$13+1,1))-AVERAGE(OFFSET($H$3,0,0,'Données projet'!$E$13+1,1))</f>
        <v>395.19659151668884</v>
      </c>
      <c r="CZ15" s="62">
        <f t="shared" si="19"/>
        <v>222.86563304507339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projet'!$B$13,Paramètres!$A$1:$I$88,7,0))</f>
        <v>0</v>
      </c>
      <c r="DD15" s="17">
        <f>IF(ISNA(VLOOKUP(A15,'Données projet'!$A$139:$I$159,6,0)),0%,VLOOKUP(A15,'Données projet'!$A$139:$I$159,6,0)*VLOOKUP('Données projet'!$B$13,Paramètres!$A$1:$I$88,7,0))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projet'!$B$9,Paramètres!$A$1:$I$88,3,0)*0.475*44/12</f>
        <v>0</v>
      </c>
      <c r="DG15" s="23">
        <f>EXP(-LN(2)/25)*DG14+(1-EXP(-LN(2)/25))/(LN(2)/25)*Calculateur!DB15*Calculateur!DD15*VLOOKUP('Données projet'!$B$9,Paramètres!$A$1:$I$88,3,0)*0.475*44/12</f>
        <v>0</v>
      </c>
      <c r="DH15" s="23">
        <f>EXP(-LN(2)/2)*DH14+(1-EXP(-LN(2)/2))/(LN(2)/2)*DB15*DE15*VLOOKUP('Données projet'!$B$9,Paramètres!$A$1:$I$88,3,0)*0.475*44/12</f>
        <v>0</v>
      </c>
      <c r="DI15" s="24">
        <f t="shared" si="20"/>
        <v>0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2.2749999999999999</v>
      </c>
      <c r="DO15" s="13">
        <f>IF(A15&lt;'Données projet'!$A$166,$DL$205^A15,IF(A15='Données projet'!$A$166,'Données projet'!$B$166,DO14+DN15-DW14))</f>
        <v>3.8700129448363669</v>
      </c>
      <c r="DP15" s="18">
        <f>DO15*VLOOKUP('Données projet'!$B$14,Paramètres!$A$1:$I$88,3,0)*VLOOKUP('Données projet'!$B$14,Paramètres!$A$1:$I$88,5,0)</f>
        <v>2.2639575727292747</v>
      </c>
      <c r="DQ15" s="14">
        <f t="shared" si="48"/>
        <v>0.94866675270446366</v>
      </c>
      <c r="DR15" s="22">
        <f t="shared" si="21"/>
        <v>5.5953207001304266</v>
      </c>
      <c r="DS15" s="62">
        <f t="shared" si="22"/>
        <v>163.98724909495104</v>
      </c>
      <c r="DT15" s="62">
        <f ca="1">AVERAGE(OFFSET($DS$3,0,0,'Données projet'!$E$14+1,1))-AVERAGE(OFFSET($H$3,0,0,'Données projet'!$E$14+1,1))</f>
        <v>155.18073137151848</v>
      </c>
      <c r="DU15" s="62">
        <f t="shared" si="23"/>
        <v>115.19459155667272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projet'!$B$14,Paramètres!$A$1:$I$88,7,0))</f>
        <v>0</v>
      </c>
      <c r="DY15" s="17">
        <f>IF(ISNA(VLOOKUP(A15,'Données projet'!$A$165:$I$185,6,0)),0%,VLOOKUP(A15,'Données projet'!$A$165:$I$185,6,0)*VLOOKUP('Données projet'!$B$14,Paramètres!$A$1:$I$88,7,0))</f>
        <v>0</v>
      </c>
      <c r="DZ15" s="17">
        <f>IF(ISNA(VLOOKUP(A15,'Données projet'!$A$165:$I$185,7,0)),0%,VLOOKUP(A15,'Données projet'!$A$165:$I$185,7,0))</f>
        <v>0</v>
      </c>
      <c r="EA15" s="23">
        <f>EXP(-LN(2)/35)*EA14+(1-EXP(-LN(2)/35))/(LN(2)/35)*DW15*DX15*VLOOKUP('Données projet'!$B$9,Paramètres!$A$1:$I$88,3,0)*0.475*44/12</f>
        <v>0</v>
      </c>
      <c r="EB15" s="23">
        <f>EXP(-LN(2)/25)*EB14+(1-EXP(-LN(2)/25))/(LN(2)/25)*Calculateur!DW15*Calculateur!DY15*VLOOKUP('Données projet'!$B$9,Paramètres!$A$1:$I$88,3,0)*0.475*44/12</f>
        <v>0</v>
      </c>
      <c r="EC15" s="23">
        <f>EXP(-LN(2)/2)*EC14+(1-EXP(-LN(2)/2))/(LN(2)/2)*DW15*DZ15*VLOOKUP('Données projet'!$B$9,Paramètres!$A$1:$I$88,3,0)*0.475*44/12</f>
        <v>0</v>
      </c>
      <c r="ED15" s="24">
        <f t="shared" si="24"/>
        <v>0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3.25</v>
      </c>
      <c r="EJ15" s="13">
        <f>IF(A15&lt;'Données projet'!$A$192,$EG$205^A15,IF(A15='Données projet'!$A$192,'Données projet'!$B$192,EJ14+EI15-ER14))</f>
        <v>2.8708263401097942</v>
      </c>
      <c r="EK15" s="18">
        <f>EJ15*VLOOKUP('Données projet'!$B$15,Paramètres!$A$1:$I$88,3,0)*VLOOKUP('Données projet'!$B$15,Paramètres!$A$1:$I$88,5,0)</f>
        <v>1.3435467271713835</v>
      </c>
      <c r="EL15" s="14">
        <f t="shared" si="49"/>
        <v>0.59824105978724806</v>
      </c>
      <c r="EM15" s="22">
        <f t="shared" si="25"/>
        <v>3.3819470622862831</v>
      </c>
      <c r="EN15" s="62">
        <f t="shared" si="26"/>
        <v>161.7738754571069</v>
      </c>
      <c r="EO15" s="62">
        <f ca="1">AVERAGE(OFFSET($EN$3,0,0,'Données projet'!$E$15+1,1))-AVERAGE(OFFSET($H$3,0,0,'Données projet'!$E$15+1,1))</f>
        <v>238.59014604384171</v>
      </c>
      <c r="EP15" s="62">
        <f t="shared" si="27"/>
        <v>90.841373219575217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projet'!$B$15,Paramètres!$A$1:$I$88,7,0))</f>
        <v>0</v>
      </c>
      <c r="ET15" s="17">
        <f>IF(ISNA(VLOOKUP(A15,'Données projet'!$A$191:$I$211,6,0)),0%,VLOOKUP(A15,'Données projet'!$A$191:$I$211,6,0)*VLOOKUP('Données projet'!$B$15,Paramètres!$A$1:$I$88,7,0))</f>
        <v>0</v>
      </c>
      <c r="EU15" s="17">
        <f>IF(ISNA(VLOOKUP(A15,'Données projet'!$A$191:$I$211,7,0)),0%,VLOOKUP(A15,'Données projet'!$A$191:$I$211,7,0))</f>
        <v>0</v>
      </c>
      <c r="EV15" s="23">
        <f>EXP(-LN(2)/35)*EV14+(1-EXP(-LN(2)/35))/(LN(2)/35)*ER15*ES15*VLOOKUP('Données projet'!$B$9,Paramètres!$A$1:$I$88,3,0)*0.475*44/12</f>
        <v>0</v>
      </c>
      <c r="EW15" s="23">
        <f>EXP(-LN(2)/25)*EW14+(1-EXP(-LN(2)/25))/(LN(2)/25)*Calculateur!ER15*Calculateur!ET15*VLOOKUP('Données projet'!$B$9,Paramètres!$A$1:$I$88,3,0)*0.475*44/12</f>
        <v>0</v>
      </c>
      <c r="EX15" s="23">
        <f>EXP(-LN(2)/2)*EX14+(1-EXP(-LN(2)/2))/(LN(2)/2)*ER15*EU15*VLOOKUP('Données projet'!$B$9,Paramètres!$A$1:$I$88,3,0)*0.475*44/12</f>
        <v>0</v>
      </c>
      <c r="EY15" s="24">
        <f t="shared" si="28"/>
        <v>0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IF(A15&lt;'Données projet'!$A$218,$FB$205^A15,IF(A15='Données projet'!$A$218,'Données projet'!$B$218,FE14+FD15-FM14))</f>
        <v>0</v>
      </c>
      <c r="FF15" s="18" t="e">
        <f>FE15*VLOOKUP('Données projet'!$B$16,Paramètres!$A$1:$I$88,3,0)*VLOOKUP('Données projet'!$B$16,Paramètres!$A$1:$I$88,5,0)</f>
        <v>#N/A</v>
      </c>
      <c r="FG15" s="14" t="e">
        <f t="shared" si="50"/>
        <v>#N/A</v>
      </c>
      <c r="FH15" s="22" t="e">
        <f t="shared" si="29"/>
        <v>#N/A</v>
      </c>
      <c r="FI15" s="62" t="e">
        <f t="shared" si="30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31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projet'!$B$16,Paramètres!$A$1:$I$88,7,0))</f>
        <v>0</v>
      </c>
      <c r="FO15" s="17">
        <f>IF(ISNA(VLOOKUP(A15,'Données projet'!$A$217:$I$237,6,0)),0%,VLOOKUP(A15,'Données projet'!$A$217:$I$237,6,0)*VLOOKUP('Données projet'!$B$16,Paramètres!$A$1:$I$88,7,0))</f>
        <v>0</v>
      </c>
      <c r="FP15" s="17">
        <f>IF(ISNA(VLOOKUP(A15,'Données projet'!$A$217:$I$237,7,0)),0%,VLOOKUP(A15,'Données projet'!$A$217:$I$237,7,0))</f>
        <v>0</v>
      </c>
      <c r="FQ15" s="23">
        <f>EXP(-LN(2)/35)*FQ14+(1-EXP(-LN(2)/35))/(LN(2)/35)*FM15*FN15*VLOOKUP('Données projet'!$B$9,Paramètres!$A$1:$I$88,3,0)*0.475*44/12</f>
        <v>0</v>
      </c>
      <c r="FR15" s="23">
        <f>EXP(-LN(2)/25)*FR14+(1-EXP(-LN(2)/25))/(LN(2)/25)*Calculateur!FM15*Calculateur!FO15*VLOOKUP('Données projet'!$B$9,Paramètres!$A$1:$I$88,3,0)*0.475*44/12</f>
        <v>0</v>
      </c>
      <c r="FS15" s="23">
        <f>EXP(-LN(2)/2)*FS14+(1-EXP(-LN(2)/2))/(LN(2)/2)*FM15*FP15*VLOOKUP('Données projet'!$B$9,Paramètres!$A$1:$I$88,3,0)*0.475*44/12</f>
        <v>0</v>
      </c>
      <c r="FT15" s="24">
        <f t="shared" si="32"/>
        <v>0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IF(A15&lt;'Données projet'!$A$244,$FW$205^A15,IF(A15='Données projet'!$A$244,'Données projet'!$B$244,FZ14+FY15-GH14))</f>
        <v>0</v>
      </c>
      <c r="GA15" s="18" t="e">
        <f>FZ15*VLOOKUP('Données projet'!$B$17,Paramètres!$A$1:$I$88,3,0)*VLOOKUP('Données projet'!$B$17,Paramètres!$A$1:$I$88,5,0)</f>
        <v>#N/A</v>
      </c>
      <c r="GB15" s="14" t="e">
        <f t="shared" si="51"/>
        <v>#N/A</v>
      </c>
      <c r="GC15" s="22" t="e">
        <f t="shared" si="33"/>
        <v>#N/A</v>
      </c>
      <c r="GD15" s="62" t="e">
        <f t="shared" si="34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35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projet'!$B$17,Paramètres!$A$1:$I$88,7,0))</f>
        <v>0</v>
      </c>
      <c r="GJ15" s="17">
        <f>IF(ISNA(VLOOKUP(A15,'Données projet'!$A$243:$I$263,6,0)),0%,VLOOKUP(A15,'Données projet'!$A$243:$I$263,6,0)*VLOOKUP('Données projet'!$B$17,Paramètres!$A$1:$I$88,7,0))</f>
        <v>0</v>
      </c>
      <c r="GK15" s="17">
        <f>IF(ISNA(VLOOKUP(A15,'Données projet'!$A$243:$I$263,7,0)),0%,VLOOKUP(A15,'Données projet'!$A$243:$I$263,7,0))</f>
        <v>0</v>
      </c>
      <c r="GL15" s="23">
        <f>EXP(-LN(2)/35)*GL14+(1-EXP(-LN(2)/35))/(LN(2)/35)*GH15*GI15*VLOOKUP('Données projet'!$B$9,Paramètres!$A$1:$I$88,3,0)*0.475*44/12</f>
        <v>0</v>
      </c>
      <c r="GM15" s="23">
        <f>EXP(-LN(2)/25)*GM14+(1-EXP(-LN(2)/25))/(LN(2)/25)*Calculateur!GH15*Calculateur!GJ15*VLOOKUP('Données projet'!$B$9,Paramètres!$A$1:$I$88,3,0)*0.475*44/12</f>
        <v>0</v>
      </c>
      <c r="GN15" s="23">
        <f>EXP(-LN(2)/2)*GN14+(1-EXP(-LN(2)/2))/(LN(2)/2)*GH15*GK15*VLOOKUP('Données projet'!$B$9,Paramètres!$A$1:$I$88,3,0)*0.475*44/12</f>
        <v>0</v>
      </c>
      <c r="GO15" s="23">
        <f t="shared" si="36"/>
        <v>0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IF(A15&lt;'Données projet'!$A$270,$GR$205^A15,IF(A15='Données projet'!$A$270,'Données projet'!$B$270,GU14+GT15-HC14))</f>
        <v>0</v>
      </c>
      <c r="GV15" s="18" t="e">
        <f>GU15*VLOOKUP('Données projet'!$B$18,Paramètres!$A$1:$I$88,3,0)*VLOOKUP('Données projet'!$B$18,Paramètres!$A$1:$I$88,5,0)</f>
        <v>#N/A</v>
      </c>
      <c r="GW15" s="14" t="e">
        <f t="shared" si="52"/>
        <v>#N/A</v>
      </c>
      <c r="GX15" s="22" t="e">
        <f t="shared" si="37"/>
        <v>#N/A</v>
      </c>
      <c r="GY15" s="62" t="e">
        <f t="shared" si="38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39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projet'!$B$18,Paramètres!$A$1:$I$88,7,0))</f>
        <v>0</v>
      </c>
      <c r="HE15" s="17">
        <f>IF(ISNA(VLOOKUP(A15,'Données projet'!$A$269:$I$289,6,0)),0%,VLOOKUP(A15,'Données projet'!$A$269:$I$289,6,0)*VLOOKUP('Données projet'!$B$18,Paramètres!$A$1:$I$88,7,0))</f>
        <v>0</v>
      </c>
      <c r="HF15" s="17">
        <f>IF(ISNA(VLOOKUP(A15,'Données projet'!$A$269:$I$289,7,0)),0%,VLOOKUP(A15,'Données projet'!$A$269:$I$289,7,0))</f>
        <v>0</v>
      </c>
      <c r="HG15" s="23">
        <f>EXP(-LN(2)/35)*HG14+(1-EXP(-LN(2)/35))/(LN(2)/35)*HC15*HD15*VLOOKUP('Données projet'!$B$9,Paramètres!$A$1:$I$88,3,0)*0.475*44/12</f>
        <v>0</v>
      </c>
      <c r="HH15" s="23">
        <f>EXP(-LN(2)/25)*HH14+(1-EXP(-LN(2)/25))/(LN(2)/25)*Calculateur!HC15*Calculateur!HE15*VLOOKUP('Données projet'!$B$9,Paramètres!$A$1:$I$88,3,0)*0.475*44/12</f>
        <v>0</v>
      </c>
      <c r="HI15" s="23">
        <f>EXP(-LN(2)/2)*HI14+(1-EXP(-LN(2)/2))/(LN(2)/2)*HC15*HF15*VLOOKUP('Données projet'!$B$9,Paramètres!$A$1:$I$88,3,0)*0.475*44/12</f>
        <v>0</v>
      </c>
      <c r="HJ15" s="24">
        <f t="shared" si="40"/>
        <v>0</v>
      </c>
    </row>
    <row r="16" spans="1:218" s="5" customFormat="1" x14ac:dyDescent="0.25">
      <c r="A16" s="11">
        <f t="shared" si="4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" s="12">
        <f t="shared" si="4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135.66666666666666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1.9558333333333331</v>
      </c>
      <c r="N16" s="14">
        <f>IF(A16&lt;'Données projet'!$A$36,$K$205^A16,IF(A16='Données projet'!$A$36,'Données projet'!$B$36,N15+M16-V15))</f>
        <v>21.209166666666668</v>
      </c>
      <c r="O16" s="14">
        <f>N16*VLOOKUP('Données projet'!$B$9,Paramètres!$A$1:$I$88,3,0)*VLOOKUP('Données projet'!$B$9,Paramètres!$A$1:$I$88,5,0)</f>
        <v>24.432960000000001</v>
      </c>
      <c r="P16" s="14">
        <f t="shared" si="43"/>
        <v>7.7618944497956903</v>
      </c>
      <c r="Q16" s="22">
        <f t="shared" si="2"/>
        <v>56.072704833394162</v>
      </c>
      <c r="R16" s="62">
        <f t="shared" si="0"/>
        <v>217.64613632696586</v>
      </c>
      <c r="S16" s="62">
        <f ca="1">AVERAGE(OFFSET($R$3,0,0,'Données projet'!$E$9+1,1))-AVERAGE(OFFSET($H$3,0,0,'Données projet'!$E$9+1,1))</f>
        <v>314.72063458462026</v>
      </c>
      <c r="T16" s="62">
        <f t="shared" si="3"/>
        <v>216.4380325968244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projet'!$B$9,Paramètres!$A$1:$I$88,7,0))</f>
        <v>0</v>
      </c>
      <c r="X16" s="17">
        <f>IF(ISNA(VLOOKUP(A16,'Données projet'!$A$35:$I$55,6,0)),0%,VLOOKUP(A16,'Données projet'!$A$35:$I$55,6,0)*VLOOKUP('Données projet'!$B$9,Paramètres!$A$1:$I$88,7,0))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projet'!$B$9,Paramètres!$A$1:$I$88,3,0)*0.475*44/12</f>
        <v>0</v>
      </c>
      <c r="AA16" s="23">
        <f>EXP(-LN(2)/25)*AA15+(1-EXP(-LN(2)/25))/(LN(2)/25)*Calculateur!V16*Calculateur!X16*VLOOKUP('Données projet'!$B$9,Paramètres!$A$1:$I$88,3,0)*0.475*44/12</f>
        <v>0</v>
      </c>
      <c r="AB16" s="23">
        <f>EXP(-LN(2)/2)*AB15+(1-EXP(-LN(2)/2))/(LN(2)/2)*V16*Y16*VLOOKUP('Données projet'!$B$9,Paramètres!$A$1:$I$88,3,0)*0.475*44/12</f>
        <v>0</v>
      </c>
      <c r="AC16" s="24">
        <f t="shared" si="4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</v>
      </c>
      <c r="AI16" s="14">
        <f>IF(A16&lt;'Données projet'!$A$62,$AF$205^A16,IF(A16='Données projet'!$A$62,'Données projet'!$B$62,AI15+AH16-AQ15))</f>
        <v>7.6465300968101211</v>
      </c>
      <c r="AJ16" s="14">
        <f>AI16*VLOOKUP('Données projet'!$B$10,Paramètres!$A$1:$I$88,3,0)*VLOOKUP('Données projet'!$B$10,Paramètres!$A$1:$I$88,5,0)</f>
        <v>7.9921532571859384</v>
      </c>
      <c r="AK16" s="14">
        <f t="shared" si="44"/>
        <v>2.8916505052060915</v>
      </c>
      <c r="AL16" s="22">
        <f t="shared" si="5"/>
        <v>18.955958219499454</v>
      </c>
      <c r="AM16" s="62">
        <f t="shared" si="6"/>
        <v>180.52938971307114</v>
      </c>
      <c r="AN16" s="62">
        <f ca="1">AVERAGE(OFFSET($AM$3,0,0,'Données projet'!$E$10+1,1))-AVERAGE(OFFSET($H$3,0,0,'Données projet'!$E$10+1,1))</f>
        <v>458.33072853676879</v>
      </c>
      <c r="AO16" s="62">
        <f t="shared" si="7"/>
        <v>254.1734169352687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projet'!$B$10,Paramètres!$A$1:$I$88,7,0))</f>
        <v>0</v>
      </c>
      <c r="AS16" s="17">
        <f>IF(ISNA(VLOOKUP(A16,'Données projet'!$A$61:$I$81,6,0)),0%,VLOOKUP(A16,'Données projet'!$A$61:$I$81,6,0)*VLOOKUP('Données projet'!$B$10,Paramètres!$A$1:$I$88,7,0))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projet'!$B$9,Paramètres!$A$1:$I$88,3,0)*0.475*44/12</f>
        <v>0</v>
      </c>
      <c r="AV16" s="23">
        <f>EXP(-LN(2)/25)*AV15+(1-EXP(-LN(2)/25))/(LN(2)/25)*Calculateur!AQ16*Calculateur!AS16*VLOOKUP('Données projet'!$B$9,Paramètres!$A$1:$I$88,3,0)*0.475*44/12</f>
        <v>0</v>
      </c>
      <c r="AW16" s="23">
        <f>EXP(-LN(2)/2)*AW15+(1-EXP(-LN(2)/2))/(LN(2)/2)*AQ16*AT16*VLOOKUP('Données projet'!$B$9,Paramètres!$A$1:$I$88,3,0)*0.475*44/12</f>
        <v>0</v>
      </c>
      <c r="AX16" s="23">
        <f t="shared" si="8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2</v>
      </c>
      <c r="BD16" s="13">
        <f>IF(A16&lt;'Données projet'!$A$88,$BA$205^A16,IF(A16='Données projet'!$A$88,'Données projet'!$B$88,BD15+BC16-BL15))</f>
        <v>7.6465300968101211</v>
      </c>
      <c r="BE16" s="14">
        <f>BD16*VLOOKUP('Données projet'!$B$11,Paramètres!$A$1:$I$88,3,0)*VLOOKUP('Données projet'!$B$11,Paramètres!$A$1:$I$88,5,0)</f>
        <v>7.7535815181654639</v>
      </c>
      <c r="BF16" s="14">
        <f t="shared" si="45"/>
        <v>2.8152459847874716</v>
      </c>
      <c r="BG16" s="22">
        <f t="shared" si="9"/>
        <v>18.407374567643028</v>
      </c>
      <c r="BH16" s="62">
        <f t="shared" si="10"/>
        <v>179.98080606121471</v>
      </c>
      <c r="BI16" s="62">
        <f ca="1">AVERAGE(OFFSET($BH$3,0,0,'Données projet'!$E$11+1,1))-AVERAGE(OFFSET($H$3,0,0,'Données projet'!$E$11+1,1))</f>
        <v>447.82618173893104</v>
      </c>
      <c r="BJ16" s="62">
        <f t="shared" si="11"/>
        <v>248.96509970783379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projet'!$B$11,Paramètres!$A$1:$I$88,7,0))</f>
        <v>0</v>
      </c>
      <c r="BN16" s="17">
        <f>IF(ISNA(VLOOKUP(A16,'Données projet'!$A$87:$I$107,6,0)),0%,VLOOKUP(A16,'Données projet'!$A$87:$I$107,6,0)*VLOOKUP('Données projet'!$B$11,Paramètres!$A$1:$I$88,7,0))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projet'!$B$9,Paramètres!$A$1:$I$88,3,0)*0.475*44/12</f>
        <v>0</v>
      </c>
      <c r="BQ16" s="23">
        <f>EXP(-LN(2)/25)*BQ15+(1-EXP(-LN(2)/25))/(LN(2)/25)*Calculateur!BL16*Calculateur!BN16*VLOOKUP('Données projet'!$B$9,Paramètres!$A$1:$I$88,3,0)*0.475*44/12</f>
        <v>0</v>
      </c>
      <c r="BR16" s="23">
        <f>EXP(-LN(2)/2)*BR15+(1-EXP(-LN(2)/2))/(LN(2)/2)*BL16*BO16*VLOOKUP('Données projet'!$B$9,Paramètres!$A$1:$I$88,3,0)*0.475*44/12</f>
        <v>0</v>
      </c>
      <c r="BS16" s="24">
        <f t="shared" si="12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2</v>
      </c>
      <c r="BY16" s="13">
        <f>IF(A16&lt;'Données projet'!$A$114,$BV$205^A16,IF(A16='Données projet'!$A$114,'Données projet'!$B$114,BY15+BX16-CG15))</f>
        <v>7.6465300968101211</v>
      </c>
      <c r="BZ16" s="14">
        <f>BY16*VLOOKUP('Données projet'!$B$12,Paramètres!$A$1:$I$88,3,0)*VLOOKUP('Données projet'!$B$12,Paramètres!$A$1:$I$88,5,0)</f>
        <v>8.2307249962064137</v>
      </c>
      <c r="CA16" s="14">
        <f t="shared" si="46"/>
        <v>2.9677899675170503</v>
      </c>
      <c r="CB16" s="22">
        <f t="shared" si="13"/>
        <v>19.504080228485034</v>
      </c>
      <c r="CC16" s="62">
        <f t="shared" si="14"/>
        <v>181.07751172205673</v>
      </c>
      <c r="CD16" s="62">
        <f ca="1">AVERAGE(OFFSET($CC$3,0,0,'Données projet'!$E$12+1,1))-AVERAGE(OFFSET($H$3,0,0,'Données projet'!$E$12+1,1))</f>
        <v>468.82871618425406</v>
      </c>
      <c r="CE16" s="62">
        <f t="shared" si="15"/>
        <v>259.37818128554397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projet'!$B$12,Paramètres!$A$1:$I$88,7,0))</f>
        <v>0</v>
      </c>
      <c r="CI16" s="17">
        <f>IF(ISNA(VLOOKUP(A16,'Données projet'!$A$113:$I$133,6,0)),0%,VLOOKUP(A16,'Données projet'!$A$113:$I$133,6,0)*VLOOKUP('Données projet'!$B$12,Paramètres!$A$1:$I$88,7,0))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projet'!$B$9,Paramètres!$A$1:$I$88,3,0)*0.475*44/12</f>
        <v>0</v>
      </c>
      <c r="CL16" s="23">
        <f>EXP(-LN(2)/25)*CL15+(1-EXP(-LN(2)/25))/(LN(2)/25)*Calculateur!CG16*Calculateur!CI16*VLOOKUP('Données projet'!$B$9,Paramètres!$A$1:$I$88,3,0)*0.475*44/12</f>
        <v>0</v>
      </c>
      <c r="CM16" s="23">
        <f>EXP(-LN(2)/2)*CM15+(1-EXP(-LN(2)/2))/(LN(2)/2)*CG16*CJ16*VLOOKUP('Données projet'!$B$9,Paramètres!$A$1:$I$88,3,0)*0.475*44/12</f>
        <v>0</v>
      </c>
      <c r="CN16" s="24">
        <f t="shared" si="16"/>
        <v>0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2</v>
      </c>
      <c r="CT16" s="13">
        <f>IF(A16&lt;'Données projet'!$A$140,$CQ$205^A16,IF(A16='Données projet'!$A$140,'Données projet'!$B$140,CT15+CS16-DB15))</f>
        <v>7.6465300968101211</v>
      </c>
      <c r="CU16" s="18">
        <f>CT16*VLOOKUP('Données projet'!$B$13,Paramètres!$A$1:$I$88,3,0)*VLOOKUP('Données projet'!$B$13,Paramètres!$A$1:$I$88,5,0)</f>
        <v>6.5607228230630845</v>
      </c>
      <c r="CV16" s="14">
        <f t="shared" si="47"/>
        <v>2.4289052760183525</v>
      </c>
      <c r="CW16" s="22">
        <f t="shared" si="17"/>
        <v>15.656935605900166</v>
      </c>
      <c r="CX16" s="62">
        <f t="shared" si="18"/>
        <v>177.23036709947186</v>
      </c>
      <c r="CY16" s="62">
        <f ca="1">AVERAGE(OFFSET($CX$3,0,0,'Données projet'!$E$13+1,1))-AVERAGE(OFFSET($H$3,0,0,'Données projet'!$E$13+1,1))</f>
        <v>395.19659151668884</v>
      </c>
      <c r="CZ16" s="62">
        <f t="shared" si="19"/>
        <v>222.86563304507339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projet'!$B$13,Paramètres!$A$1:$I$88,7,0))</f>
        <v>0</v>
      </c>
      <c r="DD16" s="17">
        <f>IF(ISNA(VLOOKUP(A16,'Données projet'!$A$139:$I$159,6,0)),0%,VLOOKUP(A16,'Données projet'!$A$139:$I$159,6,0)*VLOOKUP('Données projet'!$B$13,Paramètres!$A$1:$I$88,7,0))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projet'!$B$9,Paramètres!$A$1:$I$88,3,0)*0.475*44/12</f>
        <v>0</v>
      </c>
      <c r="DG16" s="23">
        <f>EXP(-LN(2)/25)*DG15+(1-EXP(-LN(2)/25))/(LN(2)/25)*Calculateur!DB16*Calculateur!DD16*VLOOKUP('Données projet'!$B$9,Paramètres!$A$1:$I$88,3,0)*0.475*44/12</f>
        <v>0</v>
      </c>
      <c r="DH16" s="23">
        <f>EXP(-LN(2)/2)*DH15+(1-EXP(-LN(2)/2))/(LN(2)/2)*DB16*DE16*VLOOKUP('Données projet'!$B$9,Paramètres!$A$1:$I$88,3,0)*0.475*44/12</f>
        <v>0</v>
      </c>
      <c r="DI16" s="24">
        <f t="shared" si="20"/>
        <v>0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2.2749999999999999</v>
      </c>
      <c r="DO16" s="13">
        <f>IF(A16&lt;'Données projet'!$A$166,$DL$205^A16,IF(A16='Données projet'!$A$166,'Données projet'!$B$166,DO15+DN16-DW15))</f>
        <v>4.332000045396029</v>
      </c>
      <c r="DP16" s="18">
        <f>DO16*VLOOKUP('Données projet'!$B$14,Paramètres!$A$1:$I$88,3,0)*VLOOKUP('Données projet'!$B$14,Paramètres!$A$1:$I$88,5,0)</f>
        <v>2.5342200265566772</v>
      </c>
      <c r="DQ16" s="14">
        <f t="shared" si="48"/>
        <v>1.0480666573228676</v>
      </c>
      <c r="DR16" s="22">
        <f t="shared" si="21"/>
        <v>6.2391493077568727</v>
      </c>
      <c r="DS16" s="62">
        <f t="shared" si="22"/>
        <v>167.81258080132855</v>
      </c>
      <c r="DT16" s="62">
        <f ca="1">AVERAGE(OFFSET($DS$3,0,0,'Données projet'!$E$14+1,1))-AVERAGE(OFFSET($H$3,0,0,'Données projet'!$E$14+1,1))</f>
        <v>155.18073137151848</v>
      </c>
      <c r="DU16" s="62">
        <f t="shared" si="23"/>
        <v>115.19459155667272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projet'!$B$14,Paramètres!$A$1:$I$88,7,0))</f>
        <v>0</v>
      </c>
      <c r="DY16" s="17">
        <f>IF(ISNA(VLOOKUP(A16,'Données projet'!$A$165:$I$185,6,0)),0%,VLOOKUP(A16,'Données projet'!$A$165:$I$185,6,0)*VLOOKUP('Données projet'!$B$14,Paramètres!$A$1:$I$88,7,0))</f>
        <v>0</v>
      </c>
      <c r="DZ16" s="17">
        <f>IF(ISNA(VLOOKUP(A16,'Données projet'!$A$165:$I$185,7,0)),0%,VLOOKUP(A16,'Données projet'!$A$165:$I$185,7,0))</f>
        <v>0</v>
      </c>
      <c r="EA16" s="23">
        <f>EXP(-LN(2)/35)*EA15+(1-EXP(-LN(2)/35))/(LN(2)/35)*DW16*DX16*VLOOKUP('Données projet'!$B$9,Paramètres!$A$1:$I$88,3,0)*0.475*44/12</f>
        <v>0</v>
      </c>
      <c r="EB16" s="23">
        <f>EXP(-LN(2)/25)*EB15+(1-EXP(-LN(2)/25))/(LN(2)/25)*Calculateur!DW16*Calculateur!DY16*VLOOKUP('Données projet'!$B$9,Paramètres!$A$1:$I$88,3,0)*0.475*44/12</f>
        <v>0</v>
      </c>
      <c r="EC16" s="23">
        <f>EXP(-LN(2)/2)*EC15+(1-EXP(-LN(2)/2))/(LN(2)/2)*DW16*DZ16*VLOOKUP('Données projet'!$B$9,Paramètres!$A$1:$I$88,3,0)*0.475*44/12</f>
        <v>0</v>
      </c>
      <c r="ED16" s="24">
        <f t="shared" si="24"/>
        <v>0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3.25</v>
      </c>
      <c r="EJ16" s="13">
        <f>IF(A16&lt;'Données projet'!$A$192,$EG$205^A16,IF(A16='Données projet'!$A$192,'Données projet'!$B$192,EJ15+EI16-ER15))</f>
        <v>3.1345425227804182</v>
      </c>
      <c r="EK16" s="18">
        <f>EJ16*VLOOKUP('Données projet'!$B$15,Paramètres!$A$1:$I$88,3,0)*VLOOKUP('Données projet'!$B$15,Paramètres!$A$1:$I$88,5,0)</f>
        <v>1.4669659006612359</v>
      </c>
      <c r="EL16" s="14">
        <f t="shared" si="49"/>
        <v>0.64654803114596027</v>
      </c>
      <c r="EM16" s="22">
        <f t="shared" si="25"/>
        <v>3.6810367645641997</v>
      </c>
      <c r="EN16" s="62">
        <f t="shared" si="26"/>
        <v>165.25446825813589</v>
      </c>
      <c r="EO16" s="62">
        <f ca="1">AVERAGE(OFFSET($EN$3,0,0,'Données projet'!$E$15+1,1))-AVERAGE(OFFSET($H$3,0,0,'Données projet'!$E$15+1,1))</f>
        <v>238.59014604384171</v>
      </c>
      <c r="EP16" s="62">
        <f t="shared" si="27"/>
        <v>90.841373219575217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projet'!$B$15,Paramètres!$A$1:$I$88,7,0))</f>
        <v>0</v>
      </c>
      <c r="ET16" s="17">
        <f>IF(ISNA(VLOOKUP(A16,'Données projet'!$A$191:$I$211,6,0)),0%,VLOOKUP(A16,'Données projet'!$A$191:$I$211,6,0)*VLOOKUP('Données projet'!$B$15,Paramètres!$A$1:$I$88,7,0))</f>
        <v>0</v>
      </c>
      <c r="EU16" s="17">
        <f>IF(ISNA(VLOOKUP(A16,'Données projet'!$A$191:$I$211,7,0)),0%,VLOOKUP(A16,'Données projet'!$A$191:$I$211,7,0))</f>
        <v>0</v>
      </c>
      <c r="EV16" s="23">
        <f>EXP(-LN(2)/35)*EV15+(1-EXP(-LN(2)/35))/(LN(2)/35)*ER16*ES16*VLOOKUP('Données projet'!$B$9,Paramètres!$A$1:$I$88,3,0)*0.475*44/12</f>
        <v>0</v>
      </c>
      <c r="EW16" s="23">
        <f>EXP(-LN(2)/25)*EW15+(1-EXP(-LN(2)/25))/(LN(2)/25)*Calculateur!ER16*Calculateur!ET16*VLOOKUP('Données projet'!$B$9,Paramètres!$A$1:$I$88,3,0)*0.475*44/12</f>
        <v>0</v>
      </c>
      <c r="EX16" s="23">
        <f>EXP(-LN(2)/2)*EX15+(1-EXP(-LN(2)/2))/(LN(2)/2)*ER16*EU16*VLOOKUP('Données projet'!$B$9,Paramètres!$A$1:$I$88,3,0)*0.475*44/12</f>
        <v>0</v>
      </c>
      <c r="EY16" s="24">
        <f t="shared" si="28"/>
        <v>0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IF(A16&lt;'Données projet'!$A$218,$FB$205^A16,IF(A16='Données projet'!$A$218,'Données projet'!$B$218,FE15+FD16-FM15))</f>
        <v>0</v>
      </c>
      <c r="FF16" s="18" t="e">
        <f>FE16*VLOOKUP('Données projet'!$B$16,Paramètres!$A$1:$I$88,3,0)*VLOOKUP('Données projet'!$B$16,Paramètres!$A$1:$I$88,5,0)</f>
        <v>#N/A</v>
      </c>
      <c r="FG16" s="14" t="e">
        <f t="shared" si="50"/>
        <v>#N/A</v>
      </c>
      <c r="FH16" s="22" t="e">
        <f t="shared" si="29"/>
        <v>#N/A</v>
      </c>
      <c r="FI16" s="62" t="e">
        <f t="shared" si="30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31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projet'!$B$16,Paramètres!$A$1:$I$88,7,0))</f>
        <v>0</v>
      </c>
      <c r="FO16" s="17">
        <f>IF(ISNA(VLOOKUP(A16,'Données projet'!$A$217:$I$237,6,0)),0%,VLOOKUP(A16,'Données projet'!$A$217:$I$237,6,0)*VLOOKUP('Données projet'!$B$16,Paramètres!$A$1:$I$88,7,0))</f>
        <v>0</v>
      </c>
      <c r="FP16" s="17">
        <f>IF(ISNA(VLOOKUP(A16,'Données projet'!$A$217:$I$237,7,0)),0%,VLOOKUP(A16,'Données projet'!$A$217:$I$237,7,0))</f>
        <v>0</v>
      </c>
      <c r="FQ16" s="23">
        <f>EXP(-LN(2)/35)*FQ15+(1-EXP(-LN(2)/35))/(LN(2)/35)*FM16*FN16*VLOOKUP('Données projet'!$B$9,Paramètres!$A$1:$I$88,3,0)*0.475*44/12</f>
        <v>0</v>
      </c>
      <c r="FR16" s="23">
        <f>EXP(-LN(2)/25)*FR15+(1-EXP(-LN(2)/25))/(LN(2)/25)*Calculateur!FM16*Calculateur!FO16*VLOOKUP('Données projet'!$B$9,Paramètres!$A$1:$I$88,3,0)*0.475*44/12</f>
        <v>0</v>
      </c>
      <c r="FS16" s="23">
        <f>EXP(-LN(2)/2)*FS15+(1-EXP(-LN(2)/2))/(LN(2)/2)*FM16*FP16*VLOOKUP('Données projet'!$B$9,Paramètres!$A$1:$I$88,3,0)*0.475*44/12</f>
        <v>0</v>
      </c>
      <c r="FT16" s="24">
        <f t="shared" si="32"/>
        <v>0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IF(A16&lt;'Données projet'!$A$244,$FW$205^A16,IF(A16='Données projet'!$A$244,'Données projet'!$B$244,FZ15+FY16-GH15))</f>
        <v>0</v>
      </c>
      <c r="GA16" s="18" t="e">
        <f>FZ16*VLOOKUP('Données projet'!$B$17,Paramètres!$A$1:$I$88,3,0)*VLOOKUP('Données projet'!$B$17,Paramètres!$A$1:$I$88,5,0)</f>
        <v>#N/A</v>
      </c>
      <c r="GB16" s="14" t="e">
        <f t="shared" si="51"/>
        <v>#N/A</v>
      </c>
      <c r="GC16" s="22" t="e">
        <f t="shared" si="33"/>
        <v>#N/A</v>
      </c>
      <c r="GD16" s="62" t="e">
        <f t="shared" si="34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35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projet'!$B$17,Paramètres!$A$1:$I$88,7,0))</f>
        <v>0</v>
      </c>
      <c r="GJ16" s="17">
        <f>IF(ISNA(VLOOKUP(A16,'Données projet'!$A$243:$I$263,6,0)),0%,VLOOKUP(A16,'Données projet'!$A$243:$I$263,6,0)*VLOOKUP('Données projet'!$B$17,Paramètres!$A$1:$I$88,7,0))</f>
        <v>0</v>
      </c>
      <c r="GK16" s="17">
        <f>IF(ISNA(VLOOKUP(A16,'Données projet'!$A$243:$I$263,7,0)),0%,VLOOKUP(A16,'Données projet'!$A$243:$I$263,7,0))</f>
        <v>0</v>
      </c>
      <c r="GL16" s="23">
        <f>EXP(-LN(2)/35)*GL15+(1-EXP(-LN(2)/35))/(LN(2)/35)*GH16*GI16*VLOOKUP('Données projet'!$B$9,Paramètres!$A$1:$I$88,3,0)*0.475*44/12</f>
        <v>0</v>
      </c>
      <c r="GM16" s="23">
        <f>EXP(-LN(2)/25)*GM15+(1-EXP(-LN(2)/25))/(LN(2)/25)*Calculateur!GH16*Calculateur!GJ16*VLOOKUP('Données projet'!$B$9,Paramètres!$A$1:$I$88,3,0)*0.475*44/12</f>
        <v>0</v>
      </c>
      <c r="GN16" s="23">
        <f>EXP(-LN(2)/2)*GN15+(1-EXP(-LN(2)/2))/(LN(2)/2)*GH16*GK16*VLOOKUP('Données projet'!$B$9,Paramètres!$A$1:$I$88,3,0)*0.475*44/12</f>
        <v>0</v>
      </c>
      <c r="GO16" s="23">
        <f t="shared" si="36"/>
        <v>0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IF(A16&lt;'Données projet'!$A$270,$GR$205^A16,IF(A16='Données projet'!$A$270,'Données projet'!$B$270,GU15+GT16-HC15))</f>
        <v>0</v>
      </c>
      <c r="GV16" s="18" t="e">
        <f>GU16*VLOOKUP('Données projet'!$B$18,Paramètres!$A$1:$I$88,3,0)*VLOOKUP('Données projet'!$B$18,Paramètres!$A$1:$I$88,5,0)</f>
        <v>#N/A</v>
      </c>
      <c r="GW16" s="14" t="e">
        <f t="shared" si="52"/>
        <v>#N/A</v>
      </c>
      <c r="GX16" s="22" t="e">
        <f t="shared" si="37"/>
        <v>#N/A</v>
      </c>
      <c r="GY16" s="62" t="e">
        <f t="shared" si="38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39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projet'!$B$18,Paramètres!$A$1:$I$88,7,0))</f>
        <v>0</v>
      </c>
      <c r="HE16" s="17">
        <f>IF(ISNA(VLOOKUP(A16,'Données projet'!$A$269:$I$289,6,0)),0%,VLOOKUP(A16,'Données projet'!$A$269:$I$289,6,0)*VLOOKUP('Données projet'!$B$18,Paramètres!$A$1:$I$88,7,0))</f>
        <v>0</v>
      </c>
      <c r="HF16" s="17">
        <f>IF(ISNA(VLOOKUP(A16,'Données projet'!$A$269:$I$289,7,0)),0%,VLOOKUP(A16,'Données projet'!$A$269:$I$289,7,0))</f>
        <v>0</v>
      </c>
      <c r="HG16" s="23">
        <f>EXP(-LN(2)/35)*HG15+(1-EXP(-LN(2)/35))/(LN(2)/35)*HC16*HD16*VLOOKUP('Données projet'!$B$9,Paramètres!$A$1:$I$88,3,0)*0.475*44/12</f>
        <v>0</v>
      </c>
      <c r="HH16" s="23">
        <f>EXP(-LN(2)/25)*HH15+(1-EXP(-LN(2)/25))/(LN(2)/25)*Calculateur!HC16*Calculateur!HE16*VLOOKUP('Données projet'!$B$9,Paramètres!$A$1:$I$88,3,0)*0.475*44/12</f>
        <v>0</v>
      </c>
      <c r="HI16" s="23">
        <f>EXP(-LN(2)/2)*HI15+(1-EXP(-LN(2)/2))/(LN(2)/2)*HC16*HF16*VLOOKUP('Données projet'!$B$9,Paramètres!$A$1:$I$88,3,0)*0.475*44/12</f>
        <v>0</v>
      </c>
      <c r="HJ16" s="24">
        <f t="shared" si="40"/>
        <v>0</v>
      </c>
    </row>
    <row r="17" spans="1:218" s="5" customFormat="1" x14ac:dyDescent="0.25">
      <c r="A17" s="11">
        <f t="shared" si="4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" s="12">
        <f t="shared" si="4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135.66666666666666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1.9558333333333331</v>
      </c>
      <c r="N17" s="14">
        <f>IF(A17&lt;'Données projet'!$A$36,$K$205^A17,IF(A17='Données projet'!$A$36,'Données projet'!$B$36,N16+M17-V16))</f>
        <v>23.165000000000003</v>
      </c>
      <c r="O17" s="14">
        <f>N17*VLOOKUP('Données projet'!$B$9,Paramètres!$A$1:$I$88,3,0)*VLOOKUP('Données projet'!$B$9,Paramètres!$A$1:$I$88,5,0)</f>
        <v>26.68608</v>
      </c>
      <c r="P17" s="14">
        <f t="shared" si="43"/>
        <v>8.3910691422038557</v>
      </c>
      <c r="Q17" s="22">
        <f t="shared" si="2"/>
        <v>61.092701422671723</v>
      </c>
      <c r="R17" s="62">
        <f t="shared" si="0"/>
        <v>225.81364687208253</v>
      </c>
      <c r="S17" s="62">
        <f ca="1">AVERAGE(OFFSET($R$3,0,0,'Données projet'!$E$9+1,1))-AVERAGE(OFFSET($H$3,0,0,'Données projet'!$E$9+1,1))</f>
        <v>314.72063458462026</v>
      </c>
      <c r="T17" s="62">
        <f t="shared" si="3"/>
        <v>216.4380325968244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projet'!$B$9,Paramètres!$A$1:$I$88,7,0))</f>
        <v>0</v>
      </c>
      <c r="X17" s="17">
        <f>IF(ISNA(VLOOKUP(A17,'Données projet'!$A$35:$I$55,6,0)),0%,VLOOKUP(A17,'Données projet'!$A$35:$I$55,6,0)*VLOOKUP('Données projet'!$B$9,Paramètres!$A$1:$I$88,7,0))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projet'!$B$9,Paramètres!$A$1:$I$88,3,0)*0.475*44/12</f>
        <v>0</v>
      </c>
      <c r="AA17" s="23">
        <f>EXP(-LN(2)/25)*AA16+(1-EXP(-LN(2)/25))/(LN(2)/25)*Calculateur!V17*Calculateur!X17*VLOOKUP('Données projet'!$B$9,Paramètres!$A$1:$I$88,3,0)*0.475*44/12</f>
        <v>0</v>
      </c>
      <c r="AB17" s="23">
        <f>EXP(-LN(2)/2)*AB16+(1-EXP(-LN(2)/2))/(LN(2)/2)*V17*Y17*VLOOKUP('Données projet'!$B$9,Paramètres!$A$1:$I$88,3,0)*0.475*44/12</f>
        <v>0</v>
      </c>
      <c r="AC17" s="24">
        <f t="shared" si="4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</v>
      </c>
      <c r="AI17" s="14">
        <f>IF(A17&lt;'Données projet'!$A$62,$AF$205^A17,IF(A17='Données projet'!$A$62,'Données projet'!$B$62,AI16+AH17-AQ16))</f>
        <v>8.9417639810633762</v>
      </c>
      <c r="AJ17" s="14">
        <f>AI17*VLOOKUP('Données projet'!$B$10,Paramètres!$A$1:$I$88,3,0)*VLOOKUP('Données projet'!$B$10,Paramètres!$A$1:$I$88,5,0)</f>
        <v>9.3459317130074417</v>
      </c>
      <c r="AK17" s="14">
        <f t="shared" si="44"/>
        <v>3.320428992785506</v>
      </c>
      <c r="AL17" s="22">
        <f t="shared" si="5"/>
        <v>22.060578229256048</v>
      </c>
      <c r="AM17" s="62">
        <f t="shared" si="6"/>
        <v>186.78152367866684</v>
      </c>
      <c r="AN17" s="62">
        <f ca="1">AVERAGE(OFFSET($AM$3,0,0,'Données projet'!$E$10+1,1))-AVERAGE(OFFSET($H$3,0,0,'Données projet'!$E$10+1,1))</f>
        <v>458.33072853676879</v>
      </c>
      <c r="AO17" s="62">
        <f t="shared" si="7"/>
        <v>254.1734169352687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projet'!$B$10,Paramètres!$A$1:$I$88,7,0))</f>
        <v>0</v>
      </c>
      <c r="AS17" s="17">
        <f>IF(ISNA(VLOOKUP(A17,'Données projet'!$A$61:$I$81,6,0)),0%,VLOOKUP(A17,'Données projet'!$A$61:$I$81,6,0)*VLOOKUP('Données projet'!$B$10,Paramètres!$A$1:$I$88,7,0))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projet'!$B$9,Paramètres!$A$1:$I$88,3,0)*0.475*44/12</f>
        <v>0</v>
      </c>
      <c r="AV17" s="23">
        <f>EXP(-LN(2)/25)*AV16+(1-EXP(-LN(2)/25))/(LN(2)/25)*Calculateur!AQ17*Calculateur!AS17*VLOOKUP('Données projet'!$B$9,Paramètres!$A$1:$I$88,3,0)*0.475*44/12</f>
        <v>0</v>
      </c>
      <c r="AW17" s="23">
        <f>EXP(-LN(2)/2)*AW16+(1-EXP(-LN(2)/2))/(LN(2)/2)*AQ17*AT17*VLOOKUP('Données projet'!$B$9,Paramètres!$A$1:$I$88,3,0)*0.475*44/12</f>
        <v>0</v>
      </c>
      <c r="AX17" s="23">
        <f t="shared" si="8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2</v>
      </c>
      <c r="BD17" s="13">
        <f>IF(A17&lt;'Données projet'!$A$88,$BA$205^A17,IF(A17='Données projet'!$A$88,'Données projet'!$B$88,BD16+BC17-BL16))</f>
        <v>8.9417639810633762</v>
      </c>
      <c r="BE17" s="14">
        <f>BD17*VLOOKUP('Données projet'!$B$11,Paramètres!$A$1:$I$88,3,0)*VLOOKUP('Données projet'!$B$11,Paramètres!$A$1:$I$88,5,0)</f>
        <v>9.0669486767982637</v>
      </c>
      <c r="BF17" s="14">
        <f t="shared" si="45"/>
        <v>3.23269508983938</v>
      </c>
      <c r="BG17" s="22">
        <f t="shared" si="9"/>
        <v>21.421879560227229</v>
      </c>
      <c r="BH17" s="62">
        <f t="shared" si="10"/>
        <v>186.14282500963805</v>
      </c>
      <c r="BI17" s="62">
        <f ca="1">AVERAGE(OFFSET($BH$3,0,0,'Données projet'!$E$11+1,1))-AVERAGE(OFFSET($H$3,0,0,'Données projet'!$E$11+1,1))</f>
        <v>447.82618173893104</v>
      </c>
      <c r="BJ17" s="62">
        <f t="shared" si="11"/>
        <v>248.96509970783379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projet'!$B$11,Paramètres!$A$1:$I$88,7,0))</f>
        <v>0</v>
      </c>
      <c r="BN17" s="17">
        <f>IF(ISNA(VLOOKUP(A17,'Données projet'!$A$87:$I$107,6,0)),0%,VLOOKUP(A17,'Données projet'!$A$87:$I$107,6,0)*VLOOKUP('Données projet'!$B$11,Paramètres!$A$1:$I$88,7,0))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projet'!$B$9,Paramètres!$A$1:$I$88,3,0)*0.475*44/12</f>
        <v>0</v>
      </c>
      <c r="BQ17" s="23">
        <f>EXP(-LN(2)/25)*BQ16+(1-EXP(-LN(2)/25))/(LN(2)/25)*Calculateur!BL17*Calculateur!BN17*VLOOKUP('Données projet'!$B$9,Paramètres!$A$1:$I$88,3,0)*0.475*44/12</f>
        <v>0</v>
      </c>
      <c r="BR17" s="23">
        <f>EXP(-LN(2)/2)*BR16+(1-EXP(-LN(2)/2))/(LN(2)/2)*BL17*BO17*VLOOKUP('Données projet'!$B$9,Paramètres!$A$1:$I$88,3,0)*0.475*44/12</f>
        <v>0</v>
      </c>
      <c r="BS17" s="24">
        <f t="shared" si="12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2</v>
      </c>
      <c r="BY17" s="13">
        <f>IF(A17&lt;'Données projet'!$A$114,$BV$205^A17,IF(A17='Données projet'!$A$114,'Données projet'!$B$114,BY16+BX17-CG16))</f>
        <v>8.9417639810633762</v>
      </c>
      <c r="BZ17" s="14">
        <f>BY17*VLOOKUP('Données projet'!$B$12,Paramètres!$A$1:$I$88,3,0)*VLOOKUP('Données projet'!$B$12,Paramètres!$A$1:$I$88,5,0)</f>
        <v>9.624914749216618</v>
      </c>
      <c r="CA17" s="14">
        <f t="shared" si="46"/>
        <v>3.4078585343906322</v>
      </c>
      <c r="CB17" s="22">
        <f t="shared" si="13"/>
        <v>22.698746802282628</v>
      </c>
      <c r="CC17" s="62">
        <f t="shared" si="14"/>
        <v>187.41969225169345</v>
      </c>
      <c r="CD17" s="62">
        <f ca="1">AVERAGE(OFFSET($CC$3,0,0,'Données projet'!$E$12+1,1))-AVERAGE(OFFSET($H$3,0,0,'Données projet'!$E$12+1,1))</f>
        <v>468.82871618425406</v>
      </c>
      <c r="CE17" s="62">
        <f t="shared" si="15"/>
        <v>259.37818128554397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projet'!$B$12,Paramètres!$A$1:$I$88,7,0))</f>
        <v>0</v>
      </c>
      <c r="CI17" s="17">
        <f>IF(ISNA(VLOOKUP(A17,'Données projet'!$A$113:$I$133,6,0)),0%,VLOOKUP(A17,'Données projet'!$A$113:$I$133,6,0)*VLOOKUP('Données projet'!$B$12,Paramètres!$A$1:$I$88,7,0))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projet'!$B$9,Paramètres!$A$1:$I$88,3,0)*0.475*44/12</f>
        <v>0</v>
      </c>
      <c r="CL17" s="23">
        <f>EXP(-LN(2)/25)*CL16+(1-EXP(-LN(2)/25))/(LN(2)/25)*Calculateur!CG17*Calculateur!CI17*VLOOKUP('Données projet'!$B$9,Paramètres!$A$1:$I$88,3,0)*0.475*44/12</f>
        <v>0</v>
      </c>
      <c r="CM17" s="23">
        <f>EXP(-LN(2)/2)*CM16+(1-EXP(-LN(2)/2))/(LN(2)/2)*CG17*CJ17*VLOOKUP('Données projet'!$B$9,Paramètres!$A$1:$I$88,3,0)*0.475*44/12</f>
        <v>0</v>
      </c>
      <c r="CN17" s="24">
        <f t="shared" si="16"/>
        <v>0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2</v>
      </c>
      <c r="CT17" s="13">
        <f>IF(A17&lt;'Données projet'!$A$140,$CQ$205^A17,IF(A17='Données projet'!$A$140,'Données projet'!$B$140,CT16+CS17-DB16))</f>
        <v>8.9417639810633762</v>
      </c>
      <c r="CU17" s="18">
        <f>CT17*VLOOKUP('Données projet'!$B$13,Paramètres!$A$1:$I$88,3,0)*VLOOKUP('Données projet'!$B$13,Paramètres!$A$1:$I$88,5,0)</f>
        <v>7.6720334957523777</v>
      </c>
      <c r="CV17" s="14">
        <f t="shared" si="47"/>
        <v>2.7890671727793093</v>
      </c>
      <c r="CW17" s="22">
        <f t="shared" si="17"/>
        <v>18.21975033102602</v>
      </c>
      <c r="CX17" s="62">
        <f t="shared" si="18"/>
        <v>182.94069578043684</v>
      </c>
      <c r="CY17" s="62">
        <f ca="1">AVERAGE(OFFSET($CX$3,0,0,'Données projet'!$E$13+1,1))-AVERAGE(OFFSET($H$3,0,0,'Données projet'!$E$13+1,1))</f>
        <v>395.19659151668884</v>
      </c>
      <c r="CZ17" s="62">
        <f t="shared" si="19"/>
        <v>222.86563304507339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projet'!$B$13,Paramètres!$A$1:$I$88,7,0))</f>
        <v>0</v>
      </c>
      <c r="DD17" s="17">
        <f>IF(ISNA(VLOOKUP(A17,'Données projet'!$A$139:$I$159,6,0)),0%,VLOOKUP(A17,'Données projet'!$A$139:$I$159,6,0)*VLOOKUP('Données projet'!$B$13,Paramètres!$A$1:$I$88,7,0))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projet'!$B$9,Paramètres!$A$1:$I$88,3,0)*0.475*44/12</f>
        <v>0</v>
      </c>
      <c r="DG17" s="23">
        <f>EXP(-LN(2)/25)*DG16+(1-EXP(-LN(2)/25))/(LN(2)/25)*Calculateur!DB17*Calculateur!DD17*VLOOKUP('Données projet'!$B$9,Paramètres!$A$1:$I$88,3,0)*0.475*44/12</f>
        <v>0</v>
      </c>
      <c r="DH17" s="23">
        <f>EXP(-LN(2)/2)*DH16+(1-EXP(-LN(2)/2))/(LN(2)/2)*DB17*DE17*VLOOKUP('Données projet'!$B$9,Paramètres!$A$1:$I$88,3,0)*0.475*44/12</f>
        <v>0</v>
      </c>
      <c r="DI17" s="24">
        <f t="shared" si="20"/>
        <v>0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2.2749999999999999</v>
      </c>
      <c r="DO17" s="13">
        <f>IF(A17&lt;'Données projet'!$A$166,$DL$205^A17,IF(A17='Données projet'!$A$166,'Données projet'!$B$166,DO16+DN17-DW16))</f>
        <v>4.849137370031376</v>
      </c>
      <c r="DP17" s="18">
        <f>DO17*VLOOKUP('Données projet'!$B$14,Paramètres!$A$1:$I$88,3,0)*VLOOKUP('Données projet'!$B$14,Paramètres!$A$1:$I$88,5,0)</f>
        <v>2.8367453614683553</v>
      </c>
      <c r="DQ17" s="14">
        <f t="shared" si="48"/>
        <v>1.1578815374951013</v>
      </c>
      <c r="DR17" s="22">
        <f t="shared" si="21"/>
        <v>6.9573085156946872</v>
      </c>
      <c r="DS17" s="62">
        <f t="shared" si="22"/>
        <v>171.67825396510548</v>
      </c>
      <c r="DT17" s="62">
        <f ca="1">AVERAGE(OFFSET($DS$3,0,0,'Données projet'!$E$14+1,1))-AVERAGE(OFFSET($H$3,0,0,'Données projet'!$E$14+1,1))</f>
        <v>155.18073137151848</v>
      </c>
      <c r="DU17" s="62">
        <f t="shared" si="23"/>
        <v>115.19459155667272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projet'!$B$14,Paramètres!$A$1:$I$88,7,0))</f>
        <v>0</v>
      </c>
      <c r="DY17" s="17">
        <f>IF(ISNA(VLOOKUP(A17,'Données projet'!$A$165:$I$185,6,0)),0%,VLOOKUP(A17,'Données projet'!$A$165:$I$185,6,0)*VLOOKUP('Données projet'!$B$14,Paramètres!$A$1:$I$88,7,0))</f>
        <v>0</v>
      </c>
      <c r="DZ17" s="17">
        <f>IF(ISNA(VLOOKUP(A17,'Données projet'!$A$165:$I$185,7,0)),0%,VLOOKUP(A17,'Données projet'!$A$165:$I$185,7,0))</f>
        <v>0</v>
      </c>
      <c r="EA17" s="23">
        <f>EXP(-LN(2)/35)*EA16+(1-EXP(-LN(2)/35))/(LN(2)/35)*DW17*DX17*VLOOKUP('Données projet'!$B$9,Paramètres!$A$1:$I$88,3,0)*0.475*44/12</f>
        <v>0</v>
      </c>
      <c r="EB17" s="23">
        <f>EXP(-LN(2)/25)*EB16+(1-EXP(-LN(2)/25))/(LN(2)/25)*Calculateur!DW17*Calculateur!DY17*VLOOKUP('Données projet'!$B$9,Paramètres!$A$1:$I$88,3,0)*0.475*44/12</f>
        <v>0</v>
      </c>
      <c r="EC17" s="23">
        <f>EXP(-LN(2)/2)*EC16+(1-EXP(-LN(2)/2))/(LN(2)/2)*DW17*DZ17*VLOOKUP('Données projet'!$B$9,Paramètres!$A$1:$I$88,3,0)*0.475*44/12</f>
        <v>0</v>
      </c>
      <c r="ED17" s="24">
        <f t="shared" si="24"/>
        <v>0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3.25</v>
      </c>
      <c r="EJ17" s="13">
        <f>IF(A17&lt;'Données projet'!$A$192,$EG$205^A17,IF(A17='Données projet'!$A$192,'Données projet'!$B$192,EJ16+EI17-ER16))</f>
        <v>3.4224838646084246</v>
      </c>
      <c r="EK17" s="18">
        <f>EJ17*VLOOKUP('Données projet'!$B$15,Paramètres!$A$1:$I$88,3,0)*VLOOKUP('Données projet'!$B$15,Paramètres!$A$1:$I$88,5,0)</f>
        <v>1.6017224486367427</v>
      </c>
      <c r="EL17" s="14">
        <f t="shared" si="49"/>
        <v>0.69875571016034754</v>
      </c>
      <c r="EM17" s="22">
        <f t="shared" si="25"/>
        <v>4.0066661265715986</v>
      </c>
      <c r="EN17" s="62">
        <f t="shared" si="26"/>
        <v>168.72761157598239</v>
      </c>
      <c r="EO17" s="62">
        <f ca="1">AVERAGE(OFFSET($EN$3,0,0,'Données projet'!$E$15+1,1))-AVERAGE(OFFSET($H$3,0,0,'Données projet'!$E$15+1,1))</f>
        <v>238.59014604384171</v>
      </c>
      <c r="EP17" s="62">
        <f t="shared" si="27"/>
        <v>90.841373219575217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projet'!$B$15,Paramètres!$A$1:$I$88,7,0))</f>
        <v>0</v>
      </c>
      <c r="ET17" s="17">
        <f>IF(ISNA(VLOOKUP(A17,'Données projet'!$A$191:$I$211,6,0)),0%,VLOOKUP(A17,'Données projet'!$A$191:$I$211,6,0)*VLOOKUP('Données projet'!$B$15,Paramètres!$A$1:$I$88,7,0))</f>
        <v>0</v>
      </c>
      <c r="EU17" s="17">
        <f>IF(ISNA(VLOOKUP(A17,'Données projet'!$A$191:$I$211,7,0)),0%,VLOOKUP(A17,'Données projet'!$A$191:$I$211,7,0))</f>
        <v>0</v>
      </c>
      <c r="EV17" s="23">
        <f>EXP(-LN(2)/35)*EV16+(1-EXP(-LN(2)/35))/(LN(2)/35)*ER17*ES17*VLOOKUP('Données projet'!$B$9,Paramètres!$A$1:$I$88,3,0)*0.475*44/12</f>
        <v>0</v>
      </c>
      <c r="EW17" s="23">
        <f>EXP(-LN(2)/25)*EW16+(1-EXP(-LN(2)/25))/(LN(2)/25)*Calculateur!ER17*Calculateur!ET17*VLOOKUP('Données projet'!$B$9,Paramètres!$A$1:$I$88,3,0)*0.475*44/12</f>
        <v>0</v>
      </c>
      <c r="EX17" s="23">
        <f>EXP(-LN(2)/2)*EX16+(1-EXP(-LN(2)/2))/(LN(2)/2)*ER17*EU17*VLOOKUP('Données projet'!$B$9,Paramètres!$A$1:$I$88,3,0)*0.475*44/12</f>
        <v>0</v>
      </c>
      <c r="EY17" s="24">
        <f t="shared" si="28"/>
        <v>0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IF(A17&lt;'Données projet'!$A$218,$FB$205^A17,IF(A17='Données projet'!$A$218,'Données projet'!$B$218,FE16+FD17-FM16))</f>
        <v>0</v>
      </c>
      <c r="FF17" s="18" t="e">
        <f>FE17*VLOOKUP('Données projet'!$B$16,Paramètres!$A$1:$I$88,3,0)*VLOOKUP('Données projet'!$B$16,Paramètres!$A$1:$I$88,5,0)</f>
        <v>#N/A</v>
      </c>
      <c r="FG17" s="14" t="e">
        <f t="shared" si="50"/>
        <v>#N/A</v>
      </c>
      <c r="FH17" s="22" t="e">
        <f t="shared" si="29"/>
        <v>#N/A</v>
      </c>
      <c r="FI17" s="62" t="e">
        <f t="shared" si="30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31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projet'!$B$16,Paramètres!$A$1:$I$88,7,0))</f>
        <v>0</v>
      </c>
      <c r="FO17" s="17">
        <f>IF(ISNA(VLOOKUP(A17,'Données projet'!$A$217:$I$237,6,0)),0%,VLOOKUP(A17,'Données projet'!$A$217:$I$237,6,0)*VLOOKUP('Données projet'!$B$16,Paramètres!$A$1:$I$88,7,0))</f>
        <v>0</v>
      </c>
      <c r="FP17" s="17">
        <f>IF(ISNA(VLOOKUP(A17,'Données projet'!$A$217:$I$237,7,0)),0%,VLOOKUP(A17,'Données projet'!$A$217:$I$237,7,0))</f>
        <v>0</v>
      </c>
      <c r="FQ17" s="23">
        <f>EXP(-LN(2)/35)*FQ16+(1-EXP(-LN(2)/35))/(LN(2)/35)*FM17*FN17*VLOOKUP('Données projet'!$B$9,Paramètres!$A$1:$I$88,3,0)*0.475*44/12</f>
        <v>0</v>
      </c>
      <c r="FR17" s="23">
        <f>EXP(-LN(2)/25)*FR16+(1-EXP(-LN(2)/25))/(LN(2)/25)*Calculateur!FM17*Calculateur!FO17*VLOOKUP('Données projet'!$B$9,Paramètres!$A$1:$I$88,3,0)*0.475*44/12</f>
        <v>0</v>
      </c>
      <c r="FS17" s="23">
        <f>EXP(-LN(2)/2)*FS16+(1-EXP(-LN(2)/2))/(LN(2)/2)*FM17*FP17*VLOOKUP('Données projet'!$B$9,Paramètres!$A$1:$I$88,3,0)*0.475*44/12</f>
        <v>0</v>
      </c>
      <c r="FT17" s="24">
        <f t="shared" si="32"/>
        <v>0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IF(A17&lt;'Données projet'!$A$244,$FW$205^A17,IF(A17='Données projet'!$A$244,'Données projet'!$B$244,FZ16+FY17-GH16))</f>
        <v>0</v>
      </c>
      <c r="GA17" s="18" t="e">
        <f>FZ17*VLOOKUP('Données projet'!$B$17,Paramètres!$A$1:$I$88,3,0)*VLOOKUP('Données projet'!$B$17,Paramètres!$A$1:$I$88,5,0)</f>
        <v>#N/A</v>
      </c>
      <c r="GB17" s="14" t="e">
        <f t="shared" si="51"/>
        <v>#N/A</v>
      </c>
      <c r="GC17" s="22" t="e">
        <f t="shared" si="33"/>
        <v>#N/A</v>
      </c>
      <c r="GD17" s="62" t="e">
        <f t="shared" si="34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35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projet'!$B$17,Paramètres!$A$1:$I$88,7,0))</f>
        <v>0</v>
      </c>
      <c r="GJ17" s="17">
        <f>IF(ISNA(VLOOKUP(A17,'Données projet'!$A$243:$I$263,6,0)),0%,VLOOKUP(A17,'Données projet'!$A$243:$I$263,6,0)*VLOOKUP('Données projet'!$B$17,Paramètres!$A$1:$I$88,7,0))</f>
        <v>0</v>
      </c>
      <c r="GK17" s="17">
        <f>IF(ISNA(VLOOKUP(A17,'Données projet'!$A$243:$I$263,7,0)),0%,VLOOKUP(A17,'Données projet'!$A$243:$I$263,7,0))</f>
        <v>0</v>
      </c>
      <c r="GL17" s="23">
        <f>EXP(-LN(2)/35)*GL16+(1-EXP(-LN(2)/35))/(LN(2)/35)*GH17*GI17*VLOOKUP('Données projet'!$B$9,Paramètres!$A$1:$I$88,3,0)*0.475*44/12</f>
        <v>0</v>
      </c>
      <c r="GM17" s="23">
        <f>EXP(-LN(2)/25)*GM16+(1-EXP(-LN(2)/25))/(LN(2)/25)*Calculateur!GH17*Calculateur!GJ17*VLOOKUP('Données projet'!$B$9,Paramètres!$A$1:$I$88,3,0)*0.475*44/12</f>
        <v>0</v>
      </c>
      <c r="GN17" s="23">
        <f>EXP(-LN(2)/2)*GN16+(1-EXP(-LN(2)/2))/(LN(2)/2)*GH17*GK17*VLOOKUP('Données projet'!$B$9,Paramètres!$A$1:$I$88,3,0)*0.475*44/12</f>
        <v>0</v>
      </c>
      <c r="GO17" s="23">
        <f t="shared" si="36"/>
        <v>0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IF(A17&lt;'Données projet'!$A$270,$GR$205^A17,IF(A17='Données projet'!$A$270,'Données projet'!$B$270,GU16+GT17-HC16))</f>
        <v>0</v>
      </c>
      <c r="GV17" s="18" t="e">
        <f>GU17*VLOOKUP('Données projet'!$B$18,Paramètres!$A$1:$I$88,3,0)*VLOOKUP('Données projet'!$B$18,Paramètres!$A$1:$I$88,5,0)</f>
        <v>#N/A</v>
      </c>
      <c r="GW17" s="14" t="e">
        <f t="shared" si="52"/>
        <v>#N/A</v>
      </c>
      <c r="GX17" s="22" t="e">
        <f t="shared" si="37"/>
        <v>#N/A</v>
      </c>
      <c r="GY17" s="62" t="e">
        <f t="shared" si="38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39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projet'!$B$18,Paramètres!$A$1:$I$88,7,0))</f>
        <v>0</v>
      </c>
      <c r="HE17" s="17">
        <f>IF(ISNA(VLOOKUP(A17,'Données projet'!$A$269:$I$289,6,0)),0%,VLOOKUP(A17,'Données projet'!$A$269:$I$289,6,0)*VLOOKUP('Données projet'!$B$18,Paramètres!$A$1:$I$88,7,0))</f>
        <v>0</v>
      </c>
      <c r="HF17" s="17">
        <f>IF(ISNA(VLOOKUP(A17,'Données projet'!$A$269:$I$289,7,0)),0%,VLOOKUP(A17,'Données projet'!$A$269:$I$289,7,0))</f>
        <v>0</v>
      </c>
      <c r="HG17" s="23">
        <f>EXP(-LN(2)/35)*HG16+(1-EXP(-LN(2)/35))/(LN(2)/35)*HC17*HD17*VLOOKUP('Données projet'!$B$9,Paramètres!$A$1:$I$88,3,0)*0.475*44/12</f>
        <v>0</v>
      </c>
      <c r="HH17" s="23">
        <f>EXP(-LN(2)/25)*HH16+(1-EXP(-LN(2)/25))/(LN(2)/25)*Calculateur!HC17*Calculateur!HE17*VLOOKUP('Données projet'!$B$9,Paramètres!$A$1:$I$88,3,0)*0.475*44/12</f>
        <v>0</v>
      </c>
      <c r="HI17" s="23">
        <f>EXP(-LN(2)/2)*HI16+(1-EXP(-LN(2)/2))/(LN(2)/2)*HC17*HF17*VLOOKUP('Données projet'!$B$9,Paramètres!$A$1:$I$88,3,0)*0.475*44/12</f>
        <v>0</v>
      </c>
      <c r="HJ17" s="24">
        <f t="shared" si="40"/>
        <v>0</v>
      </c>
    </row>
    <row r="18" spans="1:218" s="5" customFormat="1" x14ac:dyDescent="0.25">
      <c r="A18" s="11">
        <f t="shared" si="4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" s="12">
        <f t="shared" si="4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135.66666666666666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1.9558333333333331</v>
      </c>
      <c r="N18" s="14">
        <f>IF(A18&lt;'Données projet'!$A$36,$K$205^A18,IF(A18='Données projet'!$A$36,'Données projet'!$B$36,N17+M18-V17))</f>
        <v>25.120833333333337</v>
      </c>
      <c r="O18" s="14">
        <f>N18*VLOOKUP('Données projet'!$B$9,Paramètres!$A$1:$I$88,3,0)*VLOOKUP('Données projet'!$B$9,Paramètres!$A$1:$I$88,5,0)</f>
        <v>28.939200000000003</v>
      </c>
      <c r="P18" s="14">
        <f t="shared" si="43"/>
        <v>9.0140830494369073</v>
      </c>
      <c r="Q18" s="22">
        <f t="shared" si="2"/>
        <v>66.101967977769291</v>
      </c>
      <c r="R18" s="62">
        <f t="shared" si="0"/>
        <v>233.93702787574847</v>
      </c>
      <c r="S18" s="62">
        <f ca="1">AVERAGE(OFFSET($R$3,0,0,'Données projet'!$E$9+1,1))-AVERAGE(OFFSET($H$3,0,0,'Données projet'!$E$9+1,1))</f>
        <v>314.72063458462026</v>
      </c>
      <c r="T18" s="62">
        <f t="shared" si="3"/>
        <v>216.4380325968244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projet'!$B$9,Paramètres!$A$1:$I$88,7,0))</f>
        <v>0</v>
      </c>
      <c r="X18" s="17">
        <f>IF(ISNA(VLOOKUP(A18,'Données projet'!$A$35:$I$55,6,0)),0%,VLOOKUP(A18,'Données projet'!$A$35:$I$55,6,0)*VLOOKUP('Données projet'!$B$9,Paramètres!$A$1:$I$88,7,0))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projet'!$B$9,Paramètres!$A$1:$I$88,3,0)*0.475*44/12</f>
        <v>0</v>
      </c>
      <c r="AA18" s="23">
        <f>EXP(-LN(2)/25)*AA17+(1-EXP(-LN(2)/25))/(LN(2)/25)*Calculateur!V18*Calculateur!X18*VLOOKUP('Données projet'!$B$9,Paramètres!$A$1:$I$88,3,0)*0.475*44/12</f>
        <v>0</v>
      </c>
      <c r="AB18" s="23">
        <f>EXP(-LN(2)/2)*AB17+(1-EXP(-LN(2)/2))/(LN(2)/2)*V18*Y18*VLOOKUP('Données projet'!$B$9,Paramètres!$A$1:$I$88,3,0)*0.475*44/12</f>
        <v>0</v>
      </c>
      <c r="AC18" s="24">
        <f t="shared" si="4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2</v>
      </c>
      <c r="AI18" s="14">
        <f>IF(A18&lt;'Données projet'!$A$62,$AF$205^A18,IF(A18='Données projet'!$A$62,'Données projet'!$B$62,AI17+AH18-AQ17))</f>
        <v>10.456395525912727</v>
      </c>
      <c r="AJ18" s="14">
        <f>AI18*VLOOKUP('Données projet'!$B$10,Paramètres!$A$1:$I$88,3,0)*VLOOKUP('Données projet'!$B$10,Paramètres!$A$1:$I$88,5,0)</f>
        <v>10.929024603683983</v>
      </c>
      <c r="AK18" s="14">
        <f t="shared" si="44"/>
        <v>3.812787429283325</v>
      </c>
      <c r="AL18" s="22">
        <f t="shared" si="5"/>
        <v>25.675322624084725</v>
      </c>
      <c r="AM18" s="62">
        <f t="shared" si="6"/>
        <v>193.51038252206388</v>
      </c>
      <c r="AN18" s="62">
        <f ca="1">AVERAGE(OFFSET($AM$3,0,0,'Données projet'!$E$10+1,1))-AVERAGE(OFFSET($H$3,0,0,'Données projet'!$E$10+1,1))</f>
        <v>458.33072853676879</v>
      </c>
      <c r="AO18" s="62">
        <f t="shared" si="7"/>
        <v>254.1734169352687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projet'!$B$10,Paramètres!$A$1:$I$88,7,0))</f>
        <v>0</v>
      </c>
      <c r="AS18" s="17">
        <f>IF(ISNA(VLOOKUP(A18,'Données projet'!$A$61:$I$81,6,0)),0%,VLOOKUP(A18,'Données projet'!$A$61:$I$81,6,0)*VLOOKUP('Données projet'!$B$10,Paramètres!$A$1:$I$88,7,0))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projet'!$B$9,Paramètres!$A$1:$I$88,3,0)*0.475*44/12</f>
        <v>0</v>
      </c>
      <c r="AV18" s="23">
        <f>EXP(-LN(2)/25)*AV17+(1-EXP(-LN(2)/25))/(LN(2)/25)*Calculateur!AQ18*Calculateur!AS18*VLOOKUP('Données projet'!$B$9,Paramètres!$A$1:$I$88,3,0)*0.475*44/12</f>
        <v>0</v>
      </c>
      <c r="AW18" s="23">
        <f>EXP(-LN(2)/2)*AW17+(1-EXP(-LN(2)/2))/(LN(2)/2)*AQ18*AT18*VLOOKUP('Données projet'!$B$9,Paramètres!$A$1:$I$88,3,0)*0.475*44/12</f>
        <v>0</v>
      </c>
      <c r="AX18" s="23">
        <f t="shared" si="8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2</v>
      </c>
      <c r="BD18" s="13">
        <f>IF(A18&lt;'Données projet'!$A$88,$BA$205^A18,IF(A18='Données projet'!$A$88,'Données projet'!$B$88,BD17+BC18-BL17))</f>
        <v>10.456395525912727</v>
      </c>
      <c r="BE18" s="14">
        <f>BD18*VLOOKUP('Données projet'!$B$11,Paramètres!$A$1:$I$88,3,0)*VLOOKUP('Données projet'!$B$11,Paramètres!$A$1:$I$88,5,0)</f>
        <v>10.602785063275507</v>
      </c>
      <c r="BF18" s="14">
        <f t="shared" si="45"/>
        <v>3.7120442051391693</v>
      </c>
      <c r="BG18" s="22">
        <f t="shared" si="9"/>
        <v>24.931660975822229</v>
      </c>
      <c r="BH18" s="62">
        <f t="shared" si="10"/>
        <v>192.7667208738014</v>
      </c>
      <c r="BI18" s="62">
        <f ca="1">AVERAGE(OFFSET($BH$3,0,0,'Données projet'!$E$11+1,1))-AVERAGE(OFFSET($H$3,0,0,'Données projet'!$E$11+1,1))</f>
        <v>447.82618173893104</v>
      </c>
      <c r="BJ18" s="62">
        <f t="shared" si="11"/>
        <v>248.96509970783379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projet'!$B$11,Paramètres!$A$1:$I$88,7,0))</f>
        <v>0</v>
      </c>
      <c r="BN18" s="17">
        <f>IF(ISNA(VLOOKUP(A18,'Données projet'!$A$87:$I$107,6,0)),0%,VLOOKUP(A18,'Données projet'!$A$87:$I$107,6,0)*VLOOKUP('Données projet'!$B$11,Paramètres!$A$1:$I$88,7,0))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projet'!$B$9,Paramètres!$A$1:$I$88,3,0)*0.475*44/12</f>
        <v>0</v>
      </c>
      <c r="BQ18" s="23">
        <f>EXP(-LN(2)/25)*BQ17+(1-EXP(-LN(2)/25))/(LN(2)/25)*Calculateur!BL18*Calculateur!BN18*VLOOKUP('Données projet'!$B$9,Paramètres!$A$1:$I$88,3,0)*0.475*44/12</f>
        <v>0</v>
      </c>
      <c r="BR18" s="23">
        <f>EXP(-LN(2)/2)*BR17+(1-EXP(-LN(2)/2))/(LN(2)/2)*BL18*BO18*VLOOKUP('Données projet'!$B$9,Paramètres!$A$1:$I$88,3,0)*0.475*44/12</f>
        <v>0</v>
      </c>
      <c r="BS18" s="24">
        <f t="shared" si="12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2</v>
      </c>
      <c r="BY18" s="13">
        <f>IF(A18&lt;'Données projet'!$A$114,$BV$205^A18,IF(A18='Données projet'!$A$114,'Données projet'!$B$114,BY17+BX18-CG17))</f>
        <v>10.456395525912727</v>
      </c>
      <c r="BZ18" s="14">
        <f>BY18*VLOOKUP('Données projet'!$B$12,Paramètres!$A$1:$I$88,3,0)*VLOOKUP('Données projet'!$B$12,Paramètres!$A$1:$I$88,5,0)</f>
        <v>11.255264144092459</v>
      </c>
      <c r="CA18" s="14">
        <f t="shared" si="46"/>
        <v>3.9131811609078606</v>
      </c>
      <c r="CB18" s="22">
        <f t="shared" si="13"/>
        <v>26.418375572875558</v>
      </c>
      <c r="CC18" s="62">
        <f t="shared" si="14"/>
        <v>194.25343547085473</v>
      </c>
      <c r="CD18" s="62">
        <f ca="1">AVERAGE(OFFSET($CC$3,0,0,'Données projet'!$E$12+1,1))-AVERAGE(OFFSET($H$3,0,0,'Données projet'!$E$12+1,1))</f>
        <v>468.82871618425406</v>
      </c>
      <c r="CE18" s="62">
        <f t="shared" si="15"/>
        <v>259.37818128554397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projet'!$B$12,Paramètres!$A$1:$I$88,7,0))</f>
        <v>0</v>
      </c>
      <c r="CI18" s="17">
        <f>IF(ISNA(VLOOKUP(A18,'Données projet'!$A$113:$I$133,6,0)),0%,VLOOKUP(A18,'Données projet'!$A$113:$I$133,6,0)*VLOOKUP('Données projet'!$B$12,Paramètres!$A$1:$I$88,7,0))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projet'!$B$9,Paramètres!$A$1:$I$88,3,0)*0.475*44/12</f>
        <v>0</v>
      </c>
      <c r="CL18" s="23">
        <f>EXP(-LN(2)/25)*CL17+(1-EXP(-LN(2)/25))/(LN(2)/25)*Calculateur!CG18*Calculateur!CI18*VLOOKUP('Données projet'!$B$9,Paramètres!$A$1:$I$88,3,0)*0.475*44/12</f>
        <v>0</v>
      </c>
      <c r="CM18" s="23">
        <f>EXP(-LN(2)/2)*CM17+(1-EXP(-LN(2)/2))/(LN(2)/2)*CG18*CJ18*VLOOKUP('Données projet'!$B$9,Paramètres!$A$1:$I$88,3,0)*0.475*44/12</f>
        <v>0</v>
      </c>
      <c r="CN18" s="24">
        <f t="shared" si="16"/>
        <v>0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2</v>
      </c>
      <c r="CT18" s="13">
        <f>IF(A18&lt;'Données projet'!$A$140,$CQ$205^A18,IF(A18='Données projet'!$A$140,'Données projet'!$B$140,CT17+CS18-DB17))</f>
        <v>10.456395525912727</v>
      </c>
      <c r="CU18" s="18">
        <f>CT18*VLOOKUP('Données projet'!$B$13,Paramètres!$A$1:$I$88,3,0)*VLOOKUP('Données projet'!$B$13,Paramètres!$A$1:$I$88,5,0)</f>
        <v>8.9715873612331212</v>
      </c>
      <c r="CV18" s="14">
        <f t="shared" si="47"/>
        <v>3.2026344423883542</v>
      </c>
      <c r="CW18" s="22">
        <f t="shared" si="17"/>
        <v>21.203436307974066</v>
      </c>
      <c r="CX18" s="62">
        <f t="shared" si="18"/>
        <v>189.03849620595324</v>
      </c>
      <c r="CY18" s="62">
        <f ca="1">AVERAGE(OFFSET($CX$3,0,0,'Données projet'!$E$13+1,1))-AVERAGE(OFFSET($H$3,0,0,'Données projet'!$E$13+1,1))</f>
        <v>395.19659151668884</v>
      </c>
      <c r="CZ18" s="62">
        <f t="shared" si="19"/>
        <v>222.86563304507339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projet'!$B$13,Paramètres!$A$1:$I$88,7,0))</f>
        <v>0</v>
      </c>
      <c r="DD18" s="17">
        <f>IF(ISNA(VLOOKUP(A18,'Données projet'!$A$139:$I$159,6,0)),0%,VLOOKUP(A18,'Données projet'!$A$139:$I$159,6,0)*VLOOKUP('Données projet'!$B$13,Paramètres!$A$1:$I$88,7,0))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projet'!$B$9,Paramètres!$A$1:$I$88,3,0)*0.475*44/12</f>
        <v>0</v>
      </c>
      <c r="DG18" s="23">
        <f>EXP(-LN(2)/25)*DG17+(1-EXP(-LN(2)/25))/(LN(2)/25)*Calculateur!DB18*Calculateur!DD18*VLOOKUP('Données projet'!$B$9,Paramètres!$A$1:$I$88,3,0)*0.475*44/12</f>
        <v>0</v>
      </c>
      <c r="DH18" s="23">
        <f>EXP(-LN(2)/2)*DH17+(1-EXP(-LN(2)/2))/(LN(2)/2)*DB18*DE18*VLOOKUP('Données projet'!$B$9,Paramètres!$A$1:$I$88,3,0)*0.475*44/12</f>
        <v>0</v>
      </c>
      <c r="DI18" s="24">
        <f t="shared" si="20"/>
        <v>0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2.2749999999999999</v>
      </c>
      <c r="DO18" s="13">
        <f>IF(A18&lt;'Données projet'!$A$166,$DL$205^A18,IF(A18='Données projet'!$A$166,'Données projet'!$B$166,DO17+DN18-DW17))</f>
        <v>5.4280085380943612</v>
      </c>
      <c r="DP18" s="18">
        <f>DO18*VLOOKUP('Données projet'!$B$14,Paramètres!$A$1:$I$88,3,0)*VLOOKUP('Données projet'!$B$14,Paramètres!$A$1:$I$88,5,0)</f>
        <v>3.1753849947852015</v>
      </c>
      <c r="DQ18" s="14">
        <f t="shared" si="48"/>
        <v>1.2792026590146603</v>
      </c>
      <c r="DR18" s="22">
        <f t="shared" si="21"/>
        <v>7.7584068303680924</v>
      </c>
      <c r="DS18" s="62">
        <f t="shared" si="22"/>
        <v>175.59346672834727</v>
      </c>
      <c r="DT18" s="62">
        <f ca="1">AVERAGE(OFFSET($DS$3,0,0,'Données projet'!$E$14+1,1))-AVERAGE(OFFSET($H$3,0,0,'Données projet'!$E$14+1,1))</f>
        <v>155.18073137151848</v>
      </c>
      <c r="DU18" s="62">
        <f t="shared" si="23"/>
        <v>115.19459155667272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projet'!$B$14,Paramètres!$A$1:$I$88,7,0))</f>
        <v>0</v>
      </c>
      <c r="DY18" s="17">
        <f>IF(ISNA(VLOOKUP(A18,'Données projet'!$A$165:$I$185,6,0)),0%,VLOOKUP(A18,'Données projet'!$A$165:$I$185,6,0)*VLOOKUP('Données projet'!$B$14,Paramètres!$A$1:$I$88,7,0))</f>
        <v>0</v>
      </c>
      <c r="DZ18" s="17">
        <f>IF(ISNA(VLOOKUP(A18,'Données projet'!$A$165:$I$185,7,0)),0%,VLOOKUP(A18,'Données projet'!$A$165:$I$185,7,0))</f>
        <v>0</v>
      </c>
      <c r="EA18" s="23">
        <f>EXP(-LN(2)/35)*EA17+(1-EXP(-LN(2)/35))/(LN(2)/35)*DW18*DX18*VLOOKUP('Données projet'!$B$9,Paramètres!$A$1:$I$88,3,0)*0.475*44/12</f>
        <v>0</v>
      </c>
      <c r="EB18" s="23">
        <f>EXP(-LN(2)/25)*EB17+(1-EXP(-LN(2)/25))/(LN(2)/25)*Calculateur!DW18*Calculateur!DY18*VLOOKUP('Données projet'!$B$9,Paramètres!$A$1:$I$88,3,0)*0.475*44/12</f>
        <v>0</v>
      </c>
      <c r="EC18" s="23">
        <f>EXP(-LN(2)/2)*EC17+(1-EXP(-LN(2)/2))/(LN(2)/2)*DW18*DZ18*VLOOKUP('Données projet'!$B$9,Paramètres!$A$1:$I$88,3,0)*0.475*44/12</f>
        <v>0</v>
      </c>
      <c r="ED18" s="24">
        <f t="shared" si="24"/>
        <v>0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3.25</v>
      </c>
      <c r="EJ18" s="13">
        <f>IF(A18&lt;'Données projet'!$A$192,$EG$205^A18,IF(A18='Données projet'!$A$192,'Données projet'!$B$192,EJ17+EI18-ER17))</f>
        <v>3.7368757062242501</v>
      </c>
      <c r="EK18" s="18">
        <f>EJ18*VLOOKUP('Données projet'!$B$15,Paramètres!$A$1:$I$88,3,0)*VLOOKUP('Données projet'!$B$15,Paramètres!$A$1:$I$88,5,0)</f>
        <v>1.7488578305129492</v>
      </c>
      <c r="EL18" s="14">
        <f t="shared" si="49"/>
        <v>0.7551790724910048</v>
      </c>
      <c r="EM18" s="22">
        <f t="shared" si="25"/>
        <v>4.3611976060652191</v>
      </c>
      <c r="EN18" s="62">
        <f t="shared" si="26"/>
        <v>172.19625750404438</v>
      </c>
      <c r="EO18" s="62">
        <f ca="1">AVERAGE(OFFSET($EN$3,0,0,'Données projet'!$E$15+1,1))-AVERAGE(OFFSET($H$3,0,0,'Données projet'!$E$15+1,1))</f>
        <v>238.59014604384171</v>
      </c>
      <c r="EP18" s="62">
        <f t="shared" si="27"/>
        <v>90.841373219575217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projet'!$B$15,Paramètres!$A$1:$I$88,7,0))</f>
        <v>0</v>
      </c>
      <c r="ET18" s="17">
        <f>IF(ISNA(VLOOKUP(A18,'Données projet'!$A$191:$I$211,6,0)),0%,VLOOKUP(A18,'Données projet'!$A$191:$I$211,6,0)*VLOOKUP('Données projet'!$B$15,Paramètres!$A$1:$I$88,7,0))</f>
        <v>0</v>
      </c>
      <c r="EU18" s="17">
        <f>IF(ISNA(VLOOKUP(A18,'Données projet'!$A$191:$I$211,7,0)),0%,VLOOKUP(A18,'Données projet'!$A$191:$I$211,7,0))</f>
        <v>0</v>
      </c>
      <c r="EV18" s="23">
        <f>EXP(-LN(2)/35)*EV17+(1-EXP(-LN(2)/35))/(LN(2)/35)*ER18*ES18*VLOOKUP('Données projet'!$B$9,Paramètres!$A$1:$I$88,3,0)*0.475*44/12</f>
        <v>0</v>
      </c>
      <c r="EW18" s="23">
        <f>EXP(-LN(2)/25)*EW17+(1-EXP(-LN(2)/25))/(LN(2)/25)*Calculateur!ER18*Calculateur!ET18*VLOOKUP('Données projet'!$B$9,Paramètres!$A$1:$I$88,3,0)*0.475*44/12</f>
        <v>0</v>
      </c>
      <c r="EX18" s="23">
        <f>EXP(-LN(2)/2)*EX17+(1-EXP(-LN(2)/2))/(LN(2)/2)*ER18*EU18*VLOOKUP('Données projet'!$B$9,Paramètres!$A$1:$I$88,3,0)*0.475*44/12</f>
        <v>0</v>
      </c>
      <c r="EY18" s="24">
        <f t="shared" si="28"/>
        <v>0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IF(A18&lt;'Données projet'!$A$218,$FB$205^A18,IF(A18='Données projet'!$A$218,'Données projet'!$B$218,FE17+FD18-FM17))</f>
        <v>0</v>
      </c>
      <c r="FF18" s="18" t="e">
        <f>FE18*VLOOKUP('Données projet'!$B$16,Paramètres!$A$1:$I$88,3,0)*VLOOKUP('Données projet'!$B$16,Paramètres!$A$1:$I$88,5,0)</f>
        <v>#N/A</v>
      </c>
      <c r="FG18" s="14" t="e">
        <f t="shared" si="50"/>
        <v>#N/A</v>
      </c>
      <c r="FH18" s="22" t="e">
        <f t="shared" si="29"/>
        <v>#N/A</v>
      </c>
      <c r="FI18" s="62" t="e">
        <f t="shared" si="30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31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projet'!$B$16,Paramètres!$A$1:$I$88,7,0))</f>
        <v>0</v>
      </c>
      <c r="FO18" s="17">
        <f>IF(ISNA(VLOOKUP(A18,'Données projet'!$A$217:$I$237,6,0)),0%,VLOOKUP(A18,'Données projet'!$A$217:$I$237,6,0)*VLOOKUP('Données projet'!$B$16,Paramètres!$A$1:$I$88,7,0))</f>
        <v>0</v>
      </c>
      <c r="FP18" s="17">
        <f>IF(ISNA(VLOOKUP(A18,'Données projet'!$A$217:$I$237,7,0)),0%,VLOOKUP(A18,'Données projet'!$A$217:$I$237,7,0))</f>
        <v>0</v>
      </c>
      <c r="FQ18" s="23">
        <f>EXP(-LN(2)/35)*FQ17+(1-EXP(-LN(2)/35))/(LN(2)/35)*FM18*FN18*VLOOKUP('Données projet'!$B$9,Paramètres!$A$1:$I$88,3,0)*0.475*44/12</f>
        <v>0</v>
      </c>
      <c r="FR18" s="23">
        <f>EXP(-LN(2)/25)*FR17+(1-EXP(-LN(2)/25))/(LN(2)/25)*Calculateur!FM18*Calculateur!FO18*VLOOKUP('Données projet'!$B$9,Paramètres!$A$1:$I$88,3,0)*0.475*44/12</f>
        <v>0</v>
      </c>
      <c r="FS18" s="23">
        <f>EXP(-LN(2)/2)*FS17+(1-EXP(-LN(2)/2))/(LN(2)/2)*FM18*FP18*VLOOKUP('Données projet'!$B$9,Paramètres!$A$1:$I$88,3,0)*0.475*44/12</f>
        <v>0</v>
      </c>
      <c r="FT18" s="24">
        <f t="shared" si="32"/>
        <v>0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IF(A18&lt;'Données projet'!$A$244,$FW$205^A18,IF(A18='Données projet'!$A$244,'Données projet'!$B$244,FZ17+FY18-GH17))</f>
        <v>0</v>
      </c>
      <c r="GA18" s="18" t="e">
        <f>FZ18*VLOOKUP('Données projet'!$B$17,Paramètres!$A$1:$I$88,3,0)*VLOOKUP('Données projet'!$B$17,Paramètres!$A$1:$I$88,5,0)</f>
        <v>#N/A</v>
      </c>
      <c r="GB18" s="14" t="e">
        <f t="shared" si="51"/>
        <v>#N/A</v>
      </c>
      <c r="GC18" s="22" t="e">
        <f t="shared" si="33"/>
        <v>#N/A</v>
      </c>
      <c r="GD18" s="62" t="e">
        <f t="shared" si="34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35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projet'!$B$17,Paramètres!$A$1:$I$88,7,0))</f>
        <v>0</v>
      </c>
      <c r="GJ18" s="17">
        <f>IF(ISNA(VLOOKUP(A18,'Données projet'!$A$243:$I$263,6,0)),0%,VLOOKUP(A18,'Données projet'!$A$243:$I$263,6,0)*VLOOKUP('Données projet'!$B$17,Paramètres!$A$1:$I$88,7,0))</f>
        <v>0</v>
      </c>
      <c r="GK18" s="17">
        <f>IF(ISNA(VLOOKUP(A18,'Données projet'!$A$243:$I$263,7,0)),0%,VLOOKUP(A18,'Données projet'!$A$243:$I$263,7,0))</f>
        <v>0</v>
      </c>
      <c r="GL18" s="23">
        <f>EXP(-LN(2)/35)*GL17+(1-EXP(-LN(2)/35))/(LN(2)/35)*GH18*GI18*VLOOKUP('Données projet'!$B$9,Paramètres!$A$1:$I$88,3,0)*0.475*44/12</f>
        <v>0</v>
      </c>
      <c r="GM18" s="23">
        <f>EXP(-LN(2)/25)*GM17+(1-EXP(-LN(2)/25))/(LN(2)/25)*Calculateur!GH18*Calculateur!GJ18*VLOOKUP('Données projet'!$B$9,Paramètres!$A$1:$I$88,3,0)*0.475*44/12</f>
        <v>0</v>
      </c>
      <c r="GN18" s="23">
        <f>EXP(-LN(2)/2)*GN17+(1-EXP(-LN(2)/2))/(LN(2)/2)*GH18*GK18*VLOOKUP('Données projet'!$B$9,Paramètres!$A$1:$I$88,3,0)*0.475*44/12</f>
        <v>0</v>
      </c>
      <c r="GO18" s="23">
        <f t="shared" si="36"/>
        <v>0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IF(A18&lt;'Données projet'!$A$270,$GR$205^A18,IF(A18='Données projet'!$A$270,'Données projet'!$B$270,GU17+GT18-HC17))</f>
        <v>0</v>
      </c>
      <c r="GV18" s="18" t="e">
        <f>GU18*VLOOKUP('Données projet'!$B$18,Paramètres!$A$1:$I$88,3,0)*VLOOKUP('Données projet'!$B$18,Paramètres!$A$1:$I$88,5,0)</f>
        <v>#N/A</v>
      </c>
      <c r="GW18" s="14" t="e">
        <f t="shared" si="52"/>
        <v>#N/A</v>
      </c>
      <c r="GX18" s="22" t="e">
        <f t="shared" si="37"/>
        <v>#N/A</v>
      </c>
      <c r="GY18" s="62" t="e">
        <f t="shared" si="38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39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projet'!$B$18,Paramètres!$A$1:$I$88,7,0))</f>
        <v>0</v>
      </c>
      <c r="HE18" s="17">
        <f>IF(ISNA(VLOOKUP(A18,'Données projet'!$A$269:$I$289,6,0)),0%,VLOOKUP(A18,'Données projet'!$A$269:$I$289,6,0)*VLOOKUP('Données projet'!$B$18,Paramètres!$A$1:$I$88,7,0))</f>
        <v>0</v>
      </c>
      <c r="HF18" s="17">
        <f>IF(ISNA(VLOOKUP(A18,'Données projet'!$A$269:$I$289,7,0)),0%,VLOOKUP(A18,'Données projet'!$A$269:$I$289,7,0))</f>
        <v>0</v>
      </c>
      <c r="HG18" s="23">
        <f>EXP(-LN(2)/35)*HG17+(1-EXP(-LN(2)/35))/(LN(2)/35)*HC18*HD18*VLOOKUP('Données projet'!$B$9,Paramètres!$A$1:$I$88,3,0)*0.475*44/12</f>
        <v>0</v>
      </c>
      <c r="HH18" s="23">
        <f>EXP(-LN(2)/25)*HH17+(1-EXP(-LN(2)/25))/(LN(2)/25)*Calculateur!HC18*Calculateur!HE18*VLOOKUP('Données projet'!$B$9,Paramètres!$A$1:$I$88,3,0)*0.475*44/12</f>
        <v>0</v>
      </c>
      <c r="HI18" s="23">
        <f>EXP(-LN(2)/2)*HI17+(1-EXP(-LN(2)/2))/(LN(2)/2)*HC18*HF18*VLOOKUP('Données projet'!$B$9,Paramètres!$A$1:$I$88,3,0)*0.475*44/12</f>
        <v>0</v>
      </c>
      <c r="HJ18" s="24">
        <f t="shared" si="40"/>
        <v>0</v>
      </c>
    </row>
    <row r="19" spans="1:218" s="5" customFormat="1" x14ac:dyDescent="0.25">
      <c r="A19" s="11">
        <f t="shared" si="4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" s="12">
        <f t="shared" si="4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135.66666666666666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1.9558333333333331</v>
      </c>
      <c r="N19" s="14">
        <f>IF(A19&lt;'Données projet'!$A$36,$K$205^A19,IF(A19='Données projet'!$A$36,'Données projet'!$B$36,N18+M19-V18))</f>
        <v>27.076666666666672</v>
      </c>
      <c r="O19" s="14">
        <f>N19*VLOOKUP('Données projet'!$B$9,Paramètres!$A$1:$I$88,3,0)*VLOOKUP('Données projet'!$B$9,Paramètres!$A$1:$I$88,5,0)</f>
        <v>31.192320000000002</v>
      </c>
      <c r="P19" s="14">
        <f t="shared" si="43"/>
        <v>9.6314703672580624</v>
      </c>
      <c r="Q19" s="22">
        <f t="shared" si="2"/>
        <v>71.101434889641112</v>
      </c>
      <c r="R19" s="62">
        <f t="shared" si="0"/>
        <v>242.01778913569893</v>
      </c>
      <c r="S19" s="62">
        <f ca="1">AVERAGE(OFFSET($R$3,0,0,'Données projet'!$E$9+1,1))-AVERAGE(OFFSET($H$3,0,0,'Données projet'!$E$9+1,1))</f>
        <v>314.72063458462026</v>
      </c>
      <c r="T19" s="62">
        <f t="shared" si="3"/>
        <v>216.4380325968244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projet'!$B$9,Paramètres!$A$1:$I$88,7,0))</f>
        <v>0</v>
      </c>
      <c r="X19" s="17">
        <f>IF(ISNA(VLOOKUP(A19,'Données projet'!$A$35:$I$55,6,0)),0%,VLOOKUP(A19,'Données projet'!$A$35:$I$55,6,0)*VLOOKUP('Données projet'!$B$9,Paramètres!$A$1:$I$88,7,0))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projet'!$B$9,Paramètres!$A$1:$I$88,3,0)*0.475*44/12</f>
        <v>0</v>
      </c>
      <c r="AA19" s="23">
        <f>EXP(-LN(2)/25)*AA18+(1-EXP(-LN(2)/25))/(LN(2)/25)*Calculateur!V19*Calculateur!X19*VLOOKUP('Données projet'!$B$9,Paramètres!$A$1:$I$88,3,0)*0.475*44/12</f>
        <v>0</v>
      </c>
      <c r="AB19" s="23">
        <f>EXP(-LN(2)/2)*AB18+(1-EXP(-LN(2)/2))/(LN(2)/2)*V19*Y19*VLOOKUP('Données projet'!$B$9,Paramètres!$A$1:$I$88,3,0)*0.475*44/12</f>
        <v>0</v>
      </c>
      <c r="AC19" s="24">
        <f t="shared" si="4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2</v>
      </c>
      <c r="AI19" s="14">
        <f>IF(A19&lt;'Données projet'!$A$62,$AF$205^A19,IF(A19='Données projet'!$A$62,'Données projet'!$B$62,AI18+AH19-AQ18))</f>
        <v>12.227588161114175</v>
      </c>
      <c r="AJ19" s="14">
        <f>AI19*VLOOKUP('Données projet'!$B$10,Paramètres!$A$1:$I$88,3,0)*VLOOKUP('Données projet'!$B$10,Paramètres!$A$1:$I$88,5,0)</f>
        <v>12.780275145996539</v>
      </c>
      <c r="AK19" s="14">
        <f t="shared" si="44"/>
        <v>4.3781535495826338</v>
      </c>
      <c r="AL19" s="22">
        <f t="shared" si="5"/>
        <v>29.884263311467056</v>
      </c>
      <c r="AM19" s="62">
        <f t="shared" si="6"/>
        <v>200.80061755752487</v>
      </c>
      <c r="AN19" s="62">
        <f ca="1">AVERAGE(OFFSET($AM$3,0,0,'Données projet'!$E$10+1,1))-AVERAGE(OFFSET($H$3,0,0,'Données projet'!$E$10+1,1))</f>
        <v>458.33072853676879</v>
      </c>
      <c r="AO19" s="62">
        <f t="shared" si="7"/>
        <v>254.1734169352687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projet'!$B$10,Paramètres!$A$1:$I$88,7,0))</f>
        <v>0</v>
      </c>
      <c r="AS19" s="17">
        <f>IF(ISNA(VLOOKUP(A19,'Données projet'!$A$61:$I$81,6,0)),0%,VLOOKUP(A19,'Données projet'!$A$61:$I$81,6,0)*VLOOKUP('Données projet'!$B$10,Paramètres!$A$1:$I$88,7,0))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projet'!$B$9,Paramètres!$A$1:$I$88,3,0)*0.475*44/12</f>
        <v>0</v>
      </c>
      <c r="AV19" s="23">
        <f>EXP(-LN(2)/25)*AV18+(1-EXP(-LN(2)/25))/(LN(2)/25)*Calculateur!AQ19*Calculateur!AS19*VLOOKUP('Données projet'!$B$9,Paramètres!$A$1:$I$88,3,0)*0.475*44/12</f>
        <v>0</v>
      </c>
      <c r="AW19" s="23">
        <f>EXP(-LN(2)/2)*AW18+(1-EXP(-LN(2)/2))/(LN(2)/2)*AQ19*AT19*VLOOKUP('Données projet'!$B$9,Paramètres!$A$1:$I$88,3,0)*0.475*44/12</f>
        <v>0</v>
      </c>
      <c r="AX19" s="23">
        <f t="shared" si="8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2</v>
      </c>
      <c r="BD19" s="13">
        <f>IF(A19&lt;'Données projet'!$A$88,$BA$205^A19,IF(A19='Données projet'!$A$88,'Données projet'!$B$88,BD18+BC19-BL18))</f>
        <v>12.227588161114175</v>
      </c>
      <c r="BE19" s="14">
        <f>BD19*VLOOKUP('Données projet'!$B$11,Paramètres!$A$1:$I$88,3,0)*VLOOKUP('Données projet'!$B$11,Paramètres!$A$1:$I$88,5,0)</f>
        <v>12.398774395369776</v>
      </c>
      <c r="BF19" s="14">
        <f t="shared" si="45"/>
        <v>4.2624719616200846</v>
      </c>
      <c r="BG19" s="22">
        <f t="shared" si="9"/>
        <v>29.018337405090673</v>
      </c>
      <c r="BH19" s="62">
        <f t="shared" si="10"/>
        <v>199.93469165114848</v>
      </c>
      <c r="BI19" s="62">
        <f ca="1">AVERAGE(OFFSET($BH$3,0,0,'Données projet'!$E$11+1,1))-AVERAGE(OFFSET($H$3,0,0,'Données projet'!$E$11+1,1))</f>
        <v>447.82618173893104</v>
      </c>
      <c r="BJ19" s="62">
        <f t="shared" si="11"/>
        <v>248.96509970783379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projet'!$B$11,Paramètres!$A$1:$I$88,7,0))</f>
        <v>0</v>
      </c>
      <c r="BN19" s="17">
        <f>IF(ISNA(VLOOKUP(A19,'Données projet'!$A$87:$I$107,6,0)),0%,VLOOKUP(A19,'Données projet'!$A$87:$I$107,6,0)*VLOOKUP('Données projet'!$B$11,Paramètres!$A$1:$I$88,7,0))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projet'!$B$9,Paramètres!$A$1:$I$88,3,0)*0.475*44/12</f>
        <v>0</v>
      </c>
      <c r="BQ19" s="23">
        <f>EXP(-LN(2)/25)*BQ18+(1-EXP(-LN(2)/25))/(LN(2)/25)*Calculateur!BL19*Calculateur!BN19*VLOOKUP('Données projet'!$B$9,Paramètres!$A$1:$I$88,3,0)*0.475*44/12</f>
        <v>0</v>
      </c>
      <c r="BR19" s="23">
        <f>EXP(-LN(2)/2)*BR18+(1-EXP(-LN(2)/2))/(LN(2)/2)*BL19*BO19*VLOOKUP('Données projet'!$B$9,Paramètres!$A$1:$I$88,3,0)*0.475*44/12</f>
        <v>0</v>
      </c>
      <c r="BS19" s="24">
        <f t="shared" si="12"/>
        <v>0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2</v>
      </c>
      <c r="BY19" s="13">
        <f>IF(A19&lt;'Données projet'!$A$114,$BV$205^A19,IF(A19='Données projet'!$A$114,'Données projet'!$B$114,BY18+BX19-CG18))</f>
        <v>12.227588161114175</v>
      </c>
      <c r="BZ19" s="14">
        <f>BY19*VLOOKUP('Données projet'!$B$12,Paramètres!$A$1:$I$88,3,0)*VLOOKUP('Données projet'!$B$12,Paramètres!$A$1:$I$88,5,0)</f>
        <v>13.161775896623297</v>
      </c>
      <c r="CA19" s="14">
        <f t="shared" si="46"/>
        <v>4.4934338217247447</v>
      </c>
      <c r="CB19" s="22">
        <f t="shared" si="13"/>
        <v>30.74949025945617</v>
      </c>
      <c r="CC19" s="62">
        <f t="shared" si="14"/>
        <v>201.66584450551397</v>
      </c>
      <c r="CD19" s="62">
        <f ca="1">AVERAGE(OFFSET($CC$3,0,0,'Données projet'!$E$12+1,1))-AVERAGE(OFFSET($H$3,0,0,'Données projet'!$E$12+1,1))</f>
        <v>468.82871618425406</v>
      </c>
      <c r="CE19" s="62">
        <f t="shared" si="15"/>
        <v>259.37818128554397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projet'!$B$12,Paramètres!$A$1:$I$88,7,0))</f>
        <v>0</v>
      </c>
      <c r="CI19" s="17">
        <f>IF(ISNA(VLOOKUP(A19,'Données projet'!$A$113:$I$133,6,0)),0%,VLOOKUP(A19,'Données projet'!$A$113:$I$133,6,0)*VLOOKUP('Données projet'!$B$12,Paramètres!$A$1:$I$88,7,0))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projet'!$B$9,Paramètres!$A$1:$I$88,3,0)*0.475*44/12</f>
        <v>0</v>
      </c>
      <c r="CL19" s="23">
        <f>EXP(-LN(2)/25)*CL18+(1-EXP(-LN(2)/25))/(LN(2)/25)*Calculateur!CG19*Calculateur!CI19*VLOOKUP('Données projet'!$B$9,Paramètres!$A$1:$I$88,3,0)*0.475*44/12</f>
        <v>0</v>
      </c>
      <c r="CM19" s="23">
        <f>EXP(-LN(2)/2)*CM18+(1-EXP(-LN(2)/2))/(LN(2)/2)*CG19*CJ19*VLOOKUP('Données projet'!$B$9,Paramètres!$A$1:$I$88,3,0)*0.475*44/12</f>
        <v>0</v>
      </c>
      <c r="CN19" s="24">
        <f t="shared" si="16"/>
        <v>0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2</v>
      </c>
      <c r="CT19" s="13">
        <f>IF(A19&lt;'Données projet'!$A$140,$CQ$205^A19,IF(A19='Données projet'!$A$140,'Données projet'!$B$140,CT18+CS19-DB18))</f>
        <v>12.227588161114175</v>
      </c>
      <c r="CU19" s="18">
        <f>CT19*VLOOKUP('Données projet'!$B$13,Paramètres!$A$1:$I$88,3,0)*VLOOKUP('Données projet'!$B$13,Paramètres!$A$1:$I$88,5,0)</f>
        <v>10.491270642235964</v>
      </c>
      <c r="CV19" s="14">
        <f t="shared" si="47"/>
        <v>3.6775261175768619</v>
      </c>
      <c r="CW19" s="22">
        <f t="shared" si="17"/>
        <v>24.677321023340671</v>
      </c>
      <c r="CX19" s="62">
        <f t="shared" si="18"/>
        <v>195.59367526939849</v>
      </c>
      <c r="CY19" s="62">
        <f ca="1">AVERAGE(OFFSET($CX$3,0,0,'Données projet'!$E$13+1,1))-AVERAGE(OFFSET($H$3,0,0,'Données projet'!$E$13+1,1))</f>
        <v>395.19659151668884</v>
      </c>
      <c r="CZ19" s="62">
        <f t="shared" si="19"/>
        <v>222.86563304507339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projet'!$B$13,Paramètres!$A$1:$I$88,7,0))</f>
        <v>0</v>
      </c>
      <c r="DD19" s="17">
        <f>IF(ISNA(VLOOKUP(A19,'Données projet'!$A$139:$I$159,6,0)),0%,VLOOKUP(A19,'Données projet'!$A$139:$I$159,6,0)*VLOOKUP('Données projet'!$B$13,Paramètres!$A$1:$I$88,7,0))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projet'!$B$9,Paramètres!$A$1:$I$88,3,0)*0.475*44/12</f>
        <v>0</v>
      </c>
      <c r="DG19" s="23">
        <f>EXP(-LN(2)/25)*DG18+(1-EXP(-LN(2)/25))/(LN(2)/25)*Calculateur!DB19*Calculateur!DD19*VLOOKUP('Données projet'!$B$9,Paramètres!$A$1:$I$88,3,0)*0.475*44/12</f>
        <v>0</v>
      </c>
      <c r="DH19" s="23">
        <f>EXP(-LN(2)/2)*DH18+(1-EXP(-LN(2)/2))/(LN(2)/2)*DB19*DE19*VLOOKUP('Données projet'!$B$9,Paramètres!$A$1:$I$88,3,0)*0.475*44/12</f>
        <v>0</v>
      </c>
      <c r="DI19" s="24">
        <f t="shared" si="20"/>
        <v>0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2.2749999999999999</v>
      </c>
      <c r="DO19" s="13">
        <f>IF(A19&lt;'Données projet'!$A$166,$DL$205^A19,IF(A19='Données projet'!$A$166,'Données projet'!$B$166,DO18+DN19-DW18))</f>
        <v>6.0759830958211527</v>
      </c>
      <c r="DP19" s="18">
        <f>DO19*VLOOKUP('Données projet'!$B$14,Paramètres!$A$1:$I$88,3,0)*VLOOKUP('Données projet'!$B$14,Paramètres!$A$1:$I$88,5,0)</f>
        <v>3.5544501110553748</v>
      </c>
      <c r="DQ19" s="14">
        <f t="shared" si="48"/>
        <v>1.4132356288970545</v>
      </c>
      <c r="DR19" s="22">
        <f t="shared" si="21"/>
        <v>8.6520526637504798</v>
      </c>
      <c r="DS19" s="62">
        <f t="shared" si="22"/>
        <v>179.56840690980829</v>
      </c>
      <c r="DT19" s="62">
        <f ca="1">AVERAGE(OFFSET($DS$3,0,0,'Données projet'!$E$14+1,1))-AVERAGE(OFFSET($H$3,0,0,'Données projet'!$E$14+1,1))</f>
        <v>155.18073137151848</v>
      </c>
      <c r="DU19" s="62">
        <f t="shared" si="23"/>
        <v>115.19459155667272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projet'!$B$14,Paramètres!$A$1:$I$88,7,0))</f>
        <v>0</v>
      </c>
      <c r="DY19" s="17">
        <f>IF(ISNA(VLOOKUP(A19,'Données projet'!$A$165:$I$185,6,0)),0%,VLOOKUP(A19,'Données projet'!$A$165:$I$185,6,0)*VLOOKUP('Données projet'!$B$14,Paramètres!$A$1:$I$88,7,0))</f>
        <v>0</v>
      </c>
      <c r="DZ19" s="17">
        <f>IF(ISNA(VLOOKUP(A19,'Données projet'!$A$165:$I$185,7,0)),0%,VLOOKUP(A19,'Données projet'!$A$165:$I$185,7,0))</f>
        <v>0</v>
      </c>
      <c r="EA19" s="23">
        <f>EXP(-LN(2)/35)*EA18+(1-EXP(-LN(2)/35))/(LN(2)/35)*DW19*DX19*VLOOKUP('Données projet'!$B$9,Paramètres!$A$1:$I$88,3,0)*0.475*44/12</f>
        <v>0</v>
      </c>
      <c r="EB19" s="23">
        <f>EXP(-LN(2)/25)*EB18+(1-EXP(-LN(2)/25))/(LN(2)/25)*Calculateur!DW19*Calculateur!DY19*VLOOKUP('Données projet'!$B$9,Paramètres!$A$1:$I$88,3,0)*0.475*44/12</f>
        <v>0</v>
      </c>
      <c r="EC19" s="23">
        <f>EXP(-LN(2)/2)*EC18+(1-EXP(-LN(2)/2))/(LN(2)/2)*DW19*DZ19*VLOOKUP('Données projet'!$B$9,Paramètres!$A$1:$I$88,3,0)*0.475*44/12</f>
        <v>0</v>
      </c>
      <c r="ED19" s="24">
        <f t="shared" si="24"/>
        <v>0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3.25</v>
      </c>
      <c r="EJ19" s="13">
        <f>IF(A19&lt;'Données projet'!$A$192,$EG$205^A19,IF(A19='Données projet'!$A$192,'Données projet'!$B$192,EJ18+EI19-ER18))</f>
        <v>4.0801478096571451</v>
      </c>
      <c r="EK19" s="18">
        <f>EJ19*VLOOKUP('Données projet'!$B$15,Paramètres!$A$1:$I$88,3,0)*VLOOKUP('Données projet'!$B$15,Paramètres!$A$1:$I$88,5,0)</f>
        <v>1.9095091749195439</v>
      </c>
      <c r="EL19" s="14">
        <f t="shared" si="49"/>
        <v>0.81615852755966056</v>
      </c>
      <c r="EM19" s="22">
        <f t="shared" si="25"/>
        <v>4.7472045818179467</v>
      </c>
      <c r="EN19" s="62">
        <f t="shared" si="26"/>
        <v>175.66355882787576</v>
      </c>
      <c r="EO19" s="62">
        <f ca="1">AVERAGE(OFFSET($EN$3,0,0,'Données projet'!$E$15+1,1))-AVERAGE(OFFSET($H$3,0,0,'Données projet'!$E$15+1,1))</f>
        <v>238.59014604384171</v>
      </c>
      <c r="EP19" s="62">
        <f t="shared" si="27"/>
        <v>90.841373219575217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projet'!$B$15,Paramètres!$A$1:$I$88,7,0))</f>
        <v>0</v>
      </c>
      <c r="ET19" s="17">
        <f>IF(ISNA(VLOOKUP(A19,'Données projet'!$A$191:$I$211,6,0)),0%,VLOOKUP(A19,'Données projet'!$A$191:$I$211,6,0)*VLOOKUP('Données projet'!$B$15,Paramètres!$A$1:$I$88,7,0))</f>
        <v>0</v>
      </c>
      <c r="EU19" s="17">
        <f>IF(ISNA(VLOOKUP(A19,'Données projet'!$A$191:$I$211,7,0)),0%,VLOOKUP(A19,'Données projet'!$A$191:$I$211,7,0))</f>
        <v>0</v>
      </c>
      <c r="EV19" s="23">
        <f>EXP(-LN(2)/35)*EV18+(1-EXP(-LN(2)/35))/(LN(2)/35)*ER19*ES19*VLOOKUP('Données projet'!$B$9,Paramètres!$A$1:$I$88,3,0)*0.475*44/12</f>
        <v>0</v>
      </c>
      <c r="EW19" s="23">
        <f>EXP(-LN(2)/25)*EW18+(1-EXP(-LN(2)/25))/(LN(2)/25)*Calculateur!ER19*Calculateur!ET19*VLOOKUP('Données projet'!$B$9,Paramètres!$A$1:$I$88,3,0)*0.475*44/12</f>
        <v>0</v>
      </c>
      <c r="EX19" s="23">
        <f>EXP(-LN(2)/2)*EX18+(1-EXP(-LN(2)/2))/(LN(2)/2)*ER19*EU19*VLOOKUP('Données projet'!$B$9,Paramètres!$A$1:$I$88,3,0)*0.475*44/12</f>
        <v>0</v>
      </c>
      <c r="EY19" s="24">
        <f t="shared" si="28"/>
        <v>0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IF(A19&lt;'Données projet'!$A$218,$FB$205^A19,IF(A19='Données projet'!$A$218,'Données projet'!$B$218,FE18+FD19-FM18))</f>
        <v>0</v>
      </c>
      <c r="FF19" s="18" t="e">
        <f>FE19*VLOOKUP('Données projet'!$B$16,Paramètres!$A$1:$I$88,3,0)*VLOOKUP('Données projet'!$B$16,Paramètres!$A$1:$I$88,5,0)</f>
        <v>#N/A</v>
      </c>
      <c r="FG19" s="14" t="e">
        <f t="shared" si="50"/>
        <v>#N/A</v>
      </c>
      <c r="FH19" s="22" t="e">
        <f t="shared" si="29"/>
        <v>#N/A</v>
      </c>
      <c r="FI19" s="62" t="e">
        <f t="shared" si="30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31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projet'!$B$16,Paramètres!$A$1:$I$88,7,0))</f>
        <v>0</v>
      </c>
      <c r="FO19" s="17">
        <f>IF(ISNA(VLOOKUP(A19,'Données projet'!$A$217:$I$237,6,0)),0%,VLOOKUP(A19,'Données projet'!$A$217:$I$237,6,0)*VLOOKUP('Données projet'!$B$16,Paramètres!$A$1:$I$88,7,0))</f>
        <v>0</v>
      </c>
      <c r="FP19" s="17">
        <f>IF(ISNA(VLOOKUP(A19,'Données projet'!$A$217:$I$237,7,0)),0%,VLOOKUP(A19,'Données projet'!$A$217:$I$237,7,0))</f>
        <v>0</v>
      </c>
      <c r="FQ19" s="23">
        <f>EXP(-LN(2)/35)*FQ18+(1-EXP(-LN(2)/35))/(LN(2)/35)*FM19*FN19*VLOOKUP('Données projet'!$B$9,Paramètres!$A$1:$I$88,3,0)*0.475*44/12</f>
        <v>0</v>
      </c>
      <c r="FR19" s="23">
        <f>EXP(-LN(2)/25)*FR18+(1-EXP(-LN(2)/25))/(LN(2)/25)*Calculateur!FM19*Calculateur!FO19*VLOOKUP('Données projet'!$B$9,Paramètres!$A$1:$I$88,3,0)*0.475*44/12</f>
        <v>0</v>
      </c>
      <c r="FS19" s="23">
        <f>EXP(-LN(2)/2)*FS18+(1-EXP(-LN(2)/2))/(LN(2)/2)*FM19*FP19*VLOOKUP('Données projet'!$B$9,Paramètres!$A$1:$I$88,3,0)*0.475*44/12</f>
        <v>0</v>
      </c>
      <c r="FT19" s="24">
        <f t="shared" si="32"/>
        <v>0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IF(A19&lt;'Données projet'!$A$244,$FW$205^A19,IF(A19='Données projet'!$A$244,'Données projet'!$B$244,FZ18+FY19-GH18))</f>
        <v>0</v>
      </c>
      <c r="GA19" s="18" t="e">
        <f>FZ19*VLOOKUP('Données projet'!$B$17,Paramètres!$A$1:$I$88,3,0)*VLOOKUP('Données projet'!$B$17,Paramètres!$A$1:$I$88,5,0)</f>
        <v>#N/A</v>
      </c>
      <c r="GB19" s="14" t="e">
        <f t="shared" si="51"/>
        <v>#N/A</v>
      </c>
      <c r="GC19" s="22" t="e">
        <f t="shared" si="33"/>
        <v>#N/A</v>
      </c>
      <c r="GD19" s="62" t="e">
        <f t="shared" si="34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35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projet'!$B$17,Paramètres!$A$1:$I$88,7,0))</f>
        <v>0</v>
      </c>
      <c r="GJ19" s="17">
        <f>IF(ISNA(VLOOKUP(A19,'Données projet'!$A$243:$I$263,6,0)),0%,VLOOKUP(A19,'Données projet'!$A$243:$I$263,6,0)*VLOOKUP('Données projet'!$B$17,Paramètres!$A$1:$I$88,7,0))</f>
        <v>0</v>
      </c>
      <c r="GK19" s="17">
        <f>IF(ISNA(VLOOKUP(A19,'Données projet'!$A$243:$I$263,7,0)),0%,VLOOKUP(A19,'Données projet'!$A$243:$I$263,7,0))</f>
        <v>0</v>
      </c>
      <c r="GL19" s="23">
        <f>EXP(-LN(2)/35)*GL18+(1-EXP(-LN(2)/35))/(LN(2)/35)*GH19*GI19*VLOOKUP('Données projet'!$B$9,Paramètres!$A$1:$I$88,3,0)*0.475*44/12</f>
        <v>0</v>
      </c>
      <c r="GM19" s="23">
        <f>EXP(-LN(2)/25)*GM18+(1-EXP(-LN(2)/25))/(LN(2)/25)*Calculateur!GH19*Calculateur!GJ19*VLOOKUP('Données projet'!$B$9,Paramètres!$A$1:$I$88,3,0)*0.475*44/12</f>
        <v>0</v>
      </c>
      <c r="GN19" s="23">
        <f>EXP(-LN(2)/2)*GN18+(1-EXP(-LN(2)/2))/(LN(2)/2)*GH19*GK19*VLOOKUP('Données projet'!$B$9,Paramètres!$A$1:$I$88,3,0)*0.475*44/12</f>
        <v>0</v>
      </c>
      <c r="GO19" s="23">
        <f t="shared" si="36"/>
        <v>0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IF(A19&lt;'Données projet'!$A$270,$GR$205^A19,IF(A19='Données projet'!$A$270,'Données projet'!$B$270,GU18+GT19-HC18))</f>
        <v>0</v>
      </c>
      <c r="GV19" s="18" t="e">
        <f>GU19*VLOOKUP('Données projet'!$B$18,Paramètres!$A$1:$I$88,3,0)*VLOOKUP('Données projet'!$B$18,Paramètres!$A$1:$I$88,5,0)</f>
        <v>#N/A</v>
      </c>
      <c r="GW19" s="14" t="e">
        <f t="shared" si="52"/>
        <v>#N/A</v>
      </c>
      <c r="GX19" s="22" t="e">
        <f t="shared" si="37"/>
        <v>#N/A</v>
      </c>
      <c r="GY19" s="62" t="e">
        <f t="shared" si="38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39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projet'!$B$18,Paramètres!$A$1:$I$88,7,0))</f>
        <v>0</v>
      </c>
      <c r="HE19" s="17">
        <f>IF(ISNA(VLOOKUP(A19,'Données projet'!$A$269:$I$289,6,0)),0%,VLOOKUP(A19,'Données projet'!$A$269:$I$289,6,0)*VLOOKUP('Données projet'!$B$18,Paramètres!$A$1:$I$88,7,0))</f>
        <v>0</v>
      </c>
      <c r="HF19" s="17">
        <f>IF(ISNA(VLOOKUP(A19,'Données projet'!$A$269:$I$289,7,0)),0%,VLOOKUP(A19,'Données projet'!$A$269:$I$289,7,0))</f>
        <v>0</v>
      </c>
      <c r="HG19" s="23">
        <f>EXP(-LN(2)/35)*HG18+(1-EXP(-LN(2)/35))/(LN(2)/35)*HC19*HD19*VLOOKUP('Données projet'!$B$9,Paramètres!$A$1:$I$88,3,0)*0.475*44/12</f>
        <v>0</v>
      </c>
      <c r="HH19" s="23">
        <f>EXP(-LN(2)/25)*HH18+(1-EXP(-LN(2)/25))/(LN(2)/25)*Calculateur!HC19*Calculateur!HE19*VLOOKUP('Données projet'!$B$9,Paramètres!$A$1:$I$88,3,0)*0.475*44/12</f>
        <v>0</v>
      </c>
      <c r="HI19" s="23">
        <f>EXP(-LN(2)/2)*HI18+(1-EXP(-LN(2)/2))/(LN(2)/2)*HC19*HF19*VLOOKUP('Données projet'!$B$9,Paramètres!$A$1:$I$88,3,0)*0.475*44/12</f>
        <v>0</v>
      </c>
      <c r="HJ19" s="24">
        <f t="shared" si="40"/>
        <v>0</v>
      </c>
    </row>
    <row r="20" spans="1:218" s="5" customFormat="1" x14ac:dyDescent="0.25">
      <c r="A20" s="11">
        <f t="shared" si="4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0" s="12">
        <f t="shared" si="4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135.66666666666666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1.9558333333333331</v>
      </c>
      <c r="N20" s="14">
        <f>IF(A20&lt;'Données projet'!$A$36,$K$205^A20,IF(A20='Données projet'!$A$36,'Données projet'!$B$36,N19+M20-V19))</f>
        <v>29.032500000000006</v>
      </c>
      <c r="O20" s="14">
        <f>N20*VLOOKUP('Données projet'!$B$9,Paramètres!$A$1:$I$88,3,0)*VLOOKUP('Données projet'!$B$9,Paramètres!$A$1:$I$88,5,0)</f>
        <v>33.445440000000005</v>
      </c>
      <c r="P20" s="14">
        <f t="shared" si="43"/>
        <v>10.243683743720984</v>
      </c>
      <c r="Q20" s="22">
        <f t="shared" si="2"/>
        <v>76.091890520314053</v>
      </c>
      <c r="R20" s="62">
        <f t="shared" si="0"/>
        <v>250.05728836932948</v>
      </c>
      <c r="S20" s="62">
        <f ca="1">AVERAGE(OFFSET($R$3,0,0,'Données projet'!$E$9+1,1))-AVERAGE(OFFSET($H$3,0,0,'Données projet'!$E$9+1,1))</f>
        <v>314.72063458462026</v>
      </c>
      <c r="T20" s="62">
        <f t="shared" si="3"/>
        <v>216.4380325968244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projet'!$B$9,Paramètres!$A$1:$I$88,7,0))</f>
        <v>0</v>
      </c>
      <c r="X20" s="17">
        <f>IF(ISNA(VLOOKUP(A20,'Données projet'!$A$35:$I$55,6,0)),0%,VLOOKUP(A20,'Données projet'!$A$35:$I$55,6,0)*VLOOKUP('Données projet'!$B$9,Paramètres!$A$1:$I$88,7,0))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projet'!$B$9,Paramètres!$A$1:$I$88,3,0)*0.475*44/12</f>
        <v>0</v>
      </c>
      <c r="AA20" s="23">
        <f>EXP(-LN(2)/25)*AA19+(1-EXP(-LN(2)/25))/(LN(2)/25)*Calculateur!V20*Calculateur!X20*VLOOKUP('Données projet'!$B$9,Paramètres!$A$1:$I$88,3,0)*0.475*44/12</f>
        <v>0</v>
      </c>
      <c r="AB20" s="23">
        <f>EXP(-LN(2)/2)*AB19+(1-EXP(-LN(2)/2))/(LN(2)/2)*V20*Y20*VLOOKUP('Données projet'!$B$9,Paramètres!$A$1:$I$88,3,0)*0.475*44/12</f>
        <v>0</v>
      </c>
      <c r="AC20" s="24">
        <f t="shared" si="4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2</v>
      </c>
      <c r="AI20" s="14">
        <f>IF(A20&lt;'Données projet'!$A$62,$AF$205^A20,IF(A20='Données projet'!$A$62,'Données projet'!$B$62,AI19+AH20-AQ19))</f>
        <v>14.298800372202699</v>
      </c>
      <c r="AJ20" s="14">
        <f>AI20*VLOOKUP('Données projet'!$B$10,Paramètres!$A$1:$I$88,3,0)*VLOOKUP('Données projet'!$B$10,Paramètres!$A$1:$I$88,5,0)</f>
        <v>14.945106149026261</v>
      </c>
      <c r="AK20" s="14">
        <f t="shared" si="44"/>
        <v>5.0273530479316495</v>
      </c>
      <c r="AL20" s="22">
        <f t="shared" si="5"/>
        <v>34.785366434701693</v>
      </c>
      <c r="AM20" s="62">
        <f t="shared" si="6"/>
        <v>208.75076428371713</v>
      </c>
      <c r="AN20" s="62">
        <f ca="1">AVERAGE(OFFSET($AM$3,0,0,'Données projet'!$E$10+1,1))-AVERAGE(OFFSET($H$3,0,0,'Données projet'!$E$10+1,1))</f>
        <v>458.33072853676879</v>
      </c>
      <c r="AO20" s="62">
        <f t="shared" si="7"/>
        <v>254.1734169352687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projet'!$B$10,Paramètres!$A$1:$I$88,7,0))</f>
        <v>0</v>
      </c>
      <c r="AS20" s="17">
        <f>IF(ISNA(VLOOKUP(A20,'Données projet'!$A$61:$I$81,6,0)),0%,VLOOKUP(A20,'Données projet'!$A$61:$I$81,6,0)*VLOOKUP('Données projet'!$B$10,Paramètres!$A$1:$I$88,7,0))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projet'!$B$9,Paramètres!$A$1:$I$88,3,0)*0.475*44/12</f>
        <v>0</v>
      </c>
      <c r="AV20" s="23">
        <f>EXP(-LN(2)/25)*AV19+(1-EXP(-LN(2)/25))/(LN(2)/25)*Calculateur!AQ20*Calculateur!AS20*VLOOKUP('Données projet'!$B$9,Paramètres!$A$1:$I$88,3,0)*0.475*44/12</f>
        <v>0</v>
      </c>
      <c r="AW20" s="23">
        <f>EXP(-LN(2)/2)*AW19+(1-EXP(-LN(2)/2))/(LN(2)/2)*AQ20*AT20*VLOOKUP('Données projet'!$B$9,Paramètres!$A$1:$I$88,3,0)*0.475*44/12</f>
        <v>0</v>
      </c>
      <c r="AX20" s="23">
        <f t="shared" si="8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2</v>
      </c>
      <c r="BD20" s="13">
        <f>IF(A20&lt;'Données projet'!$A$88,$BA$205^A20,IF(A20='Données projet'!$A$88,'Données projet'!$B$88,BD19+BC20-BL19))</f>
        <v>14.298800372202699</v>
      </c>
      <c r="BE20" s="14">
        <f>BD20*VLOOKUP('Données projet'!$B$11,Paramètres!$A$1:$I$88,3,0)*VLOOKUP('Données projet'!$B$11,Paramètres!$A$1:$I$88,5,0)</f>
        <v>14.498983577413536</v>
      </c>
      <c r="BF20" s="14">
        <f t="shared" si="45"/>
        <v>4.8945180120548182</v>
      </c>
      <c r="BG20" s="22">
        <f t="shared" si="9"/>
        <v>33.77701526832405</v>
      </c>
      <c r="BH20" s="62">
        <f t="shared" si="10"/>
        <v>207.74241311733948</v>
      </c>
      <c r="BI20" s="62">
        <f ca="1">AVERAGE(OFFSET($BH$3,0,0,'Données projet'!$E$11+1,1))-AVERAGE(OFFSET($H$3,0,0,'Données projet'!$E$11+1,1))</f>
        <v>447.82618173893104</v>
      </c>
      <c r="BJ20" s="62">
        <f t="shared" si="11"/>
        <v>248.96509970783379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projet'!$B$11,Paramètres!$A$1:$I$88,7,0))</f>
        <v>0</v>
      </c>
      <c r="BN20" s="17">
        <f>IF(ISNA(VLOOKUP(A20,'Données projet'!$A$87:$I$107,6,0)),0%,VLOOKUP(A20,'Données projet'!$A$87:$I$107,6,0)*VLOOKUP('Données projet'!$B$11,Paramètres!$A$1:$I$88,7,0))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projet'!$B$9,Paramètres!$A$1:$I$88,3,0)*0.475*44/12</f>
        <v>0</v>
      </c>
      <c r="BQ20" s="23">
        <f>EXP(-LN(2)/25)*BQ19+(1-EXP(-LN(2)/25))/(LN(2)/25)*Calculateur!BL20*Calculateur!BN20*VLOOKUP('Données projet'!$B$9,Paramètres!$A$1:$I$88,3,0)*0.475*44/12</f>
        <v>0</v>
      </c>
      <c r="BR20" s="23">
        <f>EXP(-LN(2)/2)*BR19+(1-EXP(-LN(2)/2))/(LN(2)/2)*BL20*BO20*VLOOKUP('Données projet'!$B$9,Paramètres!$A$1:$I$88,3,0)*0.475*44/12</f>
        <v>0</v>
      </c>
      <c r="BS20" s="24">
        <f t="shared" si="12"/>
        <v>0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2</v>
      </c>
      <c r="BY20" s="13">
        <f>IF(A20&lt;'Données projet'!$A$114,$BV$205^A20,IF(A20='Données projet'!$A$114,'Données projet'!$B$114,BY19+BX20-CG19))</f>
        <v>14.298800372202699</v>
      </c>
      <c r="BZ20" s="14">
        <f>BY20*VLOOKUP('Données projet'!$B$12,Paramètres!$A$1:$I$88,3,0)*VLOOKUP('Données projet'!$B$12,Paramètres!$A$1:$I$88,5,0)</f>
        <v>15.391228720638985</v>
      </c>
      <c r="CA20" s="14">
        <f t="shared" si="46"/>
        <v>5.1597272602466324</v>
      </c>
      <c r="CB20" s="22">
        <f t="shared" si="13"/>
        <v>35.792915000042449</v>
      </c>
      <c r="CC20" s="62">
        <f t="shared" si="14"/>
        <v>209.75831284905789</v>
      </c>
      <c r="CD20" s="62">
        <f ca="1">AVERAGE(OFFSET($CC$3,0,0,'Données projet'!$E$12+1,1))-AVERAGE(OFFSET($H$3,0,0,'Données projet'!$E$12+1,1))</f>
        <v>468.82871618425406</v>
      </c>
      <c r="CE20" s="62">
        <f t="shared" si="15"/>
        <v>259.37818128554397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projet'!$B$12,Paramètres!$A$1:$I$88,7,0))</f>
        <v>0</v>
      </c>
      <c r="CI20" s="17">
        <f>IF(ISNA(VLOOKUP(A20,'Données projet'!$A$113:$I$133,6,0)),0%,VLOOKUP(A20,'Données projet'!$A$113:$I$133,6,0)*VLOOKUP('Données projet'!$B$12,Paramètres!$A$1:$I$88,7,0))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projet'!$B$9,Paramètres!$A$1:$I$88,3,0)*0.475*44/12</f>
        <v>0</v>
      </c>
      <c r="CL20" s="23">
        <f>EXP(-LN(2)/25)*CL19+(1-EXP(-LN(2)/25))/(LN(2)/25)*Calculateur!CG20*Calculateur!CI20*VLOOKUP('Données projet'!$B$9,Paramètres!$A$1:$I$88,3,0)*0.475*44/12</f>
        <v>0</v>
      </c>
      <c r="CM20" s="23">
        <f>EXP(-LN(2)/2)*CM19+(1-EXP(-LN(2)/2))/(LN(2)/2)*CG20*CJ20*VLOOKUP('Données projet'!$B$9,Paramètres!$A$1:$I$88,3,0)*0.475*44/12</f>
        <v>0</v>
      </c>
      <c r="CN20" s="24">
        <f t="shared" si="16"/>
        <v>0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2</v>
      </c>
      <c r="CT20" s="13">
        <f>IF(A20&lt;'Données projet'!$A$140,$CQ$205^A20,IF(A20='Données projet'!$A$140,'Données projet'!$B$140,CT19+CS20-DB19))</f>
        <v>14.298800372202699</v>
      </c>
      <c r="CU20" s="18">
        <f>CT20*VLOOKUP('Données projet'!$B$13,Paramètres!$A$1:$I$88,3,0)*VLOOKUP('Données projet'!$B$13,Paramètres!$A$1:$I$88,5,0)</f>
        <v>12.268370719349917</v>
      </c>
      <c r="CV20" s="14">
        <f t="shared" si="47"/>
        <v>4.2228354777120058</v>
      </c>
      <c r="CW20" s="22">
        <f t="shared" si="17"/>
        <v>28.722184126549518</v>
      </c>
      <c r="CX20" s="62">
        <f t="shared" si="18"/>
        <v>202.68758197556494</v>
      </c>
      <c r="CY20" s="62">
        <f ca="1">AVERAGE(OFFSET($CX$3,0,0,'Données projet'!$E$13+1,1))-AVERAGE(OFFSET($H$3,0,0,'Données projet'!$E$13+1,1))</f>
        <v>395.19659151668884</v>
      </c>
      <c r="CZ20" s="62">
        <f t="shared" si="19"/>
        <v>222.86563304507339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projet'!$B$13,Paramètres!$A$1:$I$88,7,0))</f>
        <v>0</v>
      </c>
      <c r="DD20" s="17">
        <f>IF(ISNA(VLOOKUP(A20,'Données projet'!$A$139:$I$159,6,0)),0%,VLOOKUP(A20,'Données projet'!$A$139:$I$159,6,0)*VLOOKUP('Données projet'!$B$13,Paramètres!$A$1:$I$88,7,0))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projet'!$B$9,Paramètres!$A$1:$I$88,3,0)*0.475*44/12</f>
        <v>0</v>
      </c>
      <c r="DG20" s="23">
        <f>EXP(-LN(2)/25)*DG19+(1-EXP(-LN(2)/25))/(LN(2)/25)*Calculateur!DB20*Calculateur!DD20*VLOOKUP('Données projet'!$B$9,Paramètres!$A$1:$I$88,3,0)*0.475*44/12</f>
        <v>0</v>
      </c>
      <c r="DH20" s="23">
        <f>EXP(-LN(2)/2)*DH19+(1-EXP(-LN(2)/2))/(LN(2)/2)*DB20*DE20*VLOOKUP('Données projet'!$B$9,Paramètres!$A$1:$I$88,3,0)*0.475*44/12</f>
        <v>0</v>
      </c>
      <c r="DI20" s="24">
        <f t="shared" si="20"/>
        <v>0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2.2749999999999999</v>
      </c>
      <c r="DO20" s="13">
        <f>IF(A20&lt;'Données projet'!$A$166,$DL$205^A20,IF(A20='Données projet'!$A$166,'Données projet'!$B$166,DO19+DN20-DW19))</f>
        <v>6.8013103372282542</v>
      </c>
      <c r="DP20" s="18">
        <f>DO20*VLOOKUP('Données projet'!$B$14,Paramètres!$A$1:$I$88,3,0)*VLOOKUP('Données projet'!$B$14,Paramètres!$A$1:$I$88,5,0)</f>
        <v>3.9787665472785285</v>
      </c>
      <c r="DQ20" s="14">
        <f t="shared" si="48"/>
        <v>1.5613123758845806</v>
      </c>
      <c r="DR20" s="22">
        <f t="shared" si="21"/>
        <v>9.6489707911757474</v>
      </c>
      <c r="DS20" s="62">
        <f t="shared" si="22"/>
        <v>183.61436864019117</v>
      </c>
      <c r="DT20" s="62">
        <f ca="1">AVERAGE(OFFSET($DS$3,0,0,'Données projet'!$E$14+1,1))-AVERAGE(OFFSET($H$3,0,0,'Données projet'!$E$14+1,1))</f>
        <v>155.18073137151848</v>
      </c>
      <c r="DU20" s="62">
        <f t="shared" si="23"/>
        <v>115.19459155667272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projet'!$B$14,Paramètres!$A$1:$I$88,7,0))</f>
        <v>0</v>
      </c>
      <c r="DY20" s="17">
        <f>IF(ISNA(VLOOKUP(A20,'Données projet'!$A$165:$I$185,6,0)),0%,VLOOKUP(A20,'Données projet'!$A$165:$I$185,6,0)*VLOOKUP('Données projet'!$B$14,Paramètres!$A$1:$I$88,7,0))</f>
        <v>0</v>
      </c>
      <c r="DZ20" s="17">
        <f>IF(ISNA(VLOOKUP(A20,'Données projet'!$A$165:$I$185,7,0)),0%,VLOOKUP(A20,'Données projet'!$A$165:$I$185,7,0))</f>
        <v>0</v>
      </c>
      <c r="EA20" s="23">
        <f>EXP(-LN(2)/35)*EA19+(1-EXP(-LN(2)/35))/(LN(2)/35)*DW20*DX20*VLOOKUP('Données projet'!$B$9,Paramètres!$A$1:$I$88,3,0)*0.475*44/12</f>
        <v>0</v>
      </c>
      <c r="EB20" s="23">
        <f>EXP(-LN(2)/25)*EB19+(1-EXP(-LN(2)/25))/(LN(2)/25)*Calculateur!DW20*Calculateur!DY20*VLOOKUP('Données projet'!$B$9,Paramètres!$A$1:$I$88,3,0)*0.475*44/12</f>
        <v>0</v>
      </c>
      <c r="EC20" s="23">
        <f>EXP(-LN(2)/2)*EC19+(1-EXP(-LN(2)/2))/(LN(2)/2)*DW20*DZ20*VLOOKUP('Données projet'!$B$9,Paramètres!$A$1:$I$88,3,0)*0.475*44/12</f>
        <v>0</v>
      </c>
      <c r="ED20" s="24">
        <f t="shared" si="24"/>
        <v>0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3.25</v>
      </c>
      <c r="EJ20" s="13">
        <f>IF(A20&lt;'Données projet'!$A$192,$EG$205^A20,IF(A20='Données projet'!$A$192,'Données projet'!$B$192,EJ19+EI20-ER19))</f>
        <v>4.4549531366326311</v>
      </c>
      <c r="EK20" s="18">
        <f>EJ20*VLOOKUP('Données projet'!$B$15,Paramètres!$A$1:$I$88,3,0)*VLOOKUP('Données projet'!$B$15,Paramètres!$A$1:$I$88,5,0)</f>
        <v>2.0849180679440713</v>
      </c>
      <c r="EL20" s="14">
        <f t="shared" si="49"/>
        <v>0.88206197228312055</v>
      </c>
      <c r="EM20" s="22">
        <f t="shared" si="25"/>
        <v>5.1674902367290256</v>
      </c>
      <c r="EN20" s="62">
        <f t="shared" si="26"/>
        <v>179.13288808574447</v>
      </c>
      <c r="EO20" s="62">
        <f ca="1">AVERAGE(OFFSET($EN$3,0,0,'Données projet'!$E$15+1,1))-AVERAGE(OFFSET($H$3,0,0,'Données projet'!$E$15+1,1))</f>
        <v>238.59014604384171</v>
      </c>
      <c r="EP20" s="62">
        <f t="shared" si="27"/>
        <v>90.841373219575217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projet'!$B$15,Paramètres!$A$1:$I$88,7,0))</f>
        <v>0</v>
      </c>
      <c r="ET20" s="17">
        <f>IF(ISNA(VLOOKUP(A20,'Données projet'!$A$191:$I$211,6,0)),0%,VLOOKUP(A20,'Données projet'!$A$191:$I$211,6,0)*VLOOKUP('Données projet'!$B$15,Paramètres!$A$1:$I$88,7,0))</f>
        <v>0</v>
      </c>
      <c r="EU20" s="17">
        <f>IF(ISNA(VLOOKUP(A20,'Données projet'!$A$191:$I$211,7,0)),0%,VLOOKUP(A20,'Données projet'!$A$191:$I$211,7,0))</f>
        <v>0</v>
      </c>
      <c r="EV20" s="23">
        <f>EXP(-LN(2)/35)*EV19+(1-EXP(-LN(2)/35))/(LN(2)/35)*ER20*ES20*VLOOKUP('Données projet'!$B$9,Paramètres!$A$1:$I$88,3,0)*0.475*44/12</f>
        <v>0</v>
      </c>
      <c r="EW20" s="23">
        <f>EXP(-LN(2)/25)*EW19+(1-EXP(-LN(2)/25))/(LN(2)/25)*Calculateur!ER20*Calculateur!ET20*VLOOKUP('Données projet'!$B$9,Paramètres!$A$1:$I$88,3,0)*0.475*44/12</f>
        <v>0</v>
      </c>
      <c r="EX20" s="23">
        <f>EXP(-LN(2)/2)*EX19+(1-EXP(-LN(2)/2))/(LN(2)/2)*ER20*EU20*VLOOKUP('Données projet'!$B$9,Paramètres!$A$1:$I$88,3,0)*0.475*44/12</f>
        <v>0</v>
      </c>
      <c r="EY20" s="24">
        <f t="shared" si="28"/>
        <v>0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IF(A20&lt;'Données projet'!$A$218,$FB$205^A20,IF(A20='Données projet'!$A$218,'Données projet'!$B$218,FE19+FD20-FM19))</f>
        <v>0</v>
      </c>
      <c r="FF20" s="18" t="e">
        <f>FE20*VLOOKUP('Données projet'!$B$16,Paramètres!$A$1:$I$88,3,0)*VLOOKUP('Données projet'!$B$16,Paramètres!$A$1:$I$88,5,0)</f>
        <v>#N/A</v>
      </c>
      <c r="FG20" s="14" t="e">
        <f t="shared" si="50"/>
        <v>#N/A</v>
      </c>
      <c r="FH20" s="22" t="e">
        <f t="shared" si="29"/>
        <v>#N/A</v>
      </c>
      <c r="FI20" s="62" t="e">
        <f t="shared" si="30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31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projet'!$B$16,Paramètres!$A$1:$I$88,7,0))</f>
        <v>0</v>
      </c>
      <c r="FO20" s="17">
        <f>IF(ISNA(VLOOKUP(A20,'Données projet'!$A$217:$I$237,6,0)),0%,VLOOKUP(A20,'Données projet'!$A$217:$I$237,6,0)*VLOOKUP('Données projet'!$B$16,Paramètres!$A$1:$I$88,7,0))</f>
        <v>0</v>
      </c>
      <c r="FP20" s="17">
        <f>IF(ISNA(VLOOKUP(A20,'Données projet'!$A$217:$I$237,7,0)),0%,VLOOKUP(A20,'Données projet'!$A$217:$I$237,7,0))</f>
        <v>0</v>
      </c>
      <c r="FQ20" s="23">
        <f>EXP(-LN(2)/35)*FQ19+(1-EXP(-LN(2)/35))/(LN(2)/35)*FM20*FN20*VLOOKUP('Données projet'!$B$9,Paramètres!$A$1:$I$88,3,0)*0.475*44/12</f>
        <v>0</v>
      </c>
      <c r="FR20" s="23">
        <f>EXP(-LN(2)/25)*FR19+(1-EXP(-LN(2)/25))/(LN(2)/25)*Calculateur!FM20*Calculateur!FO20*VLOOKUP('Données projet'!$B$9,Paramètres!$A$1:$I$88,3,0)*0.475*44/12</f>
        <v>0</v>
      </c>
      <c r="FS20" s="23">
        <f>EXP(-LN(2)/2)*FS19+(1-EXP(-LN(2)/2))/(LN(2)/2)*FM20*FP20*VLOOKUP('Données projet'!$B$9,Paramètres!$A$1:$I$88,3,0)*0.475*44/12</f>
        <v>0</v>
      </c>
      <c r="FT20" s="24">
        <f t="shared" si="32"/>
        <v>0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IF(A20&lt;'Données projet'!$A$244,$FW$205^A20,IF(A20='Données projet'!$A$244,'Données projet'!$B$244,FZ19+FY20-GH19))</f>
        <v>0</v>
      </c>
      <c r="GA20" s="18" t="e">
        <f>FZ20*VLOOKUP('Données projet'!$B$17,Paramètres!$A$1:$I$88,3,0)*VLOOKUP('Données projet'!$B$17,Paramètres!$A$1:$I$88,5,0)</f>
        <v>#N/A</v>
      </c>
      <c r="GB20" s="14" t="e">
        <f t="shared" si="51"/>
        <v>#N/A</v>
      </c>
      <c r="GC20" s="22" t="e">
        <f t="shared" si="33"/>
        <v>#N/A</v>
      </c>
      <c r="GD20" s="62" t="e">
        <f t="shared" si="34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35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projet'!$B$17,Paramètres!$A$1:$I$88,7,0))</f>
        <v>0</v>
      </c>
      <c r="GJ20" s="17">
        <f>IF(ISNA(VLOOKUP(A20,'Données projet'!$A$243:$I$263,6,0)),0%,VLOOKUP(A20,'Données projet'!$A$243:$I$263,6,0)*VLOOKUP('Données projet'!$B$17,Paramètres!$A$1:$I$88,7,0))</f>
        <v>0</v>
      </c>
      <c r="GK20" s="17">
        <f>IF(ISNA(VLOOKUP(A20,'Données projet'!$A$243:$I$263,7,0)),0%,VLOOKUP(A20,'Données projet'!$A$243:$I$263,7,0))</f>
        <v>0</v>
      </c>
      <c r="GL20" s="23">
        <f>EXP(-LN(2)/35)*GL19+(1-EXP(-LN(2)/35))/(LN(2)/35)*GH20*GI20*VLOOKUP('Données projet'!$B$9,Paramètres!$A$1:$I$88,3,0)*0.475*44/12</f>
        <v>0</v>
      </c>
      <c r="GM20" s="23">
        <f>EXP(-LN(2)/25)*GM19+(1-EXP(-LN(2)/25))/(LN(2)/25)*Calculateur!GH20*Calculateur!GJ20*VLOOKUP('Données projet'!$B$9,Paramètres!$A$1:$I$88,3,0)*0.475*44/12</f>
        <v>0</v>
      </c>
      <c r="GN20" s="23">
        <f>EXP(-LN(2)/2)*GN19+(1-EXP(-LN(2)/2))/(LN(2)/2)*GH20*GK20*VLOOKUP('Données projet'!$B$9,Paramètres!$A$1:$I$88,3,0)*0.475*44/12</f>
        <v>0</v>
      </c>
      <c r="GO20" s="23">
        <f t="shared" si="36"/>
        <v>0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IF(A20&lt;'Données projet'!$A$270,$GR$205^A20,IF(A20='Données projet'!$A$270,'Données projet'!$B$270,GU19+GT20-HC19))</f>
        <v>0</v>
      </c>
      <c r="GV20" s="18" t="e">
        <f>GU20*VLOOKUP('Données projet'!$B$18,Paramètres!$A$1:$I$88,3,0)*VLOOKUP('Données projet'!$B$18,Paramètres!$A$1:$I$88,5,0)</f>
        <v>#N/A</v>
      </c>
      <c r="GW20" s="14" t="e">
        <f t="shared" si="52"/>
        <v>#N/A</v>
      </c>
      <c r="GX20" s="22" t="e">
        <f t="shared" si="37"/>
        <v>#N/A</v>
      </c>
      <c r="GY20" s="62" t="e">
        <f t="shared" si="38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39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projet'!$B$18,Paramètres!$A$1:$I$88,7,0))</f>
        <v>0</v>
      </c>
      <c r="HE20" s="17">
        <f>IF(ISNA(VLOOKUP(A20,'Données projet'!$A$269:$I$289,6,0)),0%,VLOOKUP(A20,'Données projet'!$A$269:$I$289,6,0)*VLOOKUP('Données projet'!$B$18,Paramètres!$A$1:$I$88,7,0))</f>
        <v>0</v>
      </c>
      <c r="HF20" s="17">
        <f>IF(ISNA(VLOOKUP(A20,'Données projet'!$A$269:$I$289,7,0)),0%,VLOOKUP(A20,'Données projet'!$A$269:$I$289,7,0))</f>
        <v>0</v>
      </c>
      <c r="HG20" s="23">
        <f>EXP(-LN(2)/35)*HG19+(1-EXP(-LN(2)/35))/(LN(2)/35)*HC20*HD20*VLOOKUP('Données projet'!$B$9,Paramètres!$A$1:$I$88,3,0)*0.475*44/12</f>
        <v>0</v>
      </c>
      <c r="HH20" s="23">
        <f>EXP(-LN(2)/25)*HH19+(1-EXP(-LN(2)/25))/(LN(2)/25)*Calculateur!HC20*Calculateur!HE20*VLOOKUP('Données projet'!$B$9,Paramètres!$A$1:$I$88,3,0)*0.475*44/12</f>
        <v>0</v>
      </c>
      <c r="HI20" s="23">
        <f>EXP(-LN(2)/2)*HI19+(1-EXP(-LN(2)/2))/(LN(2)/2)*HC20*HF20*VLOOKUP('Données projet'!$B$9,Paramètres!$A$1:$I$88,3,0)*0.475*44/12</f>
        <v>0</v>
      </c>
      <c r="HJ20" s="24">
        <f t="shared" si="40"/>
        <v>0</v>
      </c>
    </row>
    <row r="21" spans="1:218" s="5" customFormat="1" x14ac:dyDescent="0.25">
      <c r="A21" s="11">
        <f t="shared" si="4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1" s="12">
        <f t="shared" si="4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135.66666666666666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1.9558333333333331</v>
      </c>
      <c r="N21" s="14">
        <f>IF(A21&lt;'Données projet'!$A$36,$K$205^A21,IF(A21='Données projet'!$A$36,'Données projet'!$B$36,N20+M21-V20))</f>
        <v>30.98833333333334</v>
      </c>
      <c r="O21" s="14">
        <f>N21*VLOOKUP('Données projet'!$B$9,Paramètres!$A$1:$I$88,3,0)*VLOOKUP('Données projet'!$B$9,Paramètres!$A$1:$I$88,5,0)</f>
        <v>35.698560000000008</v>
      </c>
      <c r="P21" s="14">
        <f t="shared" si="43"/>
        <v>10.851111388752232</v>
      </c>
      <c r="Q21" s="22">
        <f t="shared" si="2"/>
        <v>81.074011002076816</v>
      </c>
      <c r="R21" s="62">
        <f t="shared" si="0"/>
        <v>258.05676118725489</v>
      </c>
      <c r="S21" s="62">
        <f ca="1">AVERAGE(OFFSET($R$3,0,0,'Données projet'!$E$9+1,1))-AVERAGE(OFFSET($H$3,0,0,'Données projet'!$E$9+1,1))</f>
        <v>314.72063458462026</v>
      </c>
      <c r="T21" s="62">
        <f t="shared" si="3"/>
        <v>216.4380325968244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projet'!$B$9,Paramètres!$A$1:$I$88,7,0))</f>
        <v>0</v>
      </c>
      <c r="X21" s="17">
        <f>IF(ISNA(VLOOKUP(A21,'Données projet'!$A$35:$I$55,6,0)),0%,VLOOKUP(A21,'Données projet'!$A$35:$I$55,6,0)*VLOOKUP('Données projet'!$B$9,Paramètres!$A$1:$I$88,7,0))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projet'!$B$9,Paramètres!$A$1:$I$88,3,0)*0.475*44/12</f>
        <v>0</v>
      </c>
      <c r="AA21" s="23">
        <f>EXP(-LN(2)/25)*AA20+(1-EXP(-LN(2)/25))/(LN(2)/25)*Calculateur!V21*Calculateur!X21*VLOOKUP('Données projet'!$B$9,Paramètres!$A$1:$I$88,3,0)*0.475*44/12</f>
        <v>0</v>
      </c>
      <c r="AB21" s="23">
        <f>EXP(-LN(2)/2)*AB20+(1-EXP(-LN(2)/2))/(LN(2)/2)*V21*Y21*VLOOKUP('Données projet'!$B$9,Paramètres!$A$1:$I$88,3,0)*0.475*44/12</f>
        <v>0</v>
      </c>
      <c r="AC21" s="24">
        <f t="shared" si="4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2</v>
      </c>
      <c r="AI21" s="14">
        <f>IF(A21&lt;'Données projet'!$A$62,$AF$205^A21,IF(A21='Données projet'!$A$62,'Données projet'!$B$62,AI20+AH21-AQ20))</f>
        <v>16.720852010236015</v>
      </c>
      <c r="AJ21" s="14">
        <f>AI21*VLOOKUP('Données projet'!$B$10,Paramètres!$A$1:$I$88,3,0)*VLOOKUP('Données projet'!$B$10,Paramètres!$A$1:$I$88,5,0)</f>
        <v>17.476634521098685</v>
      </c>
      <c r="AK21" s="14">
        <f t="shared" si="44"/>
        <v>5.7728168695584134</v>
      </c>
      <c r="AL21" s="22">
        <f t="shared" si="5"/>
        <v>40.49279450539445</v>
      </c>
      <c r="AM21" s="62">
        <f t="shared" si="6"/>
        <v>217.47554469057255</v>
      </c>
      <c r="AN21" s="62">
        <f ca="1">AVERAGE(OFFSET($AM$3,0,0,'Données projet'!$E$10+1,1))-AVERAGE(OFFSET($H$3,0,0,'Données projet'!$E$10+1,1))</f>
        <v>458.33072853676879</v>
      </c>
      <c r="AO21" s="62">
        <f t="shared" si="7"/>
        <v>254.1734169352687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projet'!$B$10,Paramètres!$A$1:$I$88,7,0))</f>
        <v>0</v>
      </c>
      <c r="AS21" s="17">
        <f>IF(ISNA(VLOOKUP(A21,'Données projet'!$A$61:$I$81,6,0)),0%,VLOOKUP(A21,'Données projet'!$A$61:$I$81,6,0)*VLOOKUP('Données projet'!$B$10,Paramètres!$A$1:$I$88,7,0))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projet'!$B$9,Paramètres!$A$1:$I$88,3,0)*0.475*44/12</f>
        <v>0</v>
      </c>
      <c r="AV21" s="23">
        <f>EXP(-LN(2)/25)*AV20+(1-EXP(-LN(2)/25))/(LN(2)/25)*Calculateur!AQ21*Calculateur!AS21*VLOOKUP('Données projet'!$B$9,Paramètres!$A$1:$I$88,3,0)*0.475*44/12</f>
        <v>0</v>
      </c>
      <c r="AW21" s="23">
        <f>EXP(-LN(2)/2)*AW20+(1-EXP(-LN(2)/2))/(LN(2)/2)*AQ21*AT21*VLOOKUP('Données projet'!$B$9,Paramètres!$A$1:$I$88,3,0)*0.475*44/12</f>
        <v>0</v>
      </c>
      <c r="AX21" s="23">
        <f t="shared" si="8"/>
        <v>0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2</v>
      </c>
      <c r="BD21" s="13">
        <f>IF(A21&lt;'Données projet'!$A$88,$BA$205^A21,IF(A21='Données projet'!$A$88,'Données projet'!$B$88,BD20+BC21-BL20))</f>
        <v>16.720852010236015</v>
      </c>
      <c r="BE21" s="14">
        <f>BD21*VLOOKUP('Données projet'!$B$11,Paramètres!$A$1:$I$88,3,0)*VLOOKUP('Données projet'!$B$11,Paramètres!$A$1:$I$88,5,0)</f>
        <v>16.954943938379323</v>
      </c>
      <c r="BF21" s="14">
        <f t="shared" si="45"/>
        <v>5.6202848455157275</v>
      </c>
      <c r="BG21" s="22">
        <f t="shared" si="9"/>
        <v>39.318523465283874</v>
      </c>
      <c r="BH21" s="62">
        <f t="shared" si="10"/>
        <v>216.30127365046198</v>
      </c>
      <c r="BI21" s="62">
        <f ca="1">AVERAGE(OFFSET($BH$3,0,0,'Données projet'!$E$11+1,1))-AVERAGE(OFFSET($H$3,0,0,'Données projet'!$E$11+1,1))</f>
        <v>447.82618173893104</v>
      </c>
      <c r="BJ21" s="62">
        <f t="shared" si="11"/>
        <v>248.96509970783379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projet'!$B$11,Paramètres!$A$1:$I$88,7,0))</f>
        <v>0</v>
      </c>
      <c r="BN21" s="17">
        <f>IF(ISNA(VLOOKUP(A21,'Données projet'!$A$87:$I$107,6,0)),0%,VLOOKUP(A21,'Données projet'!$A$87:$I$107,6,0)*VLOOKUP('Données projet'!$B$11,Paramètres!$A$1:$I$88,7,0))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projet'!$B$9,Paramètres!$A$1:$I$88,3,0)*0.475*44/12</f>
        <v>0</v>
      </c>
      <c r="BQ21" s="23">
        <f>EXP(-LN(2)/25)*BQ20+(1-EXP(-LN(2)/25))/(LN(2)/25)*Calculateur!BL21*Calculateur!BN21*VLOOKUP('Données projet'!$B$9,Paramètres!$A$1:$I$88,3,0)*0.475*44/12</f>
        <v>0</v>
      </c>
      <c r="BR21" s="23">
        <f>EXP(-LN(2)/2)*BR20+(1-EXP(-LN(2)/2))/(LN(2)/2)*BL21*BO21*VLOOKUP('Données projet'!$B$9,Paramètres!$A$1:$I$88,3,0)*0.475*44/12</f>
        <v>0</v>
      </c>
      <c r="BS21" s="24">
        <f t="shared" si="12"/>
        <v>0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2</v>
      </c>
      <c r="BY21" s="13">
        <f>IF(A21&lt;'Données projet'!$A$114,$BV$205^A21,IF(A21='Données projet'!$A$114,'Données projet'!$B$114,BY20+BX21-CG20))</f>
        <v>16.720852010236015</v>
      </c>
      <c r="BZ21" s="14">
        <f>BY21*VLOOKUP('Données projet'!$B$12,Paramètres!$A$1:$I$88,3,0)*VLOOKUP('Données projet'!$B$12,Paramètres!$A$1:$I$88,5,0)</f>
        <v>17.998325103818047</v>
      </c>
      <c r="CA21" s="14">
        <f t="shared" si="46"/>
        <v>5.9248197383962822</v>
      </c>
      <c r="CB21" s="22">
        <f t="shared" si="13"/>
        <v>41.66614393352328</v>
      </c>
      <c r="CC21" s="62">
        <f t="shared" si="14"/>
        <v>218.64889411870138</v>
      </c>
      <c r="CD21" s="62">
        <f ca="1">AVERAGE(OFFSET($CC$3,0,0,'Données projet'!$E$12+1,1))-AVERAGE(OFFSET($H$3,0,0,'Données projet'!$E$12+1,1))</f>
        <v>468.82871618425406</v>
      </c>
      <c r="CE21" s="62">
        <f t="shared" si="15"/>
        <v>259.37818128554397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projet'!$B$12,Paramètres!$A$1:$I$88,7,0))</f>
        <v>0</v>
      </c>
      <c r="CI21" s="17">
        <f>IF(ISNA(VLOOKUP(A21,'Données projet'!$A$113:$I$133,6,0)),0%,VLOOKUP(A21,'Données projet'!$A$113:$I$133,6,0)*VLOOKUP('Données projet'!$B$12,Paramètres!$A$1:$I$88,7,0))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projet'!$B$9,Paramètres!$A$1:$I$88,3,0)*0.475*44/12</f>
        <v>0</v>
      </c>
      <c r="CL21" s="23">
        <f>EXP(-LN(2)/25)*CL20+(1-EXP(-LN(2)/25))/(LN(2)/25)*Calculateur!CG21*Calculateur!CI21*VLOOKUP('Données projet'!$B$9,Paramètres!$A$1:$I$88,3,0)*0.475*44/12</f>
        <v>0</v>
      </c>
      <c r="CM21" s="23">
        <f>EXP(-LN(2)/2)*CM20+(1-EXP(-LN(2)/2))/(LN(2)/2)*CG21*CJ21*VLOOKUP('Données projet'!$B$9,Paramètres!$A$1:$I$88,3,0)*0.475*44/12</f>
        <v>0</v>
      </c>
      <c r="CN21" s="24">
        <f t="shared" si="16"/>
        <v>0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2</v>
      </c>
      <c r="CT21" s="13">
        <f>IF(A21&lt;'Données projet'!$A$140,$CQ$205^A21,IF(A21='Données projet'!$A$140,'Données projet'!$B$140,CT20+CS21-DB20))</f>
        <v>16.720852010236015</v>
      </c>
      <c r="CU21" s="18">
        <f>CT21*VLOOKUP('Données projet'!$B$13,Paramètres!$A$1:$I$88,3,0)*VLOOKUP('Données projet'!$B$13,Paramètres!$A$1:$I$88,5,0)</f>
        <v>14.346491024782502</v>
      </c>
      <c r="CV21" s="14">
        <f t="shared" si="47"/>
        <v>4.849004167935858</v>
      </c>
      <c r="CW21" s="22">
        <f t="shared" si="17"/>
        <v>33.432154127317808</v>
      </c>
      <c r="CX21" s="62">
        <f t="shared" si="18"/>
        <v>210.41490431249591</v>
      </c>
      <c r="CY21" s="62">
        <f ca="1">AVERAGE(OFFSET($CX$3,0,0,'Données projet'!$E$13+1,1))-AVERAGE(OFFSET($H$3,0,0,'Données projet'!$E$13+1,1))</f>
        <v>395.19659151668884</v>
      </c>
      <c r="CZ21" s="62">
        <f t="shared" si="19"/>
        <v>222.86563304507339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projet'!$B$13,Paramètres!$A$1:$I$88,7,0))</f>
        <v>0</v>
      </c>
      <c r="DD21" s="17">
        <f>IF(ISNA(VLOOKUP(A21,'Données projet'!$A$139:$I$159,6,0)),0%,VLOOKUP(A21,'Données projet'!$A$139:$I$159,6,0)*VLOOKUP('Données projet'!$B$13,Paramètres!$A$1:$I$88,7,0))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projet'!$B$9,Paramètres!$A$1:$I$88,3,0)*0.475*44/12</f>
        <v>0</v>
      </c>
      <c r="DG21" s="23">
        <f>EXP(-LN(2)/25)*DG20+(1-EXP(-LN(2)/25))/(LN(2)/25)*Calculateur!DB21*Calculateur!DD21*VLOOKUP('Données projet'!$B$9,Paramètres!$A$1:$I$88,3,0)*0.475*44/12</f>
        <v>0</v>
      </c>
      <c r="DH21" s="23">
        <f>EXP(-LN(2)/2)*DH20+(1-EXP(-LN(2)/2))/(LN(2)/2)*DB21*DE21*VLOOKUP('Données projet'!$B$9,Paramètres!$A$1:$I$88,3,0)*0.475*44/12</f>
        <v>0</v>
      </c>
      <c r="DI21" s="24">
        <f t="shared" si="20"/>
        <v>0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2.2749999999999999</v>
      </c>
      <c r="DO21" s="13">
        <f>IF(A21&lt;'Données projet'!$A$166,$DL$205^A21,IF(A21='Données projet'!$A$166,'Données projet'!$B$166,DO20+DN21-DW20))</f>
        <v>7.6132243249824727</v>
      </c>
      <c r="DP21" s="18">
        <f>DO21*VLOOKUP('Données projet'!$B$14,Paramètres!$A$1:$I$88,3,0)*VLOOKUP('Données projet'!$B$14,Paramètres!$A$1:$I$88,5,0)</f>
        <v>4.453736230114747</v>
      </c>
      <c r="DQ21" s="14">
        <f t="shared" si="48"/>
        <v>1.7249043862507423</v>
      </c>
      <c r="DR21" s="22">
        <f t="shared" si="21"/>
        <v>10.761132406836559</v>
      </c>
      <c r="DS21" s="62">
        <f t="shared" si="22"/>
        <v>187.74388259201467</v>
      </c>
      <c r="DT21" s="62">
        <f ca="1">AVERAGE(OFFSET($DS$3,0,0,'Données projet'!$E$14+1,1))-AVERAGE(OFFSET($H$3,0,0,'Données projet'!$E$14+1,1))</f>
        <v>155.18073137151848</v>
      </c>
      <c r="DU21" s="62">
        <f t="shared" si="23"/>
        <v>115.19459155667272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projet'!$B$14,Paramètres!$A$1:$I$88,7,0))</f>
        <v>0</v>
      </c>
      <c r="DY21" s="17">
        <f>IF(ISNA(VLOOKUP(A21,'Données projet'!$A$165:$I$185,6,0)),0%,VLOOKUP(A21,'Données projet'!$A$165:$I$185,6,0)*VLOOKUP('Données projet'!$B$14,Paramètres!$A$1:$I$88,7,0))</f>
        <v>0</v>
      </c>
      <c r="DZ21" s="17">
        <f>IF(ISNA(VLOOKUP(A21,'Données projet'!$A$165:$I$185,7,0)),0%,VLOOKUP(A21,'Données projet'!$A$165:$I$185,7,0))</f>
        <v>0</v>
      </c>
      <c r="EA21" s="23">
        <f>EXP(-LN(2)/35)*EA20+(1-EXP(-LN(2)/35))/(LN(2)/35)*DW21*DX21*VLOOKUP('Données projet'!$B$9,Paramètres!$A$1:$I$88,3,0)*0.475*44/12</f>
        <v>0</v>
      </c>
      <c r="EB21" s="23">
        <f>EXP(-LN(2)/25)*EB20+(1-EXP(-LN(2)/25))/(LN(2)/25)*Calculateur!DW21*Calculateur!DY21*VLOOKUP('Données projet'!$B$9,Paramètres!$A$1:$I$88,3,0)*0.475*44/12</f>
        <v>0</v>
      </c>
      <c r="EC21" s="23">
        <f>EXP(-LN(2)/2)*EC20+(1-EXP(-LN(2)/2))/(LN(2)/2)*DW21*DZ21*VLOOKUP('Données projet'!$B$9,Paramètres!$A$1:$I$88,3,0)*0.475*44/12</f>
        <v>0</v>
      </c>
      <c r="ED21" s="24">
        <f t="shared" si="24"/>
        <v>0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3.25</v>
      </c>
      <c r="EJ21" s="13">
        <f>IF(A21&lt;'Données projet'!$A$192,$EG$205^A21,IF(A21='Données projet'!$A$192,'Données projet'!$B$192,EJ20+EI21-ER20))</f>
        <v>4.8641883518579263</v>
      </c>
      <c r="EK21" s="18">
        <f>EJ21*VLOOKUP('Données projet'!$B$15,Paramètres!$A$1:$I$88,3,0)*VLOOKUP('Données projet'!$B$15,Paramètres!$A$1:$I$88,5,0)</f>
        <v>2.2764401486695096</v>
      </c>
      <c r="EL21" s="14">
        <f t="shared" si="49"/>
        <v>0.95328701064281274</v>
      </c>
      <c r="EM21" s="22">
        <f t="shared" si="25"/>
        <v>5.6251081358022939</v>
      </c>
      <c r="EN21" s="62">
        <f t="shared" si="26"/>
        <v>182.6078583209804</v>
      </c>
      <c r="EO21" s="62">
        <f ca="1">AVERAGE(OFFSET($EN$3,0,0,'Données projet'!$E$15+1,1))-AVERAGE(OFFSET($H$3,0,0,'Données projet'!$E$15+1,1))</f>
        <v>238.59014604384171</v>
      </c>
      <c r="EP21" s="62">
        <f t="shared" si="27"/>
        <v>90.841373219575217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projet'!$B$15,Paramètres!$A$1:$I$88,7,0))</f>
        <v>0</v>
      </c>
      <c r="ET21" s="17">
        <f>IF(ISNA(VLOOKUP(A21,'Données projet'!$A$191:$I$211,6,0)),0%,VLOOKUP(A21,'Données projet'!$A$191:$I$211,6,0)*VLOOKUP('Données projet'!$B$15,Paramètres!$A$1:$I$88,7,0))</f>
        <v>0</v>
      </c>
      <c r="EU21" s="17">
        <f>IF(ISNA(VLOOKUP(A21,'Données projet'!$A$191:$I$211,7,0)),0%,VLOOKUP(A21,'Données projet'!$A$191:$I$211,7,0))</f>
        <v>0</v>
      </c>
      <c r="EV21" s="23">
        <f>EXP(-LN(2)/35)*EV20+(1-EXP(-LN(2)/35))/(LN(2)/35)*ER21*ES21*VLOOKUP('Données projet'!$B$9,Paramètres!$A$1:$I$88,3,0)*0.475*44/12</f>
        <v>0</v>
      </c>
      <c r="EW21" s="23">
        <f>EXP(-LN(2)/25)*EW20+(1-EXP(-LN(2)/25))/(LN(2)/25)*Calculateur!ER21*Calculateur!ET21*VLOOKUP('Données projet'!$B$9,Paramètres!$A$1:$I$88,3,0)*0.475*44/12</f>
        <v>0</v>
      </c>
      <c r="EX21" s="23">
        <f>EXP(-LN(2)/2)*EX20+(1-EXP(-LN(2)/2))/(LN(2)/2)*ER21*EU21*VLOOKUP('Données projet'!$B$9,Paramètres!$A$1:$I$88,3,0)*0.475*44/12</f>
        <v>0</v>
      </c>
      <c r="EY21" s="24">
        <f t="shared" si="28"/>
        <v>0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IF(A21&lt;'Données projet'!$A$218,$FB$205^A21,IF(A21='Données projet'!$A$218,'Données projet'!$B$218,FE20+FD21-FM20))</f>
        <v>0</v>
      </c>
      <c r="FF21" s="18" t="e">
        <f>FE21*VLOOKUP('Données projet'!$B$16,Paramètres!$A$1:$I$88,3,0)*VLOOKUP('Données projet'!$B$16,Paramètres!$A$1:$I$88,5,0)</f>
        <v>#N/A</v>
      </c>
      <c r="FG21" s="14" t="e">
        <f t="shared" si="50"/>
        <v>#N/A</v>
      </c>
      <c r="FH21" s="22" t="e">
        <f t="shared" si="29"/>
        <v>#N/A</v>
      </c>
      <c r="FI21" s="62" t="e">
        <f t="shared" si="30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31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projet'!$B$16,Paramètres!$A$1:$I$88,7,0))</f>
        <v>0</v>
      </c>
      <c r="FO21" s="17">
        <f>IF(ISNA(VLOOKUP(A21,'Données projet'!$A$217:$I$237,6,0)),0%,VLOOKUP(A21,'Données projet'!$A$217:$I$237,6,0)*VLOOKUP('Données projet'!$B$16,Paramètres!$A$1:$I$88,7,0))</f>
        <v>0</v>
      </c>
      <c r="FP21" s="17">
        <f>IF(ISNA(VLOOKUP(A21,'Données projet'!$A$217:$I$237,7,0)),0%,VLOOKUP(A21,'Données projet'!$A$217:$I$237,7,0))</f>
        <v>0</v>
      </c>
      <c r="FQ21" s="23">
        <f>EXP(-LN(2)/35)*FQ20+(1-EXP(-LN(2)/35))/(LN(2)/35)*FM21*FN21*VLOOKUP('Données projet'!$B$9,Paramètres!$A$1:$I$88,3,0)*0.475*44/12</f>
        <v>0</v>
      </c>
      <c r="FR21" s="23">
        <f>EXP(-LN(2)/25)*FR20+(1-EXP(-LN(2)/25))/(LN(2)/25)*Calculateur!FM21*Calculateur!FO21*VLOOKUP('Données projet'!$B$9,Paramètres!$A$1:$I$88,3,0)*0.475*44/12</f>
        <v>0</v>
      </c>
      <c r="FS21" s="23">
        <f>EXP(-LN(2)/2)*FS20+(1-EXP(-LN(2)/2))/(LN(2)/2)*FM21*FP21*VLOOKUP('Données projet'!$B$9,Paramètres!$A$1:$I$88,3,0)*0.475*44/12</f>
        <v>0</v>
      </c>
      <c r="FT21" s="24">
        <f t="shared" si="32"/>
        <v>0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IF(A21&lt;'Données projet'!$A$244,$FW$205^A21,IF(A21='Données projet'!$A$244,'Données projet'!$B$244,FZ20+FY21-GH20))</f>
        <v>0</v>
      </c>
      <c r="GA21" s="18" t="e">
        <f>FZ21*VLOOKUP('Données projet'!$B$17,Paramètres!$A$1:$I$88,3,0)*VLOOKUP('Données projet'!$B$17,Paramètres!$A$1:$I$88,5,0)</f>
        <v>#N/A</v>
      </c>
      <c r="GB21" s="14" t="e">
        <f t="shared" si="51"/>
        <v>#N/A</v>
      </c>
      <c r="GC21" s="22" t="e">
        <f t="shared" si="33"/>
        <v>#N/A</v>
      </c>
      <c r="GD21" s="62" t="e">
        <f t="shared" si="34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35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projet'!$B$17,Paramètres!$A$1:$I$88,7,0))</f>
        <v>0</v>
      </c>
      <c r="GJ21" s="17">
        <f>IF(ISNA(VLOOKUP(A21,'Données projet'!$A$243:$I$263,6,0)),0%,VLOOKUP(A21,'Données projet'!$A$243:$I$263,6,0)*VLOOKUP('Données projet'!$B$17,Paramètres!$A$1:$I$88,7,0))</f>
        <v>0</v>
      </c>
      <c r="GK21" s="17">
        <f>IF(ISNA(VLOOKUP(A21,'Données projet'!$A$243:$I$263,7,0)),0%,VLOOKUP(A21,'Données projet'!$A$243:$I$263,7,0))</f>
        <v>0</v>
      </c>
      <c r="GL21" s="23">
        <f>EXP(-LN(2)/35)*GL20+(1-EXP(-LN(2)/35))/(LN(2)/35)*GH21*GI21*VLOOKUP('Données projet'!$B$9,Paramètres!$A$1:$I$88,3,0)*0.475*44/12</f>
        <v>0</v>
      </c>
      <c r="GM21" s="23">
        <f>EXP(-LN(2)/25)*GM20+(1-EXP(-LN(2)/25))/(LN(2)/25)*Calculateur!GH21*Calculateur!GJ21*VLOOKUP('Données projet'!$B$9,Paramètres!$A$1:$I$88,3,0)*0.475*44/12</f>
        <v>0</v>
      </c>
      <c r="GN21" s="23">
        <f>EXP(-LN(2)/2)*GN20+(1-EXP(-LN(2)/2))/(LN(2)/2)*GH21*GK21*VLOOKUP('Données projet'!$B$9,Paramètres!$A$1:$I$88,3,0)*0.475*44/12</f>
        <v>0</v>
      </c>
      <c r="GO21" s="23">
        <f t="shared" si="36"/>
        <v>0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IF(A21&lt;'Données projet'!$A$270,$GR$205^A21,IF(A21='Données projet'!$A$270,'Données projet'!$B$270,GU20+GT21-HC20))</f>
        <v>0</v>
      </c>
      <c r="GV21" s="18" t="e">
        <f>GU21*VLOOKUP('Données projet'!$B$18,Paramètres!$A$1:$I$88,3,0)*VLOOKUP('Données projet'!$B$18,Paramètres!$A$1:$I$88,5,0)</f>
        <v>#N/A</v>
      </c>
      <c r="GW21" s="14" t="e">
        <f t="shared" si="52"/>
        <v>#N/A</v>
      </c>
      <c r="GX21" s="22" t="e">
        <f t="shared" si="37"/>
        <v>#N/A</v>
      </c>
      <c r="GY21" s="62" t="e">
        <f t="shared" si="38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39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projet'!$B$18,Paramètres!$A$1:$I$88,7,0))</f>
        <v>0</v>
      </c>
      <c r="HE21" s="17">
        <f>IF(ISNA(VLOOKUP(A21,'Données projet'!$A$269:$I$289,6,0)),0%,VLOOKUP(A21,'Données projet'!$A$269:$I$289,6,0)*VLOOKUP('Données projet'!$B$18,Paramètres!$A$1:$I$88,7,0))</f>
        <v>0</v>
      </c>
      <c r="HF21" s="17">
        <f>IF(ISNA(VLOOKUP(A21,'Données projet'!$A$269:$I$289,7,0)),0%,VLOOKUP(A21,'Données projet'!$A$269:$I$289,7,0))</f>
        <v>0</v>
      </c>
      <c r="HG21" s="23">
        <f>EXP(-LN(2)/35)*HG20+(1-EXP(-LN(2)/35))/(LN(2)/35)*HC21*HD21*VLOOKUP('Données projet'!$B$9,Paramètres!$A$1:$I$88,3,0)*0.475*44/12</f>
        <v>0</v>
      </c>
      <c r="HH21" s="23">
        <f>EXP(-LN(2)/25)*HH20+(1-EXP(-LN(2)/25))/(LN(2)/25)*Calculateur!HC21*Calculateur!HE21*VLOOKUP('Données projet'!$B$9,Paramètres!$A$1:$I$88,3,0)*0.475*44/12</f>
        <v>0</v>
      </c>
      <c r="HI21" s="23">
        <f>EXP(-LN(2)/2)*HI20+(1-EXP(-LN(2)/2))/(LN(2)/2)*HC21*HF21*VLOOKUP('Données projet'!$B$9,Paramètres!$A$1:$I$88,3,0)*0.475*44/12</f>
        <v>0</v>
      </c>
      <c r="HJ21" s="24">
        <f t="shared" si="40"/>
        <v>0</v>
      </c>
    </row>
    <row r="22" spans="1:218" s="5" customFormat="1" x14ac:dyDescent="0.25">
      <c r="A22" s="11">
        <f t="shared" si="4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2" s="12">
        <f t="shared" si="4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135.66666666666666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1.9558333333333331</v>
      </c>
      <c r="N22" s="14">
        <f>IF(A22&lt;'Données projet'!$A$36,$K$205^A22,IF(A22='Données projet'!$A$36,'Données projet'!$B$36,N21+M22-V21))</f>
        <v>32.944166666666675</v>
      </c>
      <c r="O22" s="14">
        <f>N22*VLOOKUP('Données projet'!$B$9,Paramètres!$A$1:$I$88,3,0)*VLOOKUP('Données projet'!$B$9,Paramètres!$A$1:$I$88,5,0)</f>
        <v>37.95168000000001</v>
      </c>
      <c r="P22" s="14">
        <f t="shared" si="43"/>
        <v>11.454089738390872</v>
      </c>
      <c r="Q22" s="22">
        <f t="shared" si="2"/>
        <v>86.048382294364117</v>
      </c>
      <c r="R22" s="62">
        <f t="shared" si="0"/>
        <v>266.01734332153768</v>
      </c>
      <c r="S22" s="62">
        <f ca="1">AVERAGE(OFFSET($R$3,0,0,'Données projet'!$E$9+1,1))-AVERAGE(OFFSET($H$3,0,0,'Données projet'!$E$9+1,1))</f>
        <v>314.72063458462026</v>
      </c>
      <c r="T22" s="62">
        <f t="shared" si="3"/>
        <v>216.4380325968244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projet'!$B$9,Paramètres!$A$1:$I$88,7,0))</f>
        <v>0</v>
      </c>
      <c r="X22" s="17">
        <f>IF(ISNA(VLOOKUP(A22,'Données projet'!$A$35:$I$55,6,0)),0%,VLOOKUP(A22,'Données projet'!$A$35:$I$55,6,0)*VLOOKUP('Données projet'!$B$9,Paramètres!$A$1:$I$88,7,0))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projet'!$B$9,Paramètres!$A$1:$I$88,3,0)*0.475*44/12</f>
        <v>0</v>
      </c>
      <c r="AA22" s="23">
        <f>EXP(-LN(2)/25)*AA21+(1-EXP(-LN(2)/25))/(LN(2)/25)*Calculateur!V22*Calculateur!X22*VLOOKUP('Données projet'!$B$9,Paramètres!$A$1:$I$88,3,0)*0.475*44/12</f>
        <v>0</v>
      </c>
      <c r="AB22" s="23">
        <f>EXP(-LN(2)/2)*AB21+(1-EXP(-LN(2)/2))/(LN(2)/2)*V22*Y22*VLOOKUP('Données projet'!$B$9,Paramètres!$A$1:$I$88,3,0)*0.475*44/12</f>
        <v>0</v>
      </c>
      <c r="AC22" s="24">
        <f t="shared" si="4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2</v>
      </c>
      <c r="AI22" s="14">
        <f>IF(A22&lt;'Données projet'!$A$62,$AF$205^A22,IF(A22='Données projet'!$A$62,'Données projet'!$B$62,AI21+AH22-AQ21))</f>
        <v>19.553171222093507</v>
      </c>
      <c r="AJ22" s="14">
        <f>AI22*VLOOKUP('Données projet'!$B$10,Paramètres!$A$1:$I$88,3,0)*VLOOKUP('Données projet'!$B$10,Paramètres!$A$1:$I$88,5,0)</f>
        <v>20.436974561332136</v>
      </c>
      <c r="AK22" s="14">
        <f t="shared" si="44"/>
        <v>6.6288192398122687</v>
      </c>
      <c r="AL22" s="22">
        <f t="shared" si="5"/>
        <v>47.139590870326508</v>
      </c>
      <c r="AM22" s="62">
        <f t="shared" si="6"/>
        <v>227.10855189750009</v>
      </c>
      <c r="AN22" s="62">
        <f ca="1">AVERAGE(OFFSET($AM$3,0,0,'Données projet'!$E$10+1,1))-AVERAGE(OFFSET($H$3,0,0,'Données projet'!$E$10+1,1))</f>
        <v>458.33072853676879</v>
      </c>
      <c r="AO22" s="62">
        <f t="shared" si="7"/>
        <v>254.1734169352687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projet'!$B$10,Paramètres!$A$1:$I$88,7,0))</f>
        <v>0</v>
      </c>
      <c r="AS22" s="17">
        <f>IF(ISNA(VLOOKUP(A22,'Données projet'!$A$61:$I$81,6,0)),0%,VLOOKUP(A22,'Données projet'!$A$61:$I$81,6,0)*VLOOKUP('Données projet'!$B$10,Paramètres!$A$1:$I$88,7,0))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projet'!$B$9,Paramètres!$A$1:$I$88,3,0)*0.475*44/12</f>
        <v>0</v>
      </c>
      <c r="AV22" s="23">
        <f>EXP(-LN(2)/25)*AV21+(1-EXP(-LN(2)/25))/(LN(2)/25)*Calculateur!AQ22*Calculateur!AS22*VLOOKUP('Données projet'!$B$9,Paramètres!$A$1:$I$88,3,0)*0.475*44/12</f>
        <v>0</v>
      </c>
      <c r="AW22" s="23">
        <f>EXP(-LN(2)/2)*AW21+(1-EXP(-LN(2)/2))/(LN(2)/2)*AQ22*AT22*VLOOKUP('Données projet'!$B$9,Paramètres!$A$1:$I$88,3,0)*0.475*44/12</f>
        <v>0</v>
      </c>
      <c r="AX22" s="23">
        <f t="shared" si="8"/>
        <v>0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2</v>
      </c>
      <c r="BD22" s="13">
        <f>IF(A22&lt;'Données projet'!$A$88,$BA$205^A22,IF(A22='Données projet'!$A$88,'Données projet'!$B$88,BD21+BC22-BL21))</f>
        <v>19.553171222093507</v>
      </c>
      <c r="BE22" s="14">
        <f>BD22*VLOOKUP('Données projet'!$B$11,Paramètres!$A$1:$I$88,3,0)*VLOOKUP('Données projet'!$B$11,Paramètres!$A$1:$I$88,5,0)</f>
        <v>19.826915619202818</v>
      </c>
      <c r="BF22" s="14">
        <f t="shared" si="45"/>
        <v>6.4536695272008258</v>
      </c>
      <c r="BG22" s="22">
        <f t="shared" si="9"/>
        <v>45.772019129986347</v>
      </c>
      <c r="BH22" s="62">
        <f t="shared" si="10"/>
        <v>225.74098015715992</v>
      </c>
      <c r="BI22" s="62">
        <f ca="1">AVERAGE(OFFSET($BH$3,0,0,'Données projet'!$E$11+1,1))-AVERAGE(OFFSET($H$3,0,0,'Données projet'!$E$11+1,1))</f>
        <v>447.82618173893104</v>
      </c>
      <c r="BJ22" s="62">
        <f t="shared" si="11"/>
        <v>248.96509970783379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projet'!$B$11,Paramètres!$A$1:$I$88,7,0))</f>
        <v>0</v>
      </c>
      <c r="BN22" s="17">
        <f>IF(ISNA(VLOOKUP(A22,'Données projet'!$A$87:$I$107,6,0)),0%,VLOOKUP(A22,'Données projet'!$A$87:$I$107,6,0)*VLOOKUP('Données projet'!$B$11,Paramètres!$A$1:$I$88,7,0))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projet'!$B$9,Paramètres!$A$1:$I$88,3,0)*0.475*44/12</f>
        <v>0</v>
      </c>
      <c r="BQ22" s="23">
        <f>EXP(-LN(2)/25)*BQ21+(1-EXP(-LN(2)/25))/(LN(2)/25)*Calculateur!BL22*Calculateur!BN22*VLOOKUP('Données projet'!$B$9,Paramètres!$A$1:$I$88,3,0)*0.475*44/12</f>
        <v>0</v>
      </c>
      <c r="BR22" s="23">
        <f>EXP(-LN(2)/2)*BR21+(1-EXP(-LN(2)/2))/(LN(2)/2)*BL22*BO22*VLOOKUP('Données projet'!$B$9,Paramètres!$A$1:$I$88,3,0)*0.475*44/12</f>
        <v>0</v>
      </c>
      <c r="BS22" s="24">
        <f t="shared" si="12"/>
        <v>0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2</v>
      </c>
      <c r="BY22" s="13">
        <f>IF(A22&lt;'Données projet'!$A$114,$BV$205^A22,IF(A22='Données projet'!$A$114,'Données projet'!$B$114,BY21+BX22-CG21))</f>
        <v>19.553171222093507</v>
      </c>
      <c r="BZ22" s="14">
        <f>BY22*VLOOKUP('Données projet'!$B$12,Paramètres!$A$1:$I$88,3,0)*VLOOKUP('Données projet'!$B$12,Paramètres!$A$1:$I$88,5,0)</f>
        <v>21.047033503461449</v>
      </c>
      <c r="CA22" s="14">
        <f t="shared" si="46"/>
        <v>6.8033613332523819</v>
      </c>
      <c r="CB22" s="22">
        <f t="shared" si="13"/>
        <v>48.50610434060993</v>
      </c>
      <c r="CC22" s="62">
        <f t="shared" si="14"/>
        <v>228.47506536778351</v>
      </c>
      <c r="CD22" s="62">
        <f ca="1">AVERAGE(OFFSET($CC$3,0,0,'Données projet'!$E$12+1,1))-AVERAGE(OFFSET($H$3,0,0,'Données projet'!$E$12+1,1))</f>
        <v>468.82871618425406</v>
      </c>
      <c r="CE22" s="62">
        <f t="shared" si="15"/>
        <v>259.37818128554397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projet'!$B$12,Paramètres!$A$1:$I$88,7,0))</f>
        <v>0</v>
      </c>
      <c r="CI22" s="17">
        <f>IF(ISNA(VLOOKUP(A22,'Données projet'!$A$113:$I$133,6,0)),0%,VLOOKUP(A22,'Données projet'!$A$113:$I$133,6,0)*VLOOKUP('Données projet'!$B$12,Paramètres!$A$1:$I$88,7,0))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projet'!$B$9,Paramètres!$A$1:$I$88,3,0)*0.475*44/12</f>
        <v>0</v>
      </c>
      <c r="CL22" s="23">
        <f>EXP(-LN(2)/25)*CL21+(1-EXP(-LN(2)/25))/(LN(2)/25)*Calculateur!CG22*Calculateur!CI22*VLOOKUP('Données projet'!$B$9,Paramètres!$A$1:$I$88,3,0)*0.475*44/12</f>
        <v>0</v>
      </c>
      <c r="CM22" s="23">
        <f>EXP(-LN(2)/2)*CM21+(1-EXP(-LN(2)/2))/(LN(2)/2)*CG22*CJ22*VLOOKUP('Données projet'!$B$9,Paramètres!$A$1:$I$88,3,0)*0.475*44/12</f>
        <v>0</v>
      </c>
      <c r="CN22" s="24">
        <f t="shared" si="16"/>
        <v>0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2</v>
      </c>
      <c r="CT22" s="13">
        <f>IF(A22&lt;'Données projet'!$A$140,$CQ$205^A22,IF(A22='Données projet'!$A$140,'Données projet'!$B$140,CT21+CS22-DB21))</f>
        <v>19.553171222093507</v>
      </c>
      <c r="CU22" s="18">
        <f>CT22*VLOOKUP('Données projet'!$B$13,Paramètres!$A$1:$I$88,3,0)*VLOOKUP('Données projet'!$B$13,Paramètres!$A$1:$I$88,5,0)</f>
        <v>16.776620908556229</v>
      </c>
      <c r="CV22" s="14">
        <f t="shared" si="47"/>
        <v>5.5680221369644558</v>
      </c>
      <c r="CW22" s="22">
        <f t="shared" si="17"/>
        <v>38.91691997094852</v>
      </c>
      <c r="CX22" s="62">
        <f t="shared" si="18"/>
        <v>218.8858809981221</v>
      </c>
      <c r="CY22" s="62">
        <f ca="1">AVERAGE(OFFSET($CX$3,0,0,'Données projet'!$E$13+1,1))-AVERAGE(OFFSET($H$3,0,0,'Données projet'!$E$13+1,1))</f>
        <v>395.19659151668884</v>
      </c>
      <c r="CZ22" s="62">
        <f t="shared" si="19"/>
        <v>222.86563304507339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projet'!$B$13,Paramètres!$A$1:$I$88,7,0))</f>
        <v>0</v>
      </c>
      <c r="DD22" s="17">
        <f>IF(ISNA(VLOOKUP(A22,'Données projet'!$A$139:$I$159,6,0)),0%,VLOOKUP(A22,'Données projet'!$A$139:$I$159,6,0)*VLOOKUP('Données projet'!$B$13,Paramètres!$A$1:$I$88,7,0))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projet'!$B$9,Paramètres!$A$1:$I$88,3,0)*0.475*44/12</f>
        <v>0</v>
      </c>
      <c r="DG22" s="23">
        <f>EXP(-LN(2)/25)*DG21+(1-EXP(-LN(2)/25))/(LN(2)/25)*Calculateur!DB22*Calculateur!DD22*VLOOKUP('Données projet'!$B$9,Paramètres!$A$1:$I$88,3,0)*0.475*44/12</f>
        <v>0</v>
      </c>
      <c r="DH22" s="23">
        <f>EXP(-LN(2)/2)*DH21+(1-EXP(-LN(2)/2))/(LN(2)/2)*DB22*DE22*VLOOKUP('Données projet'!$B$9,Paramètres!$A$1:$I$88,3,0)*0.475*44/12</f>
        <v>0</v>
      </c>
      <c r="DI22" s="24">
        <f t="shared" si="20"/>
        <v>0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2.2749999999999999</v>
      </c>
      <c r="DO22" s="13">
        <f>IF(A22&lt;'Données projet'!$A$166,$DL$205^A22,IF(A22='Données projet'!$A$166,'Données projet'!$B$166,DO21+DN22-DW21))</f>
        <v>8.5220614482540746</v>
      </c>
      <c r="DP22" s="18">
        <f>DO22*VLOOKUP('Données projet'!$B$14,Paramètres!$A$1:$I$88,3,0)*VLOOKUP('Données projet'!$B$14,Paramètres!$A$1:$I$88,5,0)</f>
        <v>4.9854059472286334</v>
      </c>
      <c r="DQ22" s="14">
        <f t="shared" si="48"/>
        <v>1.9056373264327444</v>
      </c>
      <c r="DR22" s="22">
        <f t="shared" si="21"/>
        <v>12.001900368293567</v>
      </c>
      <c r="DS22" s="62">
        <f t="shared" si="22"/>
        <v>191.97086139546715</v>
      </c>
      <c r="DT22" s="62">
        <f ca="1">AVERAGE(OFFSET($DS$3,0,0,'Données projet'!$E$14+1,1))-AVERAGE(OFFSET($H$3,0,0,'Données projet'!$E$14+1,1))</f>
        <v>155.18073137151848</v>
      </c>
      <c r="DU22" s="62">
        <f t="shared" si="23"/>
        <v>115.19459155667272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projet'!$B$14,Paramètres!$A$1:$I$88,7,0))</f>
        <v>0</v>
      </c>
      <c r="DY22" s="17">
        <f>IF(ISNA(VLOOKUP(A22,'Données projet'!$A$165:$I$185,6,0)),0%,VLOOKUP(A22,'Données projet'!$A$165:$I$185,6,0)*VLOOKUP('Données projet'!$B$14,Paramètres!$A$1:$I$88,7,0))</f>
        <v>0</v>
      </c>
      <c r="DZ22" s="17">
        <f>IF(ISNA(VLOOKUP(A22,'Données projet'!$A$165:$I$185,7,0)),0%,VLOOKUP(A22,'Données projet'!$A$165:$I$185,7,0))</f>
        <v>0</v>
      </c>
      <c r="EA22" s="23">
        <f>EXP(-LN(2)/35)*EA21+(1-EXP(-LN(2)/35))/(LN(2)/35)*DW22*DX22*VLOOKUP('Données projet'!$B$9,Paramètres!$A$1:$I$88,3,0)*0.475*44/12</f>
        <v>0</v>
      </c>
      <c r="EB22" s="23">
        <f>EXP(-LN(2)/25)*EB21+(1-EXP(-LN(2)/25))/(LN(2)/25)*Calculateur!DW22*Calculateur!DY22*VLOOKUP('Données projet'!$B$9,Paramètres!$A$1:$I$88,3,0)*0.475*44/12</f>
        <v>0</v>
      </c>
      <c r="EC22" s="23">
        <f>EXP(-LN(2)/2)*EC21+(1-EXP(-LN(2)/2))/(LN(2)/2)*DW22*DZ22*VLOOKUP('Données projet'!$B$9,Paramètres!$A$1:$I$88,3,0)*0.475*44/12</f>
        <v>0</v>
      </c>
      <c r="ED22" s="24">
        <f t="shared" si="24"/>
        <v>0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3.25</v>
      </c>
      <c r="EJ22" s="13">
        <f>IF(A22&lt;'Données projet'!$A$192,$EG$205^A22,IF(A22='Données projet'!$A$192,'Données projet'!$B$192,EJ21+EI22-ER21))</f>
        <v>5.3110162097540012</v>
      </c>
      <c r="EK22" s="18">
        <f>EJ22*VLOOKUP('Données projet'!$B$15,Paramètres!$A$1:$I$88,3,0)*VLOOKUP('Données projet'!$B$15,Paramètres!$A$1:$I$88,5,0)</f>
        <v>2.4855555861648724</v>
      </c>
      <c r="EL22" s="14">
        <f t="shared" si="49"/>
        <v>1.0302633524808862</v>
      </c>
      <c r="EM22" s="22">
        <f t="shared" si="25"/>
        <v>6.1233846514746952</v>
      </c>
      <c r="EN22" s="62">
        <f t="shared" si="26"/>
        <v>186.09234567864829</v>
      </c>
      <c r="EO22" s="62">
        <f ca="1">AVERAGE(OFFSET($EN$3,0,0,'Données projet'!$E$15+1,1))-AVERAGE(OFFSET($H$3,0,0,'Données projet'!$E$15+1,1))</f>
        <v>238.59014604384171</v>
      </c>
      <c r="EP22" s="62">
        <f t="shared" si="27"/>
        <v>90.841373219575217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projet'!$B$15,Paramètres!$A$1:$I$88,7,0))</f>
        <v>0</v>
      </c>
      <c r="ET22" s="17">
        <f>IF(ISNA(VLOOKUP(A22,'Données projet'!$A$191:$I$211,6,0)),0%,VLOOKUP(A22,'Données projet'!$A$191:$I$211,6,0)*VLOOKUP('Données projet'!$B$15,Paramètres!$A$1:$I$88,7,0))</f>
        <v>0</v>
      </c>
      <c r="EU22" s="17">
        <f>IF(ISNA(VLOOKUP(A22,'Données projet'!$A$191:$I$211,7,0)),0%,VLOOKUP(A22,'Données projet'!$A$191:$I$211,7,0))</f>
        <v>0</v>
      </c>
      <c r="EV22" s="23">
        <f>EXP(-LN(2)/35)*EV21+(1-EXP(-LN(2)/35))/(LN(2)/35)*ER22*ES22*VLOOKUP('Données projet'!$B$9,Paramètres!$A$1:$I$88,3,0)*0.475*44/12</f>
        <v>0</v>
      </c>
      <c r="EW22" s="23">
        <f>EXP(-LN(2)/25)*EW21+(1-EXP(-LN(2)/25))/(LN(2)/25)*Calculateur!ER22*Calculateur!ET22*VLOOKUP('Données projet'!$B$9,Paramètres!$A$1:$I$88,3,0)*0.475*44/12</f>
        <v>0</v>
      </c>
      <c r="EX22" s="23">
        <f>EXP(-LN(2)/2)*EX21+(1-EXP(-LN(2)/2))/(LN(2)/2)*ER22*EU22*VLOOKUP('Données projet'!$B$9,Paramètres!$A$1:$I$88,3,0)*0.475*44/12</f>
        <v>0</v>
      </c>
      <c r="EY22" s="24">
        <f t="shared" si="28"/>
        <v>0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IF(A22&lt;'Données projet'!$A$218,$FB$205^A22,IF(A22='Données projet'!$A$218,'Données projet'!$B$218,FE21+FD22-FM21))</f>
        <v>0</v>
      </c>
      <c r="FF22" s="18" t="e">
        <f>FE22*VLOOKUP('Données projet'!$B$16,Paramètres!$A$1:$I$88,3,0)*VLOOKUP('Données projet'!$B$16,Paramètres!$A$1:$I$88,5,0)</f>
        <v>#N/A</v>
      </c>
      <c r="FG22" s="14" t="e">
        <f t="shared" si="50"/>
        <v>#N/A</v>
      </c>
      <c r="FH22" s="22" t="e">
        <f t="shared" si="29"/>
        <v>#N/A</v>
      </c>
      <c r="FI22" s="62" t="e">
        <f t="shared" si="30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31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projet'!$B$16,Paramètres!$A$1:$I$88,7,0))</f>
        <v>0</v>
      </c>
      <c r="FO22" s="17">
        <f>IF(ISNA(VLOOKUP(A22,'Données projet'!$A$217:$I$237,6,0)),0%,VLOOKUP(A22,'Données projet'!$A$217:$I$237,6,0)*VLOOKUP('Données projet'!$B$16,Paramètres!$A$1:$I$88,7,0))</f>
        <v>0</v>
      </c>
      <c r="FP22" s="17">
        <f>IF(ISNA(VLOOKUP(A22,'Données projet'!$A$217:$I$237,7,0)),0%,VLOOKUP(A22,'Données projet'!$A$217:$I$237,7,0))</f>
        <v>0</v>
      </c>
      <c r="FQ22" s="23">
        <f>EXP(-LN(2)/35)*FQ21+(1-EXP(-LN(2)/35))/(LN(2)/35)*FM22*FN22*VLOOKUP('Données projet'!$B$9,Paramètres!$A$1:$I$88,3,0)*0.475*44/12</f>
        <v>0</v>
      </c>
      <c r="FR22" s="23">
        <f>EXP(-LN(2)/25)*FR21+(1-EXP(-LN(2)/25))/(LN(2)/25)*Calculateur!FM22*Calculateur!FO22*VLOOKUP('Données projet'!$B$9,Paramètres!$A$1:$I$88,3,0)*0.475*44/12</f>
        <v>0</v>
      </c>
      <c r="FS22" s="23">
        <f>EXP(-LN(2)/2)*FS21+(1-EXP(-LN(2)/2))/(LN(2)/2)*FM22*FP22*VLOOKUP('Données projet'!$B$9,Paramètres!$A$1:$I$88,3,0)*0.475*44/12</f>
        <v>0</v>
      </c>
      <c r="FT22" s="24">
        <f t="shared" si="32"/>
        <v>0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IF(A22&lt;'Données projet'!$A$244,$FW$205^A22,IF(A22='Données projet'!$A$244,'Données projet'!$B$244,FZ21+FY22-GH21))</f>
        <v>0</v>
      </c>
      <c r="GA22" s="18" t="e">
        <f>FZ22*VLOOKUP('Données projet'!$B$17,Paramètres!$A$1:$I$88,3,0)*VLOOKUP('Données projet'!$B$17,Paramètres!$A$1:$I$88,5,0)</f>
        <v>#N/A</v>
      </c>
      <c r="GB22" s="14" t="e">
        <f t="shared" si="51"/>
        <v>#N/A</v>
      </c>
      <c r="GC22" s="22" t="e">
        <f t="shared" si="33"/>
        <v>#N/A</v>
      </c>
      <c r="GD22" s="62" t="e">
        <f t="shared" si="34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35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projet'!$B$17,Paramètres!$A$1:$I$88,7,0))</f>
        <v>0</v>
      </c>
      <c r="GJ22" s="17">
        <f>IF(ISNA(VLOOKUP(A22,'Données projet'!$A$243:$I$263,6,0)),0%,VLOOKUP(A22,'Données projet'!$A$243:$I$263,6,0)*VLOOKUP('Données projet'!$B$17,Paramètres!$A$1:$I$88,7,0))</f>
        <v>0</v>
      </c>
      <c r="GK22" s="17">
        <f>IF(ISNA(VLOOKUP(A22,'Données projet'!$A$243:$I$263,7,0)),0%,VLOOKUP(A22,'Données projet'!$A$243:$I$263,7,0))</f>
        <v>0</v>
      </c>
      <c r="GL22" s="23">
        <f>EXP(-LN(2)/35)*GL21+(1-EXP(-LN(2)/35))/(LN(2)/35)*GH22*GI22*VLOOKUP('Données projet'!$B$9,Paramètres!$A$1:$I$88,3,0)*0.475*44/12</f>
        <v>0</v>
      </c>
      <c r="GM22" s="23">
        <f>EXP(-LN(2)/25)*GM21+(1-EXP(-LN(2)/25))/(LN(2)/25)*Calculateur!GH22*Calculateur!GJ22*VLOOKUP('Données projet'!$B$9,Paramètres!$A$1:$I$88,3,0)*0.475*44/12</f>
        <v>0</v>
      </c>
      <c r="GN22" s="23">
        <f>EXP(-LN(2)/2)*GN21+(1-EXP(-LN(2)/2))/(LN(2)/2)*GH22*GK22*VLOOKUP('Données projet'!$B$9,Paramètres!$A$1:$I$88,3,0)*0.475*44/12</f>
        <v>0</v>
      </c>
      <c r="GO22" s="23">
        <f t="shared" si="36"/>
        <v>0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IF(A22&lt;'Données projet'!$A$270,$GR$205^A22,IF(A22='Données projet'!$A$270,'Données projet'!$B$270,GU21+GT22-HC21))</f>
        <v>0</v>
      </c>
      <c r="GV22" s="18" t="e">
        <f>GU22*VLOOKUP('Données projet'!$B$18,Paramètres!$A$1:$I$88,3,0)*VLOOKUP('Données projet'!$B$18,Paramètres!$A$1:$I$88,5,0)</f>
        <v>#N/A</v>
      </c>
      <c r="GW22" s="14" t="e">
        <f t="shared" si="52"/>
        <v>#N/A</v>
      </c>
      <c r="GX22" s="22" t="e">
        <f t="shared" si="37"/>
        <v>#N/A</v>
      </c>
      <c r="GY22" s="62" t="e">
        <f t="shared" si="38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39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projet'!$B$18,Paramètres!$A$1:$I$88,7,0))</f>
        <v>0</v>
      </c>
      <c r="HE22" s="17">
        <f>IF(ISNA(VLOOKUP(A22,'Données projet'!$A$269:$I$289,6,0)),0%,VLOOKUP(A22,'Données projet'!$A$269:$I$289,6,0)*VLOOKUP('Données projet'!$B$18,Paramètres!$A$1:$I$88,7,0))</f>
        <v>0</v>
      </c>
      <c r="HF22" s="17">
        <f>IF(ISNA(VLOOKUP(A22,'Données projet'!$A$269:$I$289,7,0)),0%,VLOOKUP(A22,'Données projet'!$A$269:$I$289,7,0))</f>
        <v>0</v>
      </c>
      <c r="HG22" s="23">
        <f>EXP(-LN(2)/35)*HG21+(1-EXP(-LN(2)/35))/(LN(2)/35)*HC22*HD22*VLOOKUP('Données projet'!$B$9,Paramètres!$A$1:$I$88,3,0)*0.475*44/12</f>
        <v>0</v>
      </c>
      <c r="HH22" s="23">
        <f>EXP(-LN(2)/25)*HH21+(1-EXP(-LN(2)/25))/(LN(2)/25)*Calculateur!HC22*Calculateur!HE22*VLOOKUP('Données projet'!$B$9,Paramètres!$A$1:$I$88,3,0)*0.475*44/12</f>
        <v>0</v>
      </c>
      <c r="HI22" s="23">
        <f>EXP(-LN(2)/2)*HI21+(1-EXP(-LN(2)/2))/(LN(2)/2)*HC22*HF22*VLOOKUP('Données projet'!$B$9,Paramètres!$A$1:$I$88,3,0)*0.475*44/12</f>
        <v>0</v>
      </c>
      <c r="HJ22" s="24">
        <f t="shared" si="40"/>
        <v>0</v>
      </c>
    </row>
    <row r="23" spans="1:218" s="5" customFormat="1" x14ac:dyDescent="0.25">
      <c r="A23" s="11">
        <f t="shared" si="4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3" s="12">
        <f t="shared" si="4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135.66666666666666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34.9</v>
      </c>
      <c r="L23" s="13">
        <f>VLOOKUP(A23,'Données projet'!$A$35:$I$55,9,0)</f>
        <v>1.9558333333333331</v>
      </c>
      <c r="M23" s="13">
        <f t="array" ref="M23">INDEX(L:L,MIN(IF(ISNUMBER(L23:L219),ROW(L23:L219),"")))</f>
        <v>1.9558333333333331</v>
      </c>
      <c r="N23" s="14">
        <f>IF(A23&lt;'Données projet'!$A$36,$K$205^A23,IF(A23='Données projet'!$A$36,'Données projet'!$B$36,N22+M23-V22))</f>
        <v>34.900000000000006</v>
      </c>
      <c r="O23" s="14">
        <f>N23*VLOOKUP('Données projet'!$B$9,Paramètres!$A$1:$I$88,3,0)*VLOOKUP('Données projet'!$B$9,Paramètres!$A$1:$I$88,5,0)</f>
        <v>40.204800000000006</v>
      </c>
      <c r="P23" s="14">
        <f t="shared" si="43"/>
        <v>12.052913024749227</v>
      </c>
      <c r="Q23" s="22">
        <f t="shared" si="2"/>
        <v>91.01551685143825</v>
      </c>
      <c r="R23" s="62">
        <f t="shared" si="0"/>
        <v>273.94008746174194</v>
      </c>
      <c r="S23" s="62">
        <f ca="1">AVERAGE(OFFSET($R$3,0,0,'Données projet'!$E$9+1,1))-AVERAGE(OFFSET($H$3,0,0,'Données projet'!$E$9+1,1))</f>
        <v>314.72063458462026</v>
      </c>
      <c r="T23" s="62">
        <f t="shared" si="3"/>
        <v>216.4380325968244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projet'!$B$9,Paramètres!$A$1:$I$88,7,0))</f>
        <v>0</v>
      </c>
      <c r="X23" s="78">
        <f>IF(ISNA(VLOOKUP(A23,'Données projet'!$A$35:$I$55,6,0)),0%,VLOOKUP(A23,'Données projet'!$A$35:$I$55,6,0)*VLOOKUP('Données projet'!$B$9,Paramètres!$A$1:$I$88,7,0))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projet'!$B$9,Paramètres!$A$1:$I$88,3,0)*0.475*44/12</f>
        <v>0</v>
      </c>
      <c r="AA23" s="23">
        <f>EXP(-LN(2)/25)*AA22+(1-EXP(-LN(2)/25))/(LN(2)/25)*Calculateur!V23*Calculateur!X23*VLOOKUP('Données projet'!$B$9,Paramètres!$A$1:$I$88,3,0)*0.475*44/12</f>
        <v>0</v>
      </c>
      <c r="AB23" s="23">
        <f>EXP(-LN(2)/2)*AB22+(1-EXP(-LN(2)/2))/(LN(2)/2)*V23*Y23*VLOOKUP('Données projet'!$B$9,Paramètres!$A$1:$I$88,3,0)*0.475*44/12</f>
        <v>0</v>
      </c>
      <c r="AC23" s="24">
        <f t="shared" si="4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2</v>
      </c>
      <c r="AI23" s="14">
        <f>IF(A23&lt;'Données projet'!$A$62,$AF$205^A23,IF(A23='Données projet'!$A$62,'Données projet'!$B$62,AI22+AH23-AQ22))</f>
        <v>22.865252596366304</v>
      </c>
      <c r="AJ23" s="14">
        <f>AI23*VLOOKUP('Données projet'!$B$10,Paramètres!$A$1:$I$88,3,0)*VLOOKUP('Données projet'!$B$10,Paramètres!$A$1:$I$88,5,0)</f>
        <v>23.898762013722063</v>
      </c>
      <c r="AK23" s="14">
        <f t="shared" si="44"/>
        <v>7.6117509886411039</v>
      </c>
      <c r="AL23" s="22">
        <f t="shared" si="5"/>
        <v>54.880810145782512</v>
      </c>
      <c r="AM23" s="62">
        <f t="shared" si="6"/>
        <v>237.80538075608621</v>
      </c>
      <c r="AN23" s="62">
        <f ca="1">AVERAGE(OFFSET($AM$3,0,0,'Données projet'!$E$10+1,1))-AVERAGE(OFFSET($H$3,0,0,'Données projet'!$E$10+1,1))</f>
        <v>458.33072853676879</v>
      </c>
      <c r="AO23" s="62">
        <f t="shared" si="7"/>
        <v>254.1734169352687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projet'!$B$10,Paramètres!$A$1:$I$88,7,0))</f>
        <v>0</v>
      </c>
      <c r="AS23" s="17">
        <f>IF(ISNA(VLOOKUP(A23,'Données projet'!$A$61:$I$81,6,0)),0%,VLOOKUP(A23,'Données projet'!$A$61:$I$81,6,0)*VLOOKUP('Données projet'!$B$10,Paramètres!$A$1:$I$88,7,0))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projet'!$B$9,Paramètres!$A$1:$I$88,3,0)*0.475*44/12</f>
        <v>0</v>
      </c>
      <c r="AV23" s="23">
        <f>EXP(-LN(2)/25)*AV22+(1-EXP(-LN(2)/25))/(LN(2)/25)*Calculateur!AQ23*Calculateur!AS23*VLOOKUP('Données projet'!$B$9,Paramètres!$A$1:$I$88,3,0)*0.475*44/12</f>
        <v>0</v>
      </c>
      <c r="AW23" s="23">
        <f>EXP(-LN(2)/2)*AW22+(1-EXP(-LN(2)/2))/(LN(2)/2)*AQ23*AT23*VLOOKUP('Données projet'!$B$9,Paramètres!$A$1:$I$88,3,0)*0.475*44/12</f>
        <v>0</v>
      </c>
      <c r="AX23" s="23">
        <f t="shared" si="8"/>
        <v>0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2</v>
      </c>
      <c r="BD23" s="13">
        <f>IF(A23&lt;'Données projet'!$A$88,$BA$205^A23,IF(A23='Données projet'!$A$88,'Données projet'!$B$88,BD22+BC23-BL22))</f>
        <v>22.865252596366304</v>
      </c>
      <c r="BE23" s="14">
        <f>BD23*VLOOKUP('Données projet'!$B$11,Paramètres!$A$1:$I$88,3,0)*VLOOKUP('Données projet'!$B$11,Paramètres!$A$1:$I$88,5,0)</f>
        <v>23.185366132715433</v>
      </c>
      <c r="BF23" s="14">
        <f t="shared" si="45"/>
        <v>7.4106298010058662</v>
      </c>
      <c r="BG23" s="22">
        <f t="shared" si="9"/>
        <v>53.288026251231258</v>
      </c>
      <c r="BH23" s="62">
        <f t="shared" si="10"/>
        <v>236.21259686153496</v>
      </c>
      <c r="BI23" s="62">
        <f ca="1">AVERAGE(OFFSET($BH$3,0,0,'Données projet'!$E$11+1,1))-AVERAGE(OFFSET($H$3,0,0,'Données projet'!$E$11+1,1))</f>
        <v>447.82618173893104</v>
      </c>
      <c r="BJ23" s="62">
        <f t="shared" si="11"/>
        <v>248.96509970783379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projet'!$B$11,Paramètres!$A$1:$I$88,7,0))</f>
        <v>0</v>
      </c>
      <c r="BN23" s="17">
        <f>IF(ISNA(VLOOKUP(A23,'Données projet'!$A$87:$I$107,6,0)),0%,VLOOKUP(A23,'Données projet'!$A$87:$I$107,6,0)*VLOOKUP('Données projet'!$B$11,Paramètres!$A$1:$I$88,7,0))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projet'!$B$9,Paramètres!$A$1:$I$88,3,0)*0.475*44/12</f>
        <v>0</v>
      </c>
      <c r="BQ23" s="23">
        <f>EXP(-LN(2)/25)*BQ22+(1-EXP(-LN(2)/25))/(LN(2)/25)*Calculateur!BL23*Calculateur!BN23*VLOOKUP('Données projet'!$B$9,Paramètres!$A$1:$I$88,3,0)*0.475*44/12</f>
        <v>0</v>
      </c>
      <c r="BR23" s="23">
        <f>EXP(-LN(2)/2)*BR22+(1-EXP(-LN(2)/2))/(LN(2)/2)*BL23*BO23*VLOOKUP('Données projet'!$B$9,Paramètres!$A$1:$I$88,3,0)*0.475*44/12</f>
        <v>0</v>
      </c>
      <c r="BS23" s="24">
        <f t="shared" si="12"/>
        <v>0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2</v>
      </c>
      <c r="BY23" s="13">
        <f>IF(A23&lt;'Données projet'!$A$114,$BV$205^A23,IF(A23='Données projet'!$A$114,'Données projet'!$B$114,BY22+BX23-CG22))</f>
        <v>22.865252596366304</v>
      </c>
      <c r="BZ23" s="14">
        <f>BY23*VLOOKUP('Données projet'!$B$12,Paramètres!$A$1:$I$88,3,0)*VLOOKUP('Données projet'!$B$12,Paramètres!$A$1:$I$88,5,0)</f>
        <v>24.612157894728689</v>
      </c>
      <c r="CA23" s="14">
        <f t="shared" si="46"/>
        <v>7.8121744583780641</v>
      </c>
      <c r="CB23" s="22">
        <f t="shared" si="13"/>
        <v>56.472378848327594</v>
      </c>
      <c r="CC23" s="62">
        <f t="shared" si="14"/>
        <v>239.3969494586313</v>
      </c>
      <c r="CD23" s="62">
        <f ca="1">AVERAGE(OFFSET($CC$3,0,0,'Données projet'!$E$12+1,1))-AVERAGE(OFFSET($H$3,0,0,'Données projet'!$E$12+1,1))</f>
        <v>468.82871618425406</v>
      </c>
      <c r="CE23" s="62">
        <f t="shared" si="15"/>
        <v>259.37818128554397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projet'!$B$12,Paramètres!$A$1:$I$88,7,0))</f>
        <v>0</v>
      </c>
      <c r="CI23" s="17">
        <f>IF(ISNA(VLOOKUP(A23,'Données projet'!$A$113:$I$133,6,0)),0%,VLOOKUP(A23,'Données projet'!$A$113:$I$133,6,0)*VLOOKUP('Données projet'!$B$12,Paramètres!$A$1:$I$88,7,0))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projet'!$B$9,Paramètres!$A$1:$I$88,3,0)*0.475*44/12</f>
        <v>0</v>
      </c>
      <c r="CL23" s="23">
        <f>EXP(-LN(2)/25)*CL22+(1-EXP(-LN(2)/25))/(LN(2)/25)*Calculateur!CG23*Calculateur!CI23*VLOOKUP('Données projet'!$B$9,Paramètres!$A$1:$I$88,3,0)*0.475*44/12</f>
        <v>0</v>
      </c>
      <c r="CM23" s="23">
        <f>EXP(-LN(2)/2)*CM22+(1-EXP(-LN(2)/2))/(LN(2)/2)*CG23*CJ23*VLOOKUP('Données projet'!$B$9,Paramètres!$A$1:$I$88,3,0)*0.475*44/12</f>
        <v>0</v>
      </c>
      <c r="CN23" s="24">
        <f t="shared" si="16"/>
        <v>0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2</v>
      </c>
      <c r="CT23" s="13">
        <f>IF(A23&lt;'Données projet'!$A$140,$CQ$205^A23,IF(A23='Données projet'!$A$140,'Données projet'!$B$140,CT22+CS23-DB22))</f>
        <v>22.865252596366304</v>
      </c>
      <c r="CU23" s="18">
        <f>CT23*VLOOKUP('Données projet'!$B$13,Paramètres!$A$1:$I$88,3,0)*VLOOKUP('Données projet'!$B$13,Paramètres!$A$1:$I$88,5,0)</f>
        <v>19.618386727682292</v>
      </c>
      <c r="CV23" s="14">
        <f t="shared" si="47"/>
        <v>6.3936572219783576</v>
      </c>
      <c r="CW23" s="22">
        <f t="shared" si="17"/>
        <v>45.304309878992292</v>
      </c>
      <c r="CX23" s="62">
        <f t="shared" si="18"/>
        <v>228.22888048929599</v>
      </c>
      <c r="CY23" s="62">
        <f ca="1">AVERAGE(OFFSET($CX$3,0,0,'Données projet'!$E$13+1,1))-AVERAGE(OFFSET($H$3,0,0,'Données projet'!$E$13+1,1))</f>
        <v>395.19659151668884</v>
      </c>
      <c r="CZ23" s="62">
        <f t="shared" si="19"/>
        <v>222.86563304507339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projet'!$B$13,Paramètres!$A$1:$I$88,7,0))</f>
        <v>0</v>
      </c>
      <c r="DD23" s="17">
        <f>IF(ISNA(VLOOKUP(A23,'Données projet'!$A$139:$I$159,6,0)),0%,VLOOKUP(A23,'Données projet'!$A$139:$I$159,6,0)*VLOOKUP('Données projet'!$B$13,Paramètres!$A$1:$I$88,7,0))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projet'!$B$9,Paramètres!$A$1:$I$88,3,0)*0.475*44/12</f>
        <v>0</v>
      </c>
      <c r="DG23" s="23">
        <f>EXP(-LN(2)/25)*DG22+(1-EXP(-LN(2)/25))/(LN(2)/25)*Calculateur!DB23*Calculateur!DD23*VLOOKUP('Données projet'!$B$9,Paramètres!$A$1:$I$88,3,0)*0.475*44/12</f>
        <v>0</v>
      </c>
      <c r="DH23" s="23">
        <f>EXP(-LN(2)/2)*DH22+(1-EXP(-LN(2)/2))/(LN(2)/2)*DB23*DE23*VLOOKUP('Données projet'!$B$9,Paramètres!$A$1:$I$88,3,0)*0.475*44/12</f>
        <v>0</v>
      </c>
      <c r="DI23" s="24">
        <f t="shared" si="20"/>
        <v>0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2.2749999999999999</v>
      </c>
      <c r="DO23" s="13">
        <f>IF(A23&lt;'Données projet'!$A$166,$DL$205^A23,IF(A23='Données projet'!$A$166,'Données projet'!$B$166,DO22+DN23-DW22))</f>
        <v>9.5393920141694419</v>
      </c>
      <c r="DP23" s="18">
        <f>DO23*VLOOKUP('Données projet'!$B$14,Paramètres!$A$1:$I$88,3,0)*VLOOKUP('Données projet'!$B$14,Paramètres!$A$1:$I$88,5,0)</f>
        <v>5.5805443282891245</v>
      </c>
      <c r="DQ23" s="14">
        <f t="shared" si="48"/>
        <v>2.1053071978018902</v>
      </c>
      <c r="DR23" s="22">
        <f t="shared" si="21"/>
        <v>13.386191407941851</v>
      </c>
      <c r="DS23" s="62">
        <f t="shared" si="22"/>
        <v>196.31076201824555</v>
      </c>
      <c r="DT23" s="62">
        <f ca="1">AVERAGE(OFFSET($DS$3,0,0,'Données projet'!$E$14+1,1))-AVERAGE(OFFSET($H$3,0,0,'Données projet'!$E$14+1,1))</f>
        <v>155.18073137151848</v>
      </c>
      <c r="DU23" s="62">
        <f t="shared" si="23"/>
        <v>115.19459155667272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projet'!$B$14,Paramètres!$A$1:$I$88,7,0))</f>
        <v>0</v>
      </c>
      <c r="DY23" s="17">
        <f>IF(ISNA(VLOOKUP(A23,'Données projet'!$A$165:$I$185,6,0)),0%,VLOOKUP(A23,'Données projet'!$A$165:$I$185,6,0)*VLOOKUP('Données projet'!$B$14,Paramètres!$A$1:$I$88,7,0))</f>
        <v>0</v>
      </c>
      <c r="DZ23" s="17">
        <f>IF(ISNA(VLOOKUP(A23,'Données projet'!$A$165:$I$185,7,0)),0%,VLOOKUP(A23,'Données projet'!$A$165:$I$185,7,0))</f>
        <v>0</v>
      </c>
      <c r="EA23" s="23">
        <f>EXP(-LN(2)/35)*EA22+(1-EXP(-LN(2)/35))/(LN(2)/35)*DW23*DX23*VLOOKUP('Données projet'!$B$9,Paramètres!$A$1:$I$88,3,0)*0.475*44/12</f>
        <v>0</v>
      </c>
      <c r="EB23" s="23">
        <f>EXP(-LN(2)/25)*EB22+(1-EXP(-LN(2)/25))/(LN(2)/25)*Calculateur!DW23*Calculateur!DY23*VLOOKUP('Données projet'!$B$9,Paramètres!$A$1:$I$88,3,0)*0.475*44/12</f>
        <v>0</v>
      </c>
      <c r="EC23" s="23">
        <f>EXP(-LN(2)/2)*EC22+(1-EXP(-LN(2)/2))/(LN(2)/2)*DW23*DZ23*VLOOKUP('Données projet'!$B$9,Paramètres!$A$1:$I$88,3,0)*0.475*44/12</f>
        <v>0</v>
      </c>
      <c r="ED23" s="24">
        <f t="shared" si="24"/>
        <v>0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3.25</v>
      </c>
      <c r="EJ23" s="13">
        <f>IF(A23&lt;'Données projet'!$A$192,$EG$205^A23,IF(A23='Données projet'!$A$192,'Données projet'!$B$192,EJ22+EI23-ER22))</f>
        <v>5.7988899976490096</v>
      </c>
      <c r="EK23" s="18">
        <f>EJ23*VLOOKUP('Données projet'!$B$15,Paramètres!$A$1:$I$88,3,0)*VLOOKUP('Données projet'!$B$15,Paramètres!$A$1:$I$88,5,0)</f>
        <v>2.7138805188997366</v>
      </c>
      <c r="EL23" s="14">
        <f t="shared" si="49"/>
        <v>1.1134554059951065</v>
      </c>
      <c r="EM23" s="22">
        <f t="shared" si="25"/>
        <v>6.6659434025251842</v>
      </c>
      <c r="EN23" s="62">
        <f t="shared" si="26"/>
        <v>189.59051401282889</v>
      </c>
      <c r="EO23" s="62">
        <f ca="1">AVERAGE(OFFSET($EN$3,0,0,'Données projet'!$E$15+1,1))-AVERAGE(OFFSET($H$3,0,0,'Données projet'!$E$15+1,1))</f>
        <v>238.59014604384171</v>
      </c>
      <c r="EP23" s="62">
        <f t="shared" si="27"/>
        <v>90.841373219575217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projet'!$B$15,Paramètres!$A$1:$I$88,7,0))</f>
        <v>0</v>
      </c>
      <c r="ET23" s="17">
        <f>IF(ISNA(VLOOKUP(A23,'Données projet'!$A$191:$I$211,6,0)),0%,VLOOKUP(A23,'Données projet'!$A$191:$I$211,6,0)*VLOOKUP('Données projet'!$B$15,Paramètres!$A$1:$I$88,7,0))</f>
        <v>0</v>
      </c>
      <c r="EU23" s="17">
        <f>IF(ISNA(VLOOKUP(A23,'Données projet'!$A$191:$I$211,7,0)),0%,VLOOKUP(A23,'Données projet'!$A$191:$I$211,7,0))</f>
        <v>0</v>
      </c>
      <c r="EV23" s="23">
        <f>EXP(-LN(2)/35)*EV22+(1-EXP(-LN(2)/35))/(LN(2)/35)*ER23*ES23*VLOOKUP('Données projet'!$B$9,Paramètres!$A$1:$I$88,3,0)*0.475*44/12</f>
        <v>0</v>
      </c>
      <c r="EW23" s="23">
        <f>EXP(-LN(2)/25)*EW22+(1-EXP(-LN(2)/25))/(LN(2)/25)*Calculateur!ER23*Calculateur!ET23*VLOOKUP('Données projet'!$B$9,Paramètres!$A$1:$I$88,3,0)*0.475*44/12</f>
        <v>0</v>
      </c>
      <c r="EX23" s="23">
        <f>EXP(-LN(2)/2)*EX22+(1-EXP(-LN(2)/2))/(LN(2)/2)*ER23*EU23*VLOOKUP('Données projet'!$B$9,Paramètres!$A$1:$I$88,3,0)*0.475*44/12</f>
        <v>0</v>
      </c>
      <c r="EY23" s="24">
        <f t="shared" si="28"/>
        <v>0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IF(A23&lt;'Données projet'!$A$218,$FB$205^A23,IF(A23='Données projet'!$A$218,'Données projet'!$B$218,FE22+FD23-FM22))</f>
        <v>0</v>
      </c>
      <c r="FF23" s="18" t="e">
        <f>FE23*VLOOKUP('Données projet'!$B$16,Paramètres!$A$1:$I$88,3,0)*VLOOKUP('Données projet'!$B$16,Paramètres!$A$1:$I$88,5,0)</f>
        <v>#N/A</v>
      </c>
      <c r="FG23" s="14" t="e">
        <f t="shared" si="50"/>
        <v>#N/A</v>
      </c>
      <c r="FH23" s="22" t="e">
        <f t="shared" si="29"/>
        <v>#N/A</v>
      </c>
      <c r="FI23" s="62" t="e">
        <f t="shared" si="30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31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projet'!$B$16,Paramètres!$A$1:$I$88,7,0))</f>
        <v>0</v>
      </c>
      <c r="FO23" s="17">
        <f>IF(ISNA(VLOOKUP(A23,'Données projet'!$A$217:$I$237,6,0)),0%,VLOOKUP(A23,'Données projet'!$A$217:$I$237,6,0)*VLOOKUP('Données projet'!$B$16,Paramètres!$A$1:$I$88,7,0))</f>
        <v>0</v>
      </c>
      <c r="FP23" s="17">
        <f>IF(ISNA(VLOOKUP(A23,'Données projet'!$A$217:$I$237,7,0)),0%,VLOOKUP(A23,'Données projet'!$A$217:$I$237,7,0))</f>
        <v>0</v>
      </c>
      <c r="FQ23" s="23">
        <f>EXP(-LN(2)/35)*FQ22+(1-EXP(-LN(2)/35))/(LN(2)/35)*FM23*FN23*VLOOKUP('Données projet'!$B$9,Paramètres!$A$1:$I$88,3,0)*0.475*44/12</f>
        <v>0</v>
      </c>
      <c r="FR23" s="23">
        <f>EXP(-LN(2)/25)*FR22+(1-EXP(-LN(2)/25))/(LN(2)/25)*Calculateur!FM23*Calculateur!FO23*VLOOKUP('Données projet'!$B$9,Paramètres!$A$1:$I$88,3,0)*0.475*44/12</f>
        <v>0</v>
      </c>
      <c r="FS23" s="23">
        <f>EXP(-LN(2)/2)*FS22+(1-EXP(-LN(2)/2))/(LN(2)/2)*FM23*FP23*VLOOKUP('Données projet'!$B$9,Paramètres!$A$1:$I$88,3,0)*0.475*44/12</f>
        <v>0</v>
      </c>
      <c r="FT23" s="24">
        <f t="shared" si="32"/>
        <v>0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IF(A23&lt;'Données projet'!$A$244,$FW$205^A23,IF(A23='Données projet'!$A$244,'Données projet'!$B$244,FZ22+FY23-GH22))</f>
        <v>0</v>
      </c>
      <c r="GA23" s="18" t="e">
        <f>FZ23*VLOOKUP('Données projet'!$B$17,Paramètres!$A$1:$I$88,3,0)*VLOOKUP('Données projet'!$B$17,Paramètres!$A$1:$I$88,5,0)</f>
        <v>#N/A</v>
      </c>
      <c r="GB23" s="14" t="e">
        <f t="shared" si="51"/>
        <v>#N/A</v>
      </c>
      <c r="GC23" s="22" t="e">
        <f t="shared" si="33"/>
        <v>#N/A</v>
      </c>
      <c r="GD23" s="62" t="e">
        <f t="shared" si="34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35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projet'!$B$17,Paramètres!$A$1:$I$88,7,0))</f>
        <v>0</v>
      </c>
      <c r="GJ23" s="17">
        <f>IF(ISNA(VLOOKUP(A23,'Données projet'!$A$243:$I$263,6,0)),0%,VLOOKUP(A23,'Données projet'!$A$243:$I$263,6,0)*VLOOKUP('Données projet'!$B$17,Paramètres!$A$1:$I$88,7,0))</f>
        <v>0</v>
      </c>
      <c r="GK23" s="17">
        <f>IF(ISNA(VLOOKUP(A23,'Données projet'!$A$243:$I$263,7,0)),0%,VLOOKUP(A23,'Données projet'!$A$243:$I$263,7,0))</f>
        <v>0</v>
      </c>
      <c r="GL23" s="23">
        <f>EXP(-LN(2)/35)*GL22+(1-EXP(-LN(2)/35))/(LN(2)/35)*GH23*GI23*VLOOKUP('Données projet'!$B$9,Paramètres!$A$1:$I$88,3,0)*0.475*44/12</f>
        <v>0</v>
      </c>
      <c r="GM23" s="23">
        <f>EXP(-LN(2)/25)*GM22+(1-EXP(-LN(2)/25))/(LN(2)/25)*Calculateur!GH23*Calculateur!GJ23*VLOOKUP('Données projet'!$B$9,Paramètres!$A$1:$I$88,3,0)*0.475*44/12</f>
        <v>0</v>
      </c>
      <c r="GN23" s="23">
        <f>EXP(-LN(2)/2)*GN22+(1-EXP(-LN(2)/2))/(LN(2)/2)*GH23*GK23*VLOOKUP('Données projet'!$B$9,Paramètres!$A$1:$I$88,3,0)*0.475*44/12</f>
        <v>0</v>
      </c>
      <c r="GO23" s="23">
        <f t="shared" si="36"/>
        <v>0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IF(A23&lt;'Données projet'!$A$270,$GR$205^A23,IF(A23='Données projet'!$A$270,'Données projet'!$B$270,GU22+GT23-HC22))</f>
        <v>0</v>
      </c>
      <c r="GV23" s="18" t="e">
        <f>GU23*VLOOKUP('Données projet'!$B$18,Paramètres!$A$1:$I$88,3,0)*VLOOKUP('Données projet'!$B$18,Paramètres!$A$1:$I$88,5,0)</f>
        <v>#N/A</v>
      </c>
      <c r="GW23" s="14" t="e">
        <f t="shared" si="52"/>
        <v>#N/A</v>
      </c>
      <c r="GX23" s="22" t="e">
        <f t="shared" si="37"/>
        <v>#N/A</v>
      </c>
      <c r="GY23" s="62" t="e">
        <f t="shared" si="38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39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projet'!$B$18,Paramètres!$A$1:$I$88,7,0))</f>
        <v>0</v>
      </c>
      <c r="HE23" s="17">
        <f>IF(ISNA(VLOOKUP(A23,'Données projet'!$A$269:$I$289,6,0)),0%,VLOOKUP(A23,'Données projet'!$A$269:$I$289,6,0)*VLOOKUP('Données projet'!$B$18,Paramètres!$A$1:$I$88,7,0))</f>
        <v>0</v>
      </c>
      <c r="HF23" s="17">
        <f>IF(ISNA(VLOOKUP(A23,'Données projet'!$A$269:$I$289,7,0)),0%,VLOOKUP(A23,'Données projet'!$A$269:$I$289,7,0))</f>
        <v>0</v>
      </c>
      <c r="HG23" s="23">
        <f>EXP(-LN(2)/35)*HG22+(1-EXP(-LN(2)/35))/(LN(2)/35)*HC23*HD23*VLOOKUP('Données projet'!$B$9,Paramètres!$A$1:$I$88,3,0)*0.475*44/12</f>
        <v>0</v>
      </c>
      <c r="HH23" s="23">
        <f>EXP(-LN(2)/25)*HH22+(1-EXP(-LN(2)/25))/(LN(2)/25)*Calculateur!HC23*Calculateur!HE23*VLOOKUP('Données projet'!$B$9,Paramètres!$A$1:$I$88,3,0)*0.475*44/12</f>
        <v>0</v>
      </c>
      <c r="HI23" s="23">
        <f>EXP(-LN(2)/2)*HI22+(1-EXP(-LN(2)/2))/(LN(2)/2)*HC23*HF23*VLOOKUP('Données projet'!$B$9,Paramètres!$A$1:$I$88,3,0)*0.475*44/12</f>
        <v>0</v>
      </c>
      <c r="HJ23" s="24">
        <f t="shared" si="40"/>
        <v>0</v>
      </c>
    </row>
    <row r="24" spans="1:218" s="5" customFormat="1" x14ac:dyDescent="0.25">
      <c r="A24" s="11">
        <f t="shared" si="4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4" s="12">
        <f t="shared" si="4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135.66666666666666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1.9887500000000009</v>
      </c>
      <c r="N24" s="14">
        <f>IF(A24&lt;'Données projet'!$A$36,$K$205^A24,IF(A24='Données projet'!$A$36,'Données projet'!$B$36,N23+M24-V23))</f>
        <v>36.888750000000009</v>
      </c>
      <c r="O24" s="14">
        <f>N24*VLOOKUP('Données projet'!$B$9,Paramètres!$A$1:$I$88,3,0)*VLOOKUP('Données projet'!$B$9,Paramètres!$A$1:$I$88,5,0)</f>
        <v>42.495840000000008</v>
      </c>
      <c r="P24" s="14">
        <f t="shared" si="43"/>
        <v>12.657821296361272</v>
      </c>
      <c r="Q24" s="22">
        <f t="shared" si="2"/>
        <v>96.059293424495877</v>
      </c>
      <c r="R24" s="62">
        <f t="shared" si="0"/>
        <v>281.90940322249162</v>
      </c>
      <c r="S24" s="62">
        <f ca="1">AVERAGE(OFFSET($R$3,0,0,'Données projet'!$E$9+1,1))-AVERAGE(OFFSET($H$3,0,0,'Données projet'!$E$9+1,1))</f>
        <v>314.72063458462026</v>
      </c>
      <c r="T24" s="62">
        <f t="shared" si="3"/>
        <v>216.4380325968244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projet'!$B$9,Paramètres!$A$1:$I$88,7,0))</f>
        <v>0</v>
      </c>
      <c r="X24" s="17">
        <f>IF(ISNA(VLOOKUP(A24,'Données projet'!$A$35:$I$55,6,0)),0%,VLOOKUP(A24,'Données projet'!$A$35:$I$55,6,0)*VLOOKUP('Données projet'!$B$9,Paramètres!$A$1:$I$88,7,0))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projet'!$B$9,Paramètres!$A$1:$I$88,3,0)*0.475*44/12</f>
        <v>0</v>
      </c>
      <c r="AA24" s="23">
        <f>EXP(-LN(2)/25)*AA23+(1-EXP(-LN(2)/25))/(LN(2)/25)*Calculateur!V24*Calculateur!X24*VLOOKUP('Données projet'!$B$9,Paramètres!$A$1:$I$88,3,0)*0.475*44/12</f>
        <v>0</v>
      </c>
      <c r="AB24" s="23">
        <f>EXP(-LN(2)/2)*AB23+(1-EXP(-LN(2)/2))/(LN(2)/2)*V24*Y24*VLOOKUP('Données projet'!$B$9,Paramètres!$A$1:$I$88,3,0)*0.475*44/12</f>
        <v>0</v>
      </c>
      <c r="AC24" s="24">
        <f t="shared" si="4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2</v>
      </c>
      <c r="AI24" s="14">
        <f>IF(A24&lt;'Données projet'!$A$62,$AF$205^A24,IF(A24='Données projet'!$A$62,'Données projet'!$B$62,AI23+AH24-AQ23))</f>
        <v>26.738362302320134</v>
      </c>
      <c r="AJ24" s="14">
        <f>AI24*VLOOKUP('Données projet'!$B$10,Paramètres!$A$1:$I$88,3,0)*VLOOKUP('Données projet'!$B$10,Paramètres!$A$1:$I$88,5,0)</f>
        <v>27.946936278385003</v>
      </c>
      <c r="AK24" s="14">
        <f t="shared" si="44"/>
        <v>8.740433404052169</v>
      </c>
      <c r="AL24" s="22">
        <f t="shared" si="5"/>
        <v>63.897168863578067</v>
      </c>
      <c r="AM24" s="62">
        <f t="shared" si="6"/>
        <v>249.74727866157377</v>
      </c>
      <c r="AN24" s="62">
        <f ca="1">AVERAGE(OFFSET($AM$3,0,0,'Données projet'!$E$10+1,1))-AVERAGE(OFFSET($H$3,0,0,'Données projet'!$E$10+1,1))</f>
        <v>458.33072853676879</v>
      </c>
      <c r="AO24" s="62">
        <f t="shared" si="7"/>
        <v>254.1734169352687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projet'!$B$10,Paramètres!$A$1:$I$88,7,0))</f>
        <v>0</v>
      </c>
      <c r="AS24" s="17">
        <f>IF(ISNA(VLOOKUP(A24,'Données projet'!$A$61:$I$81,6,0)),0%,VLOOKUP(A24,'Données projet'!$A$61:$I$81,6,0)*VLOOKUP('Données projet'!$B$10,Paramètres!$A$1:$I$88,7,0))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projet'!$B$9,Paramètres!$A$1:$I$88,3,0)*0.475*44/12</f>
        <v>0</v>
      </c>
      <c r="AV24" s="23">
        <f>EXP(-LN(2)/25)*AV23+(1-EXP(-LN(2)/25))/(LN(2)/25)*Calculateur!AQ24*Calculateur!AS24*VLOOKUP('Données projet'!$B$9,Paramètres!$A$1:$I$88,3,0)*0.475*44/12</f>
        <v>0</v>
      </c>
      <c r="AW24" s="23">
        <f>EXP(-LN(2)/2)*AW23+(1-EXP(-LN(2)/2))/(LN(2)/2)*AQ24*AT24*VLOOKUP('Données projet'!$B$9,Paramètres!$A$1:$I$88,3,0)*0.475*44/12</f>
        <v>0</v>
      </c>
      <c r="AX24" s="23">
        <f t="shared" si="8"/>
        <v>0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2</v>
      </c>
      <c r="BD24" s="13">
        <f>IF(A24&lt;'Données projet'!$A$88,$BA$205^A24,IF(A24='Données projet'!$A$88,'Données projet'!$B$88,BD23+BC24-BL23))</f>
        <v>26.738362302320134</v>
      </c>
      <c r="BE24" s="14">
        <f>BD24*VLOOKUP('Données projet'!$B$11,Paramètres!$A$1:$I$88,3,0)*VLOOKUP('Données projet'!$B$11,Paramètres!$A$1:$I$88,5,0)</f>
        <v>27.112699374552616</v>
      </c>
      <c r="BF24" s="14">
        <f t="shared" si="45"/>
        <v>8.5094896502046034</v>
      </c>
      <c r="BG24" s="22">
        <f t="shared" si="9"/>
        <v>62.041979218118826</v>
      </c>
      <c r="BH24" s="62">
        <f t="shared" si="10"/>
        <v>247.89208901611454</v>
      </c>
      <c r="BI24" s="62">
        <f ca="1">AVERAGE(OFFSET($BH$3,0,0,'Données projet'!$E$11+1,1))-AVERAGE(OFFSET($H$3,0,0,'Données projet'!$E$11+1,1))</f>
        <v>447.82618173893104</v>
      </c>
      <c r="BJ24" s="62">
        <f t="shared" si="11"/>
        <v>248.96509970783379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projet'!$B$11,Paramètres!$A$1:$I$88,7,0))</f>
        <v>0</v>
      </c>
      <c r="BN24" s="17">
        <f>IF(ISNA(VLOOKUP(A24,'Données projet'!$A$87:$I$107,6,0)),0%,VLOOKUP(A24,'Données projet'!$A$87:$I$107,6,0)*VLOOKUP('Données projet'!$B$11,Paramètres!$A$1:$I$88,7,0))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projet'!$B$9,Paramètres!$A$1:$I$88,3,0)*0.475*44/12</f>
        <v>0</v>
      </c>
      <c r="BQ24" s="23">
        <f>EXP(-LN(2)/25)*BQ23+(1-EXP(-LN(2)/25))/(LN(2)/25)*Calculateur!BL24*Calculateur!BN24*VLOOKUP('Données projet'!$B$9,Paramètres!$A$1:$I$88,3,0)*0.475*44/12</f>
        <v>0</v>
      </c>
      <c r="BR24" s="23">
        <f>EXP(-LN(2)/2)*BR23+(1-EXP(-LN(2)/2))/(LN(2)/2)*BL24*BO24*VLOOKUP('Données projet'!$B$9,Paramètres!$A$1:$I$88,3,0)*0.475*44/12</f>
        <v>0</v>
      </c>
      <c r="BS24" s="24">
        <f t="shared" si="12"/>
        <v>0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2</v>
      </c>
      <c r="BY24" s="13">
        <f>IF(A24&lt;'Données projet'!$A$114,$BV$205^A24,IF(A24='Données projet'!$A$114,'Données projet'!$B$114,BY23+BX24-CG23))</f>
        <v>26.738362302320134</v>
      </c>
      <c r="BZ24" s="14">
        <f>BY24*VLOOKUP('Données projet'!$B$12,Paramètres!$A$1:$I$88,3,0)*VLOOKUP('Données projet'!$B$12,Paramètres!$A$1:$I$88,5,0)</f>
        <v>28.781173182217394</v>
      </c>
      <c r="CA24" s="14">
        <f t="shared" si="46"/>
        <v>8.9705759812934822</v>
      </c>
      <c r="CB24" s="22">
        <f t="shared" si="13"/>
        <v>65.750963126448113</v>
      </c>
      <c r="CC24" s="62">
        <f t="shared" si="14"/>
        <v>251.60107292444383</v>
      </c>
      <c r="CD24" s="62">
        <f ca="1">AVERAGE(OFFSET($CC$3,0,0,'Données projet'!$E$12+1,1))-AVERAGE(OFFSET($H$3,0,0,'Données projet'!$E$12+1,1))</f>
        <v>468.82871618425406</v>
      </c>
      <c r="CE24" s="62">
        <f t="shared" si="15"/>
        <v>259.37818128554397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projet'!$B$12,Paramètres!$A$1:$I$88,7,0))</f>
        <v>0</v>
      </c>
      <c r="CI24" s="17">
        <f>IF(ISNA(VLOOKUP(A24,'Données projet'!$A$113:$I$133,6,0)),0%,VLOOKUP(A24,'Données projet'!$A$113:$I$133,6,0)*VLOOKUP('Données projet'!$B$12,Paramètres!$A$1:$I$88,7,0))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projet'!$B$9,Paramètres!$A$1:$I$88,3,0)*0.475*44/12</f>
        <v>0</v>
      </c>
      <c r="CL24" s="23">
        <f>EXP(-LN(2)/25)*CL23+(1-EXP(-LN(2)/25))/(LN(2)/25)*Calculateur!CG24*Calculateur!CI24*VLOOKUP('Données projet'!$B$9,Paramètres!$A$1:$I$88,3,0)*0.475*44/12</f>
        <v>0</v>
      </c>
      <c r="CM24" s="23">
        <f>EXP(-LN(2)/2)*CM23+(1-EXP(-LN(2)/2))/(LN(2)/2)*CG24*CJ24*VLOOKUP('Données projet'!$B$9,Paramètres!$A$1:$I$88,3,0)*0.475*44/12</f>
        <v>0</v>
      </c>
      <c r="CN24" s="24">
        <f t="shared" si="16"/>
        <v>0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2</v>
      </c>
      <c r="CT24" s="13">
        <f>IF(A24&lt;'Données projet'!$A$140,$CQ$205^A24,IF(A24='Données projet'!$A$140,'Données projet'!$B$140,CT23+CS24-DB23))</f>
        <v>26.738362302320134</v>
      </c>
      <c r="CU24" s="18">
        <f>CT24*VLOOKUP('Données projet'!$B$13,Paramètres!$A$1:$I$88,3,0)*VLOOKUP('Données projet'!$B$13,Paramètres!$A$1:$I$88,5,0)</f>
        <v>22.941514855390679</v>
      </c>
      <c r="CV24" s="14">
        <f t="shared" si="47"/>
        <v>7.3417187767220486</v>
      </c>
      <c r="CW24" s="22">
        <f t="shared" si="17"/>
        <v>52.743298575929657</v>
      </c>
      <c r="CX24" s="62">
        <f t="shared" si="18"/>
        <v>238.59340837392537</v>
      </c>
      <c r="CY24" s="62">
        <f ca="1">AVERAGE(OFFSET($CX$3,0,0,'Données projet'!$E$13+1,1))-AVERAGE(OFFSET($H$3,0,0,'Données projet'!$E$13+1,1))</f>
        <v>395.19659151668884</v>
      </c>
      <c r="CZ24" s="62">
        <f t="shared" si="19"/>
        <v>222.86563304507339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projet'!$B$13,Paramètres!$A$1:$I$88,7,0))</f>
        <v>0</v>
      </c>
      <c r="DD24" s="17">
        <f>IF(ISNA(VLOOKUP(A24,'Données projet'!$A$139:$I$159,6,0)),0%,VLOOKUP(A24,'Données projet'!$A$139:$I$159,6,0)*VLOOKUP('Données projet'!$B$13,Paramètres!$A$1:$I$88,7,0))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projet'!$B$9,Paramètres!$A$1:$I$88,3,0)*0.475*44/12</f>
        <v>0</v>
      </c>
      <c r="DG24" s="23">
        <f>EXP(-LN(2)/25)*DG23+(1-EXP(-LN(2)/25))/(LN(2)/25)*Calculateur!DB24*Calculateur!DD24*VLOOKUP('Données projet'!$B$9,Paramètres!$A$1:$I$88,3,0)*0.475*44/12</f>
        <v>0</v>
      </c>
      <c r="DH24" s="23">
        <f>EXP(-LN(2)/2)*DH23+(1-EXP(-LN(2)/2))/(LN(2)/2)*DB24*DE24*VLOOKUP('Données projet'!$B$9,Paramètres!$A$1:$I$88,3,0)*0.475*44/12</f>
        <v>0</v>
      </c>
      <c r="DI24" s="24">
        <f t="shared" si="20"/>
        <v>0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2.2749999999999999</v>
      </c>
      <c r="DO24" s="13">
        <f>IF(A24&lt;'Données projet'!$A$166,$DL$205^A24,IF(A24='Données projet'!$A$166,'Données projet'!$B$166,DO23+DN24-DW23))</f>
        <v>10.678167548139776</v>
      </c>
      <c r="DP24" s="18">
        <f>DO24*VLOOKUP('Données projet'!$B$14,Paramètres!$A$1:$I$88,3,0)*VLOOKUP('Données projet'!$B$14,Paramètres!$A$1:$I$88,5,0)</f>
        <v>6.2467280156617688</v>
      </c>
      <c r="DQ24" s="14">
        <f t="shared" si="48"/>
        <v>2.3258981841070034</v>
      </c>
      <c r="DR24" s="22">
        <f t="shared" si="21"/>
        <v>14.930657297930608</v>
      </c>
      <c r="DS24" s="62">
        <f t="shared" si="22"/>
        <v>200.78076709592631</v>
      </c>
      <c r="DT24" s="62">
        <f ca="1">AVERAGE(OFFSET($DS$3,0,0,'Données projet'!$E$14+1,1))-AVERAGE(OFFSET($H$3,0,0,'Données projet'!$E$14+1,1))</f>
        <v>155.18073137151848</v>
      </c>
      <c r="DU24" s="62">
        <f t="shared" si="23"/>
        <v>115.19459155667272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projet'!$B$14,Paramètres!$A$1:$I$88,7,0))</f>
        <v>0</v>
      </c>
      <c r="DY24" s="17">
        <f>IF(ISNA(VLOOKUP(A24,'Données projet'!$A$165:$I$185,6,0)),0%,VLOOKUP(A24,'Données projet'!$A$165:$I$185,6,0)*VLOOKUP('Données projet'!$B$14,Paramètres!$A$1:$I$88,7,0))</f>
        <v>0</v>
      </c>
      <c r="DZ24" s="17">
        <f>IF(ISNA(VLOOKUP(A24,'Données projet'!$A$165:$I$185,7,0)),0%,VLOOKUP(A24,'Données projet'!$A$165:$I$185,7,0))</f>
        <v>0</v>
      </c>
      <c r="EA24" s="23">
        <f>EXP(-LN(2)/35)*EA23+(1-EXP(-LN(2)/35))/(LN(2)/35)*DW24*DX24*VLOOKUP('Données projet'!$B$9,Paramètres!$A$1:$I$88,3,0)*0.475*44/12</f>
        <v>0</v>
      </c>
      <c r="EB24" s="23">
        <f>EXP(-LN(2)/25)*EB23+(1-EXP(-LN(2)/25))/(LN(2)/25)*Calculateur!DW24*Calculateur!DY24*VLOOKUP('Données projet'!$B$9,Paramètres!$A$1:$I$88,3,0)*0.475*44/12</f>
        <v>0</v>
      </c>
      <c r="EC24" s="23">
        <f>EXP(-LN(2)/2)*EC23+(1-EXP(-LN(2)/2))/(LN(2)/2)*DW24*DZ24*VLOOKUP('Données projet'!$B$9,Paramètres!$A$1:$I$88,3,0)*0.475*44/12</f>
        <v>0</v>
      </c>
      <c r="ED24" s="24">
        <f t="shared" si="24"/>
        <v>0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3.25</v>
      </c>
      <c r="EJ24" s="13">
        <f>IF(A24&lt;'Données projet'!$A$192,$EG$205^A24,IF(A24='Données projet'!$A$192,'Données projet'!$B$192,EJ23+EI24-ER23))</f>
        <v>6.3315802243411516</v>
      </c>
      <c r="EK24" s="18">
        <f>EJ24*VLOOKUP('Données projet'!$B$15,Paramètres!$A$1:$I$88,3,0)*VLOOKUP('Données projet'!$B$15,Paramètres!$A$1:$I$88,5,0)</f>
        <v>2.9631795449916591</v>
      </c>
      <c r="EL24" s="14">
        <f t="shared" si="49"/>
        <v>1.2033650795734079</v>
      </c>
      <c r="EM24" s="22">
        <f t="shared" si="25"/>
        <v>7.2567318877841585</v>
      </c>
      <c r="EN24" s="62">
        <f t="shared" si="26"/>
        <v>193.10684168577987</v>
      </c>
      <c r="EO24" s="62">
        <f ca="1">AVERAGE(OFFSET($EN$3,0,0,'Données projet'!$E$15+1,1))-AVERAGE(OFFSET($H$3,0,0,'Données projet'!$E$15+1,1))</f>
        <v>238.59014604384171</v>
      </c>
      <c r="EP24" s="62">
        <f t="shared" si="27"/>
        <v>90.841373219575217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projet'!$B$15,Paramètres!$A$1:$I$88,7,0))</f>
        <v>0</v>
      </c>
      <c r="ET24" s="17">
        <f>IF(ISNA(VLOOKUP(A24,'Données projet'!$A$191:$I$211,6,0)),0%,VLOOKUP(A24,'Données projet'!$A$191:$I$211,6,0)*VLOOKUP('Données projet'!$B$15,Paramètres!$A$1:$I$88,7,0))</f>
        <v>0</v>
      </c>
      <c r="EU24" s="17">
        <f>IF(ISNA(VLOOKUP(A24,'Données projet'!$A$191:$I$211,7,0)),0%,VLOOKUP(A24,'Données projet'!$A$191:$I$211,7,0))</f>
        <v>0</v>
      </c>
      <c r="EV24" s="23">
        <f>EXP(-LN(2)/35)*EV23+(1-EXP(-LN(2)/35))/(LN(2)/35)*ER24*ES24*VLOOKUP('Données projet'!$B$9,Paramètres!$A$1:$I$88,3,0)*0.475*44/12</f>
        <v>0</v>
      </c>
      <c r="EW24" s="23">
        <f>EXP(-LN(2)/25)*EW23+(1-EXP(-LN(2)/25))/(LN(2)/25)*Calculateur!ER24*Calculateur!ET24*VLOOKUP('Données projet'!$B$9,Paramètres!$A$1:$I$88,3,0)*0.475*44/12</f>
        <v>0</v>
      </c>
      <c r="EX24" s="23">
        <f>EXP(-LN(2)/2)*EX23+(1-EXP(-LN(2)/2))/(LN(2)/2)*ER24*EU24*VLOOKUP('Données projet'!$B$9,Paramètres!$A$1:$I$88,3,0)*0.475*44/12</f>
        <v>0</v>
      </c>
      <c r="EY24" s="24">
        <f t="shared" si="28"/>
        <v>0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IF(A24&lt;'Données projet'!$A$218,$FB$205^A24,IF(A24='Données projet'!$A$218,'Données projet'!$B$218,FE23+FD24-FM23))</f>
        <v>0</v>
      </c>
      <c r="FF24" s="18" t="e">
        <f>FE24*VLOOKUP('Données projet'!$B$16,Paramètres!$A$1:$I$88,3,0)*VLOOKUP('Données projet'!$B$16,Paramètres!$A$1:$I$88,5,0)</f>
        <v>#N/A</v>
      </c>
      <c r="FG24" s="14" t="e">
        <f t="shared" si="50"/>
        <v>#N/A</v>
      </c>
      <c r="FH24" s="22" t="e">
        <f t="shared" si="29"/>
        <v>#N/A</v>
      </c>
      <c r="FI24" s="62" t="e">
        <f t="shared" si="30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31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projet'!$B$16,Paramètres!$A$1:$I$88,7,0))</f>
        <v>0</v>
      </c>
      <c r="FO24" s="17">
        <f>IF(ISNA(VLOOKUP(A24,'Données projet'!$A$217:$I$237,6,0)),0%,VLOOKUP(A24,'Données projet'!$A$217:$I$237,6,0)*VLOOKUP('Données projet'!$B$16,Paramètres!$A$1:$I$88,7,0))</f>
        <v>0</v>
      </c>
      <c r="FP24" s="17">
        <f>IF(ISNA(VLOOKUP(A24,'Données projet'!$A$217:$I$237,7,0)),0%,VLOOKUP(A24,'Données projet'!$A$217:$I$237,7,0))</f>
        <v>0</v>
      </c>
      <c r="FQ24" s="23">
        <f>EXP(-LN(2)/35)*FQ23+(1-EXP(-LN(2)/35))/(LN(2)/35)*FM24*FN24*VLOOKUP('Données projet'!$B$9,Paramètres!$A$1:$I$88,3,0)*0.475*44/12</f>
        <v>0</v>
      </c>
      <c r="FR24" s="23">
        <f>EXP(-LN(2)/25)*FR23+(1-EXP(-LN(2)/25))/(LN(2)/25)*Calculateur!FM24*Calculateur!FO24*VLOOKUP('Données projet'!$B$9,Paramètres!$A$1:$I$88,3,0)*0.475*44/12</f>
        <v>0</v>
      </c>
      <c r="FS24" s="23">
        <f>EXP(-LN(2)/2)*FS23+(1-EXP(-LN(2)/2))/(LN(2)/2)*FM24*FP24*VLOOKUP('Données projet'!$B$9,Paramètres!$A$1:$I$88,3,0)*0.475*44/12</f>
        <v>0</v>
      </c>
      <c r="FT24" s="24">
        <f t="shared" si="32"/>
        <v>0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IF(A24&lt;'Données projet'!$A$244,$FW$205^A24,IF(A24='Données projet'!$A$244,'Données projet'!$B$244,FZ23+FY24-GH23))</f>
        <v>0</v>
      </c>
      <c r="GA24" s="18" t="e">
        <f>FZ24*VLOOKUP('Données projet'!$B$17,Paramètres!$A$1:$I$88,3,0)*VLOOKUP('Données projet'!$B$17,Paramètres!$A$1:$I$88,5,0)</f>
        <v>#N/A</v>
      </c>
      <c r="GB24" s="14" t="e">
        <f t="shared" si="51"/>
        <v>#N/A</v>
      </c>
      <c r="GC24" s="22" t="e">
        <f t="shared" si="33"/>
        <v>#N/A</v>
      </c>
      <c r="GD24" s="62" t="e">
        <f t="shared" si="34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35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projet'!$B$17,Paramètres!$A$1:$I$88,7,0))</f>
        <v>0</v>
      </c>
      <c r="GJ24" s="17">
        <f>IF(ISNA(VLOOKUP(A24,'Données projet'!$A$243:$I$263,6,0)),0%,VLOOKUP(A24,'Données projet'!$A$243:$I$263,6,0)*VLOOKUP('Données projet'!$B$17,Paramètres!$A$1:$I$88,7,0))</f>
        <v>0</v>
      </c>
      <c r="GK24" s="17">
        <f>IF(ISNA(VLOOKUP(A24,'Données projet'!$A$243:$I$263,7,0)),0%,VLOOKUP(A24,'Données projet'!$A$243:$I$263,7,0))</f>
        <v>0</v>
      </c>
      <c r="GL24" s="23">
        <f>EXP(-LN(2)/35)*GL23+(1-EXP(-LN(2)/35))/(LN(2)/35)*GH24*GI24*VLOOKUP('Données projet'!$B$9,Paramètres!$A$1:$I$88,3,0)*0.475*44/12</f>
        <v>0</v>
      </c>
      <c r="GM24" s="23">
        <f>EXP(-LN(2)/25)*GM23+(1-EXP(-LN(2)/25))/(LN(2)/25)*Calculateur!GH24*Calculateur!GJ24*VLOOKUP('Données projet'!$B$9,Paramètres!$A$1:$I$88,3,0)*0.475*44/12</f>
        <v>0</v>
      </c>
      <c r="GN24" s="23">
        <f>EXP(-LN(2)/2)*GN23+(1-EXP(-LN(2)/2))/(LN(2)/2)*GH24*GK24*VLOOKUP('Données projet'!$B$9,Paramètres!$A$1:$I$88,3,0)*0.475*44/12</f>
        <v>0</v>
      </c>
      <c r="GO24" s="23">
        <f t="shared" si="36"/>
        <v>0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IF(A24&lt;'Données projet'!$A$270,$GR$205^A24,IF(A24='Données projet'!$A$270,'Données projet'!$B$270,GU23+GT24-HC23))</f>
        <v>0</v>
      </c>
      <c r="GV24" s="18" t="e">
        <f>GU24*VLOOKUP('Données projet'!$B$18,Paramètres!$A$1:$I$88,3,0)*VLOOKUP('Données projet'!$B$18,Paramètres!$A$1:$I$88,5,0)</f>
        <v>#N/A</v>
      </c>
      <c r="GW24" s="14" t="e">
        <f t="shared" si="52"/>
        <v>#N/A</v>
      </c>
      <c r="GX24" s="22" t="e">
        <f t="shared" si="37"/>
        <v>#N/A</v>
      </c>
      <c r="GY24" s="62" t="e">
        <f t="shared" si="38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39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projet'!$B$18,Paramètres!$A$1:$I$88,7,0))</f>
        <v>0</v>
      </c>
      <c r="HE24" s="17">
        <f>IF(ISNA(VLOOKUP(A24,'Données projet'!$A$269:$I$289,6,0)),0%,VLOOKUP(A24,'Données projet'!$A$269:$I$289,6,0)*VLOOKUP('Données projet'!$B$18,Paramètres!$A$1:$I$88,7,0))</f>
        <v>0</v>
      </c>
      <c r="HF24" s="17">
        <f>IF(ISNA(VLOOKUP(A24,'Données projet'!$A$269:$I$289,7,0)),0%,VLOOKUP(A24,'Données projet'!$A$269:$I$289,7,0))</f>
        <v>0</v>
      </c>
      <c r="HG24" s="23">
        <f>EXP(-LN(2)/35)*HG23+(1-EXP(-LN(2)/35))/(LN(2)/35)*HC24*HD24*VLOOKUP('Données projet'!$B$9,Paramètres!$A$1:$I$88,3,0)*0.475*44/12</f>
        <v>0</v>
      </c>
      <c r="HH24" s="23">
        <f>EXP(-LN(2)/25)*HH23+(1-EXP(-LN(2)/25))/(LN(2)/25)*Calculateur!HC24*Calculateur!HE24*VLOOKUP('Données projet'!$B$9,Paramètres!$A$1:$I$88,3,0)*0.475*44/12</f>
        <v>0</v>
      </c>
      <c r="HI24" s="23">
        <f>EXP(-LN(2)/2)*HI23+(1-EXP(-LN(2)/2))/(LN(2)/2)*HC24*HF24*VLOOKUP('Données projet'!$B$9,Paramètres!$A$1:$I$88,3,0)*0.475*44/12</f>
        <v>0</v>
      </c>
      <c r="HJ24" s="24">
        <f t="shared" si="40"/>
        <v>0</v>
      </c>
    </row>
    <row r="25" spans="1:218" s="5" customFormat="1" x14ac:dyDescent="0.25">
      <c r="A25" s="11">
        <f t="shared" si="4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5" s="12">
        <f t="shared" si="4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135.66666666666666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1.9887500000000009</v>
      </c>
      <c r="N25" s="14">
        <f>IF(A25&lt;'Données projet'!$A$36,$K$205^A25,IF(A25='Données projet'!$A$36,'Données projet'!$B$36,N24+M25-V24))</f>
        <v>38.877500000000012</v>
      </c>
      <c r="O25" s="14">
        <f>N25*VLOOKUP('Données projet'!$B$9,Paramètres!$A$1:$I$88,3,0)*VLOOKUP('Données projet'!$B$9,Paramètres!$A$1:$I$88,5,0)</f>
        <v>44.786880000000011</v>
      </c>
      <c r="P25" s="14">
        <f t="shared" si="43"/>
        <v>13.258943495431026</v>
      </c>
      <c r="Q25" s="22">
        <f t="shared" si="2"/>
        <v>101.09647592120905</v>
      </c>
      <c r="R25" s="62">
        <f t="shared" si="0"/>
        <v>289.84257616559205</v>
      </c>
      <c r="S25" s="62">
        <f ca="1">AVERAGE(OFFSET($R$3,0,0,'Données projet'!$E$9+1,1))-AVERAGE(OFFSET($H$3,0,0,'Données projet'!$E$9+1,1))</f>
        <v>314.72063458462026</v>
      </c>
      <c r="T25" s="62">
        <f t="shared" si="3"/>
        <v>216.4380325968244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projet'!$B$9,Paramètres!$A$1:$I$88,7,0))</f>
        <v>0</v>
      </c>
      <c r="X25" s="17">
        <f>IF(ISNA(VLOOKUP(A25,'Données projet'!$A$35:$I$55,6,0)),0%,VLOOKUP(A25,'Données projet'!$A$35:$I$55,6,0)*VLOOKUP('Données projet'!$B$9,Paramètres!$A$1:$I$88,7,0))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projet'!$B$9,Paramètres!$A$1:$I$88,3,0)*0.475*44/12</f>
        <v>0</v>
      </c>
      <c r="AA25" s="23">
        <f>EXP(-LN(2)/25)*AA24+(1-EXP(-LN(2)/25))/(LN(2)/25)*Calculateur!V25*Calculateur!X25*VLOOKUP('Données projet'!$B$9,Paramètres!$A$1:$I$88,3,0)*0.475*44/12</f>
        <v>0</v>
      </c>
      <c r="AB25" s="23">
        <f>EXP(-LN(2)/2)*AB24+(1-EXP(-LN(2)/2))/(LN(2)/2)*V25*Y25*VLOOKUP('Données projet'!$B$9,Paramètres!$A$1:$I$88,3,0)*0.475*44/12</f>
        <v>0</v>
      </c>
      <c r="AC25" s="24">
        <f t="shared" si="4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2</v>
      </c>
      <c r="AI25" s="14">
        <f>IF(A25&lt;'Données projet'!$A$62,$AF$205^A25,IF(A25='Données projet'!$A$62,'Données projet'!$B$62,AI24+AH25-AQ24))</f>
        <v>31.267532059704912</v>
      </c>
      <c r="AJ25" s="14">
        <f>AI25*VLOOKUP('Données projet'!$B$10,Paramètres!$A$1:$I$88,3,0)*VLOOKUP('Données projet'!$B$10,Paramètres!$A$1:$I$88,5,0)</f>
        <v>32.680824508803575</v>
      </c>
      <c r="AK25" s="14">
        <f t="shared" si="44"/>
        <v>10.036478624257978</v>
      </c>
      <c r="AL25" s="22">
        <f t="shared" si="5"/>
        <v>74.399302956748855</v>
      </c>
      <c r="AM25" s="62">
        <f t="shared" si="6"/>
        <v>263.14540320113184</v>
      </c>
      <c r="AN25" s="62">
        <f ca="1">AVERAGE(OFFSET($AM$3,0,0,'Données projet'!$E$10+1,1))-AVERAGE(OFFSET($H$3,0,0,'Données projet'!$E$10+1,1))</f>
        <v>458.33072853676879</v>
      </c>
      <c r="AO25" s="62">
        <f t="shared" si="7"/>
        <v>254.1734169352687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projet'!$B$10,Paramètres!$A$1:$I$88,7,0))</f>
        <v>0</v>
      </c>
      <c r="AS25" s="17">
        <f>IF(ISNA(VLOOKUP(A25,'Données projet'!$A$61:$I$81,6,0)),0%,VLOOKUP(A25,'Données projet'!$A$61:$I$81,6,0)*VLOOKUP('Données projet'!$B$10,Paramètres!$A$1:$I$88,7,0))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projet'!$B$9,Paramètres!$A$1:$I$88,3,0)*0.475*44/12</f>
        <v>0</v>
      </c>
      <c r="AV25" s="23">
        <f>EXP(-LN(2)/25)*AV24+(1-EXP(-LN(2)/25))/(LN(2)/25)*Calculateur!AQ25*Calculateur!AS25*VLOOKUP('Données projet'!$B$9,Paramètres!$A$1:$I$88,3,0)*0.475*44/12</f>
        <v>0</v>
      </c>
      <c r="AW25" s="23">
        <f>EXP(-LN(2)/2)*AW24+(1-EXP(-LN(2)/2))/(LN(2)/2)*AQ25*AT25*VLOOKUP('Données projet'!$B$9,Paramètres!$A$1:$I$88,3,0)*0.475*44/12</f>
        <v>0</v>
      </c>
      <c r="AX25" s="23">
        <f t="shared" si="8"/>
        <v>0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2</v>
      </c>
      <c r="BD25" s="13">
        <f>IF(A25&lt;'Données projet'!$A$88,$BA$205^A25,IF(A25='Données projet'!$A$88,'Données projet'!$B$88,BD24+BC25-BL24))</f>
        <v>31.267532059704912</v>
      </c>
      <c r="BE25" s="14">
        <f>BD25*VLOOKUP('Données projet'!$B$11,Paramètres!$A$1:$I$88,3,0)*VLOOKUP('Données projet'!$B$11,Paramètres!$A$1:$I$88,5,0)</f>
        <v>31.705277508540785</v>
      </c>
      <c r="BF25" s="14">
        <f t="shared" si="45"/>
        <v>9.7712901671475585</v>
      </c>
      <c r="BG25" s="22">
        <f t="shared" si="9"/>
        <v>72.238355368490531</v>
      </c>
      <c r="BH25" s="62">
        <f t="shared" si="10"/>
        <v>260.98445561287355</v>
      </c>
      <c r="BI25" s="62">
        <f ca="1">AVERAGE(OFFSET($BH$3,0,0,'Données projet'!$E$11+1,1))-AVERAGE(OFFSET($H$3,0,0,'Données projet'!$E$11+1,1))</f>
        <v>447.82618173893104</v>
      </c>
      <c r="BJ25" s="62">
        <f t="shared" si="11"/>
        <v>248.96509970783379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projet'!$B$11,Paramètres!$A$1:$I$88,7,0))</f>
        <v>0</v>
      </c>
      <c r="BN25" s="17">
        <f>IF(ISNA(VLOOKUP(A25,'Données projet'!$A$87:$I$107,6,0)),0%,VLOOKUP(A25,'Données projet'!$A$87:$I$107,6,0)*VLOOKUP('Données projet'!$B$11,Paramètres!$A$1:$I$88,7,0))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projet'!$B$9,Paramètres!$A$1:$I$88,3,0)*0.475*44/12</f>
        <v>0</v>
      </c>
      <c r="BQ25" s="23">
        <f>EXP(-LN(2)/25)*BQ24+(1-EXP(-LN(2)/25))/(LN(2)/25)*Calculateur!BL25*Calculateur!BN25*VLOOKUP('Données projet'!$B$9,Paramètres!$A$1:$I$88,3,0)*0.475*44/12</f>
        <v>0</v>
      </c>
      <c r="BR25" s="23">
        <f>EXP(-LN(2)/2)*BR24+(1-EXP(-LN(2)/2))/(LN(2)/2)*BL25*BO25*VLOOKUP('Données projet'!$B$9,Paramètres!$A$1:$I$88,3,0)*0.475*44/12</f>
        <v>0</v>
      </c>
      <c r="BS25" s="24">
        <f t="shared" si="12"/>
        <v>0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2</v>
      </c>
      <c r="BY25" s="13">
        <f>IF(A25&lt;'Données projet'!$A$114,$BV$205^A25,IF(A25='Données projet'!$A$114,'Données projet'!$B$114,BY24+BX25-CG24))</f>
        <v>31.267532059704912</v>
      </c>
      <c r="BZ25" s="14">
        <f>BY25*VLOOKUP('Données projet'!$B$12,Paramètres!$A$1:$I$88,3,0)*VLOOKUP('Données projet'!$B$12,Paramètres!$A$1:$I$88,5,0)</f>
        <v>33.656371509066368</v>
      </c>
      <c r="CA25" s="14">
        <f t="shared" si="46"/>
        <v>10.300747105034137</v>
      </c>
      <c r="CB25" s="22">
        <f t="shared" si="13"/>
        <v>76.558648252891729</v>
      </c>
      <c r="CC25" s="62">
        <f t="shared" si="14"/>
        <v>265.30474849727472</v>
      </c>
      <c r="CD25" s="62">
        <f ca="1">AVERAGE(OFFSET($CC$3,0,0,'Données projet'!$E$12+1,1))-AVERAGE(OFFSET($H$3,0,0,'Données projet'!$E$12+1,1))</f>
        <v>468.82871618425406</v>
      </c>
      <c r="CE25" s="62">
        <f t="shared" si="15"/>
        <v>259.37818128554397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projet'!$B$12,Paramètres!$A$1:$I$88,7,0))</f>
        <v>0</v>
      </c>
      <c r="CI25" s="17">
        <f>IF(ISNA(VLOOKUP(A25,'Données projet'!$A$113:$I$133,6,0)),0%,VLOOKUP(A25,'Données projet'!$A$113:$I$133,6,0)*VLOOKUP('Données projet'!$B$12,Paramètres!$A$1:$I$88,7,0))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projet'!$B$9,Paramètres!$A$1:$I$88,3,0)*0.475*44/12</f>
        <v>0</v>
      </c>
      <c r="CL25" s="23">
        <f>EXP(-LN(2)/25)*CL24+(1-EXP(-LN(2)/25))/(LN(2)/25)*Calculateur!CG25*Calculateur!CI25*VLOOKUP('Données projet'!$B$9,Paramètres!$A$1:$I$88,3,0)*0.475*44/12</f>
        <v>0</v>
      </c>
      <c r="CM25" s="23">
        <f>EXP(-LN(2)/2)*CM24+(1-EXP(-LN(2)/2))/(LN(2)/2)*CG25*CJ25*VLOOKUP('Données projet'!$B$9,Paramètres!$A$1:$I$88,3,0)*0.475*44/12</f>
        <v>0</v>
      </c>
      <c r="CN25" s="24">
        <f t="shared" si="16"/>
        <v>0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2</v>
      </c>
      <c r="CT25" s="13">
        <f>IF(A25&lt;'Données projet'!$A$140,$CQ$205^A25,IF(A25='Données projet'!$A$140,'Données projet'!$B$140,CT24+CS25-DB24))</f>
        <v>31.267532059704912</v>
      </c>
      <c r="CU25" s="18">
        <f>CT25*VLOOKUP('Données projet'!$B$13,Paramètres!$A$1:$I$88,3,0)*VLOOKUP('Données projet'!$B$13,Paramètres!$A$1:$I$88,5,0)</f>
        <v>26.82754250722682</v>
      </c>
      <c r="CV25" s="14">
        <f t="shared" si="47"/>
        <v>8.4303603907928633</v>
      </c>
      <c r="CW25" s="22">
        <f t="shared" si="17"/>
        <v>61.407514214050934</v>
      </c>
      <c r="CX25" s="62">
        <f t="shared" si="18"/>
        <v>250.15361445843394</v>
      </c>
      <c r="CY25" s="62">
        <f ca="1">AVERAGE(OFFSET($CX$3,0,0,'Données projet'!$E$13+1,1))-AVERAGE(OFFSET($H$3,0,0,'Données projet'!$E$13+1,1))</f>
        <v>395.19659151668884</v>
      </c>
      <c r="CZ25" s="62">
        <f t="shared" si="19"/>
        <v>222.86563304507339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projet'!$B$13,Paramètres!$A$1:$I$88,7,0))</f>
        <v>0</v>
      </c>
      <c r="DD25" s="17">
        <f>IF(ISNA(VLOOKUP(A25,'Données projet'!$A$139:$I$159,6,0)),0%,VLOOKUP(A25,'Données projet'!$A$139:$I$159,6,0)*VLOOKUP('Données projet'!$B$13,Paramètres!$A$1:$I$88,7,0))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projet'!$B$9,Paramètres!$A$1:$I$88,3,0)*0.475*44/12</f>
        <v>0</v>
      </c>
      <c r="DG25" s="23">
        <f>EXP(-LN(2)/25)*DG24+(1-EXP(-LN(2)/25))/(LN(2)/25)*Calculateur!DB25*Calculateur!DD25*VLOOKUP('Données projet'!$B$9,Paramètres!$A$1:$I$88,3,0)*0.475*44/12</f>
        <v>0</v>
      </c>
      <c r="DH25" s="23">
        <f>EXP(-LN(2)/2)*DH24+(1-EXP(-LN(2)/2))/(LN(2)/2)*DB25*DE25*VLOOKUP('Données projet'!$B$9,Paramètres!$A$1:$I$88,3,0)*0.475*44/12</f>
        <v>0</v>
      </c>
      <c r="DI25" s="24">
        <f t="shared" si="20"/>
        <v>0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2.2749999999999999</v>
      </c>
      <c r="DO25" s="13">
        <f>IF(A25&lt;'Données projet'!$A$166,$DL$205^A25,IF(A25='Données projet'!$A$166,'Données projet'!$B$166,DO24+DN25-DW24))</f>
        <v>11.952885678330412</v>
      </c>
      <c r="DP25" s="18">
        <f>DO25*VLOOKUP('Données projet'!$B$14,Paramètres!$A$1:$I$88,3,0)*VLOOKUP('Données projet'!$B$14,Paramètres!$A$1:$I$88,5,0)</f>
        <v>6.9924381218232918</v>
      </c>
      <c r="DQ25" s="14">
        <f t="shared" si="48"/>
        <v>2.5696023689466916</v>
      </c>
      <c r="DR25" s="22">
        <f t="shared" si="21"/>
        <v>16.653887188091058</v>
      </c>
      <c r="DS25" s="62">
        <f t="shared" si="22"/>
        <v>205.39998743247406</v>
      </c>
      <c r="DT25" s="62">
        <f ca="1">AVERAGE(OFFSET($DS$3,0,0,'Données projet'!$E$14+1,1))-AVERAGE(OFFSET($H$3,0,0,'Données projet'!$E$14+1,1))</f>
        <v>155.18073137151848</v>
      </c>
      <c r="DU25" s="62">
        <f t="shared" si="23"/>
        <v>115.19459155667272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projet'!$B$14,Paramètres!$A$1:$I$88,7,0))</f>
        <v>0</v>
      </c>
      <c r="DY25" s="17">
        <f>IF(ISNA(VLOOKUP(A25,'Données projet'!$A$165:$I$185,6,0)),0%,VLOOKUP(A25,'Données projet'!$A$165:$I$185,6,0)*VLOOKUP('Données projet'!$B$14,Paramètres!$A$1:$I$88,7,0))</f>
        <v>0</v>
      </c>
      <c r="DZ25" s="17">
        <f>IF(ISNA(VLOOKUP(A25,'Données projet'!$A$165:$I$185,7,0)),0%,VLOOKUP(A25,'Données projet'!$A$165:$I$185,7,0))</f>
        <v>0</v>
      </c>
      <c r="EA25" s="23">
        <f>EXP(-LN(2)/35)*EA24+(1-EXP(-LN(2)/35))/(LN(2)/35)*DW25*DX25*VLOOKUP('Données projet'!$B$9,Paramètres!$A$1:$I$88,3,0)*0.475*44/12</f>
        <v>0</v>
      </c>
      <c r="EB25" s="23">
        <f>EXP(-LN(2)/25)*EB24+(1-EXP(-LN(2)/25))/(LN(2)/25)*Calculateur!DW25*Calculateur!DY25*VLOOKUP('Données projet'!$B$9,Paramètres!$A$1:$I$88,3,0)*0.475*44/12</f>
        <v>0</v>
      </c>
      <c r="EC25" s="23">
        <f>EXP(-LN(2)/2)*EC24+(1-EXP(-LN(2)/2))/(LN(2)/2)*DW25*DZ25*VLOOKUP('Données projet'!$B$9,Paramètres!$A$1:$I$88,3,0)*0.475*44/12</f>
        <v>0</v>
      </c>
      <c r="ED25" s="24">
        <f t="shared" si="24"/>
        <v>0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3.25</v>
      </c>
      <c r="EJ25" s="13">
        <f>IF(A25&lt;'Données projet'!$A$192,$EG$205^A25,IF(A25='Données projet'!$A$192,'Données projet'!$B$192,EJ24+EI25-ER24))</f>
        <v>6.9132037602921983</v>
      </c>
      <c r="EK25" s="18">
        <f>EJ25*VLOOKUP('Données projet'!$B$15,Paramètres!$A$1:$I$88,3,0)*VLOOKUP('Données projet'!$B$15,Paramètres!$A$1:$I$88,5,0)</f>
        <v>3.2353793598167488</v>
      </c>
      <c r="EL25" s="14">
        <f t="shared" si="49"/>
        <v>1.3005348098719263</v>
      </c>
      <c r="EM25" s="22">
        <f t="shared" si="25"/>
        <v>7.9000505122077769</v>
      </c>
      <c r="EN25" s="62">
        <f t="shared" si="26"/>
        <v>196.64615075659077</v>
      </c>
      <c r="EO25" s="62">
        <f ca="1">AVERAGE(OFFSET($EN$3,0,0,'Données projet'!$E$15+1,1))-AVERAGE(OFFSET($H$3,0,0,'Données projet'!$E$15+1,1))</f>
        <v>238.59014604384171</v>
      </c>
      <c r="EP25" s="62">
        <f t="shared" si="27"/>
        <v>90.841373219575217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projet'!$B$15,Paramètres!$A$1:$I$88,7,0))</f>
        <v>0</v>
      </c>
      <c r="ET25" s="17">
        <f>IF(ISNA(VLOOKUP(A25,'Données projet'!$A$191:$I$211,6,0)),0%,VLOOKUP(A25,'Données projet'!$A$191:$I$211,6,0)*VLOOKUP('Données projet'!$B$15,Paramètres!$A$1:$I$88,7,0))</f>
        <v>0</v>
      </c>
      <c r="EU25" s="17">
        <f>IF(ISNA(VLOOKUP(A25,'Données projet'!$A$191:$I$211,7,0)),0%,VLOOKUP(A25,'Données projet'!$A$191:$I$211,7,0))</f>
        <v>0</v>
      </c>
      <c r="EV25" s="23">
        <f>EXP(-LN(2)/35)*EV24+(1-EXP(-LN(2)/35))/(LN(2)/35)*ER25*ES25*VLOOKUP('Données projet'!$B$9,Paramètres!$A$1:$I$88,3,0)*0.475*44/12</f>
        <v>0</v>
      </c>
      <c r="EW25" s="23">
        <f>EXP(-LN(2)/25)*EW24+(1-EXP(-LN(2)/25))/(LN(2)/25)*Calculateur!ER25*Calculateur!ET25*VLOOKUP('Données projet'!$B$9,Paramètres!$A$1:$I$88,3,0)*0.475*44/12</f>
        <v>0</v>
      </c>
      <c r="EX25" s="23">
        <f>EXP(-LN(2)/2)*EX24+(1-EXP(-LN(2)/2))/(LN(2)/2)*ER25*EU25*VLOOKUP('Données projet'!$B$9,Paramètres!$A$1:$I$88,3,0)*0.475*44/12</f>
        <v>0</v>
      </c>
      <c r="EY25" s="24">
        <f t="shared" si="28"/>
        <v>0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IF(A25&lt;'Données projet'!$A$218,$FB$205^A25,IF(A25='Données projet'!$A$218,'Données projet'!$B$218,FE24+FD25-FM24))</f>
        <v>0</v>
      </c>
      <c r="FF25" s="18" t="e">
        <f>FE25*VLOOKUP('Données projet'!$B$16,Paramètres!$A$1:$I$88,3,0)*VLOOKUP('Données projet'!$B$16,Paramètres!$A$1:$I$88,5,0)</f>
        <v>#N/A</v>
      </c>
      <c r="FG25" s="14" t="e">
        <f t="shared" si="50"/>
        <v>#N/A</v>
      </c>
      <c r="FH25" s="22" t="e">
        <f t="shared" si="29"/>
        <v>#N/A</v>
      </c>
      <c r="FI25" s="62" t="e">
        <f t="shared" si="30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31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projet'!$B$16,Paramètres!$A$1:$I$88,7,0))</f>
        <v>0</v>
      </c>
      <c r="FO25" s="17">
        <f>IF(ISNA(VLOOKUP(A25,'Données projet'!$A$217:$I$237,6,0)),0%,VLOOKUP(A25,'Données projet'!$A$217:$I$237,6,0)*VLOOKUP('Données projet'!$B$16,Paramètres!$A$1:$I$88,7,0))</f>
        <v>0</v>
      </c>
      <c r="FP25" s="17">
        <f>IF(ISNA(VLOOKUP(A25,'Données projet'!$A$217:$I$237,7,0)),0%,VLOOKUP(A25,'Données projet'!$A$217:$I$237,7,0))</f>
        <v>0</v>
      </c>
      <c r="FQ25" s="23">
        <f>EXP(-LN(2)/35)*FQ24+(1-EXP(-LN(2)/35))/(LN(2)/35)*FM25*FN25*VLOOKUP('Données projet'!$B$9,Paramètres!$A$1:$I$88,3,0)*0.475*44/12</f>
        <v>0</v>
      </c>
      <c r="FR25" s="23">
        <f>EXP(-LN(2)/25)*FR24+(1-EXP(-LN(2)/25))/(LN(2)/25)*Calculateur!FM25*Calculateur!FO25*VLOOKUP('Données projet'!$B$9,Paramètres!$A$1:$I$88,3,0)*0.475*44/12</f>
        <v>0</v>
      </c>
      <c r="FS25" s="23">
        <f>EXP(-LN(2)/2)*FS24+(1-EXP(-LN(2)/2))/(LN(2)/2)*FM25*FP25*VLOOKUP('Données projet'!$B$9,Paramètres!$A$1:$I$88,3,0)*0.475*44/12</f>
        <v>0</v>
      </c>
      <c r="FT25" s="24">
        <f t="shared" si="32"/>
        <v>0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IF(A25&lt;'Données projet'!$A$244,$FW$205^A25,IF(A25='Données projet'!$A$244,'Données projet'!$B$244,FZ24+FY25-GH24))</f>
        <v>0</v>
      </c>
      <c r="GA25" s="18" t="e">
        <f>FZ25*VLOOKUP('Données projet'!$B$17,Paramètres!$A$1:$I$88,3,0)*VLOOKUP('Données projet'!$B$17,Paramètres!$A$1:$I$88,5,0)</f>
        <v>#N/A</v>
      </c>
      <c r="GB25" s="14" t="e">
        <f t="shared" si="51"/>
        <v>#N/A</v>
      </c>
      <c r="GC25" s="22" t="e">
        <f t="shared" si="33"/>
        <v>#N/A</v>
      </c>
      <c r="GD25" s="62" t="e">
        <f t="shared" si="34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35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projet'!$B$17,Paramètres!$A$1:$I$88,7,0))</f>
        <v>0</v>
      </c>
      <c r="GJ25" s="17">
        <f>IF(ISNA(VLOOKUP(A25,'Données projet'!$A$243:$I$263,6,0)),0%,VLOOKUP(A25,'Données projet'!$A$243:$I$263,6,0)*VLOOKUP('Données projet'!$B$17,Paramètres!$A$1:$I$88,7,0))</f>
        <v>0</v>
      </c>
      <c r="GK25" s="17">
        <f>IF(ISNA(VLOOKUP(A25,'Données projet'!$A$243:$I$263,7,0)),0%,VLOOKUP(A25,'Données projet'!$A$243:$I$263,7,0))</f>
        <v>0</v>
      </c>
      <c r="GL25" s="23">
        <f>EXP(-LN(2)/35)*GL24+(1-EXP(-LN(2)/35))/(LN(2)/35)*GH25*GI25*VLOOKUP('Données projet'!$B$9,Paramètres!$A$1:$I$88,3,0)*0.475*44/12</f>
        <v>0</v>
      </c>
      <c r="GM25" s="23">
        <f>EXP(-LN(2)/25)*GM24+(1-EXP(-LN(2)/25))/(LN(2)/25)*Calculateur!GH25*Calculateur!GJ25*VLOOKUP('Données projet'!$B$9,Paramètres!$A$1:$I$88,3,0)*0.475*44/12</f>
        <v>0</v>
      </c>
      <c r="GN25" s="23">
        <f>EXP(-LN(2)/2)*GN24+(1-EXP(-LN(2)/2))/(LN(2)/2)*GH25*GK25*VLOOKUP('Données projet'!$B$9,Paramètres!$A$1:$I$88,3,0)*0.475*44/12</f>
        <v>0</v>
      </c>
      <c r="GO25" s="23">
        <f t="shared" si="36"/>
        <v>0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IF(A25&lt;'Données projet'!$A$270,$GR$205^A25,IF(A25='Données projet'!$A$270,'Données projet'!$B$270,GU24+GT25-HC24))</f>
        <v>0</v>
      </c>
      <c r="GV25" s="18" t="e">
        <f>GU25*VLOOKUP('Données projet'!$B$18,Paramètres!$A$1:$I$88,3,0)*VLOOKUP('Données projet'!$B$18,Paramètres!$A$1:$I$88,5,0)</f>
        <v>#N/A</v>
      </c>
      <c r="GW25" s="14" t="e">
        <f t="shared" si="52"/>
        <v>#N/A</v>
      </c>
      <c r="GX25" s="22" t="e">
        <f t="shared" si="37"/>
        <v>#N/A</v>
      </c>
      <c r="GY25" s="62" t="e">
        <f t="shared" si="38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39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projet'!$B$18,Paramètres!$A$1:$I$88,7,0))</f>
        <v>0</v>
      </c>
      <c r="HE25" s="17">
        <f>IF(ISNA(VLOOKUP(A25,'Données projet'!$A$269:$I$289,6,0)),0%,VLOOKUP(A25,'Données projet'!$A$269:$I$289,6,0)*VLOOKUP('Données projet'!$B$18,Paramètres!$A$1:$I$88,7,0))</f>
        <v>0</v>
      </c>
      <c r="HF25" s="17">
        <f>IF(ISNA(VLOOKUP(A25,'Données projet'!$A$269:$I$289,7,0)),0%,VLOOKUP(A25,'Données projet'!$A$269:$I$289,7,0))</f>
        <v>0</v>
      </c>
      <c r="HG25" s="23">
        <f>EXP(-LN(2)/35)*HG24+(1-EXP(-LN(2)/35))/(LN(2)/35)*HC25*HD25*VLOOKUP('Données projet'!$B$9,Paramètres!$A$1:$I$88,3,0)*0.475*44/12</f>
        <v>0</v>
      </c>
      <c r="HH25" s="23">
        <f>EXP(-LN(2)/25)*HH24+(1-EXP(-LN(2)/25))/(LN(2)/25)*Calculateur!HC25*Calculateur!HE25*VLOOKUP('Données projet'!$B$9,Paramètres!$A$1:$I$88,3,0)*0.475*44/12</f>
        <v>0</v>
      </c>
      <c r="HI25" s="23">
        <f>EXP(-LN(2)/2)*HI24+(1-EXP(-LN(2)/2))/(LN(2)/2)*HC25*HF25*VLOOKUP('Données projet'!$B$9,Paramètres!$A$1:$I$88,3,0)*0.475*44/12</f>
        <v>0</v>
      </c>
      <c r="HJ25" s="24">
        <f t="shared" si="40"/>
        <v>0</v>
      </c>
    </row>
    <row r="26" spans="1:218" s="5" customFormat="1" x14ac:dyDescent="0.25">
      <c r="A26" s="11">
        <f t="shared" si="4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6" s="12">
        <f t="shared" si="4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135.66666666666666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1.9887500000000009</v>
      </c>
      <c r="N26" s="14">
        <f>IF(A26&lt;'Données projet'!$A$36,$K$205^A26,IF(A26='Données projet'!$A$36,'Données projet'!$B$36,N25+M26-V25))</f>
        <v>40.866250000000015</v>
      </c>
      <c r="O26" s="14">
        <f>N26*VLOOKUP('Données projet'!$B$9,Paramètres!$A$1:$I$88,3,0)*VLOOKUP('Données projet'!$B$9,Paramètres!$A$1:$I$88,5,0)</f>
        <v>47.077920000000013</v>
      </c>
      <c r="P26" s="14">
        <f t="shared" si="43"/>
        <v>13.856495389760431</v>
      </c>
      <c r="Q26" s="22">
        <f t="shared" si="2"/>
        <v>106.1274401371661</v>
      </c>
      <c r="R26" s="62">
        <f t="shared" si="0"/>
        <v>297.74049469123236</v>
      </c>
      <c r="S26" s="62">
        <f ca="1">AVERAGE(OFFSET($R$3,0,0,'Données projet'!$E$9+1,1))-AVERAGE(OFFSET($H$3,0,0,'Données projet'!$E$9+1,1))</f>
        <v>314.72063458462026</v>
      </c>
      <c r="T26" s="62">
        <f t="shared" si="3"/>
        <v>216.4380325968244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projet'!$B$9,Paramètres!$A$1:$I$88,7,0))</f>
        <v>0</v>
      </c>
      <c r="X26" s="17">
        <f>IF(ISNA(VLOOKUP(A26,'Données projet'!$A$35:$I$55,6,0)),0%,VLOOKUP(A26,'Données projet'!$A$35:$I$55,6,0)*VLOOKUP('Données projet'!$B$9,Paramètres!$A$1:$I$88,7,0))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projet'!$B$9,Paramètres!$A$1:$I$88,3,0)*0.475*44/12</f>
        <v>0</v>
      </c>
      <c r="AA26" s="23">
        <f>EXP(-LN(2)/25)*AA25+(1-EXP(-LN(2)/25))/(LN(2)/25)*Calculateur!V26*Calculateur!X26*VLOOKUP('Données projet'!$B$9,Paramètres!$A$1:$I$88,3,0)*0.475*44/12</f>
        <v>0</v>
      </c>
      <c r="AB26" s="23">
        <f>EXP(-LN(2)/2)*AB25+(1-EXP(-LN(2)/2))/(LN(2)/2)*V26*Y26*VLOOKUP('Données projet'!$B$9,Paramètres!$A$1:$I$88,3,0)*0.475*44/12</f>
        <v>0</v>
      </c>
      <c r="AC26" s="24">
        <f t="shared" si="4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2</v>
      </c>
      <c r="AI26" s="14">
        <f>IF(A26&lt;'Données projet'!$A$62,$AF$205^A26,IF(A26='Données projet'!$A$62,'Données projet'!$B$62,AI25+AH26-AQ25))</f>
        <v>36.56389086402055</v>
      </c>
      <c r="AJ26" s="14">
        <f>AI26*VLOOKUP('Données projet'!$B$10,Paramètres!$A$1:$I$88,3,0)*VLOOKUP('Données projet'!$B$10,Paramètres!$A$1:$I$88,5,0)</f>
        <v>38.216578731074279</v>
      </c>
      <c r="AK26" s="14">
        <f t="shared" si="44"/>
        <v>11.524703469336805</v>
      </c>
      <c r="AL26" s="22">
        <f t="shared" si="5"/>
        <v>86.632733165715976</v>
      </c>
      <c r="AM26" s="62">
        <f t="shared" si="6"/>
        <v>278.24578771978219</v>
      </c>
      <c r="AN26" s="62">
        <f ca="1">AVERAGE(OFFSET($AM$3,0,0,'Données projet'!$E$10+1,1))-AVERAGE(OFFSET($H$3,0,0,'Données projet'!$E$10+1,1))</f>
        <v>458.33072853676879</v>
      </c>
      <c r="AO26" s="62">
        <f t="shared" si="7"/>
        <v>254.1734169352687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projet'!$B$10,Paramètres!$A$1:$I$88,7,0))</f>
        <v>0</v>
      </c>
      <c r="AS26" s="17">
        <f>IF(ISNA(VLOOKUP(A26,'Données projet'!$A$61:$I$81,6,0)),0%,VLOOKUP(A26,'Données projet'!$A$61:$I$81,6,0)*VLOOKUP('Données projet'!$B$10,Paramètres!$A$1:$I$88,7,0))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projet'!$B$9,Paramètres!$A$1:$I$88,3,0)*0.475*44/12</f>
        <v>0</v>
      </c>
      <c r="AV26" s="23">
        <f>EXP(-LN(2)/25)*AV25+(1-EXP(-LN(2)/25))/(LN(2)/25)*Calculateur!AQ26*Calculateur!AS26*VLOOKUP('Données projet'!$B$9,Paramètres!$A$1:$I$88,3,0)*0.475*44/12</f>
        <v>0</v>
      </c>
      <c r="AW26" s="23">
        <f>EXP(-LN(2)/2)*AW25+(1-EXP(-LN(2)/2))/(LN(2)/2)*AQ26*AT26*VLOOKUP('Données projet'!$B$9,Paramètres!$A$1:$I$88,3,0)*0.475*44/12</f>
        <v>0</v>
      </c>
      <c r="AX26" s="23">
        <f t="shared" si="8"/>
        <v>0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2</v>
      </c>
      <c r="BD26" s="13">
        <f>IF(A26&lt;'Données projet'!$A$88,$BA$205^A26,IF(A26='Données projet'!$A$88,'Données projet'!$B$88,BD25+BC26-BL25))</f>
        <v>36.56389086402055</v>
      </c>
      <c r="BE26" s="14">
        <f>BD26*VLOOKUP('Données projet'!$B$11,Paramètres!$A$1:$I$88,3,0)*VLOOKUP('Données projet'!$B$11,Paramètres!$A$1:$I$88,5,0)</f>
        <v>37.075785336116837</v>
      </c>
      <c r="BF26" s="14">
        <f t="shared" si="45"/>
        <v>11.220192450471906</v>
      </c>
      <c r="BG26" s="22">
        <f t="shared" si="9"/>
        <v>84.115494644975385</v>
      </c>
      <c r="BH26" s="62">
        <f t="shared" si="10"/>
        <v>275.72854919904159</v>
      </c>
      <c r="BI26" s="62">
        <f ca="1">AVERAGE(OFFSET($BH$3,0,0,'Données projet'!$E$11+1,1))-AVERAGE(OFFSET($H$3,0,0,'Données projet'!$E$11+1,1))</f>
        <v>447.82618173893104</v>
      </c>
      <c r="BJ26" s="62">
        <f t="shared" si="11"/>
        <v>248.96509970783379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projet'!$B$11,Paramètres!$A$1:$I$88,7,0))</f>
        <v>0</v>
      </c>
      <c r="BN26" s="17">
        <f>IF(ISNA(VLOOKUP(A26,'Données projet'!$A$87:$I$107,6,0)),0%,VLOOKUP(A26,'Données projet'!$A$87:$I$107,6,0)*VLOOKUP('Données projet'!$B$11,Paramètres!$A$1:$I$88,7,0))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projet'!$B$9,Paramètres!$A$1:$I$88,3,0)*0.475*44/12</f>
        <v>0</v>
      </c>
      <c r="BQ26" s="23">
        <f>EXP(-LN(2)/25)*BQ25+(1-EXP(-LN(2)/25))/(LN(2)/25)*Calculateur!BL26*Calculateur!BN26*VLOOKUP('Données projet'!$B$9,Paramètres!$A$1:$I$88,3,0)*0.475*44/12</f>
        <v>0</v>
      </c>
      <c r="BR26" s="23">
        <f>EXP(-LN(2)/2)*BR25+(1-EXP(-LN(2)/2))/(LN(2)/2)*BL26*BO26*VLOOKUP('Données projet'!$B$9,Paramètres!$A$1:$I$88,3,0)*0.475*44/12</f>
        <v>0</v>
      </c>
      <c r="BS26" s="24">
        <f t="shared" si="12"/>
        <v>0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2</v>
      </c>
      <c r="BY26" s="13">
        <f>IF(A26&lt;'Données projet'!$A$114,$BV$205^A26,IF(A26='Données projet'!$A$114,'Données projet'!$B$114,BY25+BX26-CG25))</f>
        <v>36.56389086402055</v>
      </c>
      <c r="BZ26" s="14">
        <f>BY26*VLOOKUP('Données projet'!$B$12,Paramètres!$A$1:$I$88,3,0)*VLOOKUP('Données projet'!$B$12,Paramètres!$A$1:$I$88,5,0)</f>
        <v>39.35737212603172</v>
      </c>
      <c r="CA26" s="14">
        <f t="shared" si="46"/>
        <v>11.828158096328799</v>
      </c>
      <c r="CB26" s="22">
        <f t="shared" si="13"/>
        <v>89.148131803944565</v>
      </c>
      <c r="CC26" s="62">
        <f t="shared" si="14"/>
        <v>280.76118635801078</v>
      </c>
      <c r="CD26" s="62">
        <f ca="1">AVERAGE(OFFSET($CC$3,0,0,'Données projet'!$E$12+1,1))-AVERAGE(OFFSET($H$3,0,0,'Données projet'!$E$12+1,1))</f>
        <v>468.82871618425406</v>
      </c>
      <c r="CE26" s="62">
        <f t="shared" si="15"/>
        <v>259.37818128554397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projet'!$B$12,Paramètres!$A$1:$I$88,7,0))</f>
        <v>0</v>
      </c>
      <c r="CI26" s="17">
        <f>IF(ISNA(VLOOKUP(A26,'Données projet'!$A$113:$I$133,6,0)),0%,VLOOKUP(A26,'Données projet'!$A$113:$I$133,6,0)*VLOOKUP('Données projet'!$B$12,Paramètres!$A$1:$I$88,7,0))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projet'!$B$9,Paramètres!$A$1:$I$88,3,0)*0.475*44/12</f>
        <v>0</v>
      </c>
      <c r="CL26" s="23">
        <f>EXP(-LN(2)/25)*CL25+(1-EXP(-LN(2)/25))/(LN(2)/25)*Calculateur!CG26*Calculateur!CI26*VLOOKUP('Données projet'!$B$9,Paramètres!$A$1:$I$88,3,0)*0.475*44/12</f>
        <v>0</v>
      </c>
      <c r="CM26" s="23">
        <f>EXP(-LN(2)/2)*CM25+(1-EXP(-LN(2)/2))/(LN(2)/2)*CG26*CJ26*VLOOKUP('Données projet'!$B$9,Paramètres!$A$1:$I$88,3,0)*0.475*44/12</f>
        <v>0</v>
      </c>
      <c r="CN26" s="24">
        <f t="shared" si="16"/>
        <v>0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2</v>
      </c>
      <c r="CT26" s="13">
        <f>IF(A26&lt;'Données projet'!$A$140,$CQ$205^A26,IF(A26='Données projet'!$A$140,'Données projet'!$B$140,CT25+CS26-DB25))</f>
        <v>36.56389086402055</v>
      </c>
      <c r="CU26" s="18">
        <f>CT26*VLOOKUP('Données projet'!$B$13,Paramètres!$A$1:$I$88,3,0)*VLOOKUP('Données projet'!$B$13,Paramètres!$A$1:$I$88,5,0)</f>
        <v>31.371818361329634</v>
      </c>
      <c r="CV26" s="14">
        <f t="shared" si="47"/>
        <v>9.6804274966224231</v>
      </c>
      <c r="CW26" s="22">
        <f t="shared" si="17"/>
        <v>71.499328202599827</v>
      </c>
      <c r="CX26" s="62">
        <f t="shared" si="18"/>
        <v>263.11238275666608</v>
      </c>
      <c r="CY26" s="62">
        <f ca="1">AVERAGE(OFFSET($CX$3,0,0,'Données projet'!$E$13+1,1))-AVERAGE(OFFSET($H$3,0,0,'Données projet'!$E$13+1,1))</f>
        <v>395.19659151668884</v>
      </c>
      <c r="CZ26" s="62">
        <f t="shared" si="19"/>
        <v>222.86563304507339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projet'!$B$13,Paramètres!$A$1:$I$88,7,0))</f>
        <v>0</v>
      </c>
      <c r="DD26" s="17">
        <f>IF(ISNA(VLOOKUP(A26,'Données projet'!$A$139:$I$159,6,0)),0%,VLOOKUP(A26,'Données projet'!$A$139:$I$159,6,0)*VLOOKUP('Données projet'!$B$13,Paramètres!$A$1:$I$88,7,0))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projet'!$B$9,Paramètres!$A$1:$I$88,3,0)*0.475*44/12</f>
        <v>0</v>
      </c>
      <c r="DG26" s="23">
        <f>EXP(-LN(2)/25)*DG25+(1-EXP(-LN(2)/25))/(LN(2)/25)*Calculateur!DB26*Calculateur!DD26*VLOOKUP('Données projet'!$B$9,Paramètres!$A$1:$I$88,3,0)*0.475*44/12</f>
        <v>0</v>
      </c>
      <c r="DH26" s="23">
        <f>EXP(-LN(2)/2)*DH25+(1-EXP(-LN(2)/2))/(LN(2)/2)*DB26*DE26*VLOOKUP('Données projet'!$B$9,Paramètres!$A$1:$I$88,3,0)*0.475*44/12</f>
        <v>0</v>
      </c>
      <c r="DI26" s="24">
        <f t="shared" si="20"/>
        <v>0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2.2749999999999999</v>
      </c>
      <c r="DO26" s="13">
        <f>IF(A26&lt;'Données projet'!$A$166,$DL$205^A26,IF(A26='Données projet'!$A$166,'Données projet'!$B$166,DO25+DN26-DW25))</f>
        <v>13.379774703397088</v>
      </c>
      <c r="DP26" s="18">
        <f>DO26*VLOOKUP('Données projet'!$B$14,Paramètres!$A$1:$I$88,3,0)*VLOOKUP('Données projet'!$B$14,Paramètres!$A$1:$I$88,5,0)</f>
        <v>7.8271682014872965</v>
      </c>
      <c r="DQ26" s="14">
        <f t="shared" si="48"/>
        <v>2.8388415192092875</v>
      </c>
      <c r="DR26" s="22">
        <f t="shared" si="21"/>
        <v>18.576633596879883</v>
      </c>
      <c r="DS26" s="62">
        <f t="shared" si="22"/>
        <v>210.1896881509461</v>
      </c>
      <c r="DT26" s="62">
        <f ca="1">AVERAGE(OFFSET($DS$3,0,0,'Données projet'!$E$14+1,1))-AVERAGE(OFFSET($H$3,0,0,'Données projet'!$E$14+1,1))</f>
        <v>155.18073137151848</v>
      </c>
      <c r="DU26" s="62">
        <f t="shared" si="23"/>
        <v>115.19459155667272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projet'!$B$14,Paramètres!$A$1:$I$88,7,0))</f>
        <v>0</v>
      </c>
      <c r="DY26" s="17">
        <f>IF(ISNA(VLOOKUP(A26,'Données projet'!$A$165:$I$185,6,0)),0%,VLOOKUP(A26,'Données projet'!$A$165:$I$185,6,0)*VLOOKUP('Données projet'!$B$14,Paramètres!$A$1:$I$88,7,0))</f>
        <v>0</v>
      </c>
      <c r="DZ26" s="17">
        <f>IF(ISNA(VLOOKUP(A26,'Données projet'!$A$165:$I$185,7,0)),0%,VLOOKUP(A26,'Données projet'!$A$165:$I$185,7,0))</f>
        <v>0</v>
      </c>
      <c r="EA26" s="23">
        <f>EXP(-LN(2)/35)*EA25+(1-EXP(-LN(2)/35))/(LN(2)/35)*DW26*DX26*VLOOKUP('Données projet'!$B$9,Paramètres!$A$1:$I$88,3,0)*0.475*44/12</f>
        <v>0</v>
      </c>
      <c r="EB26" s="23">
        <f>EXP(-LN(2)/25)*EB25+(1-EXP(-LN(2)/25))/(LN(2)/25)*Calculateur!DW26*Calculateur!DY26*VLOOKUP('Données projet'!$B$9,Paramètres!$A$1:$I$88,3,0)*0.475*44/12</f>
        <v>0</v>
      </c>
      <c r="EC26" s="23">
        <f>EXP(-LN(2)/2)*EC25+(1-EXP(-LN(2)/2))/(LN(2)/2)*DW26*DZ26*VLOOKUP('Données projet'!$B$9,Paramètres!$A$1:$I$88,3,0)*0.475*44/12</f>
        <v>0</v>
      </c>
      <c r="ED26" s="24">
        <f t="shared" si="24"/>
        <v>0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3.25</v>
      </c>
      <c r="EJ26" s="13">
        <f>IF(A26&lt;'Données projet'!$A$192,$EG$205^A26,IF(A26='Données projet'!$A$192,'Données projet'!$B$192,EJ25+EI26-ER25))</f>
        <v>7.5482556546602622</v>
      </c>
      <c r="EK26" s="18">
        <f>EJ26*VLOOKUP('Données projet'!$B$15,Paramètres!$A$1:$I$88,3,0)*VLOOKUP('Données projet'!$B$15,Paramètres!$A$1:$I$88,5,0)</f>
        <v>3.5325836463810028</v>
      </c>
      <c r="EL26" s="14">
        <f t="shared" si="49"/>
        <v>1.4055508344053032</v>
      </c>
      <c r="EM26" s="22">
        <f t="shared" si="25"/>
        <v>8.6005842207028156</v>
      </c>
      <c r="EN26" s="62">
        <f t="shared" si="26"/>
        <v>200.21363877476904</v>
      </c>
      <c r="EO26" s="62">
        <f ca="1">AVERAGE(OFFSET($EN$3,0,0,'Données projet'!$E$15+1,1))-AVERAGE(OFFSET($H$3,0,0,'Données projet'!$E$15+1,1))</f>
        <v>238.59014604384171</v>
      </c>
      <c r="EP26" s="62">
        <f t="shared" si="27"/>
        <v>90.841373219575217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projet'!$B$15,Paramètres!$A$1:$I$88,7,0))</f>
        <v>0</v>
      </c>
      <c r="ET26" s="17">
        <f>IF(ISNA(VLOOKUP(A26,'Données projet'!$A$191:$I$211,6,0)),0%,VLOOKUP(A26,'Données projet'!$A$191:$I$211,6,0)*VLOOKUP('Données projet'!$B$15,Paramètres!$A$1:$I$88,7,0))</f>
        <v>0</v>
      </c>
      <c r="EU26" s="17">
        <f>IF(ISNA(VLOOKUP(A26,'Données projet'!$A$191:$I$211,7,0)),0%,VLOOKUP(A26,'Données projet'!$A$191:$I$211,7,0))</f>
        <v>0</v>
      </c>
      <c r="EV26" s="23">
        <f>EXP(-LN(2)/35)*EV25+(1-EXP(-LN(2)/35))/(LN(2)/35)*ER26*ES26*VLOOKUP('Données projet'!$B$9,Paramètres!$A$1:$I$88,3,0)*0.475*44/12</f>
        <v>0</v>
      </c>
      <c r="EW26" s="23">
        <f>EXP(-LN(2)/25)*EW25+(1-EXP(-LN(2)/25))/(LN(2)/25)*Calculateur!ER26*Calculateur!ET26*VLOOKUP('Données projet'!$B$9,Paramètres!$A$1:$I$88,3,0)*0.475*44/12</f>
        <v>0</v>
      </c>
      <c r="EX26" s="23">
        <f>EXP(-LN(2)/2)*EX25+(1-EXP(-LN(2)/2))/(LN(2)/2)*ER26*EU26*VLOOKUP('Données projet'!$B$9,Paramètres!$A$1:$I$88,3,0)*0.475*44/12</f>
        <v>0</v>
      </c>
      <c r="EY26" s="24">
        <f t="shared" si="28"/>
        <v>0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IF(A26&lt;'Données projet'!$A$218,$FB$205^A26,IF(A26='Données projet'!$A$218,'Données projet'!$B$218,FE25+FD26-FM25))</f>
        <v>0</v>
      </c>
      <c r="FF26" s="18" t="e">
        <f>FE26*VLOOKUP('Données projet'!$B$16,Paramètres!$A$1:$I$88,3,0)*VLOOKUP('Données projet'!$B$16,Paramètres!$A$1:$I$88,5,0)</f>
        <v>#N/A</v>
      </c>
      <c r="FG26" s="14" t="e">
        <f t="shared" si="50"/>
        <v>#N/A</v>
      </c>
      <c r="FH26" s="22" t="e">
        <f t="shared" si="29"/>
        <v>#N/A</v>
      </c>
      <c r="FI26" s="62" t="e">
        <f t="shared" si="30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31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projet'!$B$16,Paramètres!$A$1:$I$88,7,0))</f>
        <v>0</v>
      </c>
      <c r="FO26" s="17">
        <f>IF(ISNA(VLOOKUP(A26,'Données projet'!$A$217:$I$237,6,0)),0%,VLOOKUP(A26,'Données projet'!$A$217:$I$237,6,0)*VLOOKUP('Données projet'!$B$16,Paramètres!$A$1:$I$88,7,0))</f>
        <v>0</v>
      </c>
      <c r="FP26" s="17">
        <f>IF(ISNA(VLOOKUP(A26,'Données projet'!$A$217:$I$237,7,0)),0%,VLOOKUP(A26,'Données projet'!$A$217:$I$237,7,0))</f>
        <v>0</v>
      </c>
      <c r="FQ26" s="23">
        <f>EXP(-LN(2)/35)*FQ25+(1-EXP(-LN(2)/35))/(LN(2)/35)*FM26*FN26*VLOOKUP('Données projet'!$B$9,Paramètres!$A$1:$I$88,3,0)*0.475*44/12</f>
        <v>0</v>
      </c>
      <c r="FR26" s="23">
        <f>EXP(-LN(2)/25)*FR25+(1-EXP(-LN(2)/25))/(LN(2)/25)*Calculateur!FM26*Calculateur!FO26*VLOOKUP('Données projet'!$B$9,Paramètres!$A$1:$I$88,3,0)*0.475*44/12</f>
        <v>0</v>
      </c>
      <c r="FS26" s="23">
        <f>EXP(-LN(2)/2)*FS25+(1-EXP(-LN(2)/2))/(LN(2)/2)*FM26*FP26*VLOOKUP('Données projet'!$B$9,Paramètres!$A$1:$I$88,3,0)*0.475*44/12</f>
        <v>0</v>
      </c>
      <c r="FT26" s="24">
        <f t="shared" si="32"/>
        <v>0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IF(A26&lt;'Données projet'!$A$244,$FW$205^A26,IF(A26='Données projet'!$A$244,'Données projet'!$B$244,FZ25+FY26-GH25))</f>
        <v>0</v>
      </c>
      <c r="GA26" s="18" t="e">
        <f>FZ26*VLOOKUP('Données projet'!$B$17,Paramètres!$A$1:$I$88,3,0)*VLOOKUP('Données projet'!$B$17,Paramètres!$A$1:$I$88,5,0)</f>
        <v>#N/A</v>
      </c>
      <c r="GB26" s="14" t="e">
        <f t="shared" si="51"/>
        <v>#N/A</v>
      </c>
      <c r="GC26" s="22" t="e">
        <f t="shared" si="33"/>
        <v>#N/A</v>
      </c>
      <c r="GD26" s="62" t="e">
        <f t="shared" si="34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35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projet'!$B$17,Paramètres!$A$1:$I$88,7,0))</f>
        <v>0</v>
      </c>
      <c r="GJ26" s="17">
        <f>IF(ISNA(VLOOKUP(A26,'Données projet'!$A$243:$I$263,6,0)),0%,VLOOKUP(A26,'Données projet'!$A$243:$I$263,6,0)*VLOOKUP('Données projet'!$B$17,Paramètres!$A$1:$I$88,7,0))</f>
        <v>0</v>
      </c>
      <c r="GK26" s="17">
        <f>IF(ISNA(VLOOKUP(A26,'Données projet'!$A$243:$I$263,7,0)),0%,VLOOKUP(A26,'Données projet'!$A$243:$I$263,7,0))</f>
        <v>0</v>
      </c>
      <c r="GL26" s="23">
        <f>EXP(-LN(2)/35)*GL25+(1-EXP(-LN(2)/35))/(LN(2)/35)*GH26*GI26*VLOOKUP('Données projet'!$B$9,Paramètres!$A$1:$I$88,3,0)*0.475*44/12</f>
        <v>0</v>
      </c>
      <c r="GM26" s="23">
        <f>EXP(-LN(2)/25)*GM25+(1-EXP(-LN(2)/25))/(LN(2)/25)*Calculateur!GH26*Calculateur!GJ26*VLOOKUP('Données projet'!$B$9,Paramètres!$A$1:$I$88,3,0)*0.475*44/12</f>
        <v>0</v>
      </c>
      <c r="GN26" s="23">
        <f>EXP(-LN(2)/2)*GN25+(1-EXP(-LN(2)/2))/(LN(2)/2)*GH26*GK26*VLOOKUP('Données projet'!$B$9,Paramètres!$A$1:$I$88,3,0)*0.475*44/12</f>
        <v>0</v>
      </c>
      <c r="GO26" s="23">
        <f t="shared" si="36"/>
        <v>0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IF(A26&lt;'Données projet'!$A$270,$GR$205^A26,IF(A26='Données projet'!$A$270,'Données projet'!$B$270,GU25+GT26-HC25))</f>
        <v>0</v>
      </c>
      <c r="GV26" s="18" t="e">
        <f>GU26*VLOOKUP('Données projet'!$B$18,Paramètres!$A$1:$I$88,3,0)*VLOOKUP('Données projet'!$B$18,Paramètres!$A$1:$I$88,5,0)</f>
        <v>#N/A</v>
      </c>
      <c r="GW26" s="14" t="e">
        <f t="shared" si="52"/>
        <v>#N/A</v>
      </c>
      <c r="GX26" s="22" t="e">
        <f t="shared" si="37"/>
        <v>#N/A</v>
      </c>
      <c r="GY26" s="62" t="e">
        <f t="shared" si="38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39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projet'!$B$18,Paramètres!$A$1:$I$88,7,0))</f>
        <v>0</v>
      </c>
      <c r="HE26" s="17">
        <f>IF(ISNA(VLOOKUP(A26,'Données projet'!$A$269:$I$289,6,0)),0%,VLOOKUP(A26,'Données projet'!$A$269:$I$289,6,0)*VLOOKUP('Données projet'!$B$18,Paramètres!$A$1:$I$88,7,0))</f>
        <v>0</v>
      </c>
      <c r="HF26" s="17">
        <f>IF(ISNA(VLOOKUP(A26,'Données projet'!$A$269:$I$289,7,0)),0%,VLOOKUP(A26,'Données projet'!$A$269:$I$289,7,0))</f>
        <v>0</v>
      </c>
      <c r="HG26" s="23">
        <f>EXP(-LN(2)/35)*HG25+(1-EXP(-LN(2)/35))/(LN(2)/35)*HC26*HD26*VLOOKUP('Données projet'!$B$9,Paramètres!$A$1:$I$88,3,0)*0.475*44/12</f>
        <v>0</v>
      </c>
      <c r="HH26" s="23">
        <f>EXP(-LN(2)/25)*HH25+(1-EXP(-LN(2)/25))/(LN(2)/25)*Calculateur!HC26*Calculateur!HE26*VLOOKUP('Données projet'!$B$9,Paramètres!$A$1:$I$88,3,0)*0.475*44/12</f>
        <v>0</v>
      </c>
      <c r="HI26" s="23">
        <f>EXP(-LN(2)/2)*HI25+(1-EXP(-LN(2)/2))/(LN(2)/2)*HC26*HF26*VLOOKUP('Données projet'!$B$9,Paramètres!$A$1:$I$88,3,0)*0.475*44/12</f>
        <v>0</v>
      </c>
      <c r="HJ26" s="24">
        <f t="shared" si="40"/>
        <v>0</v>
      </c>
    </row>
    <row r="27" spans="1:218" s="5" customFormat="1" x14ac:dyDescent="0.25">
      <c r="A27" s="11">
        <f t="shared" si="4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7" s="12">
        <f t="shared" si="4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135.66666666666666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1.9887500000000009</v>
      </c>
      <c r="N27" s="14">
        <f>IF(A27&lt;'Données projet'!$A$36,$K$205^A27,IF(A27='Données projet'!$A$36,'Données projet'!$B$36,N26+M27-V26))</f>
        <v>42.855000000000018</v>
      </c>
      <c r="O27" s="14">
        <f>N27*VLOOKUP('Données projet'!$B$9,Paramètres!$A$1:$I$88,3,0)*VLOOKUP('Données projet'!$B$9,Paramètres!$A$1:$I$88,5,0)</f>
        <v>49.368960000000015</v>
      </c>
      <c r="P27" s="14">
        <f t="shared" si="43"/>
        <v>14.450670560048829</v>
      </c>
      <c r="Q27" s="22">
        <f t="shared" si="2"/>
        <v>111.15252322541839</v>
      </c>
      <c r="R27" s="62">
        <f t="shared" si="0"/>
        <v>305.60399966452047</v>
      </c>
      <c r="S27" s="62">
        <f ca="1">AVERAGE(OFFSET($R$3,0,0,'Données projet'!$E$9+1,1))-AVERAGE(OFFSET($H$3,0,0,'Données projet'!$E$9+1,1))</f>
        <v>314.72063458462026</v>
      </c>
      <c r="T27" s="62">
        <f t="shared" si="3"/>
        <v>216.4380325968244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projet'!$B$9,Paramètres!$A$1:$I$88,7,0))</f>
        <v>0</v>
      </c>
      <c r="X27" s="17">
        <f>IF(ISNA(VLOOKUP(A27,'Données projet'!$A$35:$I$55,6,0)),0%,VLOOKUP(A27,'Données projet'!$A$35:$I$55,6,0)*VLOOKUP('Données projet'!$B$9,Paramètres!$A$1:$I$88,7,0))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projet'!$B$9,Paramètres!$A$1:$I$88,3,0)*0.475*44/12</f>
        <v>0</v>
      </c>
      <c r="AA27" s="23">
        <f>EXP(-LN(2)/25)*AA26+(1-EXP(-LN(2)/25))/(LN(2)/25)*Calculateur!V27*Calculateur!X27*VLOOKUP('Données projet'!$B$9,Paramètres!$A$1:$I$88,3,0)*0.475*44/12</f>
        <v>0</v>
      </c>
      <c r="AB27" s="23">
        <f>EXP(-LN(2)/2)*AB26+(1-EXP(-LN(2)/2))/(LN(2)/2)*V27*Y27*VLOOKUP('Données projet'!$B$9,Paramètres!$A$1:$I$88,3,0)*0.475*44/12</f>
        <v>0</v>
      </c>
      <c r="AC27" s="24">
        <f t="shared" si="4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2</v>
      </c>
      <c r="AI27" s="14">
        <f>IF(A27&lt;'Données projet'!$A$62,$AF$205^A27,IF(A27='Données projet'!$A$62,'Données projet'!$B$62,AI26+AH27-AQ26))</f>
        <v>42.757391679112352</v>
      </c>
      <c r="AJ27" s="14">
        <f>AI27*VLOOKUP('Données projet'!$B$10,Paramètres!$A$1:$I$88,3,0)*VLOOKUP('Données projet'!$B$10,Paramètres!$A$1:$I$88,5,0)</f>
        <v>44.690025783008231</v>
      </c>
      <c r="AK27" s="14">
        <f t="shared" si="44"/>
        <v>13.233604636503012</v>
      </c>
      <c r="AL27" s="22">
        <f t="shared" si="5"/>
        <v>100.88365631398206</v>
      </c>
      <c r="AM27" s="62">
        <f t="shared" si="6"/>
        <v>295.33513275308417</v>
      </c>
      <c r="AN27" s="62">
        <f ca="1">AVERAGE(OFFSET($AM$3,0,0,'Données projet'!$E$10+1,1))-AVERAGE(OFFSET($H$3,0,0,'Données projet'!$E$10+1,1))</f>
        <v>458.33072853676879</v>
      </c>
      <c r="AO27" s="62">
        <f t="shared" si="7"/>
        <v>254.1734169352687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projet'!$B$10,Paramètres!$A$1:$I$88,7,0))</f>
        <v>0</v>
      </c>
      <c r="AS27" s="17">
        <f>IF(ISNA(VLOOKUP(A27,'Données projet'!$A$61:$I$81,6,0)),0%,VLOOKUP(A27,'Données projet'!$A$61:$I$81,6,0)*VLOOKUP('Données projet'!$B$10,Paramètres!$A$1:$I$88,7,0))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projet'!$B$9,Paramètres!$A$1:$I$88,3,0)*0.475*44/12</f>
        <v>0</v>
      </c>
      <c r="AV27" s="23">
        <f>EXP(-LN(2)/25)*AV26+(1-EXP(-LN(2)/25))/(LN(2)/25)*Calculateur!AQ27*Calculateur!AS27*VLOOKUP('Données projet'!$B$9,Paramètres!$A$1:$I$88,3,0)*0.475*44/12</f>
        <v>0</v>
      </c>
      <c r="AW27" s="23">
        <f>EXP(-LN(2)/2)*AW26+(1-EXP(-LN(2)/2))/(LN(2)/2)*AQ27*AT27*VLOOKUP('Données projet'!$B$9,Paramètres!$A$1:$I$88,3,0)*0.475*44/12</f>
        <v>0</v>
      </c>
      <c r="AX27" s="23">
        <f t="shared" si="8"/>
        <v>0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2</v>
      </c>
      <c r="BD27" s="13">
        <f>IF(A27&lt;'Données projet'!$A$88,$BA$205^A27,IF(A27='Données projet'!$A$88,'Données projet'!$B$88,BD26+BC27-BL26))</f>
        <v>42.757391679112352</v>
      </c>
      <c r="BE27" s="14">
        <f>BD27*VLOOKUP('Données projet'!$B$11,Paramètres!$A$1:$I$88,3,0)*VLOOKUP('Données projet'!$B$11,Paramètres!$A$1:$I$88,5,0)</f>
        <v>43.355995162619926</v>
      </c>
      <c r="BF27" s="14">
        <f t="shared" si="45"/>
        <v>12.883940244543727</v>
      </c>
      <c r="BG27" s="22">
        <f t="shared" si="9"/>
        <v>97.951220834143371</v>
      </c>
      <c r="BH27" s="62">
        <f t="shared" si="10"/>
        <v>292.40269727324545</v>
      </c>
      <c r="BI27" s="62">
        <f ca="1">AVERAGE(OFFSET($BH$3,0,0,'Données projet'!$E$11+1,1))-AVERAGE(OFFSET($H$3,0,0,'Données projet'!$E$11+1,1))</f>
        <v>447.82618173893104</v>
      </c>
      <c r="BJ27" s="62">
        <f t="shared" si="11"/>
        <v>248.96509970783379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projet'!$B$11,Paramètres!$A$1:$I$88,7,0))</f>
        <v>0</v>
      </c>
      <c r="BN27" s="17">
        <f>IF(ISNA(VLOOKUP(A27,'Données projet'!$A$87:$I$107,6,0)),0%,VLOOKUP(A27,'Données projet'!$A$87:$I$107,6,0)*VLOOKUP('Données projet'!$B$11,Paramètres!$A$1:$I$88,7,0))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projet'!$B$9,Paramètres!$A$1:$I$88,3,0)*0.475*44/12</f>
        <v>0</v>
      </c>
      <c r="BQ27" s="23">
        <f>EXP(-LN(2)/25)*BQ26+(1-EXP(-LN(2)/25))/(LN(2)/25)*Calculateur!BL27*Calculateur!BN27*VLOOKUP('Données projet'!$B$9,Paramètres!$A$1:$I$88,3,0)*0.475*44/12</f>
        <v>0</v>
      </c>
      <c r="BR27" s="23">
        <f>EXP(-LN(2)/2)*BR26+(1-EXP(-LN(2)/2))/(LN(2)/2)*BL27*BO27*VLOOKUP('Données projet'!$B$9,Paramètres!$A$1:$I$88,3,0)*0.475*44/12</f>
        <v>0</v>
      </c>
      <c r="BS27" s="24">
        <f t="shared" si="12"/>
        <v>0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2</v>
      </c>
      <c r="BY27" s="13">
        <f>IF(A27&lt;'Données projet'!$A$114,$BV$205^A27,IF(A27='Données projet'!$A$114,'Données projet'!$B$114,BY26+BX27-CG26))</f>
        <v>42.757391679112352</v>
      </c>
      <c r="BZ27" s="14">
        <f>BY27*VLOOKUP('Données projet'!$B$12,Paramètres!$A$1:$I$88,3,0)*VLOOKUP('Données projet'!$B$12,Paramètres!$A$1:$I$88,5,0)</f>
        <v>46.024056403396536</v>
      </c>
      <c r="CA27" s="14">
        <f t="shared" si="46"/>
        <v>13.582055993140017</v>
      </c>
      <c r="CB27" s="22">
        <f t="shared" si="13"/>
        <v>103.8139790906345</v>
      </c>
      <c r="CC27" s="62">
        <f t="shared" si="14"/>
        <v>298.26545552973658</v>
      </c>
      <c r="CD27" s="62">
        <f ca="1">AVERAGE(OFFSET($CC$3,0,0,'Données projet'!$E$12+1,1))-AVERAGE(OFFSET($H$3,0,0,'Données projet'!$E$12+1,1))</f>
        <v>468.82871618425406</v>
      </c>
      <c r="CE27" s="62">
        <f t="shared" si="15"/>
        <v>259.37818128554397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projet'!$B$12,Paramètres!$A$1:$I$88,7,0))</f>
        <v>0</v>
      </c>
      <c r="CI27" s="17">
        <f>IF(ISNA(VLOOKUP(A27,'Données projet'!$A$113:$I$133,6,0)),0%,VLOOKUP(A27,'Données projet'!$A$113:$I$133,6,0)*VLOOKUP('Données projet'!$B$12,Paramètres!$A$1:$I$88,7,0))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projet'!$B$9,Paramètres!$A$1:$I$88,3,0)*0.475*44/12</f>
        <v>0</v>
      </c>
      <c r="CL27" s="23">
        <f>EXP(-LN(2)/25)*CL26+(1-EXP(-LN(2)/25))/(LN(2)/25)*Calculateur!CG27*Calculateur!CI27*VLOOKUP('Données projet'!$B$9,Paramètres!$A$1:$I$88,3,0)*0.475*44/12</f>
        <v>0</v>
      </c>
      <c r="CM27" s="23">
        <f>EXP(-LN(2)/2)*CM26+(1-EXP(-LN(2)/2))/(LN(2)/2)*CG27*CJ27*VLOOKUP('Données projet'!$B$9,Paramètres!$A$1:$I$88,3,0)*0.475*44/12</f>
        <v>0</v>
      </c>
      <c r="CN27" s="24">
        <f t="shared" si="16"/>
        <v>0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2</v>
      </c>
      <c r="CT27" s="13">
        <f>IF(A27&lt;'Données projet'!$A$140,$CQ$205^A27,IF(A27='Données projet'!$A$140,'Données projet'!$B$140,CT26+CS27-DB26))</f>
        <v>42.757391679112352</v>
      </c>
      <c r="CU27" s="18">
        <f>CT27*VLOOKUP('Données projet'!$B$13,Paramètres!$A$1:$I$88,3,0)*VLOOKUP('Données projet'!$B$13,Paramètres!$A$1:$I$88,5,0)</f>
        <v>36.685842060678404</v>
      </c>
      <c r="CV27" s="14">
        <f t="shared" si="47"/>
        <v>11.115856520168299</v>
      </c>
      <c r="CW27" s="22">
        <f t="shared" si="17"/>
        <v>83.254625028308013</v>
      </c>
      <c r="CX27" s="62">
        <f t="shared" si="18"/>
        <v>277.70610146741012</v>
      </c>
      <c r="CY27" s="62">
        <f ca="1">AVERAGE(OFFSET($CX$3,0,0,'Données projet'!$E$13+1,1))-AVERAGE(OFFSET($H$3,0,0,'Données projet'!$E$13+1,1))</f>
        <v>395.19659151668884</v>
      </c>
      <c r="CZ27" s="62">
        <f t="shared" si="19"/>
        <v>222.86563304507339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projet'!$B$13,Paramètres!$A$1:$I$88,7,0))</f>
        <v>0</v>
      </c>
      <c r="DD27" s="17">
        <f>IF(ISNA(VLOOKUP(A27,'Données projet'!$A$139:$I$159,6,0)),0%,VLOOKUP(A27,'Données projet'!$A$139:$I$159,6,0)*VLOOKUP('Données projet'!$B$13,Paramètres!$A$1:$I$88,7,0))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projet'!$B$9,Paramètres!$A$1:$I$88,3,0)*0.475*44/12</f>
        <v>0</v>
      </c>
      <c r="DG27" s="23">
        <f>EXP(-LN(2)/25)*DG26+(1-EXP(-LN(2)/25))/(LN(2)/25)*Calculateur!DB27*Calculateur!DD27*VLOOKUP('Données projet'!$B$9,Paramètres!$A$1:$I$88,3,0)*0.475*44/12</f>
        <v>0</v>
      </c>
      <c r="DH27" s="23">
        <f>EXP(-LN(2)/2)*DH26+(1-EXP(-LN(2)/2))/(LN(2)/2)*DB27*DE27*VLOOKUP('Données projet'!$B$9,Paramètres!$A$1:$I$88,3,0)*0.475*44/12</f>
        <v>0</v>
      </c>
      <c r="DI27" s="24">
        <f t="shared" si="20"/>
        <v>0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2.2749999999999999</v>
      </c>
      <c r="DO27" s="13">
        <f>IF(A27&lt;'Données projet'!$A$166,$DL$205^A27,IF(A27='Données projet'!$A$166,'Données projet'!$B$166,DO26+DN27-DW26))</f>
        <v>14.977000193201048</v>
      </c>
      <c r="DP27" s="18">
        <f>DO27*VLOOKUP('Données projet'!$B$14,Paramètres!$A$1:$I$88,3,0)*VLOOKUP('Données projet'!$B$14,Paramètres!$A$1:$I$88,5,0)</f>
        <v>8.7615451130226134</v>
      </c>
      <c r="DQ27" s="14">
        <f t="shared" si="48"/>
        <v>3.1362911509495439</v>
      </c>
      <c r="DR27" s="22">
        <f t="shared" si="21"/>
        <v>20.722064826418176</v>
      </c>
      <c r="DS27" s="62">
        <f t="shared" si="22"/>
        <v>215.17354126552027</v>
      </c>
      <c r="DT27" s="62">
        <f ca="1">AVERAGE(OFFSET($DS$3,0,0,'Données projet'!$E$14+1,1))-AVERAGE(OFFSET($H$3,0,0,'Données projet'!$E$14+1,1))</f>
        <v>155.18073137151848</v>
      </c>
      <c r="DU27" s="62">
        <f t="shared" si="23"/>
        <v>115.19459155667272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projet'!$B$14,Paramètres!$A$1:$I$88,7,0))</f>
        <v>0</v>
      </c>
      <c r="DY27" s="17">
        <f>IF(ISNA(VLOOKUP(A27,'Données projet'!$A$165:$I$185,6,0)),0%,VLOOKUP(A27,'Données projet'!$A$165:$I$185,6,0)*VLOOKUP('Données projet'!$B$14,Paramètres!$A$1:$I$88,7,0))</f>
        <v>0</v>
      </c>
      <c r="DZ27" s="17">
        <f>IF(ISNA(VLOOKUP(A27,'Données projet'!$A$165:$I$185,7,0)),0%,VLOOKUP(A27,'Données projet'!$A$165:$I$185,7,0))</f>
        <v>0</v>
      </c>
      <c r="EA27" s="23">
        <f>EXP(-LN(2)/35)*EA26+(1-EXP(-LN(2)/35))/(LN(2)/35)*DW27*DX27*VLOOKUP('Données projet'!$B$9,Paramètres!$A$1:$I$88,3,0)*0.475*44/12</f>
        <v>0</v>
      </c>
      <c r="EB27" s="23">
        <f>EXP(-LN(2)/25)*EB26+(1-EXP(-LN(2)/25))/(LN(2)/25)*Calculateur!DW27*Calculateur!DY27*VLOOKUP('Données projet'!$B$9,Paramètres!$A$1:$I$88,3,0)*0.475*44/12</f>
        <v>0</v>
      </c>
      <c r="EC27" s="23">
        <f>EXP(-LN(2)/2)*EC26+(1-EXP(-LN(2)/2))/(LN(2)/2)*DW27*DZ27*VLOOKUP('Données projet'!$B$9,Paramètres!$A$1:$I$88,3,0)*0.475*44/12</f>
        <v>0</v>
      </c>
      <c r="ED27" s="24">
        <f t="shared" si="24"/>
        <v>0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3.25</v>
      </c>
      <c r="EJ27" s="13">
        <f>IF(A27&lt;'Données projet'!$A$192,$EG$205^A27,IF(A27='Données projet'!$A$192,'Données projet'!$B$192,EJ26+EI27-ER26))</f>
        <v>8.2416438750681955</v>
      </c>
      <c r="EK27" s="18">
        <f>EJ27*VLOOKUP('Données projet'!$B$15,Paramètres!$A$1:$I$88,3,0)*VLOOKUP('Données projet'!$B$15,Paramètres!$A$1:$I$88,5,0)</f>
        <v>3.8570893335319156</v>
      </c>
      <c r="EL27" s="14">
        <f t="shared" si="49"/>
        <v>1.5190467283932165</v>
      </c>
      <c r="EM27" s="22">
        <f t="shared" si="25"/>
        <v>9.3634369745196064</v>
      </c>
      <c r="EN27" s="62">
        <f t="shared" si="26"/>
        <v>203.8149134136217</v>
      </c>
      <c r="EO27" s="62">
        <f ca="1">AVERAGE(OFFSET($EN$3,0,0,'Données projet'!$E$15+1,1))-AVERAGE(OFFSET($H$3,0,0,'Données projet'!$E$15+1,1))</f>
        <v>238.59014604384171</v>
      </c>
      <c r="EP27" s="62">
        <f t="shared" si="27"/>
        <v>90.841373219575217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projet'!$B$15,Paramètres!$A$1:$I$88,7,0))</f>
        <v>0</v>
      </c>
      <c r="ET27" s="17">
        <f>IF(ISNA(VLOOKUP(A27,'Données projet'!$A$191:$I$211,6,0)),0%,VLOOKUP(A27,'Données projet'!$A$191:$I$211,6,0)*VLOOKUP('Données projet'!$B$15,Paramètres!$A$1:$I$88,7,0))</f>
        <v>0</v>
      </c>
      <c r="EU27" s="17">
        <f>IF(ISNA(VLOOKUP(A27,'Données projet'!$A$191:$I$211,7,0)),0%,VLOOKUP(A27,'Données projet'!$A$191:$I$211,7,0))</f>
        <v>0</v>
      </c>
      <c r="EV27" s="23">
        <f>EXP(-LN(2)/35)*EV26+(1-EXP(-LN(2)/35))/(LN(2)/35)*ER27*ES27*VLOOKUP('Données projet'!$B$9,Paramètres!$A$1:$I$88,3,0)*0.475*44/12</f>
        <v>0</v>
      </c>
      <c r="EW27" s="23">
        <f>EXP(-LN(2)/25)*EW26+(1-EXP(-LN(2)/25))/(LN(2)/25)*Calculateur!ER27*Calculateur!ET27*VLOOKUP('Données projet'!$B$9,Paramètres!$A$1:$I$88,3,0)*0.475*44/12</f>
        <v>0</v>
      </c>
      <c r="EX27" s="23">
        <f>EXP(-LN(2)/2)*EX26+(1-EXP(-LN(2)/2))/(LN(2)/2)*ER27*EU27*VLOOKUP('Données projet'!$B$9,Paramètres!$A$1:$I$88,3,0)*0.475*44/12</f>
        <v>0</v>
      </c>
      <c r="EY27" s="24">
        <f t="shared" si="28"/>
        <v>0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IF(A27&lt;'Données projet'!$A$218,$FB$205^A27,IF(A27='Données projet'!$A$218,'Données projet'!$B$218,FE26+FD27-FM26))</f>
        <v>0</v>
      </c>
      <c r="FF27" s="18" t="e">
        <f>FE27*VLOOKUP('Données projet'!$B$16,Paramètres!$A$1:$I$88,3,0)*VLOOKUP('Données projet'!$B$16,Paramètres!$A$1:$I$88,5,0)</f>
        <v>#N/A</v>
      </c>
      <c r="FG27" s="14" t="e">
        <f t="shared" si="50"/>
        <v>#N/A</v>
      </c>
      <c r="FH27" s="22" t="e">
        <f t="shared" si="29"/>
        <v>#N/A</v>
      </c>
      <c r="FI27" s="62" t="e">
        <f t="shared" si="30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31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projet'!$B$16,Paramètres!$A$1:$I$88,7,0))</f>
        <v>0</v>
      </c>
      <c r="FO27" s="17">
        <f>IF(ISNA(VLOOKUP(A27,'Données projet'!$A$217:$I$237,6,0)),0%,VLOOKUP(A27,'Données projet'!$A$217:$I$237,6,0)*VLOOKUP('Données projet'!$B$16,Paramètres!$A$1:$I$88,7,0))</f>
        <v>0</v>
      </c>
      <c r="FP27" s="17">
        <f>IF(ISNA(VLOOKUP(A27,'Données projet'!$A$217:$I$237,7,0)),0%,VLOOKUP(A27,'Données projet'!$A$217:$I$237,7,0))</f>
        <v>0</v>
      </c>
      <c r="FQ27" s="23">
        <f>EXP(-LN(2)/35)*FQ26+(1-EXP(-LN(2)/35))/(LN(2)/35)*FM27*FN27*VLOOKUP('Données projet'!$B$9,Paramètres!$A$1:$I$88,3,0)*0.475*44/12</f>
        <v>0</v>
      </c>
      <c r="FR27" s="23">
        <f>EXP(-LN(2)/25)*FR26+(1-EXP(-LN(2)/25))/(LN(2)/25)*Calculateur!FM27*Calculateur!FO27*VLOOKUP('Données projet'!$B$9,Paramètres!$A$1:$I$88,3,0)*0.475*44/12</f>
        <v>0</v>
      </c>
      <c r="FS27" s="23">
        <f>EXP(-LN(2)/2)*FS26+(1-EXP(-LN(2)/2))/(LN(2)/2)*FM27*FP27*VLOOKUP('Données projet'!$B$9,Paramètres!$A$1:$I$88,3,0)*0.475*44/12</f>
        <v>0</v>
      </c>
      <c r="FT27" s="24">
        <f t="shared" si="32"/>
        <v>0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IF(A27&lt;'Données projet'!$A$244,$FW$205^A27,IF(A27='Données projet'!$A$244,'Données projet'!$B$244,FZ26+FY27-GH26))</f>
        <v>0</v>
      </c>
      <c r="GA27" s="18" t="e">
        <f>FZ27*VLOOKUP('Données projet'!$B$17,Paramètres!$A$1:$I$88,3,0)*VLOOKUP('Données projet'!$B$17,Paramètres!$A$1:$I$88,5,0)</f>
        <v>#N/A</v>
      </c>
      <c r="GB27" s="14" t="e">
        <f t="shared" si="51"/>
        <v>#N/A</v>
      </c>
      <c r="GC27" s="22" t="e">
        <f t="shared" si="33"/>
        <v>#N/A</v>
      </c>
      <c r="GD27" s="62" t="e">
        <f t="shared" si="34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35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projet'!$B$17,Paramètres!$A$1:$I$88,7,0))</f>
        <v>0</v>
      </c>
      <c r="GJ27" s="17">
        <f>IF(ISNA(VLOOKUP(A27,'Données projet'!$A$243:$I$263,6,0)),0%,VLOOKUP(A27,'Données projet'!$A$243:$I$263,6,0)*VLOOKUP('Données projet'!$B$17,Paramètres!$A$1:$I$88,7,0))</f>
        <v>0</v>
      </c>
      <c r="GK27" s="17">
        <f>IF(ISNA(VLOOKUP(A27,'Données projet'!$A$243:$I$263,7,0)),0%,VLOOKUP(A27,'Données projet'!$A$243:$I$263,7,0))</f>
        <v>0</v>
      </c>
      <c r="GL27" s="23">
        <f>EXP(-LN(2)/35)*GL26+(1-EXP(-LN(2)/35))/(LN(2)/35)*GH27*GI27*VLOOKUP('Données projet'!$B$9,Paramètres!$A$1:$I$88,3,0)*0.475*44/12</f>
        <v>0</v>
      </c>
      <c r="GM27" s="23">
        <f>EXP(-LN(2)/25)*GM26+(1-EXP(-LN(2)/25))/(LN(2)/25)*Calculateur!GH27*Calculateur!GJ27*VLOOKUP('Données projet'!$B$9,Paramètres!$A$1:$I$88,3,0)*0.475*44/12</f>
        <v>0</v>
      </c>
      <c r="GN27" s="23">
        <f>EXP(-LN(2)/2)*GN26+(1-EXP(-LN(2)/2))/(LN(2)/2)*GH27*GK27*VLOOKUP('Données projet'!$B$9,Paramètres!$A$1:$I$88,3,0)*0.475*44/12</f>
        <v>0</v>
      </c>
      <c r="GO27" s="23">
        <f t="shared" si="36"/>
        <v>0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IF(A27&lt;'Données projet'!$A$270,$GR$205^A27,IF(A27='Données projet'!$A$270,'Données projet'!$B$270,GU26+GT27-HC26))</f>
        <v>0</v>
      </c>
      <c r="GV27" s="18" t="e">
        <f>GU27*VLOOKUP('Données projet'!$B$18,Paramètres!$A$1:$I$88,3,0)*VLOOKUP('Données projet'!$B$18,Paramètres!$A$1:$I$88,5,0)</f>
        <v>#N/A</v>
      </c>
      <c r="GW27" s="14" t="e">
        <f t="shared" si="52"/>
        <v>#N/A</v>
      </c>
      <c r="GX27" s="22" t="e">
        <f t="shared" si="37"/>
        <v>#N/A</v>
      </c>
      <c r="GY27" s="62" t="e">
        <f t="shared" si="38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39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projet'!$B$18,Paramètres!$A$1:$I$88,7,0))</f>
        <v>0</v>
      </c>
      <c r="HE27" s="17">
        <f>IF(ISNA(VLOOKUP(A27,'Données projet'!$A$269:$I$289,6,0)),0%,VLOOKUP(A27,'Données projet'!$A$269:$I$289,6,0)*VLOOKUP('Données projet'!$B$18,Paramètres!$A$1:$I$88,7,0))</f>
        <v>0</v>
      </c>
      <c r="HF27" s="17">
        <f>IF(ISNA(VLOOKUP(A27,'Données projet'!$A$269:$I$289,7,0)),0%,VLOOKUP(A27,'Données projet'!$A$269:$I$289,7,0))</f>
        <v>0</v>
      </c>
      <c r="HG27" s="23">
        <f>EXP(-LN(2)/35)*HG26+(1-EXP(-LN(2)/35))/(LN(2)/35)*HC27*HD27*VLOOKUP('Données projet'!$B$9,Paramètres!$A$1:$I$88,3,0)*0.475*44/12</f>
        <v>0</v>
      </c>
      <c r="HH27" s="23">
        <f>EXP(-LN(2)/25)*HH26+(1-EXP(-LN(2)/25))/(LN(2)/25)*Calculateur!HC27*Calculateur!HE27*VLOOKUP('Données projet'!$B$9,Paramètres!$A$1:$I$88,3,0)*0.475*44/12</f>
        <v>0</v>
      </c>
      <c r="HI27" s="23">
        <f>EXP(-LN(2)/2)*HI26+(1-EXP(-LN(2)/2))/(LN(2)/2)*HC27*HF27*VLOOKUP('Données projet'!$B$9,Paramètres!$A$1:$I$88,3,0)*0.475*44/12</f>
        <v>0</v>
      </c>
      <c r="HJ27" s="24">
        <f t="shared" si="40"/>
        <v>0</v>
      </c>
    </row>
    <row r="28" spans="1:218" s="5" customFormat="1" x14ac:dyDescent="0.25">
      <c r="A28" s="11">
        <f t="shared" si="4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8" s="12">
        <f t="shared" si="4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135.66666666666666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1.9887500000000009</v>
      </c>
      <c r="N28" s="14">
        <f>IF(A28&lt;'Données projet'!$A$36,$K$205^A28,IF(A28='Données projet'!$A$36,'Données projet'!$B$36,N27+M28-V27))</f>
        <v>44.843750000000021</v>
      </c>
      <c r="O28" s="14">
        <f>N28*VLOOKUP('Données projet'!$B$9,Paramètres!$A$1:$I$88,3,0)*VLOOKUP('Données projet'!$B$9,Paramètres!$A$1:$I$88,5,0)</f>
        <v>51.660000000000018</v>
      </c>
      <c r="P28" s="14">
        <f t="shared" si="43"/>
        <v>15.041643604774535</v>
      </c>
      <c r="Q28" s="22">
        <f t="shared" si="2"/>
        <v>116.17202927831566</v>
      </c>
      <c r="R28" s="62">
        <f t="shared" si="0"/>
        <v>313.43389015158493</v>
      </c>
      <c r="S28" s="62">
        <f ca="1">AVERAGE(OFFSET($R$3,0,0,'Données projet'!$E$9+1,1))-AVERAGE(OFFSET($H$3,0,0,'Données projet'!$E$9+1,1))</f>
        <v>314.72063458462026</v>
      </c>
      <c r="T28" s="62">
        <f t="shared" si="3"/>
        <v>216.4380325968244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projet'!$B$9,Paramètres!$A$1:$I$88,7,0))</f>
        <v>0</v>
      </c>
      <c r="X28" s="17">
        <f>IF(ISNA(VLOOKUP(A28,'Données projet'!$A$35:$I$55,6,0)),0%,VLOOKUP(A28,'Données projet'!$A$35:$I$55,6,0)*VLOOKUP('Données projet'!$B$9,Paramètres!$A$1:$I$88,7,0))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projet'!$B$9,Paramètres!$A$1:$I$88,3,0)*0.475*44/12</f>
        <v>0</v>
      </c>
      <c r="AA28" s="23">
        <f>EXP(-LN(2)/25)*AA27+(1-EXP(-LN(2)/25))/(LN(2)/25)*Calculateur!V28*Calculateur!X28*VLOOKUP('Données projet'!$B$9,Paramètres!$A$1:$I$88,3,0)*0.475*44/12</f>
        <v>0</v>
      </c>
      <c r="AB28" s="23">
        <f>EXP(-LN(2)/2)*AB27+(1-EXP(-LN(2)/2))/(LN(2)/2)*V28*Y28*VLOOKUP('Données projet'!$B$9,Paramètres!$A$1:$I$88,3,0)*0.475*44/12</f>
        <v>0</v>
      </c>
      <c r="AC28" s="24">
        <f t="shared" si="4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50</v>
      </c>
      <c r="AG28" s="13">
        <f>VLOOKUP(A28,'Données projet'!$A$61:$I$81,9,0)</f>
        <v>2</v>
      </c>
      <c r="AH28" s="13">
        <f t="array" ref="AH28">INDEX(AG:AG,MIN(IF(ISNUMBER(AG28:AG224),ROW(AG28:AG224),"")))</f>
        <v>2</v>
      </c>
      <c r="AI28" s="14">
        <f>IF(A28&lt;'Données projet'!$A$62,$AF$205^A28,IF(A28='Données projet'!$A$62,'Données projet'!$B$62,AI27+AH28-AQ27))</f>
        <v>50</v>
      </c>
      <c r="AJ28" s="14">
        <f>AI28*VLOOKUP('Données projet'!$B$10,Paramètres!$A$1:$I$88,3,0)*VLOOKUP('Données projet'!$B$10,Paramètres!$A$1:$I$88,5,0)</f>
        <v>52.260000000000005</v>
      </c>
      <c r="AK28" s="14">
        <f t="shared" si="44"/>
        <v>15.19590435807994</v>
      </c>
      <c r="AL28" s="22">
        <f t="shared" si="5"/>
        <v>117.48570009032257</v>
      </c>
      <c r="AM28" s="62">
        <f t="shared" si="6"/>
        <v>314.74756096359187</v>
      </c>
      <c r="AN28" s="62">
        <f ca="1">AVERAGE(OFFSET($AM$3,0,0,'Données projet'!$E$10+1,1))-AVERAGE(OFFSET($H$3,0,0,'Données projet'!$E$10+1,1))</f>
        <v>458.33072853676879</v>
      </c>
      <c r="AO28" s="62">
        <f t="shared" si="7"/>
        <v>254.1734169352687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projet'!$B$10,Paramètres!$A$1:$I$88,7,0))</f>
        <v>0</v>
      </c>
      <c r="AS28" s="17">
        <f>IF(ISNA(VLOOKUP(A28,'Données projet'!$A$61:$I$81,6,0)),0%,VLOOKUP(A28,'Données projet'!$A$61:$I$81,6,0)*VLOOKUP('Données projet'!$B$10,Paramètres!$A$1:$I$88,7,0))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projet'!$B$9,Paramètres!$A$1:$I$88,3,0)*0.475*44/12</f>
        <v>0</v>
      </c>
      <c r="AV28" s="23">
        <f>EXP(-LN(2)/25)*AV27+(1-EXP(-LN(2)/25))/(LN(2)/25)*Calculateur!AQ28*Calculateur!AS28*VLOOKUP('Données projet'!$B$9,Paramètres!$A$1:$I$88,3,0)*0.475*44/12</f>
        <v>0</v>
      </c>
      <c r="AW28" s="23">
        <f>EXP(-LN(2)/2)*AW27+(1-EXP(-LN(2)/2))/(LN(2)/2)*AQ28*AT28*VLOOKUP('Données projet'!$B$9,Paramètres!$A$1:$I$88,3,0)*0.475*44/12</f>
        <v>0</v>
      </c>
      <c r="AX28" s="23">
        <f t="shared" si="8"/>
        <v>0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50</v>
      </c>
      <c r="BB28" s="13">
        <f>VLOOKUP(A28,'Données projet'!$A$87:$I$107,9,0)</f>
        <v>2</v>
      </c>
      <c r="BC28" s="13">
        <f t="array" ref="BC28">INDEX(BB:BB,MIN(IF(ISNUMBER(BB28:BB224),ROW(BB28:BB224),"")))</f>
        <v>2</v>
      </c>
      <c r="BD28" s="13">
        <f>IF(A28&lt;'Données projet'!$A$88,$BA$205^A28,IF(A28='Données projet'!$A$88,'Données projet'!$B$88,BD27+BC28-BL27))</f>
        <v>50</v>
      </c>
      <c r="BE28" s="14">
        <f>BD28*VLOOKUP('Données projet'!$B$11,Paramètres!$A$1:$I$88,3,0)*VLOOKUP('Données projet'!$B$11,Paramètres!$A$1:$I$88,5,0)</f>
        <v>50.7</v>
      </c>
      <c r="BF28" s="14">
        <f t="shared" si="45"/>
        <v>14.79439117980476</v>
      </c>
      <c r="BG28" s="22">
        <f t="shared" si="9"/>
        <v>114.06939797149329</v>
      </c>
      <c r="BH28" s="62">
        <f t="shared" si="10"/>
        <v>311.3312588447626</v>
      </c>
      <c r="BI28" s="62">
        <f ca="1">AVERAGE(OFFSET($BH$3,0,0,'Données projet'!$E$11+1,1))-AVERAGE(OFFSET($H$3,0,0,'Données projet'!$E$11+1,1))</f>
        <v>447.82618173893104</v>
      </c>
      <c r="BJ28" s="62">
        <f t="shared" si="11"/>
        <v>248.96509970783379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projet'!$B$11,Paramètres!$A$1:$I$88,7,0))</f>
        <v>0</v>
      </c>
      <c r="BN28" s="17">
        <f>IF(ISNA(VLOOKUP(A28,'Données projet'!$A$87:$I$107,6,0)),0%,VLOOKUP(A28,'Données projet'!$A$87:$I$107,6,0)*VLOOKUP('Données projet'!$B$11,Paramètres!$A$1:$I$88,7,0))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projet'!$B$9,Paramètres!$A$1:$I$88,3,0)*0.475*44/12</f>
        <v>0</v>
      </c>
      <c r="BQ28" s="23">
        <f>EXP(-LN(2)/25)*BQ27+(1-EXP(-LN(2)/25))/(LN(2)/25)*Calculateur!BL28*Calculateur!BN28*VLOOKUP('Données projet'!$B$9,Paramètres!$A$1:$I$88,3,0)*0.475*44/12</f>
        <v>0</v>
      </c>
      <c r="BR28" s="23">
        <f>EXP(-LN(2)/2)*BR27+(1-EXP(-LN(2)/2))/(LN(2)/2)*BL28*BO28*VLOOKUP('Données projet'!$B$9,Paramètres!$A$1:$I$88,3,0)*0.475*44/12</f>
        <v>0</v>
      </c>
      <c r="BS28" s="24">
        <f t="shared" si="12"/>
        <v>0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projet'!$A$113:$I$133,2,0)</f>
        <v>50</v>
      </c>
      <c r="BW28" s="13">
        <f>VLOOKUP(A28,'Données projet'!$A$113:$I$133,9,0)</f>
        <v>2</v>
      </c>
      <c r="BX28" s="13">
        <f t="array" ref="BX28">INDEX(BW:BW,MIN(IF(ISNUMBER(BW28:BW224),ROW(BW28:BW224),"")))</f>
        <v>2</v>
      </c>
      <c r="BY28" s="13">
        <f>IF(A28&lt;'Données projet'!$A$114,$BV$205^A28,IF(A28='Données projet'!$A$114,'Données projet'!$B$114,BY27+BX28-CG27))</f>
        <v>50</v>
      </c>
      <c r="BZ28" s="14">
        <f>BY28*VLOOKUP('Données projet'!$B$12,Paramètres!$A$1:$I$88,3,0)*VLOOKUP('Données projet'!$B$12,Paramètres!$A$1:$I$88,5,0)</f>
        <v>53.82</v>
      </c>
      <c r="CA28" s="14">
        <f t="shared" si="46"/>
        <v>15.596024630246266</v>
      </c>
      <c r="CB28" s="22">
        <f t="shared" si="13"/>
        <v>120.89957623101225</v>
      </c>
      <c r="CC28" s="62">
        <f t="shared" si="14"/>
        <v>318.1614371042815</v>
      </c>
      <c r="CD28" s="62">
        <f ca="1">AVERAGE(OFFSET($CC$3,0,0,'Données projet'!$E$12+1,1))-AVERAGE(OFFSET($H$3,0,0,'Données projet'!$E$12+1,1))</f>
        <v>468.82871618425406</v>
      </c>
      <c r="CE28" s="62">
        <f t="shared" si="15"/>
        <v>259.37818128554397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projet'!$B$12,Paramètres!$A$1:$I$88,7,0))</f>
        <v>0</v>
      </c>
      <c r="CI28" s="17">
        <f>IF(ISNA(VLOOKUP(A28,'Données projet'!$A$113:$I$133,6,0)),0%,VLOOKUP(A28,'Données projet'!$A$113:$I$133,6,0)*VLOOKUP('Données projet'!$B$12,Paramètres!$A$1:$I$88,7,0))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projet'!$B$9,Paramètres!$A$1:$I$88,3,0)*0.475*44/12</f>
        <v>0</v>
      </c>
      <c r="CL28" s="23">
        <f>EXP(-LN(2)/25)*CL27+(1-EXP(-LN(2)/25))/(LN(2)/25)*Calculateur!CG28*Calculateur!CI28*VLOOKUP('Données projet'!$B$9,Paramètres!$A$1:$I$88,3,0)*0.475*44/12</f>
        <v>0</v>
      </c>
      <c r="CM28" s="23">
        <f>EXP(-LN(2)/2)*CM27+(1-EXP(-LN(2)/2))/(LN(2)/2)*CG28*CJ28*VLOOKUP('Données projet'!$B$9,Paramètres!$A$1:$I$88,3,0)*0.475*44/12</f>
        <v>0</v>
      </c>
      <c r="CN28" s="24">
        <f t="shared" si="16"/>
        <v>0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50</v>
      </c>
      <c r="CR28" s="13">
        <f>VLOOKUP(A28,'Données projet'!$A$139:$I$159,9,0)</f>
        <v>2</v>
      </c>
      <c r="CS28" s="13">
        <f t="array" ref="CS28">INDEX(CR:CR,MIN(IF(ISNUMBER(CR28:CR224),ROW(CR28:CR224),"")))</f>
        <v>2</v>
      </c>
      <c r="CT28" s="13">
        <f>IF(A28&lt;'Données projet'!$A$140,$CQ$205^A28,IF(A28='Données projet'!$A$140,'Données projet'!$B$140,CT27+CS28-DB27))</f>
        <v>50</v>
      </c>
      <c r="CU28" s="18">
        <f>CT28*VLOOKUP('Données projet'!$B$13,Paramètres!$A$1:$I$88,3,0)*VLOOKUP('Données projet'!$B$13,Paramètres!$A$1:$I$88,5,0)</f>
        <v>42.900000000000006</v>
      </c>
      <c r="CV28" s="14">
        <f t="shared" si="47"/>
        <v>12.764133218298472</v>
      </c>
      <c r="CW28" s="22">
        <f t="shared" si="17"/>
        <v>96.948365355203165</v>
      </c>
      <c r="CX28" s="62">
        <f t="shared" si="18"/>
        <v>294.21022622847244</v>
      </c>
      <c r="CY28" s="62">
        <f ca="1">AVERAGE(OFFSET($CX$3,0,0,'Données projet'!$E$13+1,1))-AVERAGE(OFFSET($H$3,0,0,'Données projet'!$E$13+1,1))</f>
        <v>395.19659151668884</v>
      </c>
      <c r="CZ28" s="62">
        <f t="shared" si="19"/>
        <v>222.86563304507339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projet'!$B$13,Paramètres!$A$1:$I$88,7,0))</f>
        <v>0</v>
      </c>
      <c r="DD28" s="17">
        <f>IF(ISNA(VLOOKUP(A28,'Données projet'!$A$139:$I$159,6,0)),0%,VLOOKUP(A28,'Données projet'!$A$139:$I$159,6,0)*VLOOKUP('Données projet'!$B$13,Paramètres!$A$1:$I$88,7,0))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projet'!$B$9,Paramètres!$A$1:$I$88,3,0)*0.475*44/12</f>
        <v>0</v>
      </c>
      <c r="DG28" s="23">
        <f>EXP(-LN(2)/25)*DG27+(1-EXP(-LN(2)/25))/(LN(2)/25)*Calculateur!DB28*Calculateur!DD28*VLOOKUP('Données projet'!$B$9,Paramètres!$A$1:$I$88,3,0)*0.475*44/12</f>
        <v>0</v>
      </c>
      <c r="DH28" s="23">
        <f>EXP(-LN(2)/2)*DH27+(1-EXP(-LN(2)/2))/(LN(2)/2)*DB28*DE28*VLOOKUP('Données projet'!$B$9,Paramètres!$A$1:$I$88,3,0)*0.475*44/12</f>
        <v>0</v>
      </c>
      <c r="DI28" s="24">
        <f t="shared" si="20"/>
        <v>0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2.2749999999999999</v>
      </c>
      <c r="DO28" s="13">
        <f>IF(A28&lt;'Données projet'!$A$166,$DL$205^A28,IF(A28='Données projet'!$A$166,'Données projet'!$B$166,DO27+DN28-DW27))</f>
        <v>16.764896252714362</v>
      </c>
      <c r="DP28" s="18">
        <f>DO28*VLOOKUP('Données projet'!$B$14,Paramètres!$A$1:$I$88,3,0)*VLOOKUP('Données projet'!$B$14,Paramètres!$A$1:$I$88,5,0)</f>
        <v>9.8074643078379022</v>
      </c>
      <c r="DQ28" s="14">
        <f t="shared" si="48"/>
        <v>3.464907116852427</v>
      </c>
      <c r="DR28" s="22">
        <f t="shared" si="21"/>
        <v>23.11604689800232</v>
      </c>
      <c r="DS28" s="62">
        <f t="shared" si="22"/>
        <v>220.37790777127159</v>
      </c>
      <c r="DT28" s="62">
        <f ca="1">AVERAGE(OFFSET($DS$3,0,0,'Données projet'!$E$14+1,1))-AVERAGE(OFFSET($H$3,0,0,'Données projet'!$E$14+1,1))</f>
        <v>155.18073137151848</v>
      </c>
      <c r="DU28" s="62">
        <f t="shared" si="23"/>
        <v>115.19459155667272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projet'!$B$14,Paramètres!$A$1:$I$88,7,0))</f>
        <v>0</v>
      </c>
      <c r="DY28" s="17">
        <f>IF(ISNA(VLOOKUP(A28,'Données projet'!$A$165:$I$185,6,0)),0%,VLOOKUP(A28,'Données projet'!$A$165:$I$185,6,0)*VLOOKUP('Données projet'!$B$14,Paramètres!$A$1:$I$88,7,0))</f>
        <v>0</v>
      </c>
      <c r="DZ28" s="17">
        <f>IF(ISNA(VLOOKUP(A28,'Données projet'!$A$165:$I$185,7,0)),0%,VLOOKUP(A28,'Données projet'!$A$165:$I$185,7,0))</f>
        <v>0</v>
      </c>
      <c r="EA28" s="23">
        <f>EXP(-LN(2)/35)*EA27+(1-EXP(-LN(2)/35))/(LN(2)/35)*DW28*DX28*VLOOKUP('Données projet'!$B$9,Paramètres!$A$1:$I$88,3,0)*0.475*44/12</f>
        <v>0</v>
      </c>
      <c r="EB28" s="23">
        <f>EXP(-LN(2)/25)*EB27+(1-EXP(-LN(2)/25))/(LN(2)/25)*Calculateur!DW28*Calculateur!DY28*VLOOKUP('Données projet'!$B$9,Paramètres!$A$1:$I$88,3,0)*0.475*44/12</f>
        <v>0</v>
      </c>
      <c r="EC28" s="23">
        <f>EXP(-LN(2)/2)*EC27+(1-EXP(-LN(2)/2))/(LN(2)/2)*DW28*DZ28*VLOOKUP('Données projet'!$B$9,Paramètres!$A$1:$I$88,3,0)*0.475*44/12</f>
        <v>0</v>
      </c>
      <c r="ED28" s="24">
        <f t="shared" si="24"/>
        <v>0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3.25</v>
      </c>
      <c r="EJ28" s="13">
        <f>IF(A28&lt;'Données projet'!$A$192,$EG$205^A28,IF(A28='Données projet'!$A$192,'Données projet'!$B$192,EJ27+EI28-ER27))</f>
        <v>8.9987272385922292</v>
      </c>
      <c r="EK28" s="18">
        <f>EJ28*VLOOKUP('Données projet'!$B$15,Paramètres!$A$1:$I$88,3,0)*VLOOKUP('Données projet'!$B$15,Paramètres!$A$1:$I$88,5,0)</f>
        <v>4.2114043476611629</v>
      </c>
      <c r="EL28" s="14">
        <f t="shared" si="49"/>
        <v>1.6417072272013933</v>
      </c>
      <c r="EM28" s="22">
        <f t="shared" si="25"/>
        <v>10.194169326218951</v>
      </c>
      <c r="EN28" s="62">
        <f t="shared" si="26"/>
        <v>207.45603019948823</v>
      </c>
      <c r="EO28" s="62">
        <f ca="1">AVERAGE(OFFSET($EN$3,0,0,'Données projet'!$E$15+1,1))-AVERAGE(OFFSET($H$3,0,0,'Données projet'!$E$15+1,1))</f>
        <v>238.59014604384171</v>
      </c>
      <c r="EP28" s="62">
        <f t="shared" si="27"/>
        <v>90.841373219575217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projet'!$B$15,Paramètres!$A$1:$I$88,7,0))</f>
        <v>0</v>
      </c>
      <c r="ET28" s="17">
        <f>IF(ISNA(VLOOKUP(A28,'Données projet'!$A$191:$I$211,6,0)),0%,VLOOKUP(A28,'Données projet'!$A$191:$I$211,6,0)*VLOOKUP('Données projet'!$B$15,Paramètres!$A$1:$I$88,7,0))</f>
        <v>0</v>
      </c>
      <c r="EU28" s="17">
        <f>IF(ISNA(VLOOKUP(A28,'Données projet'!$A$191:$I$211,7,0)),0%,VLOOKUP(A28,'Données projet'!$A$191:$I$211,7,0))</f>
        <v>0</v>
      </c>
      <c r="EV28" s="23">
        <f>EXP(-LN(2)/35)*EV27+(1-EXP(-LN(2)/35))/(LN(2)/35)*ER28*ES28*VLOOKUP('Données projet'!$B$9,Paramètres!$A$1:$I$88,3,0)*0.475*44/12</f>
        <v>0</v>
      </c>
      <c r="EW28" s="23">
        <f>EXP(-LN(2)/25)*EW27+(1-EXP(-LN(2)/25))/(LN(2)/25)*Calculateur!ER28*Calculateur!ET28*VLOOKUP('Données projet'!$B$9,Paramètres!$A$1:$I$88,3,0)*0.475*44/12</f>
        <v>0</v>
      </c>
      <c r="EX28" s="23">
        <f>EXP(-LN(2)/2)*EX27+(1-EXP(-LN(2)/2))/(LN(2)/2)*ER28*EU28*VLOOKUP('Données projet'!$B$9,Paramètres!$A$1:$I$88,3,0)*0.475*44/12</f>
        <v>0</v>
      </c>
      <c r="EY28" s="24">
        <f t="shared" si="28"/>
        <v>0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IF(A28&lt;'Données projet'!$A$218,$FB$205^A28,IF(A28='Données projet'!$A$218,'Données projet'!$B$218,FE27+FD28-FM27))</f>
        <v>0</v>
      </c>
      <c r="FF28" s="18" t="e">
        <f>FE28*VLOOKUP('Données projet'!$B$16,Paramètres!$A$1:$I$88,3,0)*VLOOKUP('Données projet'!$B$16,Paramètres!$A$1:$I$88,5,0)</f>
        <v>#N/A</v>
      </c>
      <c r="FG28" s="14" t="e">
        <f t="shared" si="50"/>
        <v>#N/A</v>
      </c>
      <c r="FH28" s="22" t="e">
        <f t="shared" si="29"/>
        <v>#N/A</v>
      </c>
      <c r="FI28" s="62" t="e">
        <f t="shared" si="30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31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projet'!$B$16,Paramètres!$A$1:$I$88,7,0))</f>
        <v>0</v>
      </c>
      <c r="FO28" s="17">
        <f>IF(ISNA(VLOOKUP(A28,'Données projet'!$A$217:$I$237,6,0)),0%,VLOOKUP(A28,'Données projet'!$A$217:$I$237,6,0)*VLOOKUP('Données projet'!$B$16,Paramètres!$A$1:$I$88,7,0))</f>
        <v>0</v>
      </c>
      <c r="FP28" s="17">
        <f>IF(ISNA(VLOOKUP(A28,'Données projet'!$A$217:$I$237,7,0)),0%,VLOOKUP(A28,'Données projet'!$A$217:$I$237,7,0))</f>
        <v>0</v>
      </c>
      <c r="FQ28" s="23">
        <f>EXP(-LN(2)/35)*FQ27+(1-EXP(-LN(2)/35))/(LN(2)/35)*FM28*FN28*VLOOKUP('Données projet'!$B$9,Paramètres!$A$1:$I$88,3,0)*0.475*44/12</f>
        <v>0</v>
      </c>
      <c r="FR28" s="23">
        <f>EXP(-LN(2)/25)*FR27+(1-EXP(-LN(2)/25))/(LN(2)/25)*Calculateur!FM28*Calculateur!FO28*VLOOKUP('Données projet'!$B$9,Paramètres!$A$1:$I$88,3,0)*0.475*44/12</f>
        <v>0</v>
      </c>
      <c r="FS28" s="23">
        <f>EXP(-LN(2)/2)*FS27+(1-EXP(-LN(2)/2))/(LN(2)/2)*FM28*FP28*VLOOKUP('Données projet'!$B$9,Paramètres!$A$1:$I$88,3,0)*0.475*44/12</f>
        <v>0</v>
      </c>
      <c r="FT28" s="24">
        <f t="shared" si="32"/>
        <v>0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IF(A28&lt;'Données projet'!$A$244,$FW$205^A28,IF(A28='Données projet'!$A$244,'Données projet'!$B$244,FZ27+FY28-GH27))</f>
        <v>0</v>
      </c>
      <c r="GA28" s="18" t="e">
        <f>FZ28*VLOOKUP('Données projet'!$B$17,Paramètres!$A$1:$I$88,3,0)*VLOOKUP('Données projet'!$B$17,Paramètres!$A$1:$I$88,5,0)</f>
        <v>#N/A</v>
      </c>
      <c r="GB28" s="14" t="e">
        <f t="shared" si="51"/>
        <v>#N/A</v>
      </c>
      <c r="GC28" s="22" t="e">
        <f t="shared" si="33"/>
        <v>#N/A</v>
      </c>
      <c r="GD28" s="62" t="e">
        <f t="shared" si="34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35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projet'!$B$17,Paramètres!$A$1:$I$88,7,0))</f>
        <v>0</v>
      </c>
      <c r="GJ28" s="17">
        <f>IF(ISNA(VLOOKUP(A28,'Données projet'!$A$243:$I$263,6,0)),0%,VLOOKUP(A28,'Données projet'!$A$243:$I$263,6,0)*VLOOKUP('Données projet'!$B$17,Paramètres!$A$1:$I$88,7,0))</f>
        <v>0</v>
      </c>
      <c r="GK28" s="17">
        <f>IF(ISNA(VLOOKUP(A28,'Données projet'!$A$243:$I$263,7,0)),0%,VLOOKUP(A28,'Données projet'!$A$243:$I$263,7,0))</f>
        <v>0</v>
      </c>
      <c r="GL28" s="23">
        <f>EXP(-LN(2)/35)*GL27+(1-EXP(-LN(2)/35))/(LN(2)/35)*GH28*GI28*VLOOKUP('Données projet'!$B$9,Paramètres!$A$1:$I$88,3,0)*0.475*44/12</f>
        <v>0</v>
      </c>
      <c r="GM28" s="23">
        <f>EXP(-LN(2)/25)*GM27+(1-EXP(-LN(2)/25))/(LN(2)/25)*Calculateur!GH28*Calculateur!GJ28*VLOOKUP('Données projet'!$B$9,Paramètres!$A$1:$I$88,3,0)*0.475*44/12</f>
        <v>0</v>
      </c>
      <c r="GN28" s="23">
        <f>EXP(-LN(2)/2)*GN27+(1-EXP(-LN(2)/2))/(LN(2)/2)*GH28*GK28*VLOOKUP('Données projet'!$B$9,Paramètres!$A$1:$I$88,3,0)*0.475*44/12</f>
        <v>0</v>
      </c>
      <c r="GO28" s="23">
        <f t="shared" si="36"/>
        <v>0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IF(A28&lt;'Données projet'!$A$270,$GR$205^A28,IF(A28='Données projet'!$A$270,'Données projet'!$B$270,GU27+GT28-HC27))</f>
        <v>0</v>
      </c>
      <c r="GV28" s="18" t="e">
        <f>GU28*VLOOKUP('Données projet'!$B$18,Paramètres!$A$1:$I$88,3,0)*VLOOKUP('Données projet'!$B$18,Paramètres!$A$1:$I$88,5,0)</f>
        <v>#N/A</v>
      </c>
      <c r="GW28" s="14" t="e">
        <f t="shared" si="52"/>
        <v>#N/A</v>
      </c>
      <c r="GX28" s="22" t="e">
        <f t="shared" si="37"/>
        <v>#N/A</v>
      </c>
      <c r="GY28" s="62" t="e">
        <f t="shared" si="38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39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projet'!$B$18,Paramètres!$A$1:$I$88,7,0))</f>
        <v>0</v>
      </c>
      <c r="HE28" s="17">
        <f>IF(ISNA(VLOOKUP(A28,'Données projet'!$A$269:$I$289,6,0)),0%,VLOOKUP(A28,'Données projet'!$A$269:$I$289,6,0)*VLOOKUP('Données projet'!$B$18,Paramètres!$A$1:$I$88,7,0))</f>
        <v>0</v>
      </c>
      <c r="HF28" s="17">
        <f>IF(ISNA(VLOOKUP(A28,'Données projet'!$A$269:$I$289,7,0)),0%,VLOOKUP(A28,'Données projet'!$A$269:$I$289,7,0))</f>
        <v>0</v>
      </c>
      <c r="HG28" s="23">
        <f>EXP(-LN(2)/35)*HG27+(1-EXP(-LN(2)/35))/(LN(2)/35)*HC28*HD28*VLOOKUP('Données projet'!$B$9,Paramètres!$A$1:$I$88,3,0)*0.475*44/12</f>
        <v>0</v>
      </c>
      <c r="HH28" s="23">
        <f>EXP(-LN(2)/25)*HH27+(1-EXP(-LN(2)/25))/(LN(2)/25)*Calculateur!HC28*Calculateur!HE28*VLOOKUP('Données projet'!$B$9,Paramètres!$A$1:$I$88,3,0)*0.475*44/12</f>
        <v>0</v>
      </c>
      <c r="HI28" s="23">
        <f>EXP(-LN(2)/2)*HI27+(1-EXP(-LN(2)/2))/(LN(2)/2)*HC28*HF28*VLOOKUP('Données projet'!$B$9,Paramètres!$A$1:$I$88,3,0)*0.475*44/12</f>
        <v>0</v>
      </c>
      <c r="HJ28" s="24">
        <f t="shared" si="40"/>
        <v>0</v>
      </c>
    </row>
    <row r="29" spans="1:218" s="5" customFormat="1" x14ac:dyDescent="0.25">
      <c r="A29" s="11">
        <f t="shared" si="4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9" s="12">
        <f t="shared" si="4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135.66666666666666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1.9887500000000009</v>
      </c>
      <c r="N29" s="14">
        <f>IF(A29&lt;'Données projet'!$A$36,$K$205^A29,IF(A29='Données projet'!$A$36,'Données projet'!$B$36,N28+M29-V28))</f>
        <v>46.832500000000024</v>
      </c>
      <c r="O29" s="14">
        <f>N29*VLOOKUP('Données projet'!$B$9,Paramètres!$A$1:$I$88,3,0)*VLOOKUP('Données projet'!$B$9,Paramètres!$A$1:$I$88,5,0)</f>
        <v>53.951040000000027</v>
      </c>
      <c r="P29" s="14">
        <f t="shared" si="43"/>
        <v>15.629572760496334</v>
      </c>
      <c r="Q29" s="22">
        <f t="shared" si="2"/>
        <v>121.18623389119783</v>
      </c>
      <c r="R29" s="62">
        <f t="shared" si="0"/>
        <v>321.23092813485584</v>
      </c>
      <c r="S29" s="62">
        <f ca="1">AVERAGE(OFFSET($R$3,0,0,'Données projet'!$E$9+1,1))-AVERAGE(OFFSET($H$3,0,0,'Données projet'!$E$9+1,1))</f>
        <v>314.72063458462026</v>
      </c>
      <c r="T29" s="62">
        <f t="shared" si="3"/>
        <v>216.4380325968244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projet'!$B$9,Paramètres!$A$1:$I$88,7,0))</f>
        <v>0</v>
      </c>
      <c r="X29" s="17">
        <f>IF(ISNA(VLOOKUP(A29,'Données projet'!$A$35:$I$55,6,0)),0%,VLOOKUP(A29,'Données projet'!$A$35:$I$55,6,0)*VLOOKUP('Données projet'!$B$9,Paramètres!$A$1:$I$88,7,0))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projet'!$B$9,Paramètres!$A$1:$I$88,3,0)*0.475*44/12</f>
        <v>0</v>
      </c>
      <c r="AA29" s="23">
        <f>EXP(-LN(2)/25)*AA28+(1-EXP(-LN(2)/25))/(LN(2)/25)*Calculateur!V29*Calculateur!X29*VLOOKUP('Données projet'!$B$9,Paramètres!$A$1:$I$88,3,0)*0.475*44/12</f>
        <v>0</v>
      </c>
      <c r="AB29" s="23">
        <f>EXP(-LN(2)/2)*AB28+(1-EXP(-LN(2)/2))/(LN(2)/2)*V29*Y29*VLOOKUP('Données projet'!$B$9,Paramètres!$A$1:$I$88,3,0)*0.475*44/12</f>
        <v>0</v>
      </c>
      <c r="AC29" s="24">
        <f t="shared" si="4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5.4</v>
      </c>
      <c r="AI29" s="14">
        <f>IF(A29&lt;'Données projet'!$A$62,$AF$205^A29,IF(A29='Données projet'!$A$62,'Données projet'!$B$62,AI28+AH29-AQ28))</f>
        <v>55.4</v>
      </c>
      <c r="AJ29" s="14">
        <f>AI29*VLOOKUP('Données projet'!$B$10,Paramètres!$A$1:$I$88,3,0)*VLOOKUP('Données projet'!$B$10,Paramètres!$A$1:$I$88,5,0)</f>
        <v>57.904080000000008</v>
      </c>
      <c r="AK29" s="14">
        <f t="shared" si="44"/>
        <v>16.63726306938754</v>
      </c>
      <c r="AL29" s="22">
        <f t="shared" si="5"/>
        <v>129.82617251251665</v>
      </c>
      <c r="AM29" s="62">
        <f t="shared" si="6"/>
        <v>329.87086675617468</v>
      </c>
      <c r="AN29" s="62">
        <f ca="1">AVERAGE(OFFSET($AM$3,0,0,'Données projet'!$E$10+1,1))-AVERAGE(OFFSET($H$3,0,0,'Données projet'!$E$10+1,1))</f>
        <v>458.33072853676879</v>
      </c>
      <c r="AO29" s="62">
        <f t="shared" si="7"/>
        <v>254.1734169352687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projet'!$B$10,Paramètres!$A$1:$I$88,7,0))</f>
        <v>0</v>
      </c>
      <c r="AS29" s="17">
        <f>IF(ISNA(VLOOKUP(A29,'Données projet'!$A$61:$I$81,6,0)),0%,VLOOKUP(A29,'Données projet'!$A$61:$I$81,6,0)*VLOOKUP('Données projet'!$B$10,Paramètres!$A$1:$I$88,7,0))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projet'!$B$9,Paramètres!$A$1:$I$88,3,0)*0.475*44/12</f>
        <v>0</v>
      </c>
      <c r="AV29" s="23">
        <f>EXP(-LN(2)/25)*AV28+(1-EXP(-LN(2)/25))/(LN(2)/25)*Calculateur!AQ29*Calculateur!AS29*VLOOKUP('Données projet'!$B$9,Paramètres!$A$1:$I$88,3,0)*0.475*44/12</f>
        <v>0</v>
      </c>
      <c r="AW29" s="23">
        <f>EXP(-LN(2)/2)*AW28+(1-EXP(-LN(2)/2))/(LN(2)/2)*AQ29*AT29*VLOOKUP('Données projet'!$B$9,Paramètres!$A$1:$I$88,3,0)*0.475*44/12</f>
        <v>0</v>
      </c>
      <c r="AX29" s="23">
        <f t="shared" si="8"/>
        <v>0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5.4</v>
      </c>
      <c r="BD29" s="13">
        <f>IF(A29&lt;'Données projet'!$A$88,$BA$205^A29,IF(A29='Données projet'!$A$88,'Données projet'!$B$88,BD28+BC29-BL28))</f>
        <v>55.4</v>
      </c>
      <c r="BE29" s="14">
        <f>BD29*VLOOKUP('Données projet'!$B$11,Paramètres!$A$1:$I$88,3,0)*VLOOKUP('Données projet'!$B$11,Paramètres!$A$1:$I$88,5,0)</f>
        <v>56.175599999999996</v>
      </c>
      <c r="BF29" s="14">
        <f t="shared" si="45"/>
        <v>16.197665647912697</v>
      </c>
      <c r="BG29" s="22">
        <f t="shared" si="9"/>
        <v>126.05010433678125</v>
      </c>
      <c r="BH29" s="62">
        <f t="shared" si="10"/>
        <v>326.09479858043926</v>
      </c>
      <c r="BI29" s="62">
        <f ca="1">AVERAGE(OFFSET($BH$3,0,0,'Données projet'!$E$11+1,1))-AVERAGE(OFFSET($H$3,0,0,'Données projet'!$E$11+1,1))</f>
        <v>447.82618173893104</v>
      </c>
      <c r="BJ29" s="62">
        <f t="shared" si="11"/>
        <v>248.96509970783379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projet'!$B$11,Paramètres!$A$1:$I$88,7,0))</f>
        <v>0</v>
      </c>
      <c r="BN29" s="17">
        <f>IF(ISNA(VLOOKUP(A29,'Données projet'!$A$87:$I$107,6,0)),0%,VLOOKUP(A29,'Données projet'!$A$87:$I$107,6,0)*VLOOKUP('Données projet'!$B$11,Paramètres!$A$1:$I$88,7,0))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projet'!$B$9,Paramètres!$A$1:$I$88,3,0)*0.475*44/12</f>
        <v>0</v>
      </c>
      <c r="BQ29" s="23">
        <f>EXP(-LN(2)/25)*BQ28+(1-EXP(-LN(2)/25))/(LN(2)/25)*Calculateur!BL29*Calculateur!BN29*VLOOKUP('Données projet'!$B$9,Paramètres!$A$1:$I$88,3,0)*0.475*44/12</f>
        <v>0</v>
      </c>
      <c r="BR29" s="23">
        <f>EXP(-LN(2)/2)*BR28+(1-EXP(-LN(2)/2))/(LN(2)/2)*BL29*BO29*VLOOKUP('Données projet'!$B$9,Paramètres!$A$1:$I$88,3,0)*0.475*44/12</f>
        <v>0</v>
      </c>
      <c r="BS29" s="24">
        <f t="shared" si="12"/>
        <v>0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5.4</v>
      </c>
      <c r="BY29" s="13">
        <f>IF(A29&lt;'Données projet'!$A$114,$BV$205^A29,IF(A29='Données projet'!$A$114,'Données projet'!$B$114,BY28+BX29-CG28))</f>
        <v>55.4</v>
      </c>
      <c r="BZ29" s="14">
        <f>BY29*VLOOKUP('Données projet'!$B$12,Paramètres!$A$1:$I$88,3,0)*VLOOKUP('Données projet'!$B$12,Paramètres!$A$1:$I$88,5,0)</f>
        <v>59.632559999999998</v>
      </c>
      <c r="CA29" s="14">
        <f t="shared" si="46"/>
        <v>17.075335465117412</v>
      </c>
      <c r="CB29" s="22">
        <f t="shared" si="13"/>
        <v>133.59958460174616</v>
      </c>
      <c r="CC29" s="62">
        <f t="shared" si="14"/>
        <v>333.64427884540419</v>
      </c>
      <c r="CD29" s="62">
        <f ca="1">AVERAGE(OFFSET($CC$3,0,0,'Données projet'!$E$12+1,1))-AVERAGE(OFFSET($H$3,0,0,'Données projet'!$E$12+1,1))</f>
        <v>468.82871618425406</v>
      </c>
      <c r="CE29" s="62">
        <f t="shared" si="15"/>
        <v>259.37818128554397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projet'!$B$12,Paramètres!$A$1:$I$88,7,0))</f>
        <v>0</v>
      </c>
      <c r="CI29" s="17">
        <f>IF(ISNA(VLOOKUP(A29,'Données projet'!$A$113:$I$133,6,0)),0%,VLOOKUP(A29,'Données projet'!$A$113:$I$133,6,0)*VLOOKUP('Données projet'!$B$12,Paramètres!$A$1:$I$88,7,0))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projet'!$B$9,Paramètres!$A$1:$I$88,3,0)*0.475*44/12</f>
        <v>0</v>
      </c>
      <c r="CL29" s="23">
        <f>EXP(-LN(2)/25)*CL28+(1-EXP(-LN(2)/25))/(LN(2)/25)*Calculateur!CG29*Calculateur!CI29*VLOOKUP('Données projet'!$B$9,Paramètres!$A$1:$I$88,3,0)*0.475*44/12</f>
        <v>0</v>
      </c>
      <c r="CM29" s="23">
        <f>EXP(-LN(2)/2)*CM28+(1-EXP(-LN(2)/2))/(LN(2)/2)*CG29*CJ29*VLOOKUP('Données projet'!$B$9,Paramètres!$A$1:$I$88,3,0)*0.475*44/12</f>
        <v>0</v>
      </c>
      <c r="CN29" s="24">
        <f t="shared" si="16"/>
        <v>0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5.4</v>
      </c>
      <c r="CT29" s="13">
        <f>IF(A29&lt;'Données projet'!$A$140,$CQ$205^A29,IF(A29='Données projet'!$A$140,'Données projet'!$B$140,CT28+CS29-DB28))</f>
        <v>55.4</v>
      </c>
      <c r="CU29" s="18">
        <f>CT29*VLOOKUP('Données projet'!$B$13,Paramètres!$A$1:$I$88,3,0)*VLOOKUP('Données projet'!$B$13,Paramètres!$A$1:$I$88,5,0)</f>
        <v>47.533200000000008</v>
      </c>
      <c r="CV29" s="14">
        <f t="shared" si="47"/>
        <v>13.974834086963968</v>
      </c>
      <c r="CW29" s="22">
        <f t="shared" si="17"/>
        <v>107.12649270146225</v>
      </c>
      <c r="CX29" s="62">
        <f t="shared" si="18"/>
        <v>307.17118694512027</v>
      </c>
      <c r="CY29" s="62">
        <f ca="1">AVERAGE(OFFSET($CX$3,0,0,'Données projet'!$E$13+1,1))-AVERAGE(OFFSET($H$3,0,0,'Données projet'!$E$13+1,1))</f>
        <v>395.19659151668884</v>
      </c>
      <c r="CZ29" s="62">
        <f t="shared" si="19"/>
        <v>222.86563304507339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projet'!$B$13,Paramètres!$A$1:$I$88,7,0))</f>
        <v>0</v>
      </c>
      <c r="DD29" s="17">
        <f>IF(ISNA(VLOOKUP(A29,'Données projet'!$A$139:$I$159,6,0)),0%,VLOOKUP(A29,'Données projet'!$A$139:$I$159,6,0)*VLOOKUP('Données projet'!$B$13,Paramètres!$A$1:$I$88,7,0))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projet'!$B$9,Paramètres!$A$1:$I$88,3,0)*0.475*44/12</f>
        <v>0</v>
      </c>
      <c r="DG29" s="23">
        <f>EXP(-LN(2)/25)*DG28+(1-EXP(-LN(2)/25))/(LN(2)/25)*Calculateur!DB29*Calculateur!DD29*VLOOKUP('Données projet'!$B$9,Paramètres!$A$1:$I$88,3,0)*0.475*44/12</f>
        <v>0</v>
      </c>
      <c r="DH29" s="23">
        <f>EXP(-LN(2)/2)*DH28+(1-EXP(-LN(2)/2))/(LN(2)/2)*DB29*DE29*VLOOKUP('Données projet'!$B$9,Paramètres!$A$1:$I$88,3,0)*0.475*44/12</f>
        <v>0</v>
      </c>
      <c r="DI29" s="24">
        <f t="shared" si="20"/>
        <v>0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2.2749999999999999</v>
      </c>
      <c r="DO29" s="13">
        <f>IF(A29&lt;'Données projet'!$A$166,$DL$205^A29,IF(A29='Données projet'!$A$166,'Données projet'!$B$166,DO28+DN29-DW28))</f>
        <v>18.766224393311198</v>
      </c>
      <c r="DP29" s="18">
        <f>DO29*VLOOKUP('Données projet'!$B$14,Paramètres!$A$1:$I$88,3,0)*VLOOKUP('Données projet'!$B$14,Paramètres!$A$1:$I$88,5,0)</f>
        <v>10.978241270087052</v>
      </c>
      <c r="DQ29" s="14">
        <f t="shared" si="48"/>
        <v>3.8279549794921897</v>
      </c>
      <c r="DR29" s="22">
        <f t="shared" si="21"/>
        <v>25.787458468017178</v>
      </c>
      <c r="DS29" s="62">
        <f t="shared" si="22"/>
        <v>225.83215271167518</v>
      </c>
      <c r="DT29" s="62">
        <f ca="1">AVERAGE(OFFSET($DS$3,0,0,'Données projet'!$E$14+1,1))-AVERAGE(OFFSET($H$3,0,0,'Données projet'!$E$14+1,1))</f>
        <v>155.18073137151848</v>
      </c>
      <c r="DU29" s="62">
        <f t="shared" si="23"/>
        <v>115.19459155667272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projet'!$B$14,Paramètres!$A$1:$I$88,7,0))</f>
        <v>0</v>
      </c>
      <c r="DY29" s="17">
        <f>IF(ISNA(VLOOKUP(A29,'Données projet'!$A$165:$I$185,6,0)),0%,VLOOKUP(A29,'Données projet'!$A$165:$I$185,6,0)*VLOOKUP('Données projet'!$B$14,Paramètres!$A$1:$I$88,7,0))</f>
        <v>0</v>
      </c>
      <c r="DZ29" s="17">
        <f>IF(ISNA(VLOOKUP(A29,'Données projet'!$A$165:$I$185,7,0)),0%,VLOOKUP(A29,'Données projet'!$A$165:$I$185,7,0))</f>
        <v>0</v>
      </c>
      <c r="EA29" s="23">
        <f>EXP(-LN(2)/35)*EA28+(1-EXP(-LN(2)/35))/(LN(2)/35)*DW29*DX29*VLOOKUP('Données projet'!$B$9,Paramètres!$A$1:$I$88,3,0)*0.475*44/12</f>
        <v>0</v>
      </c>
      <c r="EB29" s="23">
        <f>EXP(-LN(2)/25)*EB28+(1-EXP(-LN(2)/25))/(LN(2)/25)*Calculateur!DW29*Calculateur!DY29*VLOOKUP('Données projet'!$B$9,Paramètres!$A$1:$I$88,3,0)*0.475*44/12</f>
        <v>0</v>
      </c>
      <c r="EC29" s="23">
        <f>EXP(-LN(2)/2)*EC28+(1-EXP(-LN(2)/2))/(LN(2)/2)*DW29*DZ29*VLOOKUP('Données projet'!$B$9,Paramètres!$A$1:$I$88,3,0)*0.475*44/12</f>
        <v>0</v>
      </c>
      <c r="ED29" s="24">
        <f t="shared" si="24"/>
        <v>0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3.25</v>
      </c>
      <c r="EJ29" s="13">
        <f>IF(A29&lt;'Données projet'!$A$192,$EG$205^A29,IF(A29='Données projet'!$A$192,'Données projet'!$B$192,EJ28+EI29-ER28))</f>
        <v>9.8253568271186271</v>
      </c>
      <c r="EK29" s="18">
        <f>EJ29*VLOOKUP('Données projet'!$B$15,Paramètres!$A$1:$I$88,3,0)*VLOOKUP('Données projet'!$B$15,Paramètres!$A$1:$I$88,5,0)</f>
        <v>4.5982669950915174</v>
      </c>
      <c r="EL29" s="14">
        <f t="shared" si="49"/>
        <v>1.7742723574383779</v>
      </c>
      <c r="EM29" s="22">
        <f t="shared" si="25"/>
        <v>11.0988393723229</v>
      </c>
      <c r="EN29" s="62">
        <f t="shared" si="26"/>
        <v>211.14353361598091</v>
      </c>
      <c r="EO29" s="62">
        <f ca="1">AVERAGE(OFFSET($EN$3,0,0,'Données projet'!$E$15+1,1))-AVERAGE(OFFSET($H$3,0,0,'Données projet'!$E$15+1,1))</f>
        <v>238.59014604384171</v>
      </c>
      <c r="EP29" s="62">
        <f t="shared" si="27"/>
        <v>90.841373219575217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projet'!$B$15,Paramètres!$A$1:$I$88,7,0))</f>
        <v>0</v>
      </c>
      <c r="ET29" s="17">
        <f>IF(ISNA(VLOOKUP(A29,'Données projet'!$A$191:$I$211,6,0)),0%,VLOOKUP(A29,'Données projet'!$A$191:$I$211,6,0)*VLOOKUP('Données projet'!$B$15,Paramètres!$A$1:$I$88,7,0))</f>
        <v>0</v>
      </c>
      <c r="EU29" s="17">
        <f>IF(ISNA(VLOOKUP(A29,'Données projet'!$A$191:$I$211,7,0)),0%,VLOOKUP(A29,'Données projet'!$A$191:$I$211,7,0))</f>
        <v>0</v>
      </c>
      <c r="EV29" s="23">
        <f>EXP(-LN(2)/35)*EV28+(1-EXP(-LN(2)/35))/(LN(2)/35)*ER29*ES29*VLOOKUP('Données projet'!$B$9,Paramètres!$A$1:$I$88,3,0)*0.475*44/12</f>
        <v>0</v>
      </c>
      <c r="EW29" s="23">
        <f>EXP(-LN(2)/25)*EW28+(1-EXP(-LN(2)/25))/(LN(2)/25)*Calculateur!ER29*Calculateur!ET29*VLOOKUP('Données projet'!$B$9,Paramètres!$A$1:$I$88,3,0)*0.475*44/12</f>
        <v>0</v>
      </c>
      <c r="EX29" s="23">
        <f>EXP(-LN(2)/2)*EX28+(1-EXP(-LN(2)/2))/(LN(2)/2)*ER29*EU29*VLOOKUP('Données projet'!$B$9,Paramètres!$A$1:$I$88,3,0)*0.475*44/12</f>
        <v>0</v>
      </c>
      <c r="EY29" s="24">
        <f t="shared" si="28"/>
        <v>0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IF(A29&lt;'Données projet'!$A$218,$FB$205^A29,IF(A29='Données projet'!$A$218,'Données projet'!$B$218,FE28+FD29-FM28))</f>
        <v>0</v>
      </c>
      <c r="FF29" s="18" t="e">
        <f>FE29*VLOOKUP('Données projet'!$B$16,Paramètres!$A$1:$I$88,3,0)*VLOOKUP('Données projet'!$B$16,Paramètres!$A$1:$I$88,5,0)</f>
        <v>#N/A</v>
      </c>
      <c r="FG29" s="14" t="e">
        <f t="shared" si="50"/>
        <v>#N/A</v>
      </c>
      <c r="FH29" s="22" t="e">
        <f t="shared" si="29"/>
        <v>#N/A</v>
      </c>
      <c r="FI29" s="62" t="e">
        <f t="shared" si="30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31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projet'!$B$16,Paramètres!$A$1:$I$88,7,0))</f>
        <v>0</v>
      </c>
      <c r="FO29" s="17">
        <f>IF(ISNA(VLOOKUP(A29,'Données projet'!$A$217:$I$237,6,0)),0%,VLOOKUP(A29,'Données projet'!$A$217:$I$237,6,0)*VLOOKUP('Données projet'!$B$16,Paramètres!$A$1:$I$88,7,0))</f>
        <v>0</v>
      </c>
      <c r="FP29" s="17">
        <f>IF(ISNA(VLOOKUP(A29,'Données projet'!$A$217:$I$237,7,0)),0%,VLOOKUP(A29,'Données projet'!$A$217:$I$237,7,0))</f>
        <v>0</v>
      </c>
      <c r="FQ29" s="23">
        <f>EXP(-LN(2)/35)*FQ28+(1-EXP(-LN(2)/35))/(LN(2)/35)*FM29*FN29*VLOOKUP('Données projet'!$B$9,Paramètres!$A$1:$I$88,3,0)*0.475*44/12</f>
        <v>0</v>
      </c>
      <c r="FR29" s="23">
        <f>EXP(-LN(2)/25)*FR28+(1-EXP(-LN(2)/25))/(LN(2)/25)*Calculateur!FM29*Calculateur!FO29*VLOOKUP('Données projet'!$B$9,Paramètres!$A$1:$I$88,3,0)*0.475*44/12</f>
        <v>0</v>
      </c>
      <c r="FS29" s="23">
        <f>EXP(-LN(2)/2)*FS28+(1-EXP(-LN(2)/2))/(LN(2)/2)*FM29*FP29*VLOOKUP('Données projet'!$B$9,Paramètres!$A$1:$I$88,3,0)*0.475*44/12</f>
        <v>0</v>
      </c>
      <c r="FT29" s="24">
        <f t="shared" si="32"/>
        <v>0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IF(A29&lt;'Données projet'!$A$244,$FW$205^A29,IF(A29='Données projet'!$A$244,'Données projet'!$B$244,FZ28+FY29-GH28))</f>
        <v>0</v>
      </c>
      <c r="GA29" s="18" t="e">
        <f>FZ29*VLOOKUP('Données projet'!$B$17,Paramètres!$A$1:$I$88,3,0)*VLOOKUP('Données projet'!$B$17,Paramètres!$A$1:$I$88,5,0)</f>
        <v>#N/A</v>
      </c>
      <c r="GB29" s="14" t="e">
        <f t="shared" si="51"/>
        <v>#N/A</v>
      </c>
      <c r="GC29" s="22" t="e">
        <f t="shared" si="33"/>
        <v>#N/A</v>
      </c>
      <c r="GD29" s="62" t="e">
        <f t="shared" si="34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35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projet'!$B$17,Paramètres!$A$1:$I$88,7,0))</f>
        <v>0</v>
      </c>
      <c r="GJ29" s="17">
        <f>IF(ISNA(VLOOKUP(A29,'Données projet'!$A$243:$I$263,6,0)),0%,VLOOKUP(A29,'Données projet'!$A$243:$I$263,6,0)*VLOOKUP('Données projet'!$B$17,Paramètres!$A$1:$I$88,7,0))</f>
        <v>0</v>
      </c>
      <c r="GK29" s="17">
        <f>IF(ISNA(VLOOKUP(A29,'Données projet'!$A$243:$I$263,7,0)),0%,VLOOKUP(A29,'Données projet'!$A$243:$I$263,7,0))</f>
        <v>0</v>
      </c>
      <c r="GL29" s="23">
        <f>EXP(-LN(2)/35)*GL28+(1-EXP(-LN(2)/35))/(LN(2)/35)*GH29*GI29*VLOOKUP('Données projet'!$B$9,Paramètres!$A$1:$I$88,3,0)*0.475*44/12</f>
        <v>0</v>
      </c>
      <c r="GM29" s="23">
        <f>EXP(-LN(2)/25)*GM28+(1-EXP(-LN(2)/25))/(LN(2)/25)*Calculateur!GH29*Calculateur!GJ29*VLOOKUP('Données projet'!$B$9,Paramètres!$A$1:$I$88,3,0)*0.475*44/12</f>
        <v>0</v>
      </c>
      <c r="GN29" s="23">
        <f>EXP(-LN(2)/2)*GN28+(1-EXP(-LN(2)/2))/(LN(2)/2)*GH29*GK29*VLOOKUP('Données projet'!$B$9,Paramètres!$A$1:$I$88,3,0)*0.475*44/12</f>
        <v>0</v>
      </c>
      <c r="GO29" s="23">
        <f t="shared" si="36"/>
        <v>0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IF(A29&lt;'Données projet'!$A$270,$GR$205^A29,IF(A29='Données projet'!$A$270,'Données projet'!$B$270,GU28+GT29-HC28))</f>
        <v>0</v>
      </c>
      <c r="GV29" s="18" t="e">
        <f>GU29*VLOOKUP('Données projet'!$B$18,Paramètres!$A$1:$I$88,3,0)*VLOOKUP('Données projet'!$B$18,Paramètres!$A$1:$I$88,5,0)</f>
        <v>#N/A</v>
      </c>
      <c r="GW29" s="14" t="e">
        <f t="shared" si="52"/>
        <v>#N/A</v>
      </c>
      <c r="GX29" s="22" t="e">
        <f t="shared" si="37"/>
        <v>#N/A</v>
      </c>
      <c r="GY29" s="62" t="e">
        <f t="shared" si="38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39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projet'!$B$18,Paramètres!$A$1:$I$88,7,0))</f>
        <v>0</v>
      </c>
      <c r="HE29" s="17">
        <f>IF(ISNA(VLOOKUP(A29,'Données projet'!$A$269:$I$289,6,0)),0%,VLOOKUP(A29,'Données projet'!$A$269:$I$289,6,0)*VLOOKUP('Données projet'!$B$18,Paramètres!$A$1:$I$88,7,0))</f>
        <v>0</v>
      </c>
      <c r="HF29" s="17">
        <f>IF(ISNA(VLOOKUP(A29,'Données projet'!$A$269:$I$289,7,0)),0%,VLOOKUP(A29,'Données projet'!$A$269:$I$289,7,0))</f>
        <v>0</v>
      </c>
      <c r="HG29" s="23">
        <f>EXP(-LN(2)/35)*HG28+(1-EXP(-LN(2)/35))/(LN(2)/35)*HC29*HD29*VLOOKUP('Données projet'!$B$9,Paramètres!$A$1:$I$88,3,0)*0.475*44/12</f>
        <v>0</v>
      </c>
      <c r="HH29" s="23">
        <f>EXP(-LN(2)/25)*HH28+(1-EXP(-LN(2)/25))/(LN(2)/25)*Calculateur!HC29*Calculateur!HE29*VLOOKUP('Données projet'!$B$9,Paramètres!$A$1:$I$88,3,0)*0.475*44/12</f>
        <v>0</v>
      </c>
      <c r="HI29" s="23">
        <f>EXP(-LN(2)/2)*HI28+(1-EXP(-LN(2)/2))/(LN(2)/2)*HC29*HF29*VLOOKUP('Données projet'!$B$9,Paramètres!$A$1:$I$88,3,0)*0.475*44/12</f>
        <v>0</v>
      </c>
      <c r="HJ29" s="24">
        <f t="shared" si="40"/>
        <v>0</v>
      </c>
    </row>
    <row r="30" spans="1:218" s="5" customFormat="1" x14ac:dyDescent="0.25">
      <c r="A30" s="11">
        <f t="shared" si="4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0" s="12">
        <f t="shared" si="4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135.66666666666666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1.9887500000000009</v>
      </c>
      <c r="N30" s="14">
        <f>IF(A30&lt;'Données projet'!$A$36,$K$205^A30,IF(A30='Données projet'!$A$36,'Données projet'!$B$36,N29+M30-V29))</f>
        <v>48.821250000000028</v>
      </c>
      <c r="O30" s="14">
        <f>N30*VLOOKUP('Données projet'!$B$9,Paramètres!$A$1:$I$88,3,0)*VLOOKUP('Données projet'!$B$9,Paramètres!$A$1:$I$88,5,0)</f>
        <v>56.242080000000023</v>
      </c>
      <c r="P30" s="14">
        <f t="shared" si="43"/>
        <v>16.214602064519848</v>
      </c>
      <c r="Q30" s="22">
        <f t="shared" si="2"/>
        <v>126.19538792903876</v>
      </c>
      <c r="R30" s="62">
        <f t="shared" si="0"/>
        <v>328.99584242866865</v>
      </c>
      <c r="S30" s="62">
        <f ca="1">AVERAGE(OFFSET($R$3,0,0,'Données projet'!$E$9+1,1))-AVERAGE(OFFSET($H$3,0,0,'Données projet'!$E$9+1,1))</f>
        <v>314.72063458462026</v>
      </c>
      <c r="T30" s="62">
        <f t="shared" si="3"/>
        <v>216.4380325968244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projet'!$B$9,Paramètres!$A$1:$I$88,7,0))</f>
        <v>0</v>
      </c>
      <c r="X30" s="17">
        <f>IF(ISNA(VLOOKUP(A30,'Données projet'!$A$35:$I$55,6,0)),0%,VLOOKUP(A30,'Données projet'!$A$35:$I$55,6,0)*VLOOKUP('Données projet'!$B$9,Paramètres!$A$1:$I$88,7,0))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projet'!$B$9,Paramètres!$A$1:$I$88,3,0)*0.475*44/12</f>
        <v>0</v>
      </c>
      <c r="AA30" s="23">
        <f>EXP(-LN(2)/25)*AA29+(1-EXP(-LN(2)/25))/(LN(2)/25)*Calculateur!V30*Calculateur!X30*VLOOKUP('Données projet'!$B$9,Paramètres!$A$1:$I$88,3,0)*0.475*44/12</f>
        <v>0</v>
      </c>
      <c r="AB30" s="23">
        <f>EXP(-LN(2)/2)*AB29+(1-EXP(-LN(2)/2))/(LN(2)/2)*V30*Y30*VLOOKUP('Données projet'!$B$9,Paramètres!$A$1:$I$88,3,0)*0.475*44/12</f>
        <v>0</v>
      </c>
      <c r="AC30" s="24">
        <f t="shared" si="4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5.4</v>
      </c>
      <c r="AI30" s="14">
        <f>IF(A30&lt;'Données projet'!$A$62,$AF$205^A30,IF(A30='Données projet'!$A$62,'Données projet'!$B$62,AI29+AH30-AQ29))</f>
        <v>60.8</v>
      </c>
      <c r="AJ30" s="14">
        <f>AI30*VLOOKUP('Données projet'!$B$10,Paramètres!$A$1:$I$88,3,0)*VLOOKUP('Données projet'!$B$10,Paramètres!$A$1:$I$88,5,0)</f>
        <v>63.548159999999996</v>
      </c>
      <c r="AK30" s="14">
        <f t="shared" si="44"/>
        <v>18.062333563580754</v>
      </c>
      <c r="AL30" s="22">
        <f t="shared" si="5"/>
        <v>142.13827628990313</v>
      </c>
      <c r="AM30" s="62">
        <f t="shared" si="6"/>
        <v>344.938730789533</v>
      </c>
      <c r="AN30" s="62">
        <f ca="1">AVERAGE(OFFSET($AM$3,0,0,'Données projet'!$E$10+1,1))-AVERAGE(OFFSET($H$3,0,0,'Données projet'!$E$10+1,1))</f>
        <v>458.33072853676879</v>
      </c>
      <c r="AO30" s="62">
        <f t="shared" si="7"/>
        <v>254.1734169352687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projet'!$B$10,Paramètres!$A$1:$I$88,7,0))</f>
        <v>0</v>
      </c>
      <c r="AS30" s="17">
        <f>IF(ISNA(VLOOKUP(A30,'Données projet'!$A$61:$I$81,6,0)),0%,VLOOKUP(A30,'Données projet'!$A$61:$I$81,6,0)*VLOOKUP('Données projet'!$B$10,Paramètres!$A$1:$I$88,7,0))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projet'!$B$9,Paramètres!$A$1:$I$88,3,0)*0.475*44/12</f>
        <v>0</v>
      </c>
      <c r="AV30" s="23">
        <f>EXP(-LN(2)/25)*AV29+(1-EXP(-LN(2)/25))/(LN(2)/25)*Calculateur!AQ30*Calculateur!AS30*VLOOKUP('Données projet'!$B$9,Paramètres!$A$1:$I$88,3,0)*0.475*44/12</f>
        <v>0</v>
      </c>
      <c r="AW30" s="23">
        <f>EXP(-LN(2)/2)*AW29+(1-EXP(-LN(2)/2))/(LN(2)/2)*AQ30*AT30*VLOOKUP('Données projet'!$B$9,Paramètres!$A$1:$I$88,3,0)*0.475*44/12</f>
        <v>0</v>
      </c>
      <c r="AX30" s="23">
        <f t="shared" si="8"/>
        <v>0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5.4</v>
      </c>
      <c r="BD30" s="13">
        <f>IF(A30&lt;'Données projet'!$A$88,$BA$205^A30,IF(A30='Données projet'!$A$88,'Données projet'!$B$88,BD29+BC30-BL29))</f>
        <v>60.8</v>
      </c>
      <c r="BE30" s="14">
        <f>BD30*VLOOKUP('Données projet'!$B$11,Paramètres!$A$1:$I$88,3,0)*VLOOKUP('Données projet'!$B$11,Paramètres!$A$1:$I$88,5,0)</f>
        <v>61.651199999999996</v>
      </c>
      <c r="BF30" s="14">
        <f t="shared" si="45"/>
        <v>17.585082273674896</v>
      </c>
      <c r="BG30" s="22">
        <f t="shared" si="9"/>
        <v>138.00319162665042</v>
      </c>
      <c r="BH30" s="62">
        <f t="shared" si="10"/>
        <v>340.80364612628028</v>
      </c>
      <c r="BI30" s="62">
        <f ca="1">AVERAGE(OFFSET($BH$3,0,0,'Données projet'!$E$11+1,1))-AVERAGE(OFFSET($H$3,0,0,'Données projet'!$E$11+1,1))</f>
        <v>447.82618173893104</v>
      </c>
      <c r="BJ30" s="62">
        <f t="shared" si="11"/>
        <v>248.96509970783379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projet'!$B$11,Paramètres!$A$1:$I$88,7,0))</f>
        <v>0</v>
      </c>
      <c r="BN30" s="17">
        <f>IF(ISNA(VLOOKUP(A30,'Données projet'!$A$87:$I$107,6,0)),0%,VLOOKUP(A30,'Données projet'!$A$87:$I$107,6,0)*VLOOKUP('Données projet'!$B$11,Paramètres!$A$1:$I$88,7,0))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projet'!$B$9,Paramètres!$A$1:$I$88,3,0)*0.475*44/12</f>
        <v>0</v>
      </c>
      <c r="BQ30" s="23">
        <f>EXP(-LN(2)/25)*BQ29+(1-EXP(-LN(2)/25))/(LN(2)/25)*Calculateur!BL30*Calculateur!BN30*VLOOKUP('Données projet'!$B$9,Paramètres!$A$1:$I$88,3,0)*0.475*44/12</f>
        <v>0</v>
      </c>
      <c r="BR30" s="23">
        <f>EXP(-LN(2)/2)*BR29+(1-EXP(-LN(2)/2))/(LN(2)/2)*BL30*BO30*VLOOKUP('Données projet'!$B$9,Paramètres!$A$1:$I$88,3,0)*0.475*44/12</f>
        <v>0</v>
      </c>
      <c r="BS30" s="24">
        <f t="shared" si="12"/>
        <v>0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5.4</v>
      </c>
      <c r="BY30" s="13">
        <f>IF(A30&lt;'Données projet'!$A$114,$BV$205^A30,IF(A30='Données projet'!$A$114,'Données projet'!$B$114,BY29+BX30-CG29))</f>
        <v>60.8</v>
      </c>
      <c r="BZ30" s="14">
        <f>BY30*VLOOKUP('Données projet'!$B$12,Paramètres!$A$1:$I$88,3,0)*VLOOKUP('Données projet'!$B$12,Paramètres!$A$1:$I$88,5,0)</f>
        <v>65.445120000000003</v>
      </c>
      <c r="CA30" s="14">
        <f t="shared" si="46"/>
        <v>18.537929201136624</v>
      </c>
      <c r="CB30" s="22">
        <f t="shared" si="13"/>
        <v>146.27047735864627</v>
      </c>
      <c r="CC30" s="62">
        <f t="shared" si="14"/>
        <v>349.07093185827614</v>
      </c>
      <c r="CD30" s="62">
        <f ca="1">AVERAGE(OFFSET($CC$3,0,0,'Données projet'!$E$12+1,1))-AVERAGE(OFFSET($H$3,0,0,'Données projet'!$E$12+1,1))</f>
        <v>468.82871618425406</v>
      </c>
      <c r="CE30" s="62">
        <f t="shared" si="15"/>
        <v>259.37818128554397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projet'!$B$12,Paramètres!$A$1:$I$88,7,0))</f>
        <v>0</v>
      </c>
      <c r="CI30" s="17">
        <f>IF(ISNA(VLOOKUP(A30,'Données projet'!$A$113:$I$133,6,0)),0%,VLOOKUP(A30,'Données projet'!$A$113:$I$133,6,0)*VLOOKUP('Données projet'!$B$12,Paramètres!$A$1:$I$88,7,0))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projet'!$B$9,Paramètres!$A$1:$I$88,3,0)*0.475*44/12</f>
        <v>0</v>
      </c>
      <c r="CL30" s="23">
        <f>EXP(-LN(2)/25)*CL29+(1-EXP(-LN(2)/25))/(LN(2)/25)*Calculateur!CG30*Calculateur!CI30*VLOOKUP('Données projet'!$B$9,Paramètres!$A$1:$I$88,3,0)*0.475*44/12</f>
        <v>0</v>
      </c>
      <c r="CM30" s="23">
        <f>EXP(-LN(2)/2)*CM29+(1-EXP(-LN(2)/2))/(LN(2)/2)*CG30*CJ30*VLOOKUP('Données projet'!$B$9,Paramètres!$A$1:$I$88,3,0)*0.475*44/12</f>
        <v>0</v>
      </c>
      <c r="CN30" s="24">
        <f t="shared" si="16"/>
        <v>0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5.4</v>
      </c>
      <c r="CT30" s="13">
        <f>IF(A30&lt;'Données projet'!$A$140,$CQ$205^A30,IF(A30='Données projet'!$A$140,'Données projet'!$B$140,CT29+CS30-DB29))</f>
        <v>60.8</v>
      </c>
      <c r="CU30" s="18">
        <f>CT30*VLOOKUP('Données projet'!$B$13,Paramètres!$A$1:$I$88,3,0)*VLOOKUP('Données projet'!$B$13,Paramètres!$A$1:$I$88,5,0)</f>
        <v>52.166399999999996</v>
      </c>
      <c r="CV30" s="14">
        <f t="shared" si="47"/>
        <v>15.171853310349434</v>
      </c>
      <c r="CW30" s="22">
        <f t="shared" si="17"/>
        <v>117.28079118219192</v>
      </c>
      <c r="CX30" s="62">
        <f t="shared" si="18"/>
        <v>320.08124568182177</v>
      </c>
      <c r="CY30" s="62">
        <f ca="1">AVERAGE(OFFSET($CX$3,0,0,'Données projet'!$E$13+1,1))-AVERAGE(OFFSET($H$3,0,0,'Données projet'!$E$13+1,1))</f>
        <v>395.19659151668884</v>
      </c>
      <c r="CZ30" s="62">
        <f t="shared" si="19"/>
        <v>222.86563304507339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projet'!$B$13,Paramètres!$A$1:$I$88,7,0))</f>
        <v>0</v>
      </c>
      <c r="DD30" s="17">
        <f>IF(ISNA(VLOOKUP(A30,'Données projet'!$A$139:$I$159,6,0)),0%,VLOOKUP(A30,'Données projet'!$A$139:$I$159,6,0)*VLOOKUP('Données projet'!$B$13,Paramètres!$A$1:$I$88,7,0))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projet'!$B$9,Paramètres!$A$1:$I$88,3,0)*0.475*44/12</f>
        <v>0</v>
      </c>
      <c r="DG30" s="23">
        <f>EXP(-LN(2)/25)*DG29+(1-EXP(-LN(2)/25))/(LN(2)/25)*Calculateur!DB30*Calculateur!DD30*VLOOKUP('Données projet'!$B$9,Paramètres!$A$1:$I$88,3,0)*0.475*44/12</f>
        <v>0</v>
      </c>
      <c r="DH30" s="23">
        <f>EXP(-LN(2)/2)*DH29+(1-EXP(-LN(2)/2))/(LN(2)/2)*DB30*DE30*VLOOKUP('Données projet'!$B$9,Paramètres!$A$1:$I$88,3,0)*0.475*44/12</f>
        <v>0</v>
      </c>
      <c r="DI30" s="24">
        <f t="shared" si="20"/>
        <v>0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2.2749999999999999</v>
      </c>
      <c r="DO30" s="13">
        <f>IF(A30&lt;'Données projet'!$A$166,$DL$205^A30,IF(A30='Données projet'!$A$166,'Données projet'!$B$166,DO29+DN30-DW29))</f>
        <v>21.006463307107499</v>
      </c>
      <c r="DP30" s="18">
        <f>DO30*VLOOKUP('Données projet'!$B$14,Paramètres!$A$1:$I$88,3,0)*VLOOKUP('Données projet'!$B$14,Paramètres!$A$1:$I$88,5,0)</f>
        <v>12.288781034657887</v>
      </c>
      <c r="DQ30" s="14">
        <f t="shared" si="48"/>
        <v>4.2290424622782581</v>
      </c>
      <c r="DR30" s="22">
        <f t="shared" si="21"/>
        <v>28.76854259049712</v>
      </c>
      <c r="DS30" s="62">
        <f t="shared" si="22"/>
        <v>231.56899709012697</v>
      </c>
      <c r="DT30" s="62">
        <f ca="1">AVERAGE(OFFSET($DS$3,0,0,'Données projet'!$E$14+1,1))-AVERAGE(OFFSET($H$3,0,0,'Données projet'!$E$14+1,1))</f>
        <v>155.18073137151848</v>
      </c>
      <c r="DU30" s="62">
        <f t="shared" si="23"/>
        <v>115.19459155667272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projet'!$B$14,Paramètres!$A$1:$I$88,7,0))</f>
        <v>0</v>
      </c>
      <c r="DY30" s="17">
        <f>IF(ISNA(VLOOKUP(A30,'Données projet'!$A$165:$I$185,6,0)),0%,VLOOKUP(A30,'Données projet'!$A$165:$I$185,6,0)*VLOOKUP('Données projet'!$B$14,Paramètres!$A$1:$I$88,7,0))</f>
        <v>0</v>
      </c>
      <c r="DZ30" s="17">
        <f>IF(ISNA(VLOOKUP(A30,'Données projet'!$A$165:$I$185,7,0)),0%,VLOOKUP(A30,'Données projet'!$A$165:$I$185,7,0))</f>
        <v>0</v>
      </c>
      <c r="EA30" s="23">
        <f>EXP(-LN(2)/35)*EA29+(1-EXP(-LN(2)/35))/(LN(2)/35)*DW30*DX30*VLOOKUP('Données projet'!$B$9,Paramètres!$A$1:$I$88,3,0)*0.475*44/12</f>
        <v>0</v>
      </c>
      <c r="EB30" s="23">
        <f>EXP(-LN(2)/25)*EB29+(1-EXP(-LN(2)/25))/(LN(2)/25)*Calculateur!DW30*Calculateur!DY30*VLOOKUP('Données projet'!$B$9,Paramètres!$A$1:$I$88,3,0)*0.475*44/12</f>
        <v>0</v>
      </c>
      <c r="EC30" s="23">
        <f>EXP(-LN(2)/2)*EC29+(1-EXP(-LN(2)/2))/(LN(2)/2)*DW30*DZ30*VLOOKUP('Données projet'!$B$9,Paramètres!$A$1:$I$88,3,0)*0.475*44/12</f>
        <v>0</v>
      </c>
      <c r="ED30" s="24">
        <f t="shared" si="24"/>
        <v>0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3.25</v>
      </c>
      <c r="EJ30" s="13">
        <f>IF(A30&lt;'Données projet'!$A$192,$EG$205^A30,IF(A30='Données projet'!$A$192,'Données projet'!$B$192,EJ29+EI30-ER29))</f>
        <v>10.727921207144966</v>
      </c>
      <c r="EK30" s="18">
        <f>EJ30*VLOOKUP('Données projet'!$B$15,Paramètres!$A$1:$I$88,3,0)*VLOOKUP('Données projet'!$B$15,Paramètres!$A$1:$I$88,5,0)</f>
        <v>5.0206671249438442</v>
      </c>
      <c r="EL30" s="14">
        <f t="shared" si="49"/>
        <v>1.9175419016315012</v>
      </c>
      <c r="EM30" s="22">
        <f t="shared" si="25"/>
        <v>12.08404738795206</v>
      </c>
      <c r="EN30" s="62">
        <f t="shared" si="26"/>
        <v>214.88450188758193</v>
      </c>
      <c r="EO30" s="62">
        <f ca="1">AVERAGE(OFFSET($EN$3,0,0,'Données projet'!$E$15+1,1))-AVERAGE(OFFSET($H$3,0,0,'Données projet'!$E$15+1,1))</f>
        <v>238.59014604384171</v>
      </c>
      <c r="EP30" s="62">
        <f t="shared" si="27"/>
        <v>90.841373219575217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projet'!$B$15,Paramètres!$A$1:$I$88,7,0))</f>
        <v>0</v>
      </c>
      <c r="ET30" s="17">
        <f>IF(ISNA(VLOOKUP(A30,'Données projet'!$A$191:$I$211,6,0)),0%,VLOOKUP(A30,'Données projet'!$A$191:$I$211,6,0)*VLOOKUP('Données projet'!$B$15,Paramètres!$A$1:$I$88,7,0))</f>
        <v>0</v>
      </c>
      <c r="EU30" s="17">
        <f>IF(ISNA(VLOOKUP(A30,'Données projet'!$A$191:$I$211,7,0)),0%,VLOOKUP(A30,'Données projet'!$A$191:$I$211,7,0))</f>
        <v>0</v>
      </c>
      <c r="EV30" s="23">
        <f>EXP(-LN(2)/35)*EV29+(1-EXP(-LN(2)/35))/(LN(2)/35)*ER30*ES30*VLOOKUP('Données projet'!$B$9,Paramètres!$A$1:$I$88,3,0)*0.475*44/12</f>
        <v>0</v>
      </c>
      <c r="EW30" s="23">
        <f>EXP(-LN(2)/25)*EW29+(1-EXP(-LN(2)/25))/(LN(2)/25)*Calculateur!ER30*Calculateur!ET30*VLOOKUP('Données projet'!$B$9,Paramètres!$A$1:$I$88,3,0)*0.475*44/12</f>
        <v>0</v>
      </c>
      <c r="EX30" s="23">
        <f>EXP(-LN(2)/2)*EX29+(1-EXP(-LN(2)/2))/(LN(2)/2)*ER30*EU30*VLOOKUP('Données projet'!$B$9,Paramètres!$A$1:$I$88,3,0)*0.475*44/12</f>
        <v>0</v>
      </c>
      <c r="EY30" s="24">
        <f t="shared" si="28"/>
        <v>0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IF(A30&lt;'Données projet'!$A$218,$FB$205^A30,IF(A30='Données projet'!$A$218,'Données projet'!$B$218,FE29+FD30-FM29))</f>
        <v>0</v>
      </c>
      <c r="FF30" s="18" t="e">
        <f>FE30*VLOOKUP('Données projet'!$B$16,Paramètres!$A$1:$I$88,3,0)*VLOOKUP('Données projet'!$B$16,Paramètres!$A$1:$I$88,5,0)</f>
        <v>#N/A</v>
      </c>
      <c r="FG30" s="14" t="e">
        <f t="shared" si="50"/>
        <v>#N/A</v>
      </c>
      <c r="FH30" s="22" t="e">
        <f t="shared" si="29"/>
        <v>#N/A</v>
      </c>
      <c r="FI30" s="62" t="e">
        <f t="shared" si="30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31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projet'!$B$16,Paramètres!$A$1:$I$88,7,0))</f>
        <v>0</v>
      </c>
      <c r="FO30" s="17">
        <f>IF(ISNA(VLOOKUP(A30,'Données projet'!$A$217:$I$237,6,0)),0%,VLOOKUP(A30,'Données projet'!$A$217:$I$237,6,0)*VLOOKUP('Données projet'!$B$16,Paramètres!$A$1:$I$88,7,0))</f>
        <v>0</v>
      </c>
      <c r="FP30" s="17">
        <f>IF(ISNA(VLOOKUP(A30,'Données projet'!$A$217:$I$237,7,0)),0%,VLOOKUP(A30,'Données projet'!$A$217:$I$237,7,0))</f>
        <v>0</v>
      </c>
      <c r="FQ30" s="23">
        <f>EXP(-LN(2)/35)*FQ29+(1-EXP(-LN(2)/35))/(LN(2)/35)*FM30*FN30*VLOOKUP('Données projet'!$B$9,Paramètres!$A$1:$I$88,3,0)*0.475*44/12</f>
        <v>0</v>
      </c>
      <c r="FR30" s="23">
        <f>EXP(-LN(2)/25)*FR29+(1-EXP(-LN(2)/25))/(LN(2)/25)*Calculateur!FM30*Calculateur!FO30*VLOOKUP('Données projet'!$B$9,Paramètres!$A$1:$I$88,3,0)*0.475*44/12</f>
        <v>0</v>
      </c>
      <c r="FS30" s="23">
        <f>EXP(-LN(2)/2)*FS29+(1-EXP(-LN(2)/2))/(LN(2)/2)*FM30*FP30*VLOOKUP('Données projet'!$B$9,Paramètres!$A$1:$I$88,3,0)*0.475*44/12</f>
        <v>0</v>
      </c>
      <c r="FT30" s="24">
        <f t="shared" si="32"/>
        <v>0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IF(A30&lt;'Données projet'!$A$244,$FW$205^A30,IF(A30='Données projet'!$A$244,'Données projet'!$B$244,FZ29+FY30-GH29))</f>
        <v>0</v>
      </c>
      <c r="GA30" s="18" t="e">
        <f>FZ30*VLOOKUP('Données projet'!$B$17,Paramètres!$A$1:$I$88,3,0)*VLOOKUP('Données projet'!$B$17,Paramètres!$A$1:$I$88,5,0)</f>
        <v>#N/A</v>
      </c>
      <c r="GB30" s="14" t="e">
        <f t="shared" si="51"/>
        <v>#N/A</v>
      </c>
      <c r="GC30" s="22" t="e">
        <f t="shared" si="33"/>
        <v>#N/A</v>
      </c>
      <c r="GD30" s="62" t="e">
        <f t="shared" si="34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35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projet'!$B$17,Paramètres!$A$1:$I$88,7,0))</f>
        <v>0</v>
      </c>
      <c r="GJ30" s="17">
        <f>IF(ISNA(VLOOKUP(A30,'Données projet'!$A$243:$I$263,6,0)),0%,VLOOKUP(A30,'Données projet'!$A$243:$I$263,6,0)*VLOOKUP('Données projet'!$B$17,Paramètres!$A$1:$I$88,7,0))</f>
        <v>0</v>
      </c>
      <c r="GK30" s="17">
        <f>IF(ISNA(VLOOKUP(A30,'Données projet'!$A$243:$I$263,7,0)),0%,VLOOKUP(A30,'Données projet'!$A$243:$I$263,7,0))</f>
        <v>0</v>
      </c>
      <c r="GL30" s="23">
        <f>EXP(-LN(2)/35)*GL29+(1-EXP(-LN(2)/35))/(LN(2)/35)*GH30*GI30*VLOOKUP('Données projet'!$B$9,Paramètres!$A$1:$I$88,3,0)*0.475*44/12</f>
        <v>0</v>
      </c>
      <c r="GM30" s="23">
        <f>EXP(-LN(2)/25)*GM29+(1-EXP(-LN(2)/25))/(LN(2)/25)*Calculateur!GH30*Calculateur!GJ30*VLOOKUP('Données projet'!$B$9,Paramètres!$A$1:$I$88,3,0)*0.475*44/12</f>
        <v>0</v>
      </c>
      <c r="GN30" s="23">
        <f>EXP(-LN(2)/2)*GN29+(1-EXP(-LN(2)/2))/(LN(2)/2)*GH30*GK30*VLOOKUP('Données projet'!$B$9,Paramètres!$A$1:$I$88,3,0)*0.475*44/12</f>
        <v>0</v>
      </c>
      <c r="GO30" s="23">
        <f t="shared" si="36"/>
        <v>0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IF(A30&lt;'Données projet'!$A$270,$GR$205^A30,IF(A30='Données projet'!$A$270,'Données projet'!$B$270,GU29+GT30-HC29))</f>
        <v>0</v>
      </c>
      <c r="GV30" s="18" t="e">
        <f>GU30*VLOOKUP('Données projet'!$B$18,Paramètres!$A$1:$I$88,3,0)*VLOOKUP('Données projet'!$B$18,Paramètres!$A$1:$I$88,5,0)</f>
        <v>#N/A</v>
      </c>
      <c r="GW30" s="14" t="e">
        <f t="shared" si="52"/>
        <v>#N/A</v>
      </c>
      <c r="GX30" s="22" t="e">
        <f t="shared" si="37"/>
        <v>#N/A</v>
      </c>
      <c r="GY30" s="62" t="e">
        <f t="shared" si="38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39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projet'!$B$18,Paramètres!$A$1:$I$88,7,0))</f>
        <v>0</v>
      </c>
      <c r="HE30" s="17">
        <f>IF(ISNA(VLOOKUP(A30,'Données projet'!$A$269:$I$289,6,0)),0%,VLOOKUP(A30,'Données projet'!$A$269:$I$289,6,0)*VLOOKUP('Données projet'!$B$18,Paramètres!$A$1:$I$88,7,0))</f>
        <v>0</v>
      </c>
      <c r="HF30" s="17">
        <f>IF(ISNA(VLOOKUP(A30,'Données projet'!$A$269:$I$289,7,0)),0%,VLOOKUP(A30,'Données projet'!$A$269:$I$289,7,0))</f>
        <v>0</v>
      </c>
      <c r="HG30" s="23">
        <f>EXP(-LN(2)/35)*HG29+(1-EXP(-LN(2)/35))/(LN(2)/35)*HC30*HD30*VLOOKUP('Données projet'!$B$9,Paramètres!$A$1:$I$88,3,0)*0.475*44/12</f>
        <v>0</v>
      </c>
      <c r="HH30" s="23">
        <f>EXP(-LN(2)/25)*HH29+(1-EXP(-LN(2)/25))/(LN(2)/25)*Calculateur!HC30*Calculateur!HE30*VLOOKUP('Données projet'!$B$9,Paramètres!$A$1:$I$88,3,0)*0.475*44/12</f>
        <v>0</v>
      </c>
      <c r="HI30" s="23">
        <f>EXP(-LN(2)/2)*HI29+(1-EXP(-LN(2)/2))/(LN(2)/2)*HC30*HF30*VLOOKUP('Données projet'!$B$9,Paramètres!$A$1:$I$88,3,0)*0.475*44/12</f>
        <v>0</v>
      </c>
      <c r="HJ30" s="24">
        <f t="shared" si="40"/>
        <v>0</v>
      </c>
    </row>
    <row r="31" spans="1:218" s="5" customFormat="1" x14ac:dyDescent="0.25">
      <c r="A31" s="11">
        <f t="shared" si="4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1" s="12">
        <f t="shared" si="4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135.66666666666666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1.9887500000000009</v>
      </c>
      <c r="N31" s="14">
        <f>IF(A31&lt;'Données projet'!$A$36,$K$205^A31,IF(A31='Données projet'!$A$36,'Données projet'!$B$36,N30+M31-V30))</f>
        <v>50.810000000000031</v>
      </c>
      <c r="O31" s="14">
        <f>N31*VLOOKUP('Données projet'!$B$9,Paramètres!$A$1:$I$88,3,0)*VLOOKUP('Données projet'!$B$9,Paramètres!$A$1:$I$88,5,0)</f>
        <v>58.533120000000032</v>
      </c>
      <c r="P31" s="14">
        <f t="shared" si="43"/>
        <v>16.79686315525263</v>
      </c>
      <c r="Q31" s="22">
        <f t="shared" si="2"/>
        <v>131.19972066206506</v>
      </c>
      <c r="R31" s="62">
        <f t="shared" si="0"/>
        <v>336.72933196125865</v>
      </c>
      <c r="S31" s="62">
        <f ca="1">AVERAGE(OFFSET($R$3,0,0,'Données projet'!$E$9+1,1))-AVERAGE(OFFSET($H$3,0,0,'Données projet'!$E$9+1,1))</f>
        <v>314.72063458462026</v>
      </c>
      <c r="T31" s="62">
        <f t="shared" si="3"/>
        <v>216.4380325968244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projet'!$B$9,Paramètres!$A$1:$I$88,7,0))</f>
        <v>0</v>
      </c>
      <c r="X31" s="17">
        <f>IF(ISNA(VLOOKUP(A31,'Données projet'!$A$35:$I$55,6,0)),0%,VLOOKUP(A31,'Données projet'!$A$35:$I$55,6,0)*VLOOKUP('Données projet'!$B$9,Paramètres!$A$1:$I$88,7,0))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projet'!$B$9,Paramètres!$A$1:$I$88,3,0)*0.475*44/12</f>
        <v>0</v>
      </c>
      <c r="AA31" s="23">
        <f>EXP(-LN(2)/25)*AA30+(1-EXP(-LN(2)/25))/(LN(2)/25)*Calculateur!V31*Calculateur!X31*VLOOKUP('Données projet'!$B$9,Paramètres!$A$1:$I$88,3,0)*0.475*44/12</f>
        <v>0</v>
      </c>
      <c r="AB31" s="23">
        <f>EXP(-LN(2)/2)*AB30+(1-EXP(-LN(2)/2))/(LN(2)/2)*V31*Y31*VLOOKUP('Données projet'!$B$9,Paramètres!$A$1:$I$88,3,0)*0.475*44/12</f>
        <v>0</v>
      </c>
      <c r="AC31" s="24">
        <f t="shared" si="4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5.4</v>
      </c>
      <c r="AI31" s="14">
        <f>IF(A31&lt;'Données projet'!$A$62,$AF$205^A31,IF(A31='Données projet'!$A$62,'Données projet'!$B$62,AI30+AH31-AQ30))</f>
        <v>66.2</v>
      </c>
      <c r="AJ31" s="14">
        <f>AI31*VLOOKUP('Données projet'!$B$10,Paramètres!$A$1:$I$88,3,0)*VLOOKUP('Données projet'!$B$10,Paramètres!$A$1:$I$88,5,0)</f>
        <v>69.192240000000012</v>
      </c>
      <c r="AK31" s="14">
        <f t="shared" si="44"/>
        <v>19.472726993537396</v>
      </c>
      <c r="AL31" s="22">
        <f t="shared" si="5"/>
        <v>154.4248175137443</v>
      </c>
      <c r="AM31" s="62">
        <f t="shared" si="6"/>
        <v>359.95442881293786</v>
      </c>
      <c r="AN31" s="62">
        <f ca="1">AVERAGE(OFFSET($AM$3,0,0,'Données projet'!$E$10+1,1))-AVERAGE(OFFSET($H$3,0,0,'Données projet'!$E$10+1,1))</f>
        <v>458.33072853676879</v>
      </c>
      <c r="AO31" s="62">
        <f t="shared" si="7"/>
        <v>254.1734169352687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projet'!$B$10,Paramètres!$A$1:$I$88,7,0))</f>
        <v>0</v>
      </c>
      <c r="AS31" s="17">
        <f>IF(ISNA(VLOOKUP(A31,'Données projet'!$A$61:$I$81,6,0)),0%,VLOOKUP(A31,'Données projet'!$A$61:$I$81,6,0)*VLOOKUP('Données projet'!$B$10,Paramètres!$A$1:$I$88,7,0))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projet'!$B$9,Paramètres!$A$1:$I$88,3,0)*0.475*44/12</f>
        <v>0</v>
      </c>
      <c r="AV31" s="23">
        <f>EXP(-LN(2)/25)*AV30+(1-EXP(-LN(2)/25))/(LN(2)/25)*Calculateur!AQ31*Calculateur!AS31*VLOOKUP('Données projet'!$B$9,Paramètres!$A$1:$I$88,3,0)*0.475*44/12</f>
        <v>0</v>
      </c>
      <c r="AW31" s="23">
        <f>EXP(-LN(2)/2)*AW30+(1-EXP(-LN(2)/2))/(LN(2)/2)*AQ31*AT31*VLOOKUP('Données projet'!$B$9,Paramètres!$A$1:$I$88,3,0)*0.475*44/12</f>
        <v>0</v>
      </c>
      <c r="AX31" s="23">
        <f t="shared" si="8"/>
        <v>0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5.4</v>
      </c>
      <c r="BD31" s="13">
        <f>IF(A31&lt;'Données projet'!$A$88,$BA$205^A31,IF(A31='Données projet'!$A$88,'Données projet'!$B$88,BD30+BC31-BL30))</f>
        <v>66.2</v>
      </c>
      <c r="BE31" s="14">
        <f>BD31*VLOOKUP('Données projet'!$B$11,Paramètres!$A$1:$I$88,3,0)*VLOOKUP('Données projet'!$B$11,Paramètres!$A$1:$I$88,5,0)</f>
        <v>67.126800000000003</v>
      </c>
      <c r="BF31" s="14">
        <f t="shared" si="45"/>
        <v>18.958209639346293</v>
      </c>
      <c r="BG31" s="22">
        <f t="shared" si="9"/>
        <v>149.93139178852815</v>
      </c>
      <c r="BH31" s="62">
        <f t="shared" si="10"/>
        <v>355.46100308772174</v>
      </c>
      <c r="BI31" s="62">
        <f ca="1">AVERAGE(OFFSET($BH$3,0,0,'Données projet'!$E$11+1,1))-AVERAGE(OFFSET($H$3,0,0,'Données projet'!$E$11+1,1))</f>
        <v>447.82618173893104</v>
      </c>
      <c r="BJ31" s="62">
        <f t="shared" si="11"/>
        <v>248.96509970783379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projet'!$B$11,Paramètres!$A$1:$I$88,7,0))</f>
        <v>0</v>
      </c>
      <c r="BN31" s="17">
        <f>IF(ISNA(VLOOKUP(A31,'Données projet'!$A$87:$I$107,6,0)),0%,VLOOKUP(A31,'Données projet'!$A$87:$I$107,6,0)*VLOOKUP('Données projet'!$B$11,Paramètres!$A$1:$I$88,7,0))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projet'!$B$9,Paramètres!$A$1:$I$88,3,0)*0.475*44/12</f>
        <v>0</v>
      </c>
      <c r="BQ31" s="23">
        <f>EXP(-LN(2)/25)*BQ30+(1-EXP(-LN(2)/25))/(LN(2)/25)*Calculateur!BL31*Calculateur!BN31*VLOOKUP('Données projet'!$B$9,Paramètres!$A$1:$I$88,3,0)*0.475*44/12</f>
        <v>0</v>
      </c>
      <c r="BR31" s="23">
        <f>EXP(-LN(2)/2)*BR30+(1-EXP(-LN(2)/2))/(LN(2)/2)*BL31*BO31*VLOOKUP('Données projet'!$B$9,Paramètres!$A$1:$I$88,3,0)*0.475*44/12</f>
        <v>0</v>
      </c>
      <c r="BS31" s="24">
        <f t="shared" si="12"/>
        <v>0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5.4</v>
      </c>
      <c r="BY31" s="13">
        <f>IF(A31&lt;'Données projet'!$A$114,$BV$205^A31,IF(A31='Données projet'!$A$114,'Données projet'!$B$114,BY30+BX31-CG30))</f>
        <v>66.2</v>
      </c>
      <c r="BZ31" s="14">
        <f>BY31*VLOOKUP('Données projet'!$B$12,Paramètres!$A$1:$I$88,3,0)*VLOOKUP('Données projet'!$B$12,Paramètres!$A$1:$I$88,5,0)</f>
        <v>71.257679999999993</v>
      </c>
      <c r="CA31" s="14">
        <f t="shared" si="46"/>
        <v>19.985459414120957</v>
      </c>
      <c r="CB31" s="22">
        <f t="shared" si="13"/>
        <v>158.91513447959397</v>
      </c>
      <c r="CC31" s="62">
        <f t="shared" si="14"/>
        <v>364.44474577878759</v>
      </c>
      <c r="CD31" s="62">
        <f ca="1">AVERAGE(OFFSET($CC$3,0,0,'Données projet'!$E$12+1,1))-AVERAGE(OFFSET($H$3,0,0,'Données projet'!$E$12+1,1))</f>
        <v>468.82871618425406</v>
      </c>
      <c r="CE31" s="62">
        <f t="shared" si="15"/>
        <v>259.37818128554397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projet'!$B$12,Paramètres!$A$1:$I$88,7,0))</f>
        <v>0</v>
      </c>
      <c r="CI31" s="17">
        <f>IF(ISNA(VLOOKUP(A31,'Données projet'!$A$113:$I$133,6,0)),0%,VLOOKUP(A31,'Données projet'!$A$113:$I$133,6,0)*VLOOKUP('Données projet'!$B$12,Paramètres!$A$1:$I$88,7,0))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projet'!$B$9,Paramètres!$A$1:$I$88,3,0)*0.475*44/12</f>
        <v>0</v>
      </c>
      <c r="CL31" s="23">
        <f>EXP(-LN(2)/25)*CL30+(1-EXP(-LN(2)/25))/(LN(2)/25)*Calculateur!CG31*Calculateur!CI31*VLOOKUP('Données projet'!$B$9,Paramètres!$A$1:$I$88,3,0)*0.475*44/12</f>
        <v>0</v>
      </c>
      <c r="CM31" s="23">
        <f>EXP(-LN(2)/2)*CM30+(1-EXP(-LN(2)/2))/(LN(2)/2)*CG31*CJ31*VLOOKUP('Données projet'!$B$9,Paramètres!$A$1:$I$88,3,0)*0.475*44/12</f>
        <v>0</v>
      </c>
      <c r="CN31" s="24">
        <f t="shared" si="16"/>
        <v>0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5.4</v>
      </c>
      <c r="CT31" s="13">
        <f>IF(A31&lt;'Données projet'!$A$140,$CQ$205^A31,IF(A31='Données projet'!$A$140,'Données projet'!$B$140,CT30+CS31-DB30))</f>
        <v>66.2</v>
      </c>
      <c r="CU31" s="18">
        <f>CT31*VLOOKUP('Données projet'!$B$13,Paramètres!$A$1:$I$88,3,0)*VLOOKUP('Données projet'!$B$13,Paramètres!$A$1:$I$88,5,0)</f>
        <v>56.799600000000005</v>
      </c>
      <c r="CV31" s="14">
        <f t="shared" si="47"/>
        <v>16.356544211658452</v>
      </c>
      <c r="CW31" s="22">
        <f t="shared" si="17"/>
        <v>127.41361783530515</v>
      </c>
      <c r="CX31" s="62">
        <f t="shared" si="18"/>
        <v>332.94322913449872</v>
      </c>
      <c r="CY31" s="62">
        <f ca="1">AVERAGE(OFFSET($CX$3,0,0,'Données projet'!$E$13+1,1))-AVERAGE(OFFSET($H$3,0,0,'Données projet'!$E$13+1,1))</f>
        <v>395.19659151668884</v>
      </c>
      <c r="CZ31" s="62">
        <f t="shared" si="19"/>
        <v>222.86563304507339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projet'!$B$13,Paramètres!$A$1:$I$88,7,0))</f>
        <v>0</v>
      </c>
      <c r="DD31" s="17">
        <f>IF(ISNA(VLOOKUP(A31,'Données projet'!$A$139:$I$159,6,0)),0%,VLOOKUP(A31,'Données projet'!$A$139:$I$159,6,0)*VLOOKUP('Données projet'!$B$13,Paramètres!$A$1:$I$88,7,0))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projet'!$B$9,Paramètres!$A$1:$I$88,3,0)*0.475*44/12</f>
        <v>0</v>
      </c>
      <c r="DG31" s="23">
        <f>EXP(-LN(2)/25)*DG30+(1-EXP(-LN(2)/25))/(LN(2)/25)*Calculateur!DB31*Calculateur!DD31*VLOOKUP('Données projet'!$B$9,Paramètres!$A$1:$I$88,3,0)*0.475*44/12</f>
        <v>0</v>
      </c>
      <c r="DH31" s="23">
        <f>EXP(-LN(2)/2)*DH30+(1-EXP(-LN(2)/2))/(LN(2)/2)*DB31*DE31*VLOOKUP('Données projet'!$B$9,Paramètres!$A$1:$I$88,3,0)*0.475*44/12</f>
        <v>0</v>
      </c>
      <c r="DI31" s="24">
        <f t="shared" si="20"/>
        <v>0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2.2749999999999999</v>
      </c>
      <c r="DO31" s="13">
        <f>IF(A31&lt;'Données projet'!$A$166,$DL$205^A31,IF(A31='Données projet'!$A$166,'Données projet'!$B$166,DO30+DN31-DW30))</f>
        <v>23.514133233434805</v>
      </c>
      <c r="DP31" s="18">
        <f>DO31*VLOOKUP('Données projet'!$B$14,Paramètres!$A$1:$I$88,3,0)*VLOOKUP('Données projet'!$B$14,Paramètres!$A$1:$I$88,5,0)</f>
        <v>13.755767941559363</v>
      </c>
      <c r="DQ31" s="14">
        <f t="shared" si="48"/>
        <v>4.6721553005634195</v>
      </c>
      <c r="DR31" s="22">
        <f t="shared" si="21"/>
        <v>32.095299646697171</v>
      </c>
      <c r="DS31" s="62">
        <f t="shared" si="22"/>
        <v>237.62491094589075</v>
      </c>
      <c r="DT31" s="62">
        <f ca="1">AVERAGE(OFFSET($DS$3,0,0,'Données projet'!$E$14+1,1))-AVERAGE(OFFSET($H$3,0,0,'Données projet'!$E$14+1,1))</f>
        <v>155.18073137151848</v>
      </c>
      <c r="DU31" s="62">
        <f t="shared" si="23"/>
        <v>115.19459155667272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projet'!$B$14,Paramètres!$A$1:$I$88,7,0))</f>
        <v>0</v>
      </c>
      <c r="DY31" s="17">
        <f>IF(ISNA(VLOOKUP(A31,'Données projet'!$A$165:$I$185,6,0)),0%,VLOOKUP(A31,'Données projet'!$A$165:$I$185,6,0)*VLOOKUP('Données projet'!$B$14,Paramètres!$A$1:$I$88,7,0))</f>
        <v>0</v>
      </c>
      <c r="DZ31" s="17">
        <f>IF(ISNA(VLOOKUP(A31,'Données projet'!$A$165:$I$185,7,0)),0%,VLOOKUP(A31,'Données projet'!$A$165:$I$185,7,0))</f>
        <v>0</v>
      </c>
      <c r="EA31" s="23">
        <f>EXP(-LN(2)/35)*EA30+(1-EXP(-LN(2)/35))/(LN(2)/35)*DW31*DX31*VLOOKUP('Données projet'!$B$9,Paramètres!$A$1:$I$88,3,0)*0.475*44/12</f>
        <v>0</v>
      </c>
      <c r="EB31" s="23">
        <f>EXP(-LN(2)/25)*EB30+(1-EXP(-LN(2)/25))/(LN(2)/25)*Calculateur!DW31*Calculateur!DY31*VLOOKUP('Données projet'!$B$9,Paramètres!$A$1:$I$88,3,0)*0.475*44/12</f>
        <v>0</v>
      </c>
      <c r="EC31" s="23">
        <f>EXP(-LN(2)/2)*EC30+(1-EXP(-LN(2)/2))/(LN(2)/2)*DW31*DZ31*VLOOKUP('Données projet'!$B$9,Paramètres!$A$1:$I$88,3,0)*0.475*44/12</f>
        <v>0</v>
      </c>
      <c r="ED31" s="24">
        <f t="shared" si="24"/>
        <v>0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3.25</v>
      </c>
      <c r="EJ31" s="13">
        <f>IF(A31&lt;'Données projet'!$A$192,$EG$205^A31,IF(A31='Données projet'!$A$192,'Données projet'!$B$192,EJ30+EI31-ER30))</f>
        <v>11.713395803505016</v>
      </c>
      <c r="EK31" s="18">
        <f>EJ31*VLOOKUP('Données projet'!$B$15,Paramètres!$A$1:$I$88,3,0)*VLOOKUP('Données projet'!$B$15,Paramètres!$A$1:$I$88,5,0)</f>
        <v>5.4818692360403478</v>
      </c>
      <c r="EL31" s="14">
        <f t="shared" si="49"/>
        <v>2.0723802234180146</v>
      </c>
      <c r="EM31" s="22">
        <f t="shared" si="25"/>
        <v>13.156984475223313</v>
      </c>
      <c r="EN31" s="62">
        <f t="shared" si="26"/>
        <v>218.6865957744169</v>
      </c>
      <c r="EO31" s="62">
        <f ca="1">AVERAGE(OFFSET($EN$3,0,0,'Données projet'!$E$15+1,1))-AVERAGE(OFFSET($H$3,0,0,'Données projet'!$E$15+1,1))</f>
        <v>238.59014604384171</v>
      </c>
      <c r="EP31" s="62">
        <f t="shared" si="27"/>
        <v>90.841373219575217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projet'!$B$15,Paramètres!$A$1:$I$88,7,0))</f>
        <v>0</v>
      </c>
      <c r="ET31" s="17">
        <f>IF(ISNA(VLOOKUP(A31,'Données projet'!$A$191:$I$211,6,0)),0%,VLOOKUP(A31,'Données projet'!$A$191:$I$211,6,0)*VLOOKUP('Données projet'!$B$15,Paramètres!$A$1:$I$88,7,0))</f>
        <v>0</v>
      </c>
      <c r="EU31" s="17">
        <f>IF(ISNA(VLOOKUP(A31,'Données projet'!$A$191:$I$211,7,0)),0%,VLOOKUP(A31,'Données projet'!$A$191:$I$211,7,0))</f>
        <v>0</v>
      </c>
      <c r="EV31" s="23">
        <f>EXP(-LN(2)/35)*EV30+(1-EXP(-LN(2)/35))/(LN(2)/35)*ER31*ES31*VLOOKUP('Données projet'!$B$9,Paramètres!$A$1:$I$88,3,0)*0.475*44/12</f>
        <v>0</v>
      </c>
      <c r="EW31" s="23">
        <f>EXP(-LN(2)/25)*EW30+(1-EXP(-LN(2)/25))/(LN(2)/25)*Calculateur!ER31*Calculateur!ET31*VLOOKUP('Données projet'!$B$9,Paramètres!$A$1:$I$88,3,0)*0.475*44/12</f>
        <v>0</v>
      </c>
      <c r="EX31" s="23">
        <f>EXP(-LN(2)/2)*EX30+(1-EXP(-LN(2)/2))/(LN(2)/2)*ER31*EU31*VLOOKUP('Données projet'!$B$9,Paramètres!$A$1:$I$88,3,0)*0.475*44/12</f>
        <v>0</v>
      </c>
      <c r="EY31" s="24">
        <f t="shared" si="28"/>
        <v>0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IF(A31&lt;'Données projet'!$A$218,$FB$205^A31,IF(A31='Données projet'!$A$218,'Données projet'!$B$218,FE30+FD31-FM30))</f>
        <v>0</v>
      </c>
      <c r="FF31" s="18" t="e">
        <f>FE31*VLOOKUP('Données projet'!$B$16,Paramètres!$A$1:$I$88,3,0)*VLOOKUP('Données projet'!$B$16,Paramètres!$A$1:$I$88,5,0)</f>
        <v>#N/A</v>
      </c>
      <c r="FG31" s="14" t="e">
        <f t="shared" si="50"/>
        <v>#N/A</v>
      </c>
      <c r="FH31" s="22" t="e">
        <f t="shared" si="29"/>
        <v>#N/A</v>
      </c>
      <c r="FI31" s="62" t="e">
        <f t="shared" si="30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31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projet'!$B$16,Paramètres!$A$1:$I$88,7,0))</f>
        <v>0</v>
      </c>
      <c r="FO31" s="17">
        <f>IF(ISNA(VLOOKUP(A31,'Données projet'!$A$217:$I$237,6,0)),0%,VLOOKUP(A31,'Données projet'!$A$217:$I$237,6,0)*VLOOKUP('Données projet'!$B$16,Paramètres!$A$1:$I$88,7,0))</f>
        <v>0</v>
      </c>
      <c r="FP31" s="17">
        <f>IF(ISNA(VLOOKUP(A31,'Données projet'!$A$217:$I$237,7,0)),0%,VLOOKUP(A31,'Données projet'!$A$217:$I$237,7,0))</f>
        <v>0</v>
      </c>
      <c r="FQ31" s="23">
        <f>EXP(-LN(2)/35)*FQ30+(1-EXP(-LN(2)/35))/(LN(2)/35)*FM31*FN31*VLOOKUP('Données projet'!$B$9,Paramètres!$A$1:$I$88,3,0)*0.475*44/12</f>
        <v>0</v>
      </c>
      <c r="FR31" s="23">
        <f>EXP(-LN(2)/25)*FR30+(1-EXP(-LN(2)/25))/(LN(2)/25)*Calculateur!FM31*Calculateur!FO31*VLOOKUP('Données projet'!$B$9,Paramètres!$A$1:$I$88,3,0)*0.475*44/12</f>
        <v>0</v>
      </c>
      <c r="FS31" s="23">
        <f>EXP(-LN(2)/2)*FS30+(1-EXP(-LN(2)/2))/(LN(2)/2)*FM31*FP31*VLOOKUP('Données projet'!$B$9,Paramètres!$A$1:$I$88,3,0)*0.475*44/12</f>
        <v>0</v>
      </c>
      <c r="FT31" s="24">
        <f t="shared" si="32"/>
        <v>0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IF(A31&lt;'Données projet'!$A$244,$FW$205^A31,IF(A31='Données projet'!$A$244,'Données projet'!$B$244,FZ30+FY31-GH30))</f>
        <v>0</v>
      </c>
      <c r="GA31" s="18" t="e">
        <f>FZ31*VLOOKUP('Données projet'!$B$17,Paramètres!$A$1:$I$88,3,0)*VLOOKUP('Données projet'!$B$17,Paramètres!$A$1:$I$88,5,0)</f>
        <v>#N/A</v>
      </c>
      <c r="GB31" s="14" t="e">
        <f t="shared" si="51"/>
        <v>#N/A</v>
      </c>
      <c r="GC31" s="22" t="e">
        <f t="shared" si="33"/>
        <v>#N/A</v>
      </c>
      <c r="GD31" s="62" t="e">
        <f t="shared" si="34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35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projet'!$B$17,Paramètres!$A$1:$I$88,7,0))</f>
        <v>0</v>
      </c>
      <c r="GJ31" s="17">
        <f>IF(ISNA(VLOOKUP(A31,'Données projet'!$A$243:$I$263,6,0)),0%,VLOOKUP(A31,'Données projet'!$A$243:$I$263,6,0)*VLOOKUP('Données projet'!$B$17,Paramètres!$A$1:$I$88,7,0))</f>
        <v>0</v>
      </c>
      <c r="GK31" s="17">
        <f>IF(ISNA(VLOOKUP(A31,'Données projet'!$A$243:$I$263,7,0)),0%,VLOOKUP(A31,'Données projet'!$A$243:$I$263,7,0))</f>
        <v>0</v>
      </c>
      <c r="GL31" s="23">
        <f>EXP(-LN(2)/35)*GL30+(1-EXP(-LN(2)/35))/(LN(2)/35)*GH31*GI31*VLOOKUP('Données projet'!$B$9,Paramètres!$A$1:$I$88,3,0)*0.475*44/12</f>
        <v>0</v>
      </c>
      <c r="GM31" s="23">
        <f>EXP(-LN(2)/25)*GM30+(1-EXP(-LN(2)/25))/(LN(2)/25)*Calculateur!GH31*Calculateur!GJ31*VLOOKUP('Données projet'!$B$9,Paramètres!$A$1:$I$88,3,0)*0.475*44/12</f>
        <v>0</v>
      </c>
      <c r="GN31" s="23">
        <f>EXP(-LN(2)/2)*GN30+(1-EXP(-LN(2)/2))/(LN(2)/2)*GH31*GK31*VLOOKUP('Données projet'!$B$9,Paramètres!$A$1:$I$88,3,0)*0.475*44/12</f>
        <v>0</v>
      </c>
      <c r="GO31" s="23">
        <f t="shared" si="36"/>
        <v>0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IF(A31&lt;'Données projet'!$A$270,$GR$205^A31,IF(A31='Données projet'!$A$270,'Données projet'!$B$270,GU30+GT31-HC30))</f>
        <v>0</v>
      </c>
      <c r="GV31" s="18" t="e">
        <f>GU31*VLOOKUP('Données projet'!$B$18,Paramètres!$A$1:$I$88,3,0)*VLOOKUP('Données projet'!$B$18,Paramètres!$A$1:$I$88,5,0)</f>
        <v>#N/A</v>
      </c>
      <c r="GW31" s="14" t="e">
        <f t="shared" si="52"/>
        <v>#N/A</v>
      </c>
      <c r="GX31" s="22" t="e">
        <f t="shared" si="37"/>
        <v>#N/A</v>
      </c>
      <c r="GY31" s="62" t="e">
        <f t="shared" si="38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39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projet'!$B$18,Paramètres!$A$1:$I$88,7,0))</f>
        <v>0</v>
      </c>
      <c r="HE31" s="17">
        <f>IF(ISNA(VLOOKUP(A31,'Données projet'!$A$269:$I$289,6,0)),0%,VLOOKUP(A31,'Données projet'!$A$269:$I$289,6,0)*VLOOKUP('Données projet'!$B$18,Paramètres!$A$1:$I$88,7,0))</f>
        <v>0</v>
      </c>
      <c r="HF31" s="17">
        <f>IF(ISNA(VLOOKUP(A31,'Données projet'!$A$269:$I$289,7,0)),0%,VLOOKUP(A31,'Données projet'!$A$269:$I$289,7,0))</f>
        <v>0</v>
      </c>
      <c r="HG31" s="23">
        <f>EXP(-LN(2)/35)*HG30+(1-EXP(-LN(2)/35))/(LN(2)/35)*HC31*HD31*VLOOKUP('Données projet'!$B$9,Paramètres!$A$1:$I$88,3,0)*0.475*44/12</f>
        <v>0</v>
      </c>
      <c r="HH31" s="23">
        <f>EXP(-LN(2)/25)*HH30+(1-EXP(-LN(2)/25))/(LN(2)/25)*Calculateur!HC31*Calculateur!HE31*VLOOKUP('Données projet'!$B$9,Paramètres!$A$1:$I$88,3,0)*0.475*44/12</f>
        <v>0</v>
      </c>
      <c r="HI31" s="23">
        <f>EXP(-LN(2)/2)*HI30+(1-EXP(-LN(2)/2))/(LN(2)/2)*HC31*HF31*VLOOKUP('Données projet'!$B$9,Paramètres!$A$1:$I$88,3,0)*0.475*44/12</f>
        <v>0</v>
      </c>
      <c r="HJ31" s="24">
        <f t="shared" si="40"/>
        <v>0</v>
      </c>
    </row>
    <row r="32" spans="1:218" s="5" customFormat="1" x14ac:dyDescent="0.25">
      <c r="A32" s="11">
        <f t="shared" si="4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2" s="12">
        <f t="shared" si="4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135.66666666666666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1.9887500000000009</v>
      </c>
      <c r="N32" s="14">
        <f>IF(A32&lt;'Données projet'!$A$36,$K$205^A32,IF(A32='Données projet'!$A$36,'Données projet'!$B$36,N31+M32-V31))</f>
        <v>52.798750000000034</v>
      </c>
      <c r="O32" s="14">
        <f>N32*VLOOKUP('Données projet'!$B$9,Paramètres!$A$1:$I$88,3,0)*VLOOKUP('Données projet'!$B$9,Paramètres!$A$1:$I$88,5,0)</f>
        <v>60.824160000000035</v>
      </c>
      <c r="P32" s="14">
        <f t="shared" si="43"/>
        <v>17.376476782758175</v>
      </c>
      <c r="Q32" s="22">
        <f t="shared" si="2"/>
        <v>136.19944239663721</v>
      </c>
      <c r="R32" s="62">
        <f t="shared" si="0"/>
        <v>344.43206854947869</v>
      </c>
      <c r="S32" s="62">
        <f ca="1">AVERAGE(OFFSET($R$3,0,0,'Données projet'!$E$9+1,1))-AVERAGE(OFFSET($H$3,0,0,'Données projet'!$E$9+1,1))</f>
        <v>314.72063458462026</v>
      </c>
      <c r="T32" s="62">
        <f t="shared" si="3"/>
        <v>216.4380325968244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projet'!$B$9,Paramètres!$A$1:$I$88,7,0))</f>
        <v>0</v>
      </c>
      <c r="X32" s="17">
        <f>IF(ISNA(VLOOKUP(A32,'Données projet'!$A$35:$I$55,6,0)),0%,VLOOKUP(A32,'Données projet'!$A$35:$I$55,6,0)*VLOOKUP('Données projet'!$B$9,Paramètres!$A$1:$I$88,7,0))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projet'!$B$9,Paramètres!$A$1:$I$88,3,0)*0.475*44/12</f>
        <v>0</v>
      </c>
      <c r="AA32" s="23">
        <f>EXP(-LN(2)/25)*AA31+(1-EXP(-LN(2)/25))/(LN(2)/25)*Calculateur!V32*Calculateur!X32*VLOOKUP('Données projet'!$B$9,Paramètres!$A$1:$I$88,3,0)*0.475*44/12</f>
        <v>0</v>
      </c>
      <c r="AB32" s="23">
        <f>EXP(-LN(2)/2)*AB31+(1-EXP(-LN(2)/2))/(LN(2)/2)*V32*Y32*VLOOKUP('Données projet'!$B$9,Paramètres!$A$1:$I$88,3,0)*0.475*44/12</f>
        <v>0</v>
      </c>
      <c r="AC32" s="24">
        <f t="shared" si="4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5.4</v>
      </c>
      <c r="AI32" s="14">
        <f>IF(A32&lt;'Données projet'!$A$62,$AF$205^A32,IF(A32='Données projet'!$A$62,'Données projet'!$B$62,AI31+AH32-AQ31))</f>
        <v>71.600000000000009</v>
      </c>
      <c r="AJ32" s="14">
        <f>AI32*VLOOKUP('Données projet'!$B$10,Paramètres!$A$1:$I$88,3,0)*VLOOKUP('Données projet'!$B$10,Paramètres!$A$1:$I$88,5,0)</f>
        <v>74.836320000000015</v>
      </c>
      <c r="AK32" s="14">
        <f t="shared" si="44"/>
        <v>20.869776694055705</v>
      </c>
      <c r="AL32" s="22">
        <f t="shared" si="5"/>
        <v>166.68811840881372</v>
      </c>
      <c r="AM32" s="62">
        <f t="shared" si="6"/>
        <v>374.92074456165517</v>
      </c>
      <c r="AN32" s="62">
        <f ca="1">AVERAGE(OFFSET($AM$3,0,0,'Données projet'!$E$10+1,1))-AVERAGE(OFFSET($H$3,0,0,'Données projet'!$E$10+1,1))</f>
        <v>458.33072853676879</v>
      </c>
      <c r="AO32" s="62">
        <f t="shared" si="7"/>
        <v>254.1734169352687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projet'!$B$10,Paramètres!$A$1:$I$88,7,0))</f>
        <v>0</v>
      </c>
      <c r="AS32" s="17">
        <f>IF(ISNA(VLOOKUP(A32,'Données projet'!$A$61:$I$81,6,0)),0%,VLOOKUP(A32,'Données projet'!$A$61:$I$81,6,0)*VLOOKUP('Données projet'!$B$10,Paramètres!$A$1:$I$88,7,0))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projet'!$B$9,Paramètres!$A$1:$I$88,3,0)*0.475*44/12</f>
        <v>0</v>
      </c>
      <c r="AV32" s="23">
        <f>EXP(-LN(2)/25)*AV31+(1-EXP(-LN(2)/25))/(LN(2)/25)*Calculateur!AQ32*Calculateur!AS32*VLOOKUP('Données projet'!$B$9,Paramètres!$A$1:$I$88,3,0)*0.475*44/12</f>
        <v>0</v>
      </c>
      <c r="AW32" s="23">
        <f>EXP(-LN(2)/2)*AW31+(1-EXP(-LN(2)/2))/(LN(2)/2)*AQ32*AT32*VLOOKUP('Données projet'!$B$9,Paramètres!$A$1:$I$88,3,0)*0.475*44/12</f>
        <v>0</v>
      </c>
      <c r="AX32" s="23">
        <f t="shared" si="8"/>
        <v>0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5.4</v>
      </c>
      <c r="BD32" s="13">
        <f>IF(A32&lt;'Données projet'!$A$88,$BA$205^A32,IF(A32='Données projet'!$A$88,'Données projet'!$B$88,BD31+BC32-BL31))</f>
        <v>71.600000000000009</v>
      </c>
      <c r="BE32" s="14">
        <f>BD32*VLOOKUP('Données projet'!$B$11,Paramètres!$A$1:$I$88,3,0)*VLOOKUP('Données projet'!$B$11,Paramètres!$A$1:$I$88,5,0)</f>
        <v>72.602400000000017</v>
      </c>
      <c r="BF32" s="14">
        <f t="shared" si="45"/>
        <v>20.318345849739551</v>
      </c>
      <c r="BG32" s="22">
        <f t="shared" si="9"/>
        <v>161.83696568829643</v>
      </c>
      <c r="BH32" s="62">
        <f t="shared" si="10"/>
        <v>370.06959184113788</v>
      </c>
      <c r="BI32" s="62">
        <f ca="1">AVERAGE(OFFSET($BH$3,0,0,'Données projet'!$E$11+1,1))-AVERAGE(OFFSET($H$3,0,0,'Données projet'!$E$11+1,1))</f>
        <v>447.82618173893104</v>
      </c>
      <c r="BJ32" s="62">
        <f t="shared" si="11"/>
        <v>248.96509970783379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projet'!$B$11,Paramètres!$A$1:$I$88,7,0))</f>
        <v>0</v>
      </c>
      <c r="BN32" s="17">
        <f>IF(ISNA(VLOOKUP(A32,'Données projet'!$A$87:$I$107,6,0)),0%,VLOOKUP(A32,'Données projet'!$A$87:$I$107,6,0)*VLOOKUP('Données projet'!$B$11,Paramètres!$A$1:$I$88,7,0))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projet'!$B$9,Paramètres!$A$1:$I$88,3,0)*0.475*44/12</f>
        <v>0</v>
      </c>
      <c r="BQ32" s="23">
        <f>EXP(-LN(2)/25)*BQ31+(1-EXP(-LN(2)/25))/(LN(2)/25)*Calculateur!BL32*Calculateur!BN32*VLOOKUP('Données projet'!$B$9,Paramètres!$A$1:$I$88,3,0)*0.475*44/12</f>
        <v>0</v>
      </c>
      <c r="BR32" s="23">
        <f>EXP(-LN(2)/2)*BR31+(1-EXP(-LN(2)/2))/(LN(2)/2)*BL32*BO32*VLOOKUP('Données projet'!$B$9,Paramètres!$A$1:$I$88,3,0)*0.475*44/12</f>
        <v>0</v>
      </c>
      <c r="BS32" s="24">
        <f t="shared" si="12"/>
        <v>0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5.4</v>
      </c>
      <c r="BY32" s="13">
        <f>IF(A32&lt;'Données projet'!$A$114,$BV$205^A32,IF(A32='Données projet'!$A$114,'Données projet'!$B$114,BY31+BX32-CG31))</f>
        <v>71.600000000000009</v>
      </c>
      <c r="BZ32" s="14">
        <f>BY32*VLOOKUP('Données projet'!$B$12,Paramètres!$A$1:$I$88,3,0)*VLOOKUP('Données projet'!$B$12,Paramètres!$A$1:$I$88,5,0)</f>
        <v>77.070240000000013</v>
      </c>
      <c r="CA32" s="14">
        <f t="shared" si="46"/>
        <v>21.41929454663655</v>
      </c>
      <c r="CB32" s="22">
        <f t="shared" si="13"/>
        <v>171.53593933539199</v>
      </c>
      <c r="CC32" s="62">
        <f t="shared" si="14"/>
        <v>379.76856548823343</v>
      </c>
      <c r="CD32" s="62">
        <f ca="1">AVERAGE(OFFSET($CC$3,0,0,'Données projet'!$E$12+1,1))-AVERAGE(OFFSET($H$3,0,0,'Données projet'!$E$12+1,1))</f>
        <v>468.82871618425406</v>
      </c>
      <c r="CE32" s="62">
        <f t="shared" si="15"/>
        <v>259.37818128554397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projet'!$B$12,Paramètres!$A$1:$I$88,7,0))</f>
        <v>0</v>
      </c>
      <c r="CI32" s="17">
        <f>IF(ISNA(VLOOKUP(A32,'Données projet'!$A$113:$I$133,6,0)),0%,VLOOKUP(A32,'Données projet'!$A$113:$I$133,6,0)*VLOOKUP('Données projet'!$B$12,Paramètres!$A$1:$I$88,7,0))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projet'!$B$9,Paramètres!$A$1:$I$88,3,0)*0.475*44/12</f>
        <v>0</v>
      </c>
      <c r="CL32" s="23">
        <f>EXP(-LN(2)/25)*CL31+(1-EXP(-LN(2)/25))/(LN(2)/25)*Calculateur!CG32*Calculateur!CI32*VLOOKUP('Données projet'!$B$9,Paramètres!$A$1:$I$88,3,0)*0.475*44/12</f>
        <v>0</v>
      </c>
      <c r="CM32" s="23">
        <f>EXP(-LN(2)/2)*CM31+(1-EXP(-LN(2)/2))/(LN(2)/2)*CG32*CJ32*VLOOKUP('Données projet'!$B$9,Paramètres!$A$1:$I$88,3,0)*0.475*44/12</f>
        <v>0</v>
      </c>
      <c r="CN32" s="24">
        <f t="shared" si="16"/>
        <v>0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5.4</v>
      </c>
      <c r="CT32" s="13">
        <f>IF(A32&lt;'Données projet'!$A$140,$CQ$205^A32,IF(A32='Données projet'!$A$140,'Données projet'!$B$140,CT31+CS32-DB31))</f>
        <v>71.600000000000009</v>
      </c>
      <c r="CU32" s="18">
        <f>CT32*VLOOKUP('Données projet'!$B$13,Paramètres!$A$1:$I$88,3,0)*VLOOKUP('Données projet'!$B$13,Paramètres!$A$1:$I$88,5,0)</f>
        <v>61.432800000000015</v>
      </c>
      <c r="CV32" s="14">
        <f t="shared" si="47"/>
        <v>17.53002675470421</v>
      </c>
      <c r="CW32" s="22">
        <f t="shared" si="17"/>
        <v>137.52692326444318</v>
      </c>
      <c r="CX32" s="62">
        <f t="shared" si="18"/>
        <v>345.75954941728463</v>
      </c>
      <c r="CY32" s="62">
        <f ca="1">AVERAGE(OFFSET($CX$3,0,0,'Données projet'!$E$13+1,1))-AVERAGE(OFFSET($H$3,0,0,'Données projet'!$E$13+1,1))</f>
        <v>395.19659151668884</v>
      </c>
      <c r="CZ32" s="62">
        <f t="shared" si="19"/>
        <v>222.86563304507339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projet'!$B$13,Paramètres!$A$1:$I$88,7,0))</f>
        <v>0</v>
      </c>
      <c r="DD32" s="17">
        <f>IF(ISNA(VLOOKUP(A32,'Données projet'!$A$139:$I$159,6,0)),0%,VLOOKUP(A32,'Données projet'!$A$139:$I$159,6,0)*VLOOKUP('Données projet'!$B$13,Paramètres!$A$1:$I$88,7,0))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projet'!$B$9,Paramètres!$A$1:$I$88,3,0)*0.475*44/12</f>
        <v>0</v>
      </c>
      <c r="DG32" s="23">
        <f>EXP(-LN(2)/25)*DG31+(1-EXP(-LN(2)/25))/(LN(2)/25)*Calculateur!DB32*Calculateur!DD32*VLOOKUP('Données projet'!$B$9,Paramètres!$A$1:$I$88,3,0)*0.475*44/12</f>
        <v>0</v>
      </c>
      <c r="DH32" s="23">
        <f>EXP(-LN(2)/2)*DH31+(1-EXP(-LN(2)/2))/(LN(2)/2)*DB32*DE32*VLOOKUP('Données projet'!$B$9,Paramètres!$A$1:$I$88,3,0)*0.475*44/12</f>
        <v>0</v>
      </c>
      <c r="DI32" s="24">
        <f t="shared" si="20"/>
        <v>0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2.2749999999999999</v>
      </c>
      <c r="DO32" s="13">
        <f>IF(A32&lt;'Données projet'!$A$166,$DL$205^A32,IF(A32='Données projet'!$A$166,'Données projet'!$B$166,DO31+DN32-DW31))</f>
        <v>26.321159046922737</v>
      </c>
      <c r="DP32" s="18">
        <f>DO32*VLOOKUP('Données projet'!$B$14,Paramètres!$A$1:$I$88,3,0)*VLOOKUP('Données projet'!$B$14,Paramètres!$A$1:$I$88,5,0)</f>
        <v>15.397878042449802</v>
      </c>
      <c r="DQ32" s="14">
        <f t="shared" si="48"/>
        <v>5.1616968491782798</v>
      </c>
      <c r="DR32" s="22">
        <f t="shared" si="21"/>
        <v>35.807926269585572</v>
      </c>
      <c r="DS32" s="62">
        <f t="shared" si="22"/>
        <v>244.04055242242703</v>
      </c>
      <c r="DT32" s="62">
        <f ca="1">AVERAGE(OFFSET($DS$3,0,0,'Données projet'!$E$14+1,1))-AVERAGE(OFFSET($H$3,0,0,'Données projet'!$E$14+1,1))</f>
        <v>155.18073137151848</v>
      </c>
      <c r="DU32" s="62">
        <f t="shared" si="23"/>
        <v>115.19459155667272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projet'!$B$14,Paramètres!$A$1:$I$88,7,0))</f>
        <v>0</v>
      </c>
      <c r="DY32" s="17">
        <f>IF(ISNA(VLOOKUP(A32,'Données projet'!$A$165:$I$185,6,0)),0%,VLOOKUP(A32,'Données projet'!$A$165:$I$185,6,0)*VLOOKUP('Données projet'!$B$14,Paramètres!$A$1:$I$88,7,0))</f>
        <v>0</v>
      </c>
      <c r="DZ32" s="17">
        <f>IF(ISNA(VLOOKUP(A32,'Données projet'!$A$165:$I$185,7,0)),0%,VLOOKUP(A32,'Données projet'!$A$165:$I$185,7,0))</f>
        <v>0</v>
      </c>
      <c r="EA32" s="23">
        <f>EXP(-LN(2)/35)*EA31+(1-EXP(-LN(2)/35))/(LN(2)/35)*DW32*DX32*VLOOKUP('Données projet'!$B$9,Paramètres!$A$1:$I$88,3,0)*0.475*44/12</f>
        <v>0</v>
      </c>
      <c r="EB32" s="23">
        <f>EXP(-LN(2)/25)*EB31+(1-EXP(-LN(2)/25))/(LN(2)/25)*Calculateur!DW32*Calculateur!DY32*VLOOKUP('Données projet'!$B$9,Paramètres!$A$1:$I$88,3,0)*0.475*44/12</f>
        <v>0</v>
      </c>
      <c r="EC32" s="23">
        <f>EXP(-LN(2)/2)*EC31+(1-EXP(-LN(2)/2))/(LN(2)/2)*DW32*DZ32*VLOOKUP('Données projet'!$B$9,Paramètres!$A$1:$I$88,3,0)*0.475*44/12</f>
        <v>0</v>
      </c>
      <c r="ED32" s="24">
        <f t="shared" si="24"/>
        <v>0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3.25</v>
      </c>
      <c r="EJ32" s="13">
        <f>IF(A32&lt;'Données projet'!$A$192,$EG$205^A32,IF(A32='Données projet'!$A$192,'Données projet'!$B$192,EJ31+EI32-ER31))</f>
        <v>12.789396808599705</v>
      </c>
      <c r="EK32" s="18">
        <f>EJ32*VLOOKUP('Données projet'!$B$15,Paramètres!$A$1:$I$88,3,0)*VLOOKUP('Données projet'!$B$15,Paramètres!$A$1:$I$88,5,0)</f>
        <v>5.9854377064246611</v>
      </c>
      <c r="EL32" s="14">
        <f t="shared" si="49"/>
        <v>2.239721482362389</v>
      </c>
      <c r="EM32" s="22">
        <f t="shared" si="25"/>
        <v>14.325485587137443</v>
      </c>
      <c r="EN32" s="62">
        <f t="shared" si="26"/>
        <v>222.5581117399789</v>
      </c>
      <c r="EO32" s="62">
        <f ca="1">AVERAGE(OFFSET($EN$3,0,0,'Données projet'!$E$15+1,1))-AVERAGE(OFFSET($H$3,0,0,'Données projet'!$E$15+1,1))</f>
        <v>238.59014604384171</v>
      </c>
      <c r="EP32" s="62">
        <f t="shared" si="27"/>
        <v>90.841373219575217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projet'!$B$15,Paramètres!$A$1:$I$88,7,0))</f>
        <v>0</v>
      </c>
      <c r="ET32" s="17">
        <f>IF(ISNA(VLOOKUP(A32,'Données projet'!$A$191:$I$211,6,0)),0%,VLOOKUP(A32,'Données projet'!$A$191:$I$211,6,0)*VLOOKUP('Données projet'!$B$15,Paramètres!$A$1:$I$88,7,0))</f>
        <v>0</v>
      </c>
      <c r="EU32" s="17">
        <f>IF(ISNA(VLOOKUP(A32,'Données projet'!$A$191:$I$211,7,0)),0%,VLOOKUP(A32,'Données projet'!$A$191:$I$211,7,0))</f>
        <v>0</v>
      </c>
      <c r="EV32" s="23">
        <f>EXP(-LN(2)/35)*EV31+(1-EXP(-LN(2)/35))/(LN(2)/35)*ER32*ES32*VLOOKUP('Données projet'!$B$9,Paramètres!$A$1:$I$88,3,0)*0.475*44/12</f>
        <v>0</v>
      </c>
      <c r="EW32" s="23">
        <f>EXP(-LN(2)/25)*EW31+(1-EXP(-LN(2)/25))/(LN(2)/25)*Calculateur!ER32*Calculateur!ET32*VLOOKUP('Données projet'!$B$9,Paramètres!$A$1:$I$88,3,0)*0.475*44/12</f>
        <v>0</v>
      </c>
      <c r="EX32" s="23">
        <f>EXP(-LN(2)/2)*EX31+(1-EXP(-LN(2)/2))/(LN(2)/2)*ER32*EU32*VLOOKUP('Données projet'!$B$9,Paramètres!$A$1:$I$88,3,0)*0.475*44/12</f>
        <v>0</v>
      </c>
      <c r="EY32" s="24">
        <f t="shared" si="28"/>
        <v>0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IF(A32&lt;'Données projet'!$A$218,$FB$205^A32,IF(A32='Données projet'!$A$218,'Données projet'!$B$218,FE31+FD32-FM31))</f>
        <v>0</v>
      </c>
      <c r="FF32" s="18" t="e">
        <f>FE32*VLOOKUP('Données projet'!$B$16,Paramètres!$A$1:$I$88,3,0)*VLOOKUP('Données projet'!$B$16,Paramètres!$A$1:$I$88,5,0)</f>
        <v>#N/A</v>
      </c>
      <c r="FG32" s="14" t="e">
        <f t="shared" si="50"/>
        <v>#N/A</v>
      </c>
      <c r="FH32" s="22" t="e">
        <f t="shared" si="29"/>
        <v>#N/A</v>
      </c>
      <c r="FI32" s="62" t="e">
        <f t="shared" si="30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31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projet'!$B$16,Paramètres!$A$1:$I$88,7,0))</f>
        <v>0</v>
      </c>
      <c r="FO32" s="17">
        <f>IF(ISNA(VLOOKUP(A32,'Données projet'!$A$217:$I$237,6,0)),0%,VLOOKUP(A32,'Données projet'!$A$217:$I$237,6,0)*VLOOKUP('Données projet'!$B$16,Paramètres!$A$1:$I$88,7,0))</f>
        <v>0</v>
      </c>
      <c r="FP32" s="17">
        <f>IF(ISNA(VLOOKUP(A32,'Données projet'!$A$217:$I$237,7,0)),0%,VLOOKUP(A32,'Données projet'!$A$217:$I$237,7,0))</f>
        <v>0</v>
      </c>
      <c r="FQ32" s="23">
        <f>EXP(-LN(2)/35)*FQ31+(1-EXP(-LN(2)/35))/(LN(2)/35)*FM32*FN32*VLOOKUP('Données projet'!$B$9,Paramètres!$A$1:$I$88,3,0)*0.475*44/12</f>
        <v>0</v>
      </c>
      <c r="FR32" s="23">
        <f>EXP(-LN(2)/25)*FR31+(1-EXP(-LN(2)/25))/(LN(2)/25)*Calculateur!FM32*Calculateur!FO32*VLOOKUP('Données projet'!$B$9,Paramètres!$A$1:$I$88,3,0)*0.475*44/12</f>
        <v>0</v>
      </c>
      <c r="FS32" s="23">
        <f>EXP(-LN(2)/2)*FS31+(1-EXP(-LN(2)/2))/(LN(2)/2)*FM32*FP32*VLOOKUP('Données projet'!$B$9,Paramètres!$A$1:$I$88,3,0)*0.475*44/12</f>
        <v>0</v>
      </c>
      <c r="FT32" s="24">
        <f t="shared" si="32"/>
        <v>0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IF(A32&lt;'Données projet'!$A$244,$FW$205^A32,IF(A32='Données projet'!$A$244,'Données projet'!$B$244,FZ31+FY32-GH31))</f>
        <v>0</v>
      </c>
      <c r="GA32" s="18" t="e">
        <f>FZ32*VLOOKUP('Données projet'!$B$17,Paramètres!$A$1:$I$88,3,0)*VLOOKUP('Données projet'!$B$17,Paramètres!$A$1:$I$88,5,0)</f>
        <v>#N/A</v>
      </c>
      <c r="GB32" s="14" t="e">
        <f t="shared" si="51"/>
        <v>#N/A</v>
      </c>
      <c r="GC32" s="22" t="e">
        <f t="shared" si="33"/>
        <v>#N/A</v>
      </c>
      <c r="GD32" s="62" t="e">
        <f t="shared" si="34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35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projet'!$B$17,Paramètres!$A$1:$I$88,7,0))</f>
        <v>0</v>
      </c>
      <c r="GJ32" s="17">
        <f>IF(ISNA(VLOOKUP(A32,'Données projet'!$A$243:$I$263,6,0)),0%,VLOOKUP(A32,'Données projet'!$A$243:$I$263,6,0)*VLOOKUP('Données projet'!$B$17,Paramètres!$A$1:$I$88,7,0))</f>
        <v>0</v>
      </c>
      <c r="GK32" s="17">
        <f>IF(ISNA(VLOOKUP(A32,'Données projet'!$A$243:$I$263,7,0)),0%,VLOOKUP(A32,'Données projet'!$A$243:$I$263,7,0))</f>
        <v>0</v>
      </c>
      <c r="GL32" s="23">
        <f>EXP(-LN(2)/35)*GL31+(1-EXP(-LN(2)/35))/(LN(2)/35)*GH32*GI32*VLOOKUP('Données projet'!$B$9,Paramètres!$A$1:$I$88,3,0)*0.475*44/12</f>
        <v>0</v>
      </c>
      <c r="GM32" s="23">
        <f>EXP(-LN(2)/25)*GM31+(1-EXP(-LN(2)/25))/(LN(2)/25)*Calculateur!GH32*Calculateur!GJ32*VLOOKUP('Données projet'!$B$9,Paramètres!$A$1:$I$88,3,0)*0.475*44/12</f>
        <v>0</v>
      </c>
      <c r="GN32" s="23">
        <f>EXP(-LN(2)/2)*GN31+(1-EXP(-LN(2)/2))/(LN(2)/2)*GH32*GK32*VLOOKUP('Données projet'!$B$9,Paramètres!$A$1:$I$88,3,0)*0.475*44/12</f>
        <v>0</v>
      </c>
      <c r="GO32" s="23">
        <f t="shared" si="36"/>
        <v>0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IF(A32&lt;'Données projet'!$A$270,$GR$205^A32,IF(A32='Données projet'!$A$270,'Données projet'!$B$270,GU31+GT32-HC31))</f>
        <v>0</v>
      </c>
      <c r="GV32" s="18" t="e">
        <f>GU32*VLOOKUP('Données projet'!$B$18,Paramètres!$A$1:$I$88,3,0)*VLOOKUP('Données projet'!$B$18,Paramètres!$A$1:$I$88,5,0)</f>
        <v>#N/A</v>
      </c>
      <c r="GW32" s="14" t="e">
        <f t="shared" si="52"/>
        <v>#N/A</v>
      </c>
      <c r="GX32" s="22" t="e">
        <f t="shared" si="37"/>
        <v>#N/A</v>
      </c>
      <c r="GY32" s="62" t="e">
        <f t="shared" si="38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39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projet'!$B$18,Paramètres!$A$1:$I$88,7,0))</f>
        <v>0</v>
      </c>
      <c r="HE32" s="17">
        <f>IF(ISNA(VLOOKUP(A32,'Données projet'!$A$269:$I$289,6,0)),0%,VLOOKUP(A32,'Données projet'!$A$269:$I$289,6,0)*VLOOKUP('Données projet'!$B$18,Paramètres!$A$1:$I$88,7,0))</f>
        <v>0</v>
      </c>
      <c r="HF32" s="17">
        <f>IF(ISNA(VLOOKUP(A32,'Données projet'!$A$269:$I$289,7,0)),0%,VLOOKUP(A32,'Données projet'!$A$269:$I$289,7,0))</f>
        <v>0</v>
      </c>
      <c r="HG32" s="23">
        <f>EXP(-LN(2)/35)*HG31+(1-EXP(-LN(2)/35))/(LN(2)/35)*HC32*HD32*VLOOKUP('Données projet'!$B$9,Paramètres!$A$1:$I$88,3,0)*0.475*44/12</f>
        <v>0</v>
      </c>
      <c r="HH32" s="23">
        <f>EXP(-LN(2)/25)*HH31+(1-EXP(-LN(2)/25))/(LN(2)/25)*Calculateur!HC32*Calculateur!HE32*VLOOKUP('Données projet'!$B$9,Paramètres!$A$1:$I$88,3,0)*0.475*44/12</f>
        <v>0</v>
      </c>
      <c r="HI32" s="23">
        <f>EXP(-LN(2)/2)*HI31+(1-EXP(-LN(2)/2))/(LN(2)/2)*HC32*HF32*VLOOKUP('Données projet'!$B$9,Paramètres!$A$1:$I$88,3,0)*0.475*44/12</f>
        <v>0</v>
      </c>
      <c r="HJ32" s="24">
        <f t="shared" si="40"/>
        <v>0</v>
      </c>
    </row>
    <row r="33" spans="1:218" s="5" customFormat="1" x14ac:dyDescent="0.25">
      <c r="A33" s="11">
        <f t="shared" si="4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3" s="12">
        <f t="shared" si="4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135.66666666666666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54.787500000000009</v>
      </c>
      <c r="L33" s="13">
        <f>VLOOKUP(A33,'Données projet'!$A$35:$I$55,9,0)</f>
        <v>1.9887500000000009</v>
      </c>
      <c r="M33" s="13">
        <f t="array" ref="M33">INDEX(L:L,MIN(IF(ISNUMBER(L33:L229),ROW(L33:L229),"")))</f>
        <v>1.9887500000000009</v>
      </c>
      <c r="N33" s="14">
        <f>IF(A33&lt;'Données projet'!$A$36,$K$205^A33,IF(A33='Données projet'!$A$36,'Données projet'!$B$36,N32+M33-V32))</f>
        <v>54.787500000000037</v>
      </c>
      <c r="O33" s="14">
        <f>N33*VLOOKUP('Données projet'!$B$9,Paramètres!$A$1:$I$88,3,0)*VLOOKUP('Données projet'!$B$9,Paramètres!$A$1:$I$88,5,0)</f>
        <v>63.115200000000037</v>
      </c>
      <c r="P33" s="14">
        <f t="shared" si="43"/>
        <v>17.953554085320896</v>
      </c>
      <c r="Q33" s="22">
        <f t="shared" si="2"/>
        <v>141.19474669860062</v>
      </c>
      <c r="R33" s="62">
        <f t="shared" si="0"/>
        <v>352.10469926349106</v>
      </c>
      <c r="S33" s="62">
        <f ca="1">AVERAGE(OFFSET($R$3,0,0,'Données projet'!$E$9+1,1))-AVERAGE(OFFSET($H$3,0,0,'Données projet'!$E$9+1,1))</f>
        <v>314.72063458462026</v>
      </c>
      <c r="T33" s="62">
        <f t="shared" si="3"/>
        <v>216.4380325968244</v>
      </c>
      <c r="U33" s="16">
        <f>IF(ISNA(VLOOKUP(A33,'Données projet'!$A$35:$I$55,3,0)),0,VLOOKUP(A33,'Données projet'!$A$35:$I$55,3,0))</f>
        <v>1</v>
      </c>
      <c r="V33" s="16">
        <f>IF(ISNA(VLOOKUP(A33,'Données projet'!$A$35:$I$55,4,0)),0,VLOOKUP(A33,'Données projet'!$A$35:$I$55,4,0))</f>
        <v>11.375</v>
      </c>
      <c r="W33" s="17">
        <f>IF(ISNA(VLOOKUP(A33,'Données projet'!$A$35:$I$55,5,0)),0%,VLOOKUP(A33,'Données projet'!$A$35:$I$55,5,0)*VLOOKUP('Données projet'!$B$9,Paramètres!$A$1:$I$88,7,0))</f>
        <v>0</v>
      </c>
      <c r="X33" s="17">
        <f>IF(ISNA(VLOOKUP(A33,'Données projet'!$A$35:$I$55,6,0)),0%,VLOOKUP(A33,'Données projet'!$A$35:$I$55,6,0)*VLOOKUP('Données projet'!$B$9,Paramètres!$A$1:$I$88,7,0))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projet'!$B$9,Paramètres!$A$1:$I$88,3,0)*0.475*44/12</f>
        <v>0</v>
      </c>
      <c r="AA33" s="23">
        <f>EXP(-LN(2)/25)*AA32+(1-EXP(-LN(2)/25))/(LN(2)/25)*Calculateur!V33*Calculateur!X33*VLOOKUP('Données projet'!$B$9,Paramètres!$A$1:$I$88,3,0)*0.475*44/12</f>
        <v>0</v>
      </c>
      <c r="AB33" s="23">
        <f>EXP(-LN(2)/2)*AB32+(1-EXP(-LN(2)/2))/(LN(2)/2)*V33*Y33*VLOOKUP('Données projet'!$B$9,Paramètres!$A$1:$I$88,3,0)*0.475*44/12</f>
        <v>0</v>
      </c>
      <c r="AC33" s="24">
        <f t="shared" si="4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77</v>
      </c>
      <c r="AG33" s="13">
        <f>VLOOKUP(A33,'Données projet'!$A$61:$I$81,9,0)</f>
        <v>5.4</v>
      </c>
      <c r="AH33" s="13">
        <f t="array" ref="AH33">INDEX(AG:AG,MIN(IF(ISNUMBER(AG33:AG229),ROW(AG33:AG229),"")))</f>
        <v>5.4</v>
      </c>
      <c r="AI33" s="14">
        <f>IF(A33&lt;'Données projet'!$A$62,$AF$205^A33,IF(A33='Données projet'!$A$62,'Données projet'!$B$62,AI32+AH33-AQ32))</f>
        <v>77.000000000000014</v>
      </c>
      <c r="AJ33" s="14">
        <f>AI33*VLOOKUP('Données projet'!$B$10,Paramètres!$A$1:$I$88,3,0)*VLOOKUP('Données projet'!$B$10,Paramètres!$A$1:$I$88,5,0)</f>
        <v>80.480400000000017</v>
      </c>
      <c r="AK33" s="14">
        <f t="shared" si="44"/>
        <v>22.254603466245904</v>
      </c>
      <c r="AL33" s="22">
        <f t="shared" si="5"/>
        <v>178.93013103704496</v>
      </c>
      <c r="AM33" s="62">
        <f t="shared" si="6"/>
        <v>389.84008360193536</v>
      </c>
      <c r="AN33" s="62">
        <f ca="1">AVERAGE(OFFSET($AM$3,0,0,'Données projet'!$E$10+1,1))-AVERAGE(OFFSET($H$3,0,0,'Données projet'!$E$10+1,1))</f>
        <v>458.33072853676879</v>
      </c>
      <c r="AO33" s="62">
        <f t="shared" si="7"/>
        <v>254.1734169352687</v>
      </c>
      <c r="AP33" s="16">
        <f>IF(ISNA(VLOOKUP(A33,'Données projet'!$A$61:$I$81,3,0)),0,VLOOKUP(A33,'Données projet'!$A$61:$I$81,3,0))</f>
        <v>1</v>
      </c>
      <c r="AQ33" s="16">
        <f>IF(ISNA(VLOOKUP(A33,'Données projet'!$A$61:$I$81,4,0)),0,VLOOKUP(A33,'Données projet'!$A$61:$I$81,4,0))</f>
        <v>13</v>
      </c>
      <c r="AR33" s="17">
        <f>IF(ISNA(VLOOKUP(A33,'Données projet'!$A$61:$I$81,5,0)),0%,VLOOKUP(A33,'Données projet'!$A$61:$I$81,5,0)*VLOOKUP('Données projet'!$B$10,Paramètres!$A$1:$I$88,7,0))</f>
        <v>0</v>
      </c>
      <c r="AS33" s="17">
        <f>IF(ISNA(VLOOKUP(A33,'Données projet'!$A$61:$I$81,6,0)),0%,VLOOKUP(A33,'Données projet'!$A$61:$I$81,6,0)*VLOOKUP('Données projet'!$B$10,Paramètres!$A$1:$I$88,7,0))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projet'!$B$9,Paramètres!$A$1:$I$88,3,0)*0.475*44/12</f>
        <v>0</v>
      </c>
      <c r="AV33" s="23">
        <f>EXP(-LN(2)/25)*AV32+(1-EXP(-LN(2)/25))/(LN(2)/25)*Calculateur!AQ33*Calculateur!AS33*VLOOKUP('Données projet'!$B$9,Paramètres!$A$1:$I$88,3,0)*0.475*44/12</f>
        <v>0</v>
      </c>
      <c r="AW33" s="23">
        <f>EXP(-LN(2)/2)*AW32+(1-EXP(-LN(2)/2))/(LN(2)/2)*AQ33*AT33*VLOOKUP('Données projet'!$B$9,Paramètres!$A$1:$I$88,3,0)*0.475*44/12</f>
        <v>0</v>
      </c>
      <c r="AX33" s="23">
        <f t="shared" si="8"/>
        <v>0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77</v>
      </c>
      <c r="BB33" s="13">
        <f>VLOOKUP(A33,'Données projet'!$A$87:$I$107,9,0)</f>
        <v>5.4</v>
      </c>
      <c r="BC33" s="13">
        <f t="array" ref="BC33">INDEX(BB:BB,MIN(IF(ISNUMBER(BB33:BB229),ROW(BB33:BB229),"")))</f>
        <v>5.4</v>
      </c>
      <c r="BD33" s="13">
        <f>IF(A33&lt;'Données projet'!$A$88,$BA$205^A33,IF(A33='Données projet'!$A$88,'Données projet'!$B$88,BD32+BC33-BL32))</f>
        <v>77.000000000000014</v>
      </c>
      <c r="BE33" s="14">
        <f>BD33*VLOOKUP('Données projet'!$B$11,Paramètres!$A$1:$I$88,3,0)*VLOOKUP('Données projet'!$B$11,Paramètres!$A$1:$I$88,5,0)</f>
        <v>78.078000000000017</v>
      </c>
      <c r="BF33" s="14">
        <f t="shared" si="45"/>
        <v>21.666582091642084</v>
      </c>
      <c r="BG33" s="22">
        <f t="shared" si="9"/>
        <v>173.72181380960998</v>
      </c>
      <c r="BH33" s="62">
        <f t="shared" si="10"/>
        <v>384.63176637450044</v>
      </c>
      <c r="BI33" s="62">
        <f ca="1">AVERAGE(OFFSET($BH$3,0,0,'Données projet'!$E$11+1,1))-AVERAGE(OFFSET($H$3,0,0,'Données projet'!$E$11+1,1))</f>
        <v>447.82618173893104</v>
      </c>
      <c r="BJ33" s="62">
        <f t="shared" si="11"/>
        <v>248.96509970783379</v>
      </c>
      <c r="BK33" s="16">
        <f>IF(ISNA(VLOOKUP(A33,'Données projet'!$A$87:$I$107,3,0)),0,VLOOKUP(A33,'Données projet'!$A$87:$I$107,3,0))</f>
        <v>1</v>
      </c>
      <c r="BL33" s="16">
        <f>IF(ISNA(VLOOKUP(A33,'Données projet'!$A$87:$I$107,4,0)),0,VLOOKUP(A33,'Données projet'!$A$87:$I$107,4,0))</f>
        <v>13</v>
      </c>
      <c r="BM33" s="17">
        <f>IF(ISNA(VLOOKUP(A33,'Données projet'!$A$87:$I$107,5,0)),0%,VLOOKUP(A33,'Données projet'!$A$87:$I$107,5,0)*VLOOKUP('Données projet'!$B$11,Paramètres!$A$1:$I$88,7,0))</f>
        <v>0</v>
      </c>
      <c r="BN33" s="17">
        <f>IF(ISNA(VLOOKUP(A33,'Données projet'!$A$87:$I$107,6,0)),0%,VLOOKUP(A33,'Données projet'!$A$87:$I$107,6,0)*VLOOKUP('Données projet'!$B$11,Paramètres!$A$1:$I$88,7,0))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projet'!$B$9,Paramètres!$A$1:$I$88,3,0)*0.475*44/12</f>
        <v>0</v>
      </c>
      <c r="BQ33" s="23">
        <f>EXP(-LN(2)/25)*BQ32+(1-EXP(-LN(2)/25))/(LN(2)/25)*Calculateur!BL33*Calculateur!BN33*VLOOKUP('Données projet'!$B$9,Paramètres!$A$1:$I$88,3,0)*0.475*44/12</f>
        <v>0</v>
      </c>
      <c r="BR33" s="23">
        <f>EXP(-LN(2)/2)*BR32+(1-EXP(-LN(2)/2))/(LN(2)/2)*BL33*BO33*VLOOKUP('Données projet'!$B$9,Paramètres!$A$1:$I$88,3,0)*0.475*44/12</f>
        <v>0</v>
      </c>
      <c r="BS33" s="24">
        <f t="shared" si="12"/>
        <v>0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projet'!$A$113:$I$133,2,0)</f>
        <v>77</v>
      </c>
      <c r="BW33" s="13">
        <f>VLOOKUP(A33,'Données projet'!$A$113:$I$133,9,0)</f>
        <v>5.4</v>
      </c>
      <c r="BX33" s="13">
        <f t="array" ref="BX33">INDEX(BW:BW,MIN(IF(ISNUMBER(BW33:BW229),ROW(BW33:BW229),"")))</f>
        <v>5.4</v>
      </c>
      <c r="BY33" s="13">
        <f>IF(A33&lt;'Données projet'!$A$114,$BV$205^A33,IF(A33='Données projet'!$A$114,'Données projet'!$B$114,BY32+BX33-CG32))</f>
        <v>77.000000000000014</v>
      </c>
      <c r="BZ33" s="14">
        <f>BY33*VLOOKUP('Données projet'!$B$12,Paramètres!$A$1:$I$88,3,0)*VLOOKUP('Données projet'!$B$12,Paramètres!$A$1:$I$88,5,0)</f>
        <v>82.882800000000003</v>
      </c>
      <c r="CA33" s="14">
        <f t="shared" si="46"/>
        <v>22.840584911380041</v>
      </c>
      <c r="CB33" s="22">
        <f t="shared" si="13"/>
        <v>184.1348953873202</v>
      </c>
      <c r="CC33" s="62">
        <f t="shared" si="14"/>
        <v>395.0448479522106</v>
      </c>
      <c r="CD33" s="62">
        <f ca="1">AVERAGE(OFFSET($CC$3,0,0,'Données projet'!$E$12+1,1))-AVERAGE(OFFSET($H$3,0,0,'Données projet'!$E$12+1,1))</f>
        <v>468.82871618425406</v>
      </c>
      <c r="CE33" s="62">
        <f t="shared" si="15"/>
        <v>259.37818128554397</v>
      </c>
      <c r="CF33" s="16">
        <f>IF(ISNA(VLOOKUP(A33,'Données projet'!$A$113:$I$133,3,0)),0,VLOOKUP(A33,'Données projet'!$A$113:$I$133,3,0))</f>
        <v>1</v>
      </c>
      <c r="CG33" s="16">
        <f>IF(ISNA(VLOOKUP(A33,'Données projet'!$A$113:$I$133,4,0)),0,VLOOKUP(A33,'Données projet'!$A$113:$I$133,4,0))</f>
        <v>13</v>
      </c>
      <c r="CH33" s="17">
        <f>IF(ISNA(VLOOKUP(A33,'Données projet'!$A$113:$I$133,5,0)),0%,VLOOKUP(A33,'Données projet'!$A$113:$I$133,5,0)*VLOOKUP('Données projet'!$B$12,Paramètres!$A$1:$I$88,7,0))</f>
        <v>0</v>
      </c>
      <c r="CI33" s="17">
        <f>IF(ISNA(VLOOKUP(A33,'Données projet'!$A$113:$I$133,6,0)),0%,VLOOKUP(A33,'Données projet'!$A$113:$I$133,6,0)*VLOOKUP('Données projet'!$B$12,Paramètres!$A$1:$I$88,7,0))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projet'!$B$9,Paramètres!$A$1:$I$88,3,0)*0.475*44/12</f>
        <v>0</v>
      </c>
      <c r="CL33" s="23">
        <f>EXP(-LN(2)/25)*CL32+(1-EXP(-LN(2)/25))/(LN(2)/25)*Calculateur!CG33*Calculateur!CI33*VLOOKUP('Données projet'!$B$9,Paramètres!$A$1:$I$88,3,0)*0.475*44/12</f>
        <v>0</v>
      </c>
      <c r="CM33" s="23">
        <f>EXP(-LN(2)/2)*CM32+(1-EXP(-LN(2)/2))/(LN(2)/2)*CG33*CJ33*VLOOKUP('Données projet'!$B$9,Paramètres!$A$1:$I$88,3,0)*0.475*44/12</f>
        <v>0</v>
      </c>
      <c r="CN33" s="24">
        <f t="shared" si="16"/>
        <v>0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projet'!$A$139:$I$159,2,0)</f>
        <v>77</v>
      </c>
      <c r="CR33" s="13">
        <f>VLOOKUP(A33,'Données projet'!$A$139:$I$159,9,0)</f>
        <v>5.4</v>
      </c>
      <c r="CS33" s="13">
        <f t="array" ref="CS33">INDEX(CR:CR,MIN(IF(ISNUMBER(CR33:CR229),ROW(CR33:CR229),"")))</f>
        <v>5.4</v>
      </c>
      <c r="CT33" s="13">
        <f>IF(A33&lt;'Données projet'!$A$140,$CQ$205^A33,IF(A33='Données projet'!$A$140,'Données projet'!$B$140,CT32+CS33-DB32))</f>
        <v>77.000000000000014</v>
      </c>
      <c r="CU33" s="18">
        <f>CT33*VLOOKUP('Données projet'!$B$13,Paramètres!$A$1:$I$88,3,0)*VLOOKUP('Données projet'!$B$13,Paramètres!$A$1:$I$88,5,0)</f>
        <v>66.066000000000017</v>
      </c>
      <c r="CV33" s="14">
        <f t="shared" si="47"/>
        <v>18.693242380966257</v>
      </c>
      <c r="CW33" s="22">
        <f t="shared" si="17"/>
        <v>147.62234714684959</v>
      </c>
      <c r="CX33" s="62">
        <f t="shared" si="18"/>
        <v>358.53229971174005</v>
      </c>
      <c r="CY33" s="62">
        <f ca="1">AVERAGE(OFFSET($CX$3,0,0,'Données projet'!$E$13+1,1))-AVERAGE(OFFSET($H$3,0,0,'Données projet'!$E$13+1,1))</f>
        <v>395.19659151668884</v>
      </c>
      <c r="CZ33" s="62">
        <f t="shared" si="19"/>
        <v>222.86563304507339</v>
      </c>
      <c r="DA33" s="16">
        <f>IF(ISNA(VLOOKUP(A33,'Données projet'!$A$139:$I$159,3,0)),0,VLOOKUP(A33,'Données projet'!$A$139:$I$159,3,0))</f>
        <v>1</v>
      </c>
      <c r="DB33" s="16">
        <f>IF(ISNA(VLOOKUP(A33,'Données projet'!$A$139:$I$159,4,0)),0,VLOOKUP(A33,'Données projet'!$A$139:$I$159,4,0))</f>
        <v>13</v>
      </c>
      <c r="DC33" s="17">
        <f>IF(ISNA(VLOOKUP(A33,'Données projet'!$A$139:$I$159,5,0)),0%,VLOOKUP(A33,'Données projet'!$A$139:$I$159,5,0)*VLOOKUP('Données projet'!$B$13,Paramètres!$A$1:$I$88,7,0))</f>
        <v>0</v>
      </c>
      <c r="DD33" s="17">
        <f>IF(ISNA(VLOOKUP(A33,'Données projet'!$A$139:$I$159,6,0)),0%,VLOOKUP(A33,'Données projet'!$A$139:$I$159,6,0)*VLOOKUP('Données projet'!$B$13,Paramètres!$A$1:$I$88,7,0))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projet'!$B$9,Paramètres!$A$1:$I$88,3,0)*0.475*44/12</f>
        <v>0</v>
      </c>
      <c r="DG33" s="23">
        <f>EXP(-LN(2)/25)*DG32+(1-EXP(-LN(2)/25))/(LN(2)/25)*Calculateur!DB33*Calculateur!DD33*VLOOKUP('Données projet'!$B$9,Paramètres!$A$1:$I$88,3,0)*0.475*44/12</f>
        <v>0</v>
      </c>
      <c r="DH33" s="23">
        <f>EXP(-LN(2)/2)*DH32+(1-EXP(-LN(2)/2))/(LN(2)/2)*DB33*DE33*VLOOKUP('Données projet'!$B$9,Paramètres!$A$1:$I$88,3,0)*0.475*44/12</f>
        <v>0</v>
      </c>
      <c r="DI33" s="24">
        <f t="shared" si="20"/>
        <v>0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2.2749999999999999</v>
      </c>
      <c r="DO33" s="13">
        <f>IF(A33&lt;'Données projet'!$A$166,$DL$205^A33,IF(A33='Données projet'!$A$166,'Données projet'!$B$166,DO32+DN33-DW32))</f>
        <v>29.463276689625282</v>
      </c>
      <c r="DP33" s="18">
        <f>DO33*VLOOKUP('Données projet'!$B$14,Paramètres!$A$1:$I$88,3,0)*VLOOKUP('Données projet'!$B$14,Paramètres!$A$1:$I$88,5,0)</f>
        <v>17.236016863430791</v>
      </c>
      <c r="DQ33" s="14">
        <f t="shared" si="48"/>
        <v>5.7025318399848697</v>
      </c>
      <c r="DR33" s="22">
        <f t="shared" si="21"/>
        <v>39.951305658448945</v>
      </c>
      <c r="DS33" s="62">
        <f t="shared" si="22"/>
        <v>250.86125822333938</v>
      </c>
      <c r="DT33" s="62">
        <f ca="1">AVERAGE(OFFSET($DS$3,0,0,'Données projet'!$E$14+1,1))-AVERAGE(OFFSET($H$3,0,0,'Données projet'!$E$14+1,1))</f>
        <v>155.18073137151848</v>
      </c>
      <c r="DU33" s="62">
        <f t="shared" si="23"/>
        <v>115.19459155667272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projet'!$B$14,Paramètres!$A$1:$I$88,7,0))</f>
        <v>0</v>
      </c>
      <c r="DY33" s="17">
        <f>IF(ISNA(VLOOKUP(A33,'Données projet'!$A$165:$I$185,6,0)),0%,VLOOKUP(A33,'Données projet'!$A$165:$I$185,6,0)*VLOOKUP('Données projet'!$B$14,Paramètres!$A$1:$I$88,7,0))</f>
        <v>0</v>
      </c>
      <c r="DZ33" s="17">
        <f>IF(ISNA(VLOOKUP(A33,'Données projet'!$A$165:$I$185,7,0)),0%,VLOOKUP(A33,'Données projet'!$A$165:$I$185,7,0))</f>
        <v>0</v>
      </c>
      <c r="EA33" s="23">
        <f>EXP(-LN(2)/35)*EA32+(1-EXP(-LN(2)/35))/(LN(2)/35)*DW33*DX33*VLOOKUP('Données projet'!$B$9,Paramètres!$A$1:$I$88,3,0)*0.475*44/12</f>
        <v>0</v>
      </c>
      <c r="EB33" s="23">
        <f>EXP(-LN(2)/25)*EB32+(1-EXP(-LN(2)/25))/(LN(2)/25)*Calculateur!DW33*Calculateur!DY33*VLOOKUP('Données projet'!$B$9,Paramètres!$A$1:$I$88,3,0)*0.475*44/12</f>
        <v>0</v>
      </c>
      <c r="EC33" s="23">
        <f>EXP(-LN(2)/2)*EC32+(1-EXP(-LN(2)/2))/(LN(2)/2)*DW33*DZ33*VLOOKUP('Données projet'!$B$9,Paramètres!$A$1:$I$88,3,0)*0.475*44/12</f>
        <v>0</v>
      </c>
      <c r="ED33" s="24">
        <f t="shared" si="24"/>
        <v>0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3.25</v>
      </c>
      <c r="EJ33" s="13">
        <f>IF(A33&lt;'Données projet'!$A$192,$EG$205^A33,IF(A33='Données projet'!$A$192,'Données projet'!$B$192,EJ32+EI33-ER32))</f>
        <v>13.964240043768985</v>
      </c>
      <c r="EK33" s="18">
        <f>EJ33*VLOOKUP('Données projet'!$B$15,Paramètres!$A$1:$I$88,3,0)*VLOOKUP('Données projet'!$B$15,Paramètres!$A$1:$I$88,5,0)</f>
        <v>6.5352643404838844</v>
      </c>
      <c r="EL33" s="14">
        <f t="shared" si="49"/>
        <v>2.4205752698614433</v>
      </c>
      <c r="EM33" s="22">
        <f t="shared" si="25"/>
        <v>15.598087321351445</v>
      </c>
      <c r="EN33" s="62">
        <f t="shared" si="26"/>
        <v>226.50803988624187</v>
      </c>
      <c r="EO33" s="62">
        <f ca="1">AVERAGE(OFFSET($EN$3,0,0,'Données projet'!$E$15+1,1))-AVERAGE(OFFSET($H$3,0,0,'Données projet'!$E$15+1,1))</f>
        <v>238.59014604384171</v>
      </c>
      <c r="EP33" s="62">
        <f t="shared" si="27"/>
        <v>90.841373219575217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projet'!$B$15,Paramètres!$A$1:$I$88,7,0))</f>
        <v>0</v>
      </c>
      <c r="ET33" s="17">
        <f>IF(ISNA(VLOOKUP(A33,'Données projet'!$A$191:$I$211,6,0)),0%,VLOOKUP(A33,'Données projet'!$A$191:$I$211,6,0)*VLOOKUP('Données projet'!$B$15,Paramètres!$A$1:$I$88,7,0))</f>
        <v>0</v>
      </c>
      <c r="EU33" s="17">
        <f>IF(ISNA(VLOOKUP(A33,'Données projet'!$A$191:$I$211,7,0)),0%,VLOOKUP(A33,'Données projet'!$A$191:$I$211,7,0))</f>
        <v>0</v>
      </c>
      <c r="EV33" s="23">
        <f>EXP(-LN(2)/35)*EV32+(1-EXP(-LN(2)/35))/(LN(2)/35)*ER33*ES33*VLOOKUP('Données projet'!$B$9,Paramètres!$A$1:$I$88,3,0)*0.475*44/12</f>
        <v>0</v>
      </c>
      <c r="EW33" s="23">
        <f>EXP(-LN(2)/25)*EW32+(1-EXP(-LN(2)/25))/(LN(2)/25)*Calculateur!ER33*Calculateur!ET33*VLOOKUP('Données projet'!$B$9,Paramètres!$A$1:$I$88,3,0)*0.475*44/12</f>
        <v>0</v>
      </c>
      <c r="EX33" s="23">
        <f>EXP(-LN(2)/2)*EX32+(1-EXP(-LN(2)/2))/(LN(2)/2)*ER33*EU33*VLOOKUP('Données projet'!$B$9,Paramètres!$A$1:$I$88,3,0)*0.475*44/12</f>
        <v>0</v>
      </c>
      <c r="EY33" s="24">
        <f t="shared" si="28"/>
        <v>0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IF(A33&lt;'Données projet'!$A$218,$FB$205^A33,IF(A33='Données projet'!$A$218,'Données projet'!$B$218,FE32+FD33-FM32))</f>
        <v>0</v>
      </c>
      <c r="FF33" s="18" t="e">
        <f>FE33*VLOOKUP('Données projet'!$B$16,Paramètres!$A$1:$I$88,3,0)*VLOOKUP('Données projet'!$B$16,Paramètres!$A$1:$I$88,5,0)</f>
        <v>#N/A</v>
      </c>
      <c r="FG33" s="14" t="e">
        <f t="shared" si="50"/>
        <v>#N/A</v>
      </c>
      <c r="FH33" s="22" t="e">
        <f t="shared" si="29"/>
        <v>#N/A</v>
      </c>
      <c r="FI33" s="62" t="e">
        <f t="shared" si="30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31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projet'!$B$16,Paramètres!$A$1:$I$88,7,0))</f>
        <v>0</v>
      </c>
      <c r="FO33" s="17">
        <f>IF(ISNA(VLOOKUP(A33,'Données projet'!$A$217:$I$237,6,0)),0%,VLOOKUP(A33,'Données projet'!$A$217:$I$237,6,0)*VLOOKUP('Données projet'!$B$16,Paramètres!$A$1:$I$88,7,0))</f>
        <v>0</v>
      </c>
      <c r="FP33" s="17">
        <f>IF(ISNA(VLOOKUP(A33,'Données projet'!$A$217:$I$237,7,0)),0%,VLOOKUP(A33,'Données projet'!$A$217:$I$237,7,0))</f>
        <v>0</v>
      </c>
      <c r="FQ33" s="23">
        <f>EXP(-LN(2)/35)*FQ32+(1-EXP(-LN(2)/35))/(LN(2)/35)*FM33*FN33*VLOOKUP('Données projet'!$B$9,Paramètres!$A$1:$I$88,3,0)*0.475*44/12</f>
        <v>0</v>
      </c>
      <c r="FR33" s="23">
        <f>EXP(-LN(2)/25)*FR32+(1-EXP(-LN(2)/25))/(LN(2)/25)*Calculateur!FM33*Calculateur!FO33*VLOOKUP('Données projet'!$B$9,Paramètres!$A$1:$I$88,3,0)*0.475*44/12</f>
        <v>0</v>
      </c>
      <c r="FS33" s="23">
        <f>EXP(-LN(2)/2)*FS32+(1-EXP(-LN(2)/2))/(LN(2)/2)*FM33*FP33*VLOOKUP('Données projet'!$B$9,Paramètres!$A$1:$I$88,3,0)*0.475*44/12</f>
        <v>0</v>
      </c>
      <c r="FT33" s="24">
        <f t="shared" si="32"/>
        <v>0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IF(A33&lt;'Données projet'!$A$244,$FW$205^A33,IF(A33='Données projet'!$A$244,'Données projet'!$B$244,FZ32+FY33-GH32))</f>
        <v>0</v>
      </c>
      <c r="GA33" s="18" t="e">
        <f>FZ33*VLOOKUP('Données projet'!$B$17,Paramètres!$A$1:$I$88,3,0)*VLOOKUP('Données projet'!$B$17,Paramètres!$A$1:$I$88,5,0)</f>
        <v>#N/A</v>
      </c>
      <c r="GB33" s="14" t="e">
        <f t="shared" si="51"/>
        <v>#N/A</v>
      </c>
      <c r="GC33" s="22" t="e">
        <f t="shared" si="33"/>
        <v>#N/A</v>
      </c>
      <c r="GD33" s="62" t="e">
        <f t="shared" si="34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35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projet'!$B$17,Paramètres!$A$1:$I$88,7,0))</f>
        <v>0</v>
      </c>
      <c r="GJ33" s="17">
        <f>IF(ISNA(VLOOKUP(A33,'Données projet'!$A$243:$I$263,6,0)),0%,VLOOKUP(A33,'Données projet'!$A$243:$I$263,6,0)*VLOOKUP('Données projet'!$B$17,Paramètres!$A$1:$I$88,7,0))</f>
        <v>0</v>
      </c>
      <c r="GK33" s="17">
        <f>IF(ISNA(VLOOKUP(A33,'Données projet'!$A$243:$I$263,7,0)),0%,VLOOKUP(A33,'Données projet'!$A$243:$I$263,7,0))</f>
        <v>0</v>
      </c>
      <c r="GL33" s="23">
        <f>EXP(-LN(2)/35)*GL32+(1-EXP(-LN(2)/35))/(LN(2)/35)*GH33*GI33*VLOOKUP('Données projet'!$B$9,Paramètres!$A$1:$I$88,3,0)*0.475*44/12</f>
        <v>0</v>
      </c>
      <c r="GM33" s="23">
        <f>EXP(-LN(2)/25)*GM32+(1-EXP(-LN(2)/25))/(LN(2)/25)*Calculateur!GH33*Calculateur!GJ33*VLOOKUP('Données projet'!$B$9,Paramètres!$A$1:$I$88,3,0)*0.475*44/12</f>
        <v>0</v>
      </c>
      <c r="GN33" s="23">
        <f>EXP(-LN(2)/2)*GN32+(1-EXP(-LN(2)/2))/(LN(2)/2)*GH33*GK33*VLOOKUP('Données projet'!$B$9,Paramètres!$A$1:$I$88,3,0)*0.475*44/12</f>
        <v>0</v>
      </c>
      <c r="GO33" s="23">
        <f t="shared" si="36"/>
        <v>0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IF(A33&lt;'Données projet'!$A$270,$GR$205^A33,IF(A33='Données projet'!$A$270,'Données projet'!$B$270,GU32+GT33-HC32))</f>
        <v>0</v>
      </c>
      <c r="GV33" s="18" t="e">
        <f>GU33*VLOOKUP('Données projet'!$B$18,Paramètres!$A$1:$I$88,3,0)*VLOOKUP('Données projet'!$B$18,Paramètres!$A$1:$I$88,5,0)</f>
        <v>#N/A</v>
      </c>
      <c r="GW33" s="14" t="e">
        <f t="shared" si="52"/>
        <v>#N/A</v>
      </c>
      <c r="GX33" s="22" t="e">
        <f t="shared" si="37"/>
        <v>#N/A</v>
      </c>
      <c r="GY33" s="62" t="e">
        <f t="shared" si="38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39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projet'!$B$18,Paramètres!$A$1:$I$88,7,0))</f>
        <v>0</v>
      </c>
      <c r="HE33" s="17">
        <f>IF(ISNA(VLOOKUP(A33,'Données projet'!$A$269:$I$289,6,0)),0%,VLOOKUP(A33,'Données projet'!$A$269:$I$289,6,0)*VLOOKUP('Données projet'!$B$18,Paramètres!$A$1:$I$88,7,0))</f>
        <v>0</v>
      </c>
      <c r="HF33" s="17">
        <f>IF(ISNA(VLOOKUP(A33,'Données projet'!$A$269:$I$289,7,0)),0%,VLOOKUP(A33,'Données projet'!$A$269:$I$289,7,0))</f>
        <v>0</v>
      </c>
      <c r="HG33" s="23">
        <f>EXP(-LN(2)/35)*HG32+(1-EXP(-LN(2)/35))/(LN(2)/35)*HC33*HD33*VLOOKUP('Données projet'!$B$9,Paramètres!$A$1:$I$88,3,0)*0.475*44/12</f>
        <v>0</v>
      </c>
      <c r="HH33" s="23">
        <f>EXP(-LN(2)/25)*HH32+(1-EXP(-LN(2)/25))/(LN(2)/25)*Calculateur!HC33*Calculateur!HE33*VLOOKUP('Données projet'!$B$9,Paramètres!$A$1:$I$88,3,0)*0.475*44/12</f>
        <v>0</v>
      </c>
      <c r="HI33" s="23">
        <f>EXP(-LN(2)/2)*HI32+(1-EXP(-LN(2)/2))/(LN(2)/2)*HC33*HF33*VLOOKUP('Données projet'!$B$9,Paramètres!$A$1:$I$88,3,0)*0.475*44/12</f>
        <v>0</v>
      </c>
      <c r="HJ33" s="24">
        <f t="shared" si="40"/>
        <v>0</v>
      </c>
    </row>
    <row r="34" spans="1:218" s="5" customFormat="1" x14ac:dyDescent="0.25">
      <c r="A34" s="11">
        <f t="shared" si="4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4" s="12">
        <f t="shared" si="4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135.66666666666666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1.9254166666666663</v>
      </c>
      <c r="N34" s="14">
        <f>IF(A34&lt;'Données projet'!$A$36,$K$205^A34,IF(A34='Données projet'!$A$36,'Données projet'!$B$36,N33+M34-V33))</f>
        <v>45.3379166666667</v>
      </c>
      <c r="O34" s="14">
        <f>N34*VLOOKUP('Données projet'!$B$9,Paramètres!$A$1:$I$88,3,0)*VLOOKUP('Données projet'!$B$9,Paramètres!$A$1:$I$88,5,0)</f>
        <v>52.229280000000031</v>
      </c>
      <c r="P34" s="14">
        <f t="shared" si="43"/>
        <v>15.188011234079523</v>
      </c>
      <c r="Q34" s="22">
        <f t="shared" si="2"/>
        <v>117.41844889935521</v>
      </c>
      <c r="R34" s="62">
        <f t="shared" si="0"/>
        <v>329.75826284950449</v>
      </c>
      <c r="S34" s="62">
        <f ca="1">AVERAGE(OFFSET($R$3,0,0,'Données projet'!$E$9+1,1))-AVERAGE(OFFSET($H$3,0,0,'Données projet'!$E$9+1,1))</f>
        <v>314.72063458462026</v>
      </c>
      <c r="T34" s="62">
        <f t="shared" si="3"/>
        <v>216.4380325968244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projet'!$B$9,Paramètres!$A$1:$I$88,7,0))</f>
        <v>0</v>
      </c>
      <c r="X34" s="17">
        <f>IF(ISNA(VLOOKUP(A34,'Données projet'!$A$35:$I$55,6,0)),0%,VLOOKUP(A34,'Données projet'!$A$35:$I$55,6,0)*VLOOKUP('Données projet'!$B$9,Paramètres!$A$1:$I$88,7,0))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projet'!$B$9,Paramètres!$A$1:$I$88,3,0)*0.475*44/12</f>
        <v>0</v>
      </c>
      <c r="AA34" s="23">
        <f>EXP(-LN(2)/25)*AA33+(1-EXP(-LN(2)/25))/(LN(2)/25)*Calculateur!V34*Calculateur!X34*VLOOKUP('Données projet'!$B$9,Paramètres!$A$1:$I$88,3,0)*0.475*44/12</f>
        <v>0</v>
      </c>
      <c r="AB34" s="23">
        <f>EXP(-LN(2)/2)*AB33+(1-EXP(-LN(2)/2))/(LN(2)/2)*V34*Y34*VLOOKUP('Données projet'!$B$9,Paramètres!$A$1:$I$88,3,0)*0.475*44/12</f>
        <v>0</v>
      </c>
      <c r="AC34" s="24">
        <f t="shared" si="4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5.4</v>
      </c>
      <c r="AI34" s="14">
        <f>IF(A34&lt;'Données projet'!$A$62,$AF$205^A34,IF(A34='Données projet'!$A$62,'Données projet'!$B$62,AI33+AH34-AQ33))</f>
        <v>69.40000000000002</v>
      </c>
      <c r="AJ34" s="14">
        <f>AI34*VLOOKUP('Données projet'!$B$10,Paramètres!$A$1:$I$88,3,0)*VLOOKUP('Données projet'!$B$10,Paramètres!$A$1:$I$88,5,0)</f>
        <v>72.536880000000025</v>
      </c>
      <c r="AK34" s="14">
        <f t="shared" si="44"/>
        <v>20.302143060443829</v>
      </c>
      <c r="AL34" s="22">
        <f t="shared" si="5"/>
        <v>161.69463183027304</v>
      </c>
      <c r="AM34" s="62">
        <f t="shared" si="6"/>
        <v>374.03444578042235</v>
      </c>
      <c r="AN34" s="62">
        <f ca="1">AVERAGE(OFFSET($AM$3,0,0,'Données projet'!$E$10+1,1))-AVERAGE(OFFSET($H$3,0,0,'Données projet'!$E$10+1,1))</f>
        <v>458.33072853676879</v>
      </c>
      <c r="AO34" s="62">
        <f t="shared" si="7"/>
        <v>254.1734169352687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projet'!$B$10,Paramètres!$A$1:$I$88,7,0))</f>
        <v>0</v>
      </c>
      <c r="AS34" s="17">
        <f>IF(ISNA(VLOOKUP(A34,'Données projet'!$A$61:$I$81,6,0)),0%,VLOOKUP(A34,'Données projet'!$A$61:$I$81,6,0)*VLOOKUP('Données projet'!$B$10,Paramètres!$A$1:$I$88,7,0))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projet'!$B$9,Paramètres!$A$1:$I$88,3,0)*0.475*44/12</f>
        <v>0</v>
      </c>
      <c r="AV34" s="23">
        <f>EXP(-LN(2)/25)*AV33+(1-EXP(-LN(2)/25))/(LN(2)/25)*Calculateur!AQ34*Calculateur!AS34*VLOOKUP('Données projet'!$B$9,Paramètres!$A$1:$I$88,3,0)*0.475*44/12</f>
        <v>0</v>
      </c>
      <c r="AW34" s="23">
        <f>EXP(-LN(2)/2)*AW33+(1-EXP(-LN(2)/2))/(LN(2)/2)*AQ34*AT34*VLOOKUP('Données projet'!$B$9,Paramètres!$A$1:$I$88,3,0)*0.475*44/12</f>
        <v>0</v>
      </c>
      <c r="AX34" s="23">
        <f t="shared" si="8"/>
        <v>0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5.4</v>
      </c>
      <c r="BD34" s="13">
        <f>IF(A34&lt;'Données projet'!$A$88,$BA$205^A34,IF(A34='Données projet'!$A$88,'Données projet'!$B$88,BD33+BC34-BL33))</f>
        <v>69.40000000000002</v>
      </c>
      <c r="BE34" s="14">
        <f>BD34*VLOOKUP('Données projet'!$B$11,Paramètres!$A$1:$I$88,3,0)*VLOOKUP('Données projet'!$B$11,Paramètres!$A$1:$I$88,5,0)</f>
        <v>70.371600000000029</v>
      </c>
      <c r="BF34" s="14">
        <f t="shared" si="45"/>
        <v>19.765710493226337</v>
      </c>
      <c r="BG34" s="22">
        <f t="shared" si="9"/>
        <v>156.98914910903591</v>
      </c>
      <c r="BH34" s="62">
        <f t="shared" si="10"/>
        <v>369.32896305918518</v>
      </c>
      <c r="BI34" s="62">
        <f ca="1">AVERAGE(OFFSET($BH$3,0,0,'Données projet'!$E$11+1,1))-AVERAGE(OFFSET($H$3,0,0,'Données projet'!$E$11+1,1))</f>
        <v>447.82618173893104</v>
      </c>
      <c r="BJ34" s="62">
        <f t="shared" si="11"/>
        <v>248.96509970783379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projet'!$B$11,Paramètres!$A$1:$I$88,7,0))</f>
        <v>0</v>
      </c>
      <c r="BN34" s="17">
        <f>IF(ISNA(VLOOKUP(A34,'Données projet'!$A$87:$I$107,6,0)),0%,VLOOKUP(A34,'Données projet'!$A$87:$I$107,6,0)*VLOOKUP('Données projet'!$B$11,Paramètres!$A$1:$I$88,7,0))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projet'!$B$9,Paramètres!$A$1:$I$88,3,0)*0.475*44/12</f>
        <v>0</v>
      </c>
      <c r="BQ34" s="23">
        <f>EXP(-LN(2)/25)*BQ33+(1-EXP(-LN(2)/25))/(LN(2)/25)*Calculateur!BL34*Calculateur!BN34*VLOOKUP('Données projet'!$B$9,Paramètres!$A$1:$I$88,3,0)*0.475*44/12</f>
        <v>0</v>
      </c>
      <c r="BR34" s="23">
        <f>EXP(-LN(2)/2)*BR33+(1-EXP(-LN(2)/2))/(LN(2)/2)*BL34*BO34*VLOOKUP('Données projet'!$B$9,Paramètres!$A$1:$I$88,3,0)*0.475*44/12</f>
        <v>0</v>
      </c>
      <c r="BS34" s="24">
        <f t="shared" si="12"/>
        <v>0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5.4</v>
      </c>
      <c r="BY34" s="13">
        <f>IF(A34&lt;'Données projet'!$A$114,$BV$205^A34,IF(A34='Données projet'!$A$114,'Données projet'!$B$114,BY33+BX34-CG33))</f>
        <v>69.40000000000002</v>
      </c>
      <c r="BZ34" s="14">
        <f>BY34*VLOOKUP('Données projet'!$B$12,Paramètres!$A$1:$I$88,3,0)*VLOOKUP('Données projet'!$B$12,Paramètres!$A$1:$I$88,5,0)</f>
        <v>74.702160000000021</v>
      </c>
      <c r="CA34" s="14">
        <f t="shared" si="46"/>
        <v>20.836714667074467</v>
      </c>
      <c r="CB34" s="22">
        <f t="shared" si="13"/>
        <v>166.39687337848804</v>
      </c>
      <c r="CC34" s="62">
        <f t="shared" si="14"/>
        <v>378.73668732863734</v>
      </c>
      <c r="CD34" s="62">
        <f ca="1">AVERAGE(OFFSET($CC$3,0,0,'Données projet'!$E$12+1,1))-AVERAGE(OFFSET($H$3,0,0,'Données projet'!$E$12+1,1))</f>
        <v>468.82871618425406</v>
      </c>
      <c r="CE34" s="62">
        <f t="shared" si="15"/>
        <v>259.37818128554397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projet'!$B$12,Paramètres!$A$1:$I$88,7,0))</f>
        <v>0</v>
      </c>
      <c r="CI34" s="17">
        <f>IF(ISNA(VLOOKUP(A34,'Données projet'!$A$113:$I$133,6,0)),0%,VLOOKUP(A34,'Données projet'!$A$113:$I$133,6,0)*VLOOKUP('Données projet'!$B$12,Paramètres!$A$1:$I$88,7,0))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projet'!$B$9,Paramètres!$A$1:$I$88,3,0)*0.475*44/12</f>
        <v>0</v>
      </c>
      <c r="CL34" s="23">
        <f>EXP(-LN(2)/25)*CL33+(1-EXP(-LN(2)/25))/(LN(2)/25)*Calculateur!CG34*Calculateur!CI34*VLOOKUP('Données projet'!$B$9,Paramètres!$A$1:$I$88,3,0)*0.475*44/12</f>
        <v>0</v>
      </c>
      <c r="CM34" s="23">
        <f>EXP(-LN(2)/2)*CM33+(1-EXP(-LN(2)/2))/(LN(2)/2)*CG34*CJ34*VLOOKUP('Données projet'!$B$9,Paramètres!$A$1:$I$88,3,0)*0.475*44/12</f>
        <v>0</v>
      </c>
      <c r="CN34" s="24">
        <f t="shared" si="16"/>
        <v>0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5.4</v>
      </c>
      <c r="CT34" s="13">
        <f>IF(A34&lt;'Données projet'!$A$140,$CQ$205^A34,IF(A34='Données projet'!$A$140,'Données projet'!$B$140,CT33+CS34-DB33))</f>
        <v>69.40000000000002</v>
      </c>
      <c r="CU34" s="18">
        <f>CT34*VLOOKUP('Données projet'!$B$13,Paramètres!$A$1:$I$88,3,0)*VLOOKUP('Données projet'!$B$13,Paramètres!$A$1:$I$88,5,0)</f>
        <v>59.54520000000003</v>
      </c>
      <c r="CV34" s="14">
        <f t="shared" si="47"/>
        <v>17.053230431966341</v>
      </c>
      <c r="CW34" s="22">
        <f t="shared" si="17"/>
        <v>133.4089330023414</v>
      </c>
      <c r="CX34" s="62">
        <f t="shared" si="18"/>
        <v>345.74874695249071</v>
      </c>
      <c r="CY34" s="62">
        <f ca="1">AVERAGE(OFFSET($CX$3,0,0,'Données projet'!$E$13+1,1))-AVERAGE(OFFSET($H$3,0,0,'Données projet'!$E$13+1,1))</f>
        <v>395.19659151668884</v>
      </c>
      <c r="CZ34" s="62">
        <f t="shared" si="19"/>
        <v>222.86563304507339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projet'!$B$13,Paramètres!$A$1:$I$88,7,0))</f>
        <v>0</v>
      </c>
      <c r="DD34" s="17">
        <f>IF(ISNA(VLOOKUP(A34,'Données projet'!$A$139:$I$159,6,0)),0%,VLOOKUP(A34,'Données projet'!$A$139:$I$159,6,0)*VLOOKUP('Données projet'!$B$13,Paramètres!$A$1:$I$88,7,0))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projet'!$B$9,Paramètres!$A$1:$I$88,3,0)*0.475*44/12</f>
        <v>0</v>
      </c>
      <c r="DG34" s="23">
        <f>EXP(-LN(2)/25)*DG33+(1-EXP(-LN(2)/25))/(LN(2)/25)*Calculateur!DB34*Calculateur!DD34*VLOOKUP('Données projet'!$B$9,Paramètres!$A$1:$I$88,3,0)*0.475*44/12</f>
        <v>0</v>
      </c>
      <c r="DH34" s="23">
        <f>EXP(-LN(2)/2)*DH33+(1-EXP(-LN(2)/2))/(LN(2)/2)*DB34*DE34*VLOOKUP('Données projet'!$B$9,Paramètres!$A$1:$I$88,3,0)*0.475*44/12</f>
        <v>0</v>
      </c>
      <c r="DI34" s="24">
        <f t="shared" si="20"/>
        <v>0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2.2749999999999999</v>
      </c>
      <c r="DO34" s="13">
        <f>IF(A34&lt;'Données projet'!$A$166,$DL$205^A34,IF(A34='Données projet'!$A$166,'Données projet'!$B$166,DO33+DN34-DW33))</f>
        <v>32.980488121434227</v>
      </c>
      <c r="DP34" s="18">
        <f>DO34*VLOOKUP('Données projet'!$B$14,Paramètres!$A$1:$I$88,3,0)*VLOOKUP('Données projet'!$B$14,Paramètres!$A$1:$I$88,5,0)</f>
        <v>19.293585551039026</v>
      </c>
      <c r="DQ34" s="14">
        <f t="shared" si="48"/>
        <v>6.3000347242822103</v>
      </c>
      <c r="DR34" s="22">
        <f t="shared" si="21"/>
        <v>44.575555312851151</v>
      </c>
      <c r="DS34" s="62">
        <f t="shared" si="22"/>
        <v>256.91536926300046</v>
      </c>
      <c r="DT34" s="62">
        <f ca="1">AVERAGE(OFFSET($DS$3,0,0,'Données projet'!$E$14+1,1))-AVERAGE(OFFSET($H$3,0,0,'Données projet'!$E$14+1,1))</f>
        <v>155.18073137151848</v>
      </c>
      <c r="DU34" s="62">
        <f t="shared" si="23"/>
        <v>115.19459155667272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projet'!$B$14,Paramètres!$A$1:$I$88,7,0))</f>
        <v>0</v>
      </c>
      <c r="DY34" s="17">
        <f>IF(ISNA(VLOOKUP(A34,'Données projet'!$A$165:$I$185,6,0)),0%,VLOOKUP(A34,'Données projet'!$A$165:$I$185,6,0)*VLOOKUP('Données projet'!$B$14,Paramètres!$A$1:$I$88,7,0))</f>
        <v>0</v>
      </c>
      <c r="DZ34" s="17">
        <f>IF(ISNA(VLOOKUP(A34,'Données projet'!$A$165:$I$185,7,0)),0%,VLOOKUP(A34,'Données projet'!$A$165:$I$185,7,0))</f>
        <v>0</v>
      </c>
      <c r="EA34" s="23">
        <f>EXP(-LN(2)/35)*EA33+(1-EXP(-LN(2)/35))/(LN(2)/35)*DW34*DX34*VLOOKUP('Données projet'!$B$9,Paramètres!$A$1:$I$88,3,0)*0.475*44/12</f>
        <v>0</v>
      </c>
      <c r="EB34" s="23">
        <f>EXP(-LN(2)/25)*EB33+(1-EXP(-LN(2)/25))/(LN(2)/25)*Calculateur!DW34*Calculateur!DY34*VLOOKUP('Données projet'!$B$9,Paramètres!$A$1:$I$88,3,0)*0.475*44/12</f>
        <v>0</v>
      </c>
      <c r="EC34" s="23">
        <f>EXP(-LN(2)/2)*EC33+(1-EXP(-LN(2)/2))/(LN(2)/2)*DW34*DZ34*VLOOKUP('Données projet'!$B$9,Paramètres!$A$1:$I$88,3,0)*0.475*44/12</f>
        <v>0</v>
      </c>
      <c r="ED34" s="24">
        <f t="shared" si="24"/>
        <v>0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3.25</v>
      </c>
      <c r="EJ34" s="13">
        <f>IF(A34&lt;'Données projet'!$A$192,$EG$205^A34,IF(A34='Données projet'!$A$192,'Données projet'!$B$192,EJ33+EI34-ER33))</f>
        <v>15.247005227711872</v>
      </c>
      <c r="EK34" s="18">
        <f>EJ34*VLOOKUP('Données projet'!$B$15,Paramètres!$A$1:$I$88,3,0)*VLOOKUP('Données projet'!$B$15,Paramètres!$A$1:$I$88,5,0)</f>
        <v>7.1355984465691558</v>
      </c>
      <c r="EL34" s="14">
        <f t="shared" si="49"/>
        <v>2.6160327001394439</v>
      </c>
      <c r="EM34" s="22">
        <f t="shared" si="25"/>
        <v>16.984090913850814</v>
      </c>
      <c r="EN34" s="62">
        <f t="shared" si="26"/>
        <v>229.32390486400013</v>
      </c>
      <c r="EO34" s="62">
        <f ca="1">AVERAGE(OFFSET($EN$3,0,0,'Données projet'!$E$15+1,1))-AVERAGE(OFFSET($H$3,0,0,'Données projet'!$E$15+1,1))</f>
        <v>238.59014604384171</v>
      </c>
      <c r="EP34" s="62">
        <f t="shared" si="27"/>
        <v>90.841373219575217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projet'!$B$15,Paramètres!$A$1:$I$88,7,0))</f>
        <v>0</v>
      </c>
      <c r="ET34" s="17">
        <f>IF(ISNA(VLOOKUP(A34,'Données projet'!$A$191:$I$211,6,0)),0%,VLOOKUP(A34,'Données projet'!$A$191:$I$211,6,0)*VLOOKUP('Données projet'!$B$15,Paramètres!$A$1:$I$88,7,0))</f>
        <v>0</v>
      </c>
      <c r="EU34" s="17">
        <f>IF(ISNA(VLOOKUP(A34,'Données projet'!$A$191:$I$211,7,0)),0%,VLOOKUP(A34,'Données projet'!$A$191:$I$211,7,0))</f>
        <v>0</v>
      </c>
      <c r="EV34" s="23">
        <f>EXP(-LN(2)/35)*EV33+(1-EXP(-LN(2)/35))/(LN(2)/35)*ER34*ES34*VLOOKUP('Données projet'!$B$9,Paramètres!$A$1:$I$88,3,0)*0.475*44/12</f>
        <v>0</v>
      </c>
      <c r="EW34" s="23">
        <f>EXP(-LN(2)/25)*EW33+(1-EXP(-LN(2)/25))/(LN(2)/25)*Calculateur!ER34*Calculateur!ET34*VLOOKUP('Données projet'!$B$9,Paramètres!$A$1:$I$88,3,0)*0.475*44/12</f>
        <v>0</v>
      </c>
      <c r="EX34" s="23">
        <f>EXP(-LN(2)/2)*EX33+(1-EXP(-LN(2)/2))/(LN(2)/2)*ER34*EU34*VLOOKUP('Données projet'!$B$9,Paramètres!$A$1:$I$88,3,0)*0.475*44/12</f>
        <v>0</v>
      </c>
      <c r="EY34" s="24">
        <f t="shared" si="28"/>
        <v>0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IF(A34&lt;'Données projet'!$A$218,$FB$205^A34,IF(A34='Données projet'!$A$218,'Données projet'!$B$218,FE33+FD34-FM33))</f>
        <v>0</v>
      </c>
      <c r="FF34" s="18" t="e">
        <f>FE34*VLOOKUP('Données projet'!$B$16,Paramètres!$A$1:$I$88,3,0)*VLOOKUP('Données projet'!$B$16,Paramètres!$A$1:$I$88,5,0)</f>
        <v>#N/A</v>
      </c>
      <c r="FG34" s="14" t="e">
        <f t="shared" si="50"/>
        <v>#N/A</v>
      </c>
      <c r="FH34" s="22" t="e">
        <f t="shared" si="29"/>
        <v>#N/A</v>
      </c>
      <c r="FI34" s="62" t="e">
        <f t="shared" si="30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31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projet'!$B$16,Paramètres!$A$1:$I$88,7,0))</f>
        <v>0</v>
      </c>
      <c r="FO34" s="17">
        <f>IF(ISNA(VLOOKUP(A34,'Données projet'!$A$217:$I$237,6,0)),0%,VLOOKUP(A34,'Données projet'!$A$217:$I$237,6,0)*VLOOKUP('Données projet'!$B$16,Paramètres!$A$1:$I$88,7,0))</f>
        <v>0</v>
      </c>
      <c r="FP34" s="17">
        <f>IF(ISNA(VLOOKUP(A34,'Données projet'!$A$217:$I$237,7,0)),0%,VLOOKUP(A34,'Données projet'!$A$217:$I$237,7,0))</f>
        <v>0</v>
      </c>
      <c r="FQ34" s="23">
        <f>EXP(-LN(2)/35)*FQ33+(1-EXP(-LN(2)/35))/(LN(2)/35)*FM34*FN34*VLOOKUP('Données projet'!$B$9,Paramètres!$A$1:$I$88,3,0)*0.475*44/12</f>
        <v>0</v>
      </c>
      <c r="FR34" s="23">
        <f>EXP(-LN(2)/25)*FR33+(1-EXP(-LN(2)/25))/(LN(2)/25)*Calculateur!FM34*Calculateur!FO34*VLOOKUP('Données projet'!$B$9,Paramètres!$A$1:$I$88,3,0)*0.475*44/12</f>
        <v>0</v>
      </c>
      <c r="FS34" s="23">
        <f>EXP(-LN(2)/2)*FS33+(1-EXP(-LN(2)/2))/(LN(2)/2)*FM34*FP34*VLOOKUP('Données projet'!$B$9,Paramètres!$A$1:$I$88,3,0)*0.475*44/12</f>
        <v>0</v>
      </c>
      <c r="FT34" s="24">
        <f t="shared" si="32"/>
        <v>0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IF(A34&lt;'Données projet'!$A$244,$FW$205^A34,IF(A34='Données projet'!$A$244,'Données projet'!$B$244,FZ33+FY34-GH33))</f>
        <v>0</v>
      </c>
      <c r="GA34" s="18" t="e">
        <f>FZ34*VLOOKUP('Données projet'!$B$17,Paramètres!$A$1:$I$88,3,0)*VLOOKUP('Données projet'!$B$17,Paramètres!$A$1:$I$88,5,0)</f>
        <v>#N/A</v>
      </c>
      <c r="GB34" s="14" t="e">
        <f t="shared" si="51"/>
        <v>#N/A</v>
      </c>
      <c r="GC34" s="22" t="e">
        <f t="shared" si="33"/>
        <v>#N/A</v>
      </c>
      <c r="GD34" s="62" t="e">
        <f t="shared" si="34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35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projet'!$B$17,Paramètres!$A$1:$I$88,7,0))</f>
        <v>0</v>
      </c>
      <c r="GJ34" s="17">
        <f>IF(ISNA(VLOOKUP(A34,'Données projet'!$A$243:$I$263,6,0)),0%,VLOOKUP(A34,'Données projet'!$A$243:$I$263,6,0)*VLOOKUP('Données projet'!$B$17,Paramètres!$A$1:$I$88,7,0))</f>
        <v>0</v>
      </c>
      <c r="GK34" s="17">
        <f>IF(ISNA(VLOOKUP(A34,'Données projet'!$A$243:$I$263,7,0)),0%,VLOOKUP(A34,'Données projet'!$A$243:$I$263,7,0))</f>
        <v>0</v>
      </c>
      <c r="GL34" s="23">
        <f>EXP(-LN(2)/35)*GL33+(1-EXP(-LN(2)/35))/(LN(2)/35)*GH34*GI34*VLOOKUP('Données projet'!$B$9,Paramètres!$A$1:$I$88,3,0)*0.475*44/12</f>
        <v>0</v>
      </c>
      <c r="GM34" s="23">
        <f>EXP(-LN(2)/25)*GM33+(1-EXP(-LN(2)/25))/(LN(2)/25)*Calculateur!GH34*Calculateur!GJ34*VLOOKUP('Données projet'!$B$9,Paramètres!$A$1:$I$88,3,0)*0.475*44/12</f>
        <v>0</v>
      </c>
      <c r="GN34" s="23">
        <f>EXP(-LN(2)/2)*GN33+(1-EXP(-LN(2)/2))/(LN(2)/2)*GH34*GK34*VLOOKUP('Données projet'!$B$9,Paramètres!$A$1:$I$88,3,0)*0.475*44/12</f>
        <v>0</v>
      </c>
      <c r="GO34" s="23">
        <f t="shared" si="36"/>
        <v>0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IF(A34&lt;'Données projet'!$A$270,$GR$205^A34,IF(A34='Données projet'!$A$270,'Données projet'!$B$270,GU33+GT34-HC33))</f>
        <v>0</v>
      </c>
      <c r="GV34" s="18" t="e">
        <f>GU34*VLOOKUP('Données projet'!$B$18,Paramètres!$A$1:$I$88,3,0)*VLOOKUP('Données projet'!$B$18,Paramètres!$A$1:$I$88,5,0)</f>
        <v>#N/A</v>
      </c>
      <c r="GW34" s="14" t="e">
        <f t="shared" si="52"/>
        <v>#N/A</v>
      </c>
      <c r="GX34" s="22" t="e">
        <f t="shared" si="37"/>
        <v>#N/A</v>
      </c>
      <c r="GY34" s="62" t="e">
        <f t="shared" si="38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39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projet'!$B$18,Paramètres!$A$1:$I$88,7,0))</f>
        <v>0</v>
      </c>
      <c r="HE34" s="17">
        <f>IF(ISNA(VLOOKUP(A34,'Données projet'!$A$269:$I$289,6,0)),0%,VLOOKUP(A34,'Données projet'!$A$269:$I$289,6,0)*VLOOKUP('Données projet'!$B$18,Paramètres!$A$1:$I$88,7,0))</f>
        <v>0</v>
      </c>
      <c r="HF34" s="17">
        <f>IF(ISNA(VLOOKUP(A34,'Données projet'!$A$269:$I$289,7,0)),0%,VLOOKUP(A34,'Données projet'!$A$269:$I$289,7,0))</f>
        <v>0</v>
      </c>
      <c r="HG34" s="23">
        <f>EXP(-LN(2)/35)*HG33+(1-EXP(-LN(2)/35))/(LN(2)/35)*HC34*HD34*VLOOKUP('Données projet'!$B$9,Paramètres!$A$1:$I$88,3,0)*0.475*44/12</f>
        <v>0</v>
      </c>
      <c r="HH34" s="23">
        <f>EXP(-LN(2)/25)*HH33+(1-EXP(-LN(2)/25))/(LN(2)/25)*Calculateur!HC34*Calculateur!HE34*VLOOKUP('Données projet'!$B$9,Paramètres!$A$1:$I$88,3,0)*0.475*44/12</f>
        <v>0</v>
      </c>
      <c r="HI34" s="23">
        <f>EXP(-LN(2)/2)*HI33+(1-EXP(-LN(2)/2))/(LN(2)/2)*HC34*HF34*VLOOKUP('Données projet'!$B$9,Paramètres!$A$1:$I$88,3,0)*0.475*44/12</f>
        <v>0</v>
      </c>
      <c r="HJ34" s="24">
        <f t="shared" si="40"/>
        <v>0</v>
      </c>
    </row>
    <row r="35" spans="1:218" s="5" customFormat="1" x14ac:dyDescent="0.25">
      <c r="A35" s="11">
        <f t="shared" si="4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5" s="12">
        <f t="shared" si="4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135.66666666666666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1.9254166666666663</v>
      </c>
      <c r="N35" s="14">
        <f>IF(A35&lt;'Données projet'!$A$36,$K$205^A35,IF(A35='Données projet'!$A$36,'Données projet'!$B$36,N34+M35-V34))</f>
        <v>47.263333333333364</v>
      </c>
      <c r="O35" s="14">
        <f>N35*VLOOKUP('Données projet'!$B$9,Paramètres!$A$1:$I$88,3,0)*VLOOKUP('Données projet'!$B$9,Paramètres!$A$1:$I$88,5,0)</f>
        <v>54.447360000000032</v>
      </c>
      <c r="P35" s="14">
        <f t="shared" si="43"/>
        <v>15.756552073943871</v>
      </c>
      <c r="Q35" s="22">
        <f t="shared" ref="Q35:Q66" si="53">(O35+P35)*0.475*44/12</f>
        <v>122.27181352878561</v>
      </c>
      <c r="R35" s="62">
        <f t="shared" si="0"/>
        <v>336.01668396585075</v>
      </c>
      <c r="S35" s="62">
        <f ca="1">AVERAGE(OFFSET($R$3,0,0,'Données projet'!$E$9+1,1))-AVERAGE(OFFSET($H$3,0,0,'Données projet'!$E$9+1,1))</f>
        <v>314.72063458462026</v>
      </c>
      <c r="T35" s="62">
        <f t="shared" si="3"/>
        <v>216.4380325968244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projet'!$B$9,Paramètres!$A$1:$I$88,7,0))</f>
        <v>0</v>
      </c>
      <c r="X35" s="17">
        <f>IF(ISNA(VLOOKUP(A35,'Données projet'!$A$35:$I$55,6,0)),0%,VLOOKUP(A35,'Données projet'!$A$35:$I$55,6,0)*VLOOKUP('Données projet'!$B$9,Paramètres!$A$1:$I$88,7,0))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projet'!$B$9,Paramètres!$A$1:$I$88,3,0)*0.475*44/12</f>
        <v>0</v>
      </c>
      <c r="AA35" s="23">
        <f>EXP(-LN(2)/25)*AA34+(1-EXP(-LN(2)/25))/(LN(2)/25)*Calculateur!V35*Calculateur!X35*VLOOKUP('Données projet'!$B$9,Paramètres!$A$1:$I$88,3,0)*0.475*44/12</f>
        <v>0</v>
      </c>
      <c r="AB35" s="23">
        <f>EXP(-LN(2)/2)*AB34+(1-EXP(-LN(2)/2))/(LN(2)/2)*V35*Y35*VLOOKUP('Données projet'!$B$9,Paramètres!$A$1:$I$88,3,0)*0.475*44/12</f>
        <v>0</v>
      </c>
      <c r="AC35" s="24">
        <f t="shared" si="4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5.4</v>
      </c>
      <c r="AI35" s="14">
        <f>IF(A35&lt;'Données projet'!$A$62,$AF$205^A35,IF(A35='Données projet'!$A$62,'Données projet'!$B$62,AI34+AH35-AQ34))</f>
        <v>74.800000000000026</v>
      </c>
      <c r="AJ35" s="14">
        <f>AI35*VLOOKUP('Données projet'!$B$10,Paramètres!$A$1:$I$88,3,0)*VLOOKUP('Données projet'!$B$10,Paramètres!$A$1:$I$88,5,0)</f>
        <v>78.180960000000042</v>
      </c>
      <c r="AK35" s="14">
        <f t="shared" si="44"/>
        <v>21.691825770800591</v>
      </c>
      <c r="AL35" s="22">
        <f t="shared" si="5"/>
        <v>173.94510188414441</v>
      </c>
      <c r="AM35" s="62">
        <f t="shared" si="6"/>
        <v>387.68997232120955</v>
      </c>
      <c r="AN35" s="62">
        <f ca="1">AVERAGE(OFFSET($AM$3,0,0,'Données projet'!$E$10+1,1))-AVERAGE(OFFSET($H$3,0,0,'Données projet'!$E$10+1,1))</f>
        <v>458.33072853676879</v>
      </c>
      <c r="AO35" s="62">
        <f t="shared" si="7"/>
        <v>254.1734169352687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projet'!$B$10,Paramètres!$A$1:$I$88,7,0))</f>
        <v>0</v>
      </c>
      <c r="AS35" s="17">
        <f>IF(ISNA(VLOOKUP(A35,'Données projet'!$A$61:$I$81,6,0)),0%,VLOOKUP(A35,'Données projet'!$A$61:$I$81,6,0)*VLOOKUP('Données projet'!$B$10,Paramètres!$A$1:$I$88,7,0))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projet'!$B$9,Paramètres!$A$1:$I$88,3,0)*0.475*44/12</f>
        <v>0</v>
      </c>
      <c r="AV35" s="23">
        <f>EXP(-LN(2)/25)*AV34+(1-EXP(-LN(2)/25))/(LN(2)/25)*Calculateur!AQ35*Calculateur!AS35*VLOOKUP('Données projet'!$B$9,Paramètres!$A$1:$I$88,3,0)*0.475*44/12</f>
        <v>0</v>
      </c>
      <c r="AW35" s="23">
        <f>EXP(-LN(2)/2)*AW34+(1-EXP(-LN(2)/2))/(LN(2)/2)*AQ35*AT35*VLOOKUP('Données projet'!$B$9,Paramètres!$A$1:$I$88,3,0)*0.475*44/12</f>
        <v>0</v>
      </c>
      <c r="AX35" s="23">
        <f t="shared" si="8"/>
        <v>0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5.4</v>
      </c>
      <c r="BD35" s="13">
        <f>IF(A35&lt;'Données projet'!$A$88,$BA$205^A35,IF(A35='Données projet'!$A$88,'Données projet'!$B$88,BD34+BC35-BL34))</f>
        <v>74.800000000000026</v>
      </c>
      <c r="BE35" s="14">
        <f>BD35*VLOOKUP('Données projet'!$B$11,Paramètres!$A$1:$I$88,3,0)*VLOOKUP('Données projet'!$B$11,Paramètres!$A$1:$I$88,5,0)</f>
        <v>75.847200000000029</v>
      </c>
      <c r="BF35" s="14">
        <f t="shared" si="45"/>
        <v>21.118674367462457</v>
      </c>
      <c r="BG35" s="22">
        <f t="shared" si="9"/>
        <v>168.88223118999716</v>
      </c>
      <c r="BH35" s="62">
        <f t="shared" si="10"/>
        <v>382.6271016270623</v>
      </c>
      <c r="BI35" s="62">
        <f ca="1">AVERAGE(OFFSET($BH$3,0,0,'Données projet'!$E$11+1,1))-AVERAGE(OFFSET($H$3,0,0,'Données projet'!$E$11+1,1))</f>
        <v>447.82618173893104</v>
      </c>
      <c r="BJ35" s="62">
        <f t="shared" si="11"/>
        <v>248.96509970783379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projet'!$B$11,Paramètres!$A$1:$I$88,7,0))</f>
        <v>0</v>
      </c>
      <c r="BN35" s="17">
        <f>IF(ISNA(VLOOKUP(A35,'Données projet'!$A$87:$I$107,6,0)),0%,VLOOKUP(A35,'Données projet'!$A$87:$I$107,6,0)*VLOOKUP('Données projet'!$B$11,Paramètres!$A$1:$I$88,7,0))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projet'!$B$9,Paramètres!$A$1:$I$88,3,0)*0.475*44/12</f>
        <v>0</v>
      </c>
      <c r="BQ35" s="23">
        <f>EXP(-LN(2)/25)*BQ34+(1-EXP(-LN(2)/25))/(LN(2)/25)*Calculateur!BL35*Calculateur!BN35*VLOOKUP('Données projet'!$B$9,Paramètres!$A$1:$I$88,3,0)*0.475*44/12</f>
        <v>0</v>
      </c>
      <c r="BR35" s="23">
        <f>EXP(-LN(2)/2)*BR34+(1-EXP(-LN(2)/2))/(LN(2)/2)*BL35*BO35*VLOOKUP('Données projet'!$B$9,Paramètres!$A$1:$I$88,3,0)*0.475*44/12</f>
        <v>0</v>
      </c>
      <c r="BS35" s="24">
        <f t="shared" si="12"/>
        <v>0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5.4</v>
      </c>
      <c r="BY35" s="13">
        <f>IF(A35&lt;'Données projet'!$A$114,$BV$205^A35,IF(A35='Données projet'!$A$114,'Données projet'!$B$114,BY34+BX35-CG34))</f>
        <v>74.800000000000026</v>
      </c>
      <c r="BZ35" s="14">
        <f>BY35*VLOOKUP('Données projet'!$B$12,Paramètres!$A$1:$I$88,3,0)*VLOOKUP('Données projet'!$B$12,Paramètres!$A$1:$I$88,5,0)</f>
        <v>80.514720000000025</v>
      </c>
      <c r="CA35" s="14">
        <f t="shared" si="46"/>
        <v>22.262988830706419</v>
      </c>
      <c r="CB35" s="22">
        <f t="shared" si="13"/>
        <v>179.00450954681375</v>
      </c>
      <c r="CC35" s="62">
        <f t="shared" si="14"/>
        <v>392.7493799838789</v>
      </c>
      <c r="CD35" s="62">
        <f ca="1">AVERAGE(OFFSET($CC$3,0,0,'Données projet'!$E$12+1,1))-AVERAGE(OFFSET($H$3,0,0,'Données projet'!$E$12+1,1))</f>
        <v>468.82871618425406</v>
      </c>
      <c r="CE35" s="62">
        <f t="shared" si="15"/>
        <v>259.37818128554397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projet'!$B$12,Paramètres!$A$1:$I$88,7,0))</f>
        <v>0</v>
      </c>
      <c r="CI35" s="17">
        <f>IF(ISNA(VLOOKUP(A35,'Données projet'!$A$113:$I$133,6,0)),0%,VLOOKUP(A35,'Données projet'!$A$113:$I$133,6,0)*VLOOKUP('Données projet'!$B$12,Paramètres!$A$1:$I$88,7,0))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projet'!$B$9,Paramètres!$A$1:$I$88,3,0)*0.475*44/12</f>
        <v>0</v>
      </c>
      <c r="CL35" s="23">
        <f>EXP(-LN(2)/25)*CL34+(1-EXP(-LN(2)/25))/(LN(2)/25)*Calculateur!CG35*Calculateur!CI35*VLOOKUP('Données projet'!$B$9,Paramètres!$A$1:$I$88,3,0)*0.475*44/12</f>
        <v>0</v>
      </c>
      <c r="CM35" s="23">
        <f>EXP(-LN(2)/2)*CM34+(1-EXP(-LN(2)/2))/(LN(2)/2)*CG35*CJ35*VLOOKUP('Données projet'!$B$9,Paramètres!$A$1:$I$88,3,0)*0.475*44/12</f>
        <v>0</v>
      </c>
      <c r="CN35" s="24">
        <f t="shared" si="16"/>
        <v>0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5.4</v>
      </c>
      <c r="CT35" s="13">
        <f>IF(A35&lt;'Données projet'!$A$140,$CQ$205^A35,IF(A35='Données projet'!$A$140,'Données projet'!$B$140,CT34+CS35-DB34))</f>
        <v>74.800000000000026</v>
      </c>
      <c r="CU35" s="18">
        <f>CT35*VLOOKUP('Données projet'!$B$13,Paramètres!$A$1:$I$88,3,0)*VLOOKUP('Données projet'!$B$13,Paramètres!$A$1:$I$88,5,0)</f>
        <v>64.178400000000025</v>
      </c>
      <c r="CV35" s="14">
        <f t="shared" si="47"/>
        <v>18.220524910016159</v>
      </c>
      <c r="CW35" s="22">
        <f t="shared" si="17"/>
        <v>143.51146088494485</v>
      </c>
      <c r="CX35" s="62">
        <f t="shared" si="18"/>
        <v>357.25633132201</v>
      </c>
      <c r="CY35" s="62">
        <f ca="1">AVERAGE(OFFSET($CX$3,0,0,'Données projet'!$E$13+1,1))-AVERAGE(OFFSET($H$3,0,0,'Données projet'!$E$13+1,1))</f>
        <v>395.19659151668884</v>
      </c>
      <c r="CZ35" s="62">
        <f t="shared" si="19"/>
        <v>222.86563304507339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projet'!$B$13,Paramètres!$A$1:$I$88,7,0))</f>
        <v>0</v>
      </c>
      <c r="DD35" s="17">
        <f>IF(ISNA(VLOOKUP(A35,'Données projet'!$A$139:$I$159,6,0)),0%,VLOOKUP(A35,'Données projet'!$A$139:$I$159,6,0)*VLOOKUP('Données projet'!$B$13,Paramètres!$A$1:$I$88,7,0))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projet'!$B$9,Paramètres!$A$1:$I$88,3,0)*0.475*44/12</f>
        <v>0</v>
      </c>
      <c r="DG35" s="23">
        <f>EXP(-LN(2)/25)*DG34+(1-EXP(-LN(2)/25))/(LN(2)/25)*Calculateur!DB35*Calculateur!DD35*VLOOKUP('Données projet'!$B$9,Paramètres!$A$1:$I$88,3,0)*0.475*44/12</f>
        <v>0</v>
      </c>
      <c r="DH35" s="23">
        <f>EXP(-LN(2)/2)*DH34+(1-EXP(-LN(2)/2))/(LN(2)/2)*DB35*DE35*VLOOKUP('Données projet'!$B$9,Paramètres!$A$1:$I$88,3,0)*0.475*44/12</f>
        <v>0</v>
      </c>
      <c r="DI35" s="24">
        <f t="shared" si="20"/>
        <v>0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2.2749999999999999</v>
      </c>
      <c r="DO35" s="13">
        <f>IF(A35&lt;'Données projet'!$A$166,$DL$205^A35,IF(A35='Données projet'!$A$166,'Données projet'!$B$166,DO34+DN35-DW34))</f>
        <v>36.9175705807044</v>
      </c>
      <c r="DP35" s="18">
        <f>DO35*VLOOKUP('Données projet'!$B$14,Paramètres!$A$1:$I$88,3,0)*VLOOKUP('Données projet'!$B$14,Paramètres!$A$1:$I$88,5,0)</f>
        <v>21.596778789712076</v>
      </c>
      <c r="DQ35" s="14">
        <f t="shared" si="48"/>
        <v>6.9601430804579101</v>
      </c>
      <c r="DR35" s="22">
        <f t="shared" si="21"/>
        <v>49.73663892387939</v>
      </c>
      <c r="DS35" s="62">
        <f t="shared" si="22"/>
        <v>263.48150936094453</v>
      </c>
      <c r="DT35" s="62">
        <f ca="1">AVERAGE(OFFSET($DS$3,0,0,'Données projet'!$E$14+1,1))-AVERAGE(OFFSET($H$3,0,0,'Données projet'!$E$14+1,1))</f>
        <v>155.18073137151848</v>
      </c>
      <c r="DU35" s="62">
        <f t="shared" si="23"/>
        <v>115.19459155667272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projet'!$B$14,Paramètres!$A$1:$I$88,7,0))</f>
        <v>0</v>
      </c>
      <c r="DY35" s="17">
        <f>IF(ISNA(VLOOKUP(A35,'Données projet'!$A$165:$I$185,6,0)),0%,VLOOKUP(A35,'Données projet'!$A$165:$I$185,6,0)*VLOOKUP('Données projet'!$B$14,Paramètres!$A$1:$I$88,7,0))</f>
        <v>0</v>
      </c>
      <c r="DZ35" s="17">
        <f>IF(ISNA(VLOOKUP(A35,'Données projet'!$A$165:$I$185,7,0)),0%,VLOOKUP(A35,'Données projet'!$A$165:$I$185,7,0))</f>
        <v>0</v>
      </c>
      <c r="EA35" s="23">
        <f>EXP(-LN(2)/35)*EA34+(1-EXP(-LN(2)/35))/(LN(2)/35)*DW35*DX35*VLOOKUP('Données projet'!$B$9,Paramètres!$A$1:$I$88,3,0)*0.475*44/12</f>
        <v>0</v>
      </c>
      <c r="EB35" s="23">
        <f>EXP(-LN(2)/25)*EB34+(1-EXP(-LN(2)/25))/(LN(2)/25)*Calculateur!DW35*Calculateur!DY35*VLOOKUP('Données projet'!$B$9,Paramètres!$A$1:$I$88,3,0)*0.475*44/12</f>
        <v>0</v>
      </c>
      <c r="EC35" s="23">
        <f>EXP(-LN(2)/2)*EC34+(1-EXP(-LN(2)/2))/(LN(2)/2)*DW35*DZ35*VLOOKUP('Données projet'!$B$9,Paramètres!$A$1:$I$88,3,0)*0.475*44/12</f>
        <v>0</v>
      </c>
      <c r="ED35" s="24">
        <f t="shared" si="24"/>
        <v>0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3.25</v>
      </c>
      <c r="EJ35" s="13">
        <f>IF(A35&lt;'Données projet'!$A$192,$EG$205^A35,IF(A35='Données projet'!$A$192,'Données projet'!$B$192,EJ34+EI35-ER34))</f>
        <v>16.647606148649999</v>
      </c>
      <c r="EK35" s="18">
        <f>EJ35*VLOOKUP('Données projet'!$B$15,Paramètres!$A$1:$I$88,3,0)*VLOOKUP('Données projet'!$B$15,Paramètres!$A$1:$I$88,5,0)</f>
        <v>7.7910796775681996</v>
      </c>
      <c r="EL35" s="14">
        <f t="shared" si="49"/>
        <v>2.8272729930809413</v>
      </c>
      <c r="EM35" s="22">
        <f t="shared" si="25"/>
        <v>18.493630901380588</v>
      </c>
      <c r="EN35" s="62">
        <f t="shared" si="26"/>
        <v>232.23850133844573</v>
      </c>
      <c r="EO35" s="62">
        <f ca="1">AVERAGE(OFFSET($EN$3,0,0,'Données projet'!$E$15+1,1))-AVERAGE(OFFSET($H$3,0,0,'Données projet'!$E$15+1,1))</f>
        <v>238.59014604384171</v>
      </c>
      <c r="EP35" s="62">
        <f t="shared" si="27"/>
        <v>90.841373219575217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projet'!$B$15,Paramètres!$A$1:$I$88,7,0))</f>
        <v>0</v>
      </c>
      <c r="ET35" s="17">
        <f>IF(ISNA(VLOOKUP(A35,'Données projet'!$A$191:$I$211,6,0)),0%,VLOOKUP(A35,'Données projet'!$A$191:$I$211,6,0)*VLOOKUP('Données projet'!$B$15,Paramètres!$A$1:$I$88,7,0))</f>
        <v>0</v>
      </c>
      <c r="EU35" s="17">
        <f>IF(ISNA(VLOOKUP(A35,'Données projet'!$A$191:$I$211,7,0)),0%,VLOOKUP(A35,'Données projet'!$A$191:$I$211,7,0))</f>
        <v>0</v>
      </c>
      <c r="EV35" s="23">
        <f>EXP(-LN(2)/35)*EV34+(1-EXP(-LN(2)/35))/(LN(2)/35)*ER35*ES35*VLOOKUP('Données projet'!$B$9,Paramètres!$A$1:$I$88,3,0)*0.475*44/12</f>
        <v>0</v>
      </c>
      <c r="EW35" s="23">
        <f>EXP(-LN(2)/25)*EW34+(1-EXP(-LN(2)/25))/(LN(2)/25)*Calculateur!ER35*Calculateur!ET35*VLOOKUP('Données projet'!$B$9,Paramètres!$A$1:$I$88,3,0)*0.475*44/12</f>
        <v>0</v>
      </c>
      <c r="EX35" s="23">
        <f>EXP(-LN(2)/2)*EX34+(1-EXP(-LN(2)/2))/(LN(2)/2)*ER35*EU35*VLOOKUP('Données projet'!$B$9,Paramètres!$A$1:$I$88,3,0)*0.475*44/12</f>
        <v>0</v>
      </c>
      <c r="EY35" s="24">
        <f t="shared" si="28"/>
        <v>0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IF(A35&lt;'Données projet'!$A$218,$FB$205^A35,IF(A35='Données projet'!$A$218,'Données projet'!$B$218,FE34+FD35-FM34))</f>
        <v>0</v>
      </c>
      <c r="FF35" s="18" t="e">
        <f>FE35*VLOOKUP('Données projet'!$B$16,Paramètres!$A$1:$I$88,3,0)*VLOOKUP('Données projet'!$B$16,Paramètres!$A$1:$I$88,5,0)</f>
        <v>#N/A</v>
      </c>
      <c r="FG35" s="14" t="e">
        <f t="shared" si="50"/>
        <v>#N/A</v>
      </c>
      <c r="FH35" s="22" t="e">
        <f t="shared" si="29"/>
        <v>#N/A</v>
      </c>
      <c r="FI35" s="62" t="e">
        <f t="shared" si="30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31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projet'!$B$16,Paramètres!$A$1:$I$88,7,0))</f>
        <v>0</v>
      </c>
      <c r="FO35" s="17">
        <f>IF(ISNA(VLOOKUP(A35,'Données projet'!$A$217:$I$237,6,0)),0%,VLOOKUP(A35,'Données projet'!$A$217:$I$237,6,0)*VLOOKUP('Données projet'!$B$16,Paramètres!$A$1:$I$88,7,0))</f>
        <v>0</v>
      </c>
      <c r="FP35" s="17">
        <f>IF(ISNA(VLOOKUP(A35,'Données projet'!$A$217:$I$237,7,0)),0%,VLOOKUP(A35,'Données projet'!$A$217:$I$237,7,0))</f>
        <v>0</v>
      </c>
      <c r="FQ35" s="23">
        <f>EXP(-LN(2)/35)*FQ34+(1-EXP(-LN(2)/35))/(LN(2)/35)*FM35*FN35*VLOOKUP('Données projet'!$B$9,Paramètres!$A$1:$I$88,3,0)*0.475*44/12</f>
        <v>0</v>
      </c>
      <c r="FR35" s="23">
        <f>EXP(-LN(2)/25)*FR34+(1-EXP(-LN(2)/25))/(LN(2)/25)*Calculateur!FM35*Calculateur!FO35*VLOOKUP('Données projet'!$B$9,Paramètres!$A$1:$I$88,3,0)*0.475*44/12</f>
        <v>0</v>
      </c>
      <c r="FS35" s="23">
        <f>EXP(-LN(2)/2)*FS34+(1-EXP(-LN(2)/2))/(LN(2)/2)*FM35*FP35*VLOOKUP('Données projet'!$B$9,Paramètres!$A$1:$I$88,3,0)*0.475*44/12</f>
        <v>0</v>
      </c>
      <c r="FT35" s="24">
        <f t="shared" si="32"/>
        <v>0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IF(A35&lt;'Données projet'!$A$244,$FW$205^A35,IF(A35='Données projet'!$A$244,'Données projet'!$B$244,FZ34+FY35-GH34))</f>
        <v>0</v>
      </c>
      <c r="GA35" s="18" t="e">
        <f>FZ35*VLOOKUP('Données projet'!$B$17,Paramètres!$A$1:$I$88,3,0)*VLOOKUP('Données projet'!$B$17,Paramètres!$A$1:$I$88,5,0)</f>
        <v>#N/A</v>
      </c>
      <c r="GB35" s="14" t="e">
        <f t="shared" si="51"/>
        <v>#N/A</v>
      </c>
      <c r="GC35" s="22" t="e">
        <f t="shared" si="33"/>
        <v>#N/A</v>
      </c>
      <c r="GD35" s="62" t="e">
        <f t="shared" si="34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35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projet'!$B$17,Paramètres!$A$1:$I$88,7,0))</f>
        <v>0</v>
      </c>
      <c r="GJ35" s="17">
        <f>IF(ISNA(VLOOKUP(A35,'Données projet'!$A$243:$I$263,6,0)),0%,VLOOKUP(A35,'Données projet'!$A$243:$I$263,6,0)*VLOOKUP('Données projet'!$B$17,Paramètres!$A$1:$I$88,7,0))</f>
        <v>0</v>
      </c>
      <c r="GK35" s="17">
        <f>IF(ISNA(VLOOKUP(A35,'Données projet'!$A$243:$I$263,7,0)),0%,VLOOKUP(A35,'Données projet'!$A$243:$I$263,7,0))</f>
        <v>0</v>
      </c>
      <c r="GL35" s="23">
        <f>EXP(-LN(2)/35)*GL34+(1-EXP(-LN(2)/35))/(LN(2)/35)*GH35*GI35*VLOOKUP('Données projet'!$B$9,Paramètres!$A$1:$I$88,3,0)*0.475*44/12</f>
        <v>0</v>
      </c>
      <c r="GM35" s="23">
        <f>EXP(-LN(2)/25)*GM34+(1-EXP(-LN(2)/25))/(LN(2)/25)*Calculateur!GH35*Calculateur!GJ35*VLOOKUP('Données projet'!$B$9,Paramètres!$A$1:$I$88,3,0)*0.475*44/12</f>
        <v>0</v>
      </c>
      <c r="GN35" s="23">
        <f>EXP(-LN(2)/2)*GN34+(1-EXP(-LN(2)/2))/(LN(2)/2)*GH35*GK35*VLOOKUP('Données projet'!$B$9,Paramètres!$A$1:$I$88,3,0)*0.475*44/12</f>
        <v>0</v>
      </c>
      <c r="GO35" s="23">
        <f t="shared" si="36"/>
        <v>0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IF(A35&lt;'Données projet'!$A$270,$GR$205^A35,IF(A35='Données projet'!$A$270,'Données projet'!$B$270,GU34+GT35-HC34))</f>
        <v>0</v>
      </c>
      <c r="GV35" s="18" t="e">
        <f>GU35*VLOOKUP('Données projet'!$B$18,Paramètres!$A$1:$I$88,3,0)*VLOOKUP('Données projet'!$B$18,Paramètres!$A$1:$I$88,5,0)</f>
        <v>#N/A</v>
      </c>
      <c r="GW35" s="14" t="e">
        <f t="shared" si="52"/>
        <v>#N/A</v>
      </c>
      <c r="GX35" s="22" t="e">
        <f t="shared" si="37"/>
        <v>#N/A</v>
      </c>
      <c r="GY35" s="62" t="e">
        <f t="shared" si="38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39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projet'!$B$18,Paramètres!$A$1:$I$88,7,0))</f>
        <v>0</v>
      </c>
      <c r="HE35" s="17">
        <f>IF(ISNA(VLOOKUP(A35,'Données projet'!$A$269:$I$289,6,0)),0%,VLOOKUP(A35,'Données projet'!$A$269:$I$289,6,0)*VLOOKUP('Données projet'!$B$18,Paramètres!$A$1:$I$88,7,0))</f>
        <v>0</v>
      </c>
      <c r="HF35" s="17">
        <f>IF(ISNA(VLOOKUP(A35,'Données projet'!$A$269:$I$289,7,0)),0%,VLOOKUP(A35,'Données projet'!$A$269:$I$289,7,0))</f>
        <v>0</v>
      </c>
      <c r="HG35" s="23">
        <f>EXP(-LN(2)/35)*HG34+(1-EXP(-LN(2)/35))/(LN(2)/35)*HC35*HD35*VLOOKUP('Données projet'!$B$9,Paramètres!$A$1:$I$88,3,0)*0.475*44/12</f>
        <v>0</v>
      </c>
      <c r="HH35" s="23">
        <f>EXP(-LN(2)/25)*HH34+(1-EXP(-LN(2)/25))/(LN(2)/25)*Calculateur!HC35*Calculateur!HE35*VLOOKUP('Données projet'!$B$9,Paramètres!$A$1:$I$88,3,0)*0.475*44/12</f>
        <v>0</v>
      </c>
      <c r="HI35" s="23">
        <f>EXP(-LN(2)/2)*HI34+(1-EXP(-LN(2)/2))/(LN(2)/2)*HC35*HF35*VLOOKUP('Données projet'!$B$9,Paramètres!$A$1:$I$88,3,0)*0.475*44/12</f>
        <v>0</v>
      </c>
      <c r="HJ35" s="24">
        <f t="shared" si="40"/>
        <v>0</v>
      </c>
    </row>
    <row r="36" spans="1:218" s="5" customFormat="1" x14ac:dyDescent="0.25">
      <c r="A36" s="11">
        <f t="shared" si="4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6" s="12">
        <f t="shared" si="4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135.66666666666666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1.9254166666666663</v>
      </c>
      <c r="N36" s="14">
        <f>IF(A36&lt;'Données projet'!$A$36,$K$205^A36,IF(A36='Données projet'!$A$36,'Données projet'!$B$36,N35+M36-V35))</f>
        <v>49.188750000000027</v>
      </c>
      <c r="O36" s="14">
        <f>N36*VLOOKUP('Données projet'!$B$9,Paramètres!$A$1:$I$88,3,0)*VLOOKUP('Données projet'!$B$9,Paramètres!$A$1:$I$88,5,0)</f>
        <v>56.665440000000025</v>
      </c>
      <c r="P36" s="14">
        <f t="shared" si="43"/>
        <v>16.322402540008241</v>
      </c>
      <c r="Q36" s="22">
        <f t="shared" si="53"/>
        <v>127.12049242384775</v>
      </c>
      <c r="R36" s="62">
        <f t="shared" si="0"/>
        <v>342.2460447590164</v>
      </c>
      <c r="S36" s="62">
        <f ca="1">AVERAGE(OFFSET($R$3,0,0,'Données projet'!$E$9+1,1))-AVERAGE(OFFSET($H$3,0,0,'Données projet'!$E$9+1,1))</f>
        <v>314.72063458462026</v>
      </c>
      <c r="T36" s="62">
        <f t="shared" si="3"/>
        <v>216.4380325968244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projet'!$B$9,Paramètres!$A$1:$I$88,7,0))</f>
        <v>0</v>
      </c>
      <c r="X36" s="17">
        <f>IF(ISNA(VLOOKUP(A36,'Données projet'!$A$35:$I$55,6,0)),0%,VLOOKUP(A36,'Données projet'!$A$35:$I$55,6,0)*VLOOKUP('Données projet'!$B$9,Paramètres!$A$1:$I$88,7,0))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projet'!$B$9,Paramètres!$A$1:$I$88,3,0)*0.475*44/12</f>
        <v>0</v>
      </c>
      <c r="AA36" s="23">
        <f>EXP(-LN(2)/25)*AA35+(1-EXP(-LN(2)/25))/(LN(2)/25)*Calculateur!V36*Calculateur!X36*VLOOKUP('Données projet'!$B$9,Paramètres!$A$1:$I$88,3,0)*0.475*44/12</f>
        <v>0</v>
      </c>
      <c r="AB36" s="23">
        <f>EXP(-LN(2)/2)*AB35+(1-EXP(-LN(2)/2))/(LN(2)/2)*V36*Y36*VLOOKUP('Données projet'!$B$9,Paramètres!$A$1:$I$88,3,0)*0.475*44/12</f>
        <v>0</v>
      </c>
      <c r="AC36" s="24">
        <f t="shared" si="4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5.4</v>
      </c>
      <c r="AI36" s="14">
        <f>IF(A36&lt;'Données projet'!$A$62,$AF$205^A36,IF(A36='Données projet'!$A$62,'Données projet'!$B$62,AI35+AH36-AQ35))</f>
        <v>80.200000000000031</v>
      </c>
      <c r="AJ36" s="14">
        <f>AI36*VLOOKUP('Données projet'!$B$10,Paramètres!$A$1:$I$88,3,0)*VLOOKUP('Données projet'!$B$10,Paramètres!$A$1:$I$88,5,0)</f>
        <v>83.825040000000044</v>
      </c>
      <c r="AK36" s="14">
        <f t="shared" si="44"/>
        <v>23.069868948400661</v>
      </c>
      <c r="AL36" s="22">
        <f t="shared" si="5"/>
        <v>186.17529975179789</v>
      </c>
      <c r="AM36" s="62">
        <f t="shared" si="6"/>
        <v>401.30085208696653</v>
      </c>
      <c r="AN36" s="62">
        <f ca="1">AVERAGE(OFFSET($AM$3,0,0,'Données projet'!$E$10+1,1))-AVERAGE(OFFSET($H$3,0,0,'Données projet'!$E$10+1,1))</f>
        <v>458.33072853676879</v>
      </c>
      <c r="AO36" s="62">
        <f t="shared" si="7"/>
        <v>254.1734169352687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projet'!$B$10,Paramètres!$A$1:$I$88,7,0))</f>
        <v>0</v>
      </c>
      <c r="AS36" s="17">
        <f>IF(ISNA(VLOOKUP(A36,'Données projet'!$A$61:$I$81,6,0)),0%,VLOOKUP(A36,'Données projet'!$A$61:$I$81,6,0)*VLOOKUP('Données projet'!$B$10,Paramètres!$A$1:$I$88,7,0))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projet'!$B$9,Paramètres!$A$1:$I$88,3,0)*0.475*44/12</f>
        <v>0</v>
      </c>
      <c r="AV36" s="23">
        <f>EXP(-LN(2)/25)*AV35+(1-EXP(-LN(2)/25))/(LN(2)/25)*Calculateur!AQ36*Calculateur!AS36*VLOOKUP('Données projet'!$B$9,Paramètres!$A$1:$I$88,3,0)*0.475*44/12</f>
        <v>0</v>
      </c>
      <c r="AW36" s="23">
        <f>EXP(-LN(2)/2)*AW35+(1-EXP(-LN(2)/2))/(LN(2)/2)*AQ36*AT36*VLOOKUP('Données projet'!$B$9,Paramètres!$A$1:$I$88,3,0)*0.475*44/12</f>
        <v>0</v>
      </c>
      <c r="AX36" s="23">
        <f t="shared" si="8"/>
        <v>0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5.4</v>
      </c>
      <c r="BD36" s="13">
        <f>IF(A36&lt;'Données projet'!$A$88,$BA$205^A36,IF(A36='Données projet'!$A$88,'Données projet'!$B$88,BD35+BC36-BL35))</f>
        <v>80.200000000000031</v>
      </c>
      <c r="BE36" s="14">
        <f>BD36*VLOOKUP('Données projet'!$B$11,Paramètres!$A$1:$I$88,3,0)*VLOOKUP('Données projet'!$B$11,Paramètres!$A$1:$I$88,5,0)</f>
        <v>81.322800000000043</v>
      </c>
      <c r="BF36" s="14">
        <f t="shared" si="45"/>
        <v>22.460306254033018</v>
      </c>
      <c r="BG36" s="22">
        <f t="shared" si="9"/>
        <v>180.7555767257742</v>
      </c>
      <c r="BH36" s="62">
        <f t="shared" si="10"/>
        <v>395.88112906094284</v>
      </c>
      <c r="BI36" s="62">
        <f ca="1">AVERAGE(OFFSET($BH$3,0,0,'Données projet'!$E$11+1,1))-AVERAGE(OFFSET($H$3,0,0,'Données projet'!$E$11+1,1))</f>
        <v>447.82618173893104</v>
      </c>
      <c r="BJ36" s="62">
        <f t="shared" si="11"/>
        <v>248.96509970783379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projet'!$B$11,Paramètres!$A$1:$I$88,7,0))</f>
        <v>0</v>
      </c>
      <c r="BN36" s="17">
        <f>IF(ISNA(VLOOKUP(A36,'Données projet'!$A$87:$I$107,6,0)),0%,VLOOKUP(A36,'Données projet'!$A$87:$I$107,6,0)*VLOOKUP('Données projet'!$B$11,Paramètres!$A$1:$I$88,7,0))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projet'!$B$9,Paramètres!$A$1:$I$88,3,0)*0.475*44/12</f>
        <v>0</v>
      </c>
      <c r="BQ36" s="23">
        <f>EXP(-LN(2)/25)*BQ35+(1-EXP(-LN(2)/25))/(LN(2)/25)*Calculateur!BL36*Calculateur!BN36*VLOOKUP('Données projet'!$B$9,Paramètres!$A$1:$I$88,3,0)*0.475*44/12</f>
        <v>0</v>
      </c>
      <c r="BR36" s="23">
        <f>EXP(-LN(2)/2)*BR35+(1-EXP(-LN(2)/2))/(LN(2)/2)*BL36*BO36*VLOOKUP('Données projet'!$B$9,Paramètres!$A$1:$I$88,3,0)*0.475*44/12</f>
        <v>0</v>
      </c>
      <c r="BS36" s="24">
        <f t="shared" si="12"/>
        <v>0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5.4</v>
      </c>
      <c r="BY36" s="13">
        <f>IF(A36&lt;'Données projet'!$A$114,$BV$205^A36,IF(A36='Données projet'!$A$114,'Données projet'!$B$114,BY35+BX36-CG35))</f>
        <v>80.200000000000031</v>
      </c>
      <c r="BZ36" s="14">
        <f>BY36*VLOOKUP('Données projet'!$B$12,Paramètres!$A$1:$I$88,3,0)*VLOOKUP('Données projet'!$B$12,Paramètres!$A$1:$I$88,5,0)</f>
        <v>86.32728000000003</v>
      </c>
      <c r="CA36" s="14">
        <f t="shared" si="46"/>
        <v>23.677316983408026</v>
      </c>
      <c r="CB36" s="22">
        <f t="shared" si="13"/>
        <v>191.59133974610234</v>
      </c>
      <c r="CC36" s="62">
        <f t="shared" si="14"/>
        <v>406.716892081271</v>
      </c>
      <c r="CD36" s="62">
        <f ca="1">AVERAGE(OFFSET($CC$3,0,0,'Données projet'!$E$12+1,1))-AVERAGE(OFFSET($H$3,0,0,'Données projet'!$E$12+1,1))</f>
        <v>468.82871618425406</v>
      </c>
      <c r="CE36" s="62">
        <f t="shared" si="15"/>
        <v>259.37818128554397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projet'!$B$12,Paramètres!$A$1:$I$88,7,0))</f>
        <v>0</v>
      </c>
      <c r="CI36" s="17">
        <f>IF(ISNA(VLOOKUP(A36,'Données projet'!$A$113:$I$133,6,0)),0%,VLOOKUP(A36,'Données projet'!$A$113:$I$133,6,0)*VLOOKUP('Données projet'!$B$12,Paramètres!$A$1:$I$88,7,0))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projet'!$B$9,Paramètres!$A$1:$I$88,3,0)*0.475*44/12</f>
        <v>0</v>
      </c>
      <c r="CL36" s="23">
        <f>EXP(-LN(2)/25)*CL35+(1-EXP(-LN(2)/25))/(LN(2)/25)*Calculateur!CG36*Calculateur!CI36*VLOOKUP('Données projet'!$B$9,Paramètres!$A$1:$I$88,3,0)*0.475*44/12</f>
        <v>0</v>
      </c>
      <c r="CM36" s="23">
        <f>EXP(-LN(2)/2)*CM35+(1-EXP(-LN(2)/2))/(LN(2)/2)*CG36*CJ36*VLOOKUP('Données projet'!$B$9,Paramètres!$A$1:$I$88,3,0)*0.475*44/12</f>
        <v>0</v>
      </c>
      <c r="CN36" s="24">
        <f t="shared" si="16"/>
        <v>0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5.4</v>
      </c>
      <c r="CT36" s="13">
        <f>IF(A36&lt;'Données projet'!$A$140,$CQ$205^A36,IF(A36='Données projet'!$A$140,'Données projet'!$B$140,CT35+CS36-DB35))</f>
        <v>80.200000000000031</v>
      </c>
      <c r="CU36" s="18">
        <f>CT36*VLOOKUP('Données projet'!$B$13,Paramètres!$A$1:$I$88,3,0)*VLOOKUP('Données projet'!$B$13,Paramètres!$A$1:$I$88,5,0)</f>
        <v>68.811600000000041</v>
      </c>
      <c r="CV36" s="14">
        <f t="shared" si="47"/>
        <v>19.378042507190422</v>
      </c>
      <c r="CW36" s="22">
        <f t="shared" si="17"/>
        <v>153.59696070002335</v>
      </c>
      <c r="CX36" s="62">
        <f t="shared" si="18"/>
        <v>368.72251303519204</v>
      </c>
      <c r="CY36" s="62">
        <f ca="1">AVERAGE(OFFSET($CX$3,0,0,'Données projet'!$E$13+1,1))-AVERAGE(OFFSET($H$3,0,0,'Données projet'!$E$13+1,1))</f>
        <v>395.19659151668884</v>
      </c>
      <c r="CZ36" s="62">
        <f t="shared" si="19"/>
        <v>222.86563304507339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projet'!$B$13,Paramètres!$A$1:$I$88,7,0))</f>
        <v>0</v>
      </c>
      <c r="DD36" s="17">
        <f>IF(ISNA(VLOOKUP(A36,'Données projet'!$A$139:$I$159,6,0)),0%,VLOOKUP(A36,'Données projet'!$A$139:$I$159,6,0)*VLOOKUP('Données projet'!$B$13,Paramètres!$A$1:$I$88,7,0))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projet'!$B$9,Paramètres!$A$1:$I$88,3,0)*0.475*44/12</f>
        <v>0</v>
      </c>
      <c r="DG36" s="23">
        <f>EXP(-LN(2)/25)*DG35+(1-EXP(-LN(2)/25))/(LN(2)/25)*Calculateur!DB36*Calculateur!DD36*VLOOKUP('Données projet'!$B$9,Paramètres!$A$1:$I$88,3,0)*0.475*44/12</f>
        <v>0</v>
      </c>
      <c r="DH36" s="23">
        <f>EXP(-LN(2)/2)*DH35+(1-EXP(-LN(2)/2))/(LN(2)/2)*DB36*DE36*VLOOKUP('Données projet'!$B$9,Paramètres!$A$1:$I$88,3,0)*0.475*44/12</f>
        <v>0</v>
      </c>
      <c r="DI36" s="24">
        <f t="shared" si="20"/>
        <v>0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2.2749999999999999</v>
      </c>
      <c r="DO36" s="13">
        <f>IF(A36&lt;'Données projet'!$A$166,$DL$205^A36,IF(A36='Données projet'!$A$166,'Données projet'!$B$166,DO35+DN36-DW35))</f>
        <v>41.32464663843254</v>
      </c>
      <c r="DP36" s="18">
        <f>DO36*VLOOKUP('Données projet'!$B$14,Paramètres!$A$1:$I$88,3,0)*VLOOKUP('Données projet'!$B$14,Paramètres!$A$1:$I$88,5,0)</f>
        <v>24.174918283483038</v>
      </c>
      <c r="DQ36" s="14">
        <f t="shared" si="48"/>
        <v>7.689416617614838</v>
      </c>
      <c r="DR36" s="22">
        <f t="shared" si="21"/>
        <v>55.497049952745463</v>
      </c>
      <c r="DS36" s="62">
        <f t="shared" si="22"/>
        <v>270.62260228791411</v>
      </c>
      <c r="DT36" s="62">
        <f ca="1">AVERAGE(OFFSET($DS$3,0,0,'Données projet'!$E$14+1,1))-AVERAGE(OFFSET($H$3,0,0,'Données projet'!$E$14+1,1))</f>
        <v>155.18073137151848</v>
      </c>
      <c r="DU36" s="62">
        <f t="shared" si="23"/>
        <v>115.19459155667272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projet'!$B$14,Paramètres!$A$1:$I$88,7,0))</f>
        <v>0</v>
      </c>
      <c r="DY36" s="17">
        <f>IF(ISNA(VLOOKUP(A36,'Données projet'!$A$165:$I$185,6,0)),0%,VLOOKUP(A36,'Données projet'!$A$165:$I$185,6,0)*VLOOKUP('Données projet'!$B$14,Paramètres!$A$1:$I$88,7,0))</f>
        <v>0</v>
      </c>
      <c r="DZ36" s="17">
        <f>IF(ISNA(VLOOKUP(A36,'Données projet'!$A$165:$I$185,7,0)),0%,VLOOKUP(A36,'Données projet'!$A$165:$I$185,7,0))</f>
        <v>0</v>
      </c>
      <c r="EA36" s="23">
        <f>EXP(-LN(2)/35)*EA35+(1-EXP(-LN(2)/35))/(LN(2)/35)*DW36*DX36*VLOOKUP('Données projet'!$B$9,Paramètres!$A$1:$I$88,3,0)*0.475*44/12</f>
        <v>0</v>
      </c>
      <c r="EB36" s="23">
        <f>EXP(-LN(2)/25)*EB35+(1-EXP(-LN(2)/25))/(LN(2)/25)*Calculateur!DW36*Calculateur!DY36*VLOOKUP('Données projet'!$B$9,Paramètres!$A$1:$I$88,3,0)*0.475*44/12</f>
        <v>0</v>
      </c>
      <c r="EC36" s="23">
        <f>EXP(-LN(2)/2)*EC35+(1-EXP(-LN(2)/2))/(LN(2)/2)*DW36*DZ36*VLOOKUP('Données projet'!$B$9,Paramètres!$A$1:$I$88,3,0)*0.475*44/12</f>
        <v>0</v>
      </c>
      <c r="ED36" s="24">
        <f t="shared" si="24"/>
        <v>0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3.25</v>
      </c>
      <c r="EJ36" s="13">
        <f>IF(A36&lt;'Données projet'!$A$192,$EG$205^A36,IF(A36='Données projet'!$A$192,'Données projet'!$B$192,EJ35+EI36-ER35))</f>
        <v>18.176867282556859</v>
      </c>
      <c r="EK36" s="18">
        <f>EJ36*VLOOKUP('Données projet'!$B$15,Paramètres!$A$1:$I$88,3,0)*VLOOKUP('Données projet'!$B$15,Paramètres!$A$1:$I$88,5,0)</f>
        <v>8.5067738882366104</v>
      </c>
      <c r="EL36" s="14">
        <f t="shared" si="49"/>
        <v>3.0555705886164115</v>
      </c>
      <c r="EM36" s="22">
        <f t="shared" si="25"/>
        <v>20.137749963852347</v>
      </c>
      <c r="EN36" s="62">
        <f t="shared" si="26"/>
        <v>235.26330229902101</v>
      </c>
      <c r="EO36" s="62">
        <f ca="1">AVERAGE(OFFSET($EN$3,0,0,'Données projet'!$E$15+1,1))-AVERAGE(OFFSET($H$3,0,0,'Données projet'!$E$15+1,1))</f>
        <v>238.59014604384171</v>
      </c>
      <c r="EP36" s="62">
        <f t="shared" si="27"/>
        <v>90.841373219575217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projet'!$B$15,Paramètres!$A$1:$I$88,7,0))</f>
        <v>0</v>
      </c>
      <c r="ET36" s="17">
        <f>IF(ISNA(VLOOKUP(A36,'Données projet'!$A$191:$I$211,6,0)),0%,VLOOKUP(A36,'Données projet'!$A$191:$I$211,6,0)*VLOOKUP('Données projet'!$B$15,Paramètres!$A$1:$I$88,7,0))</f>
        <v>0</v>
      </c>
      <c r="EU36" s="17">
        <f>IF(ISNA(VLOOKUP(A36,'Données projet'!$A$191:$I$211,7,0)),0%,VLOOKUP(A36,'Données projet'!$A$191:$I$211,7,0))</f>
        <v>0</v>
      </c>
      <c r="EV36" s="23">
        <f>EXP(-LN(2)/35)*EV35+(1-EXP(-LN(2)/35))/(LN(2)/35)*ER36*ES36*VLOOKUP('Données projet'!$B$9,Paramètres!$A$1:$I$88,3,0)*0.475*44/12</f>
        <v>0</v>
      </c>
      <c r="EW36" s="23">
        <f>EXP(-LN(2)/25)*EW35+(1-EXP(-LN(2)/25))/(LN(2)/25)*Calculateur!ER36*Calculateur!ET36*VLOOKUP('Données projet'!$B$9,Paramètres!$A$1:$I$88,3,0)*0.475*44/12</f>
        <v>0</v>
      </c>
      <c r="EX36" s="23">
        <f>EXP(-LN(2)/2)*EX35+(1-EXP(-LN(2)/2))/(LN(2)/2)*ER36*EU36*VLOOKUP('Données projet'!$B$9,Paramètres!$A$1:$I$88,3,0)*0.475*44/12</f>
        <v>0</v>
      </c>
      <c r="EY36" s="24">
        <f t="shared" si="28"/>
        <v>0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IF(A36&lt;'Données projet'!$A$218,$FB$205^A36,IF(A36='Données projet'!$A$218,'Données projet'!$B$218,FE35+FD36-FM35))</f>
        <v>0</v>
      </c>
      <c r="FF36" s="18" t="e">
        <f>FE36*VLOOKUP('Données projet'!$B$16,Paramètres!$A$1:$I$88,3,0)*VLOOKUP('Données projet'!$B$16,Paramètres!$A$1:$I$88,5,0)</f>
        <v>#N/A</v>
      </c>
      <c r="FG36" s="14" t="e">
        <f t="shared" si="50"/>
        <v>#N/A</v>
      </c>
      <c r="FH36" s="22" t="e">
        <f t="shared" si="29"/>
        <v>#N/A</v>
      </c>
      <c r="FI36" s="62" t="e">
        <f t="shared" si="30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31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projet'!$B$16,Paramètres!$A$1:$I$88,7,0))</f>
        <v>0</v>
      </c>
      <c r="FO36" s="17">
        <f>IF(ISNA(VLOOKUP(A36,'Données projet'!$A$217:$I$237,6,0)),0%,VLOOKUP(A36,'Données projet'!$A$217:$I$237,6,0)*VLOOKUP('Données projet'!$B$16,Paramètres!$A$1:$I$88,7,0))</f>
        <v>0</v>
      </c>
      <c r="FP36" s="17">
        <f>IF(ISNA(VLOOKUP(A36,'Données projet'!$A$217:$I$237,7,0)),0%,VLOOKUP(A36,'Données projet'!$A$217:$I$237,7,0))</f>
        <v>0</v>
      </c>
      <c r="FQ36" s="23">
        <f>EXP(-LN(2)/35)*FQ35+(1-EXP(-LN(2)/35))/(LN(2)/35)*FM36*FN36*VLOOKUP('Données projet'!$B$9,Paramètres!$A$1:$I$88,3,0)*0.475*44/12</f>
        <v>0</v>
      </c>
      <c r="FR36" s="23">
        <f>EXP(-LN(2)/25)*FR35+(1-EXP(-LN(2)/25))/(LN(2)/25)*Calculateur!FM36*Calculateur!FO36*VLOOKUP('Données projet'!$B$9,Paramètres!$A$1:$I$88,3,0)*0.475*44/12</f>
        <v>0</v>
      </c>
      <c r="FS36" s="23">
        <f>EXP(-LN(2)/2)*FS35+(1-EXP(-LN(2)/2))/(LN(2)/2)*FM36*FP36*VLOOKUP('Données projet'!$B$9,Paramètres!$A$1:$I$88,3,0)*0.475*44/12</f>
        <v>0</v>
      </c>
      <c r="FT36" s="24">
        <f t="shared" si="32"/>
        <v>0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IF(A36&lt;'Données projet'!$A$244,$FW$205^A36,IF(A36='Données projet'!$A$244,'Données projet'!$B$244,FZ35+FY36-GH35))</f>
        <v>0</v>
      </c>
      <c r="GA36" s="18" t="e">
        <f>FZ36*VLOOKUP('Données projet'!$B$17,Paramètres!$A$1:$I$88,3,0)*VLOOKUP('Données projet'!$B$17,Paramètres!$A$1:$I$88,5,0)</f>
        <v>#N/A</v>
      </c>
      <c r="GB36" s="14" t="e">
        <f t="shared" si="51"/>
        <v>#N/A</v>
      </c>
      <c r="GC36" s="22" t="e">
        <f t="shared" si="33"/>
        <v>#N/A</v>
      </c>
      <c r="GD36" s="62" t="e">
        <f t="shared" si="34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35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projet'!$B$17,Paramètres!$A$1:$I$88,7,0))</f>
        <v>0</v>
      </c>
      <c r="GJ36" s="17">
        <f>IF(ISNA(VLOOKUP(A36,'Données projet'!$A$243:$I$263,6,0)),0%,VLOOKUP(A36,'Données projet'!$A$243:$I$263,6,0)*VLOOKUP('Données projet'!$B$17,Paramètres!$A$1:$I$88,7,0))</f>
        <v>0</v>
      </c>
      <c r="GK36" s="17">
        <f>IF(ISNA(VLOOKUP(A36,'Données projet'!$A$243:$I$263,7,0)),0%,VLOOKUP(A36,'Données projet'!$A$243:$I$263,7,0))</f>
        <v>0</v>
      </c>
      <c r="GL36" s="23">
        <f>EXP(-LN(2)/35)*GL35+(1-EXP(-LN(2)/35))/(LN(2)/35)*GH36*GI36*VLOOKUP('Données projet'!$B$9,Paramètres!$A$1:$I$88,3,0)*0.475*44/12</f>
        <v>0</v>
      </c>
      <c r="GM36" s="23">
        <f>EXP(-LN(2)/25)*GM35+(1-EXP(-LN(2)/25))/(LN(2)/25)*Calculateur!GH36*Calculateur!GJ36*VLOOKUP('Données projet'!$B$9,Paramètres!$A$1:$I$88,3,0)*0.475*44/12</f>
        <v>0</v>
      </c>
      <c r="GN36" s="23">
        <f>EXP(-LN(2)/2)*GN35+(1-EXP(-LN(2)/2))/(LN(2)/2)*GH36*GK36*VLOOKUP('Données projet'!$B$9,Paramètres!$A$1:$I$88,3,0)*0.475*44/12</f>
        <v>0</v>
      </c>
      <c r="GO36" s="23">
        <f t="shared" si="36"/>
        <v>0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IF(A36&lt;'Données projet'!$A$270,$GR$205^A36,IF(A36='Données projet'!$A$270,'Données projet'!$B$270,GU35+GT36-HC35))</f>
        <v>0</v>
      </c>
      <c r="GV36" s="18" t="e">
        <f>GU36*VLOOKUP('Données projet'!$B$18,Paramètres!$A$1:$I$88,3,0)*VLOOKUP('Données projet'!$B$18,Paramètres!$A$1:$I$88,5,0)</f>
        <v>#N/A</v>
      </c>
      <c r="GW36" s="14" t="e">
        <f t="shared" si="52"/>
        <v>#N/A</v>
      </c>
      <c r="GX36" s="22" t="e">
        <f t="shared" si="37"/>
        <v>#N/A</v>
      </c>
      <c r="GY36" s="62" t="e">
        <f t="shared" si="38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39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projet'!$B$18,Paramètres!$A$1:$I$88,7,0))</f>
        <v>0</v>
      </c>
      <c r="HE36" s="17">
        <f>IF(ISNA(VLOOKUP(A36,'Données projet'!$A$269:$I$289,6,0)),0%,VLOOKUP(A36,'Données projet'!$A$269:$I$289,6,0)*VLOOKUP('Données projet'!$B$18,Paramètres!$A$1:$I$88,7,0))</f>
        <v>0</v>
      </c>
      <c r="HF36" s="17">
        <f>IF(ISNA(VLOOKUP(A36,'Données projet'!$A$269:$I$289,7,0)),0%,VLOOKUP(A36,'Données projet'!$A$269:$I$289,7,0))</f>
        <v>0</v>
      </c>
      <c r="HG36" s="23">
        <f>EXP(-LN(2)/35)*HG35+(1-EXP(-LN(2)/35))/(LN(2)/35)*HC36*HD36*VLOOKUP('Données projet'!$B$9,Paramètres!$A$1:$I$88,3,0)*0.475*44/12</f>
        <v>0</v>
      </c>
      <c r="HH36" s="23">
        <f>EXP(-LN(2)/25)*HH35+(1-EXP(-LN(2)/25))/(LN(2)/25)*Calculateur!HC36*Calculateur!HE36*VLOOKUP('Données projet'!$B$9,Paramètres!$A$1:$I$88,3,0)*0.475*44/12</f>
        <v>0</v>
      </c>
      <c r="HI36" s="23">
        <f>EXP(-LN(2)/2)*HI35+(1-EXP(-LN(2)/2))/(LN(2)/2)*HC36*HF36*VLOOKUP('Données projet'!$B$9,Paramètres!$A$1:$I$88,3,0)*0.475*44/12</f>
        <v>0</v>
      </c>
      <c r="HJ36" s="24">
        <f t="shared" si="40"/>
        <v>0</v>
      </c>
    </row>
    <row r="37" spans="1:218" s="5" customFormat="1" x14ac:dyDescent="0.25">
      <c r="A37" s="11">
        <f t="shared" si="4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7" s="12">
        <f t="shared" si="4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135.66666666666666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1.9254166666666663</v>
      </c>
      <c r="N37" s="14">
        <f>IF(A37&lt;'Données projet'!$A$36,$K$205^A37,IF(A37='Données projet'!$A$36,'Données projet'!$B$36,N36+M37-V36))</f>
        <v>51.114166666666691</v>
      </c>
      <c r="O37" s="14">
        <f>N37*VLOOKUP('Données projet'!$B$9,Paramètres!$A$1:$I$88,3,0)*VLOOKUP('Données projet'!$B$9,Paramètres!$A$1:$I$88,5,0)</f>
        <v>58.883520000000026</v>
      </c>
      <c r="P37" s="14">
        <f t="shared" si="43"/>
        <v>16.885679994502389</v>
      </c>
      <c r="Q37" s="22">
        <f t="shared" si="53"/>
        <v>131.96468999042506</v>
      </c>
      <c r="R37" s="62">
        <f t="shared" si="0"/>
        <v>348.44697247950745</v>
      </c>
      <c r="S37" s="62">
        <f ca="1">AVERAGE(OFFSET($R$3,0,0,'Données projet'!$E$9+1,1))-AVERAGE(OFFSET($H$3,0,0,'Données projet'!$E$9+1,1))</f>
        <v>314.72063458462026</v>
      </c>
      <c r="T37" s="62">
        <f t="shared" si="3"/>
        <v>216.4380325968244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projet'!$B$9,Paramètres!$A$1:$I$88,7,0))</f>
        <v>0</v>
      </c>
      <c r="X37" s="17">
        <f>IF(ISNA(VLOOKUP(A37,'Données projet'!$A$35:$I$55,6,0)),0%,VLOOKUP(A37,'Données projet'!$A$35:$I$55,6,0)*VLOOKUP('Données projet'!$B$9,Paramètres!$A$1:$I$88,7,0))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projet'!$B$9,Paramètres!$A$1:$I$88,3,0)*0.475*44/12</f>
        <v>0</v>
      </c>
      <c r="AA37" s="23">
        <f>EXP(-LN(2)/25)*AA36+(1-EXP(-LN(2)/25))/(LN(2)/25)*Calculateur!V37*Calculateur!X37*VLOOKUP('Données projet'!$B$9,Paramètres!$A$1:$I$88,3,0)*0.475*44/12</f>
        <v>0</v>
      </c>
      <c r="AB37" s="23">
        <f>EXP(-LN(2)/2)*AB36+(1-EXP(-LN(2)/2))/(LN(2)/2)*V37*Y37*VLOOKUP('Données projet'!$B$9,Paramètres!$A$1:$I$88,3,0)*0.475*44/12</f>
        <v>0</v>
      </c>
      <c r="AC37" s="24">
        <f t="shared" si="4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5.4</v>
      </c>
      <c r="AI37" s="14">
        <f>IF(A37&lt;'Données projet'!$A$62,$AF$205^A37,IF(A37='Données projet'!$A$62,'Données projet'!$B$62,AI36+AH37-AQ36))</f>
        <v>85.600000000000037</v>
      </c>
      <c r="AJ37" s="14">
        <f>AI37*VLOOKUP('Données projet'!$B$10,Paramètres!$A$1:$I$88,3,0)*VLOOKUP('Données projet'!$B$10,Paramètres!$A$1:$I$88,5,0)</f>
        <v>89.469120000000046</v>
      </c>
      <c r="AK37" s="14">
        <f t="shared" si="44"/>
        <v>24.437145469800441</v>
      </c>
      <c r="AL37" s="22">
        <f t="shared" si="5"/>
        <v>198.38674569323584</v>
      </c>
      <c r="AM37" s="62">
        <f t="shared" si="6"/>
        <v>414.86902818231823</v>
      </c>
      <c r="AN37" s="62">
        <f ca="1">AVERAGE(OFFSET($AM$3,0,0,'Données projet'!$E$10+1,1))-AVERAGE(OFFSET($H$3,0,0,'Données projet'!$E$10+1,1))</f>
        <v>458.33072853676879</v>
      </c>
      <c r="AO37" s="62">
        <f t="shared" si="7"/>
        <v>254.1734169352687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projet'!$B$10,Paramètres!$A$1:$I$88,7,0))</f>
        <v>0</v>
      </c>
      <c r="AS37" s="17">
        <f>IF(ISNA(VLOOKUP(A37,'Données projet'!$A$61:$I$81,6,0)),0%,VLOOKUP(A37,'Données projet'!$A$61:$I$81,6,0)*VLOOKUP('Données projet'!$B$10,Paramètres!$A$1:$I$88,7,0))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projet'!$B$9,Paramètres!$A$1:$I$88,3,0)*0.475*44/12</f>
        <v>0</v>
      </c>
      <c r="AV37" s="23">
        <f>EXP(-LN(2)/25)*AV36+(1-EXP(-LN(2)/25))/(LN(2)/25)*Calculateur!AQ37*Calculateur!AS37*VLOOKUP('Données projet'!$B$9,Paramètres!$A$1:$I$88,3,0)*0.475*44/12</f>
        <v>0</v>
      </c>
      <c r="AW37" s="23">
        <f>EXP(-LN(2)/2)*AW36+(1-EXP(-LN(2)/2))/(LN(2)/2)*AQ37*AT37*VLOOKUP('Données projet'!$B$9,Paramètres!$A$1:$I$88,3,0)*0.475*44/12</f>
        <v>0</v>
      </c>
      <c r="AX37" s="23">
        <f t="shared" si="8"/>
        <v>0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5.4</v>
      </c>
      <c r="BD37" s="13">
        <f>IF(A37&lt;'Données projet'!$A$88,$BA$205^A37,IF(A37='Données projet'!$A$88,'Données projet'!$B$88,BD36+BC37-BL36))</f>
        <v>85.600000000000037</v>
      </c>
      <c r="BE37" s="14">
        <f>BD37*VLOOKUP('Données projet'!$B$11,Paramètres!$A$1:$I$88,3,0)*VLOOKUP('Données projet'!$B$11,Paramètres!$A$1:$I$88,5,0)</f>
        <v>86.798400000000044</v>
      </c>
      <c r="BF37" s="14">
        <f t="shared" si="45"/>
        <v>23.791455965948352</v>
      </c>
      <c r="BG37" s="22">
        <f t="shared" si="9"/>
        <v>192.61066580736011</v>
      </c>
      <c r="BH37" s="62">
        <f t="shared" si="10"/>
        <v>409.0929482964425</v>
      </c>
      <c r="BI37" s="62">
        <f ca="1">AVERAGE(OFFSET($BH$3,0,0,'Données projet'!$E$11+1,1))-AVERAGE(OFFSET($H$3,0,0,'Données projet'!$E$11+1,1))</f>
        <v>447.82618173893104</v>
      </c>
      <c r="BJ37" s="62">
        <f t="shared" si="11"/>
        <v>248.96509970783379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projet'!$B$11,Paramètres!$A$1:$I$88,7,0))</f>
        <v>0</v>
      </c>
      <c r="BN37" s="17">
        <f>IF(ISNA(VLOOKUP(A37,'Données projet'!$A$87:$I$107,6,0)),0%,VLOOKUP(A37,'Données projet'!$A$87:$I$107,6,0)*VLOOKUP('Données projet'!$B$11,Paramètres!$A$1:$I$88,7,0))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projet'!$B$9,Paramètres!$A$1:$I$88,3,0)*0.475*44/12</f>
        <v>0</v>
      </c>
      <c r="BQ37" s="23">
        <f>EXP(-LN(2)/25)*BQ36+(1-EXP(-LN(2)/25))/(LN(2)/25)*Calculateur!BL37*Calculateur!BN37*VLOOKUP('Données projet'!$B$9,Paramètres!$A$1:$I$88,3,0)*0.475*44/12</f>
        <v>0</v>
      </c>
      <c r="BR37" s="23">
        <f>EXP(-LN(2)/2)*BR36+(1-EXP(-LN(2)/2))/(LN(2)/2)*BL37*BO37*VLOOKUP('Données projet'!$B$9,Paramètres!$A$1:$I$88,3,0)*0.475*44/12</f>
        <v>0</v>
      </c>
      <c r="BS37" s="24">
        <f t="shared" si="12"/>
        <v>0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5.4</v>
      </c>
      <c r="BY37" s="13">
        <f>IF(A37&lt;'Données projet'!$A$114,$BV$205^A37,IF(A37='Données projet'!$A$114,'Données projet'!$B$114,BY36+BX37-CG36))</f>
        <v>85.600000000000037</v>
      </c>
      <c r="BZ37" s="14">
        <f>BY37*VLOOKUP('Données projet'!$B$12,Paramètres!$A$1:$I$88,3,0)*VLOOKUP('Données projet'!$B$12,Paramètres!$A$1:$I$88,5,0)</f>
        <v>92.139840000000035</v>
      </c>
      <c r="CA37" s="14">
        <f t="shared" si="46"/>
        <v>25.080594985271063</v>
      </c>
      <c r="CB37" s="22">
        <f t="shared" si="13"/>
        <v>204.15892426601383</v>
      </c>
      <c r="CC37" s="62">
        <f t="shared" si="14"/>
        <v>420.64120675509622</v>
      </c>
      <c r="CD37" s="62">
        <f ca="1">AVERAGE(OFFSET($CC$3,0,0,'Données projet'!$E$12+1,1))-AVERAGE(OFFSET($H$3,0,0,'Données projet'!$E$12+1,1))</f>
        <v>468.82871618425406</v>
      </c>
      <c r="CE37" s="62">
        <f t="shared" si="15"/>
        <v>259.37818128554397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projet'!$B$12,Paramètres!$A$1:$I$88,7,0))</f>
        <v>0</v>
      </c>
      <c r="CI37" s="17">
        <f>IF(ISNA(VLOOKUP(A37,'Données projet'!$A$113:$I$133,6,0)),0%,VLOOKUP(A37,'Données projet'!$A$113:$I$133,6,0)*VLOOKUP('Données projet'!$B$12,Paramètres!$A$1:$I$88,7,0))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projet'!$B$9,Paramètres!$A$1:$I$88,3,0)*0.475*44/12</f>
        <v>0</v>
      </c>
      <c r="CL37" s="23">
        <f>EXP(-LN(2)/25)*CL36+(1-EXP(-LN(2)/25))/(LN(2)/25)*Calculateur!CG37*Calculateur!CI37*VLOOKUP('Données projet'!$B$9,Paramètres!$A$1:$I$88,3,0)*0.475*44/12</f>
        <v>0</v>
      </c>
      <c r="CM37" s="23">
        <f>EXP(-LN(2)/2)*CM36+(1-EXP(-LN(2)/2))/(LN(2)/2)*CG37*CJ37*VLOOKUP('Données projet'!$B$9,Paramètres!$A$1:$I$88,3,0)*0.475*44/12</f>
        <v>0</v>
      </c>
      <c r="CN37" s="24">
        <f t="shared" si="16"/>
        <v>0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5.4</v>
      </c>
      <c r="CT37" s="13">
        <f>IF(A37&lt;'Données projet'!$A$140,$CQ$205^A37,IF(A37='Données projet'!$A$140,'Données projet'!$B$140,CT36+CS37-DB36))</f>
        <v>85.600000000000037</v>
      </c>
      <c r="CU37" s="18">
        <f>CT37*VLOOKUP('Données projet'!$B$13,Paramètres!$A$1:$I$88,3,0)*VLOOKUP('Données projet'!$B$13,Paramètres!$A$1:$I$88,5,0)</f>
        <v>73.444800000000043</v>
      </c>
      <c r="CV37" s="14">
        <f t="shared" si="47"/>
        <v>20.526516415301003</v>
      </c>
      <c r="CW37" s="22">
        <f t="shared" si="17"/>
        <v>163.66670942331598</v>
      </c>
      <c r="CX37" s="62">
        <f t="shared" si="18"/>
        <v>380.1489919123984</v>
      </c>
      <c r="CY37" s="62">
        <f ca="1">AVERAGE(OFFSET($CX$3,0,0,'Données projet'!$E$13+1,1))-AVERAGE(OFFSET($H$3,0,0,'Données projet'!$E$13+1,1))</f>
        <v>395.19659151668884</v>
      </c>
      <c r="CZ37" s="62">
        <f t="shared" si="19"/>
        <v>222.86563304507339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projet'!$B$13,Paramètres!$A$1:$I$88,7,0))</f>
        <v>0</v>
      </c>
      <c r="DD37" s="17">
        <f>IF(ISNA(VLOOKUP(A37,'Données projet'!$A$139:$I$159,6,0)),0%,VLOOKUP(A37,'Données projet'!$A$139:$I$159,6,0)*VLOOKUP('Données projet'!$B$13,Paramètres!$A$1:$I$88,7,0))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projet'!$B$9,Paramètres!$A$1:$I$88,3,0)*0.475*44/12</f>
        <v>0</v>
      </c>
      <c r="DG37" s="23">
        <f>EXP(-LN(2)/25)*DG36+(1-EXP(-LN(2)/25))/(LN(2)/25)*Calculateur!DB37*Calculateur!DD37*VLOOKUP('Données projet'!$B$9,Paramètres!$A$1:$I$88,3,0)*0.475*44/12</f>
        <v>0</v>
      </c>
      <c r="DH37" s="23">
        <f>EXP(-LN(2)/2)*DH36+(1-EXP(-LN(2)/2))/(LN(2)/2)*DB37*DE37*VLOOKUP('Données projet'!$B$9,Paramètres!$A$1:$I$88,3,0)*0.475*44/12</f>
        <v>0</v>
      </c>
      <c r="DI37" s="24">
        <f t="shared" si="20"/>
        <v>0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2.2749999999999999</v>
      </c>
      <c r="DO37" s="13">
        <f>IF(A37&lt;'Données projet'!$A$166,$DL$205^A37,IF(A37='Données projet'!$A$166,'Données projet'!$B$166,DO36+DN37-DW36))</f>
        <v>46.257822303287909</v>
      </c>
      <c r="DP37" s="18">
        <f>DO37*VLOOKUP('Données projet'!$B$14,Paramètres!$A$1:$I$88,3,0)*VLOOKUP('Données projet'!$B$14,Paramètres!$A$1:$I$88,5,0)</f>
        <v>27.060826047423429</v>
      </c>
      <c r="DQ37" s="14">
        <f t="shared" si="48"/>
        <v>8.4951023615108223</v>
      </c>
      <c r="DR37" s="22">
        <f t="shared" si="21"/>
        <v>61.926575312227151</v>
      </c>
      <c r="DS37" s="62">
        <f t="shared" si="22"/>
        <v>278.40885780130952</v>
      </c>
      <c r="DT37" s="62">
        <f ca="1">AVERAGE(OFFSET($DS$3,0,0,'Données projet'!$E$14+1,1))-AVERAGE(OFFSET($H$3,0,0,'Données projet'!$E$14+1,1))</f>
        <v>155.18073137151848</v>
      </c>
      <c r="DU37" s="62">
        <f t="shared" si="23"/>
        <v>115.19459155667272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projet'!$B$14,Paramètres!$A$1:$I$88,7,0))</f>
        <v>0</v>
      </c>
      <c r="DY37" s="17">
        <f>IF(ISNA(VLOOKUP(A37,'Données projet'!$A$165:$I$185,6,0)),0%,VLOOKUP(A37,'Données projet'!$A$165:$I$185,6,0)*VLOOKUP('Données projet'!$B$14,Paramètres!$A$1:$I$88,7,0))</f>
        <v>0</v>
      </c>
      <c r="DZ37" s="17">
        <f>IF(ISNA(VLOOKUP(A37,'Données projet'!$A$165:$I$185,7,0)),0%,VLOOKUP(A37,'Données projet'!$A$165:$I$185,7,0))</f>
        <v>0</v>
      </c>
      <c r="EA37" s="23">
        <f>EXP(-LN(2)/35)*EA36+(1-EXP(-LN(2)/35))/(LN(2)/35)*DW37*DX37*VLOOKUP('Données projet'!$B$9,Paramètres!$A$1:$I$88,3,0)*0.475*44/12</f>
        <v>0</v>
      </c>
      <c r="EB37" s="23">
        <f>EXP(-LN(2)/25)*EB36+(1-EXP(-LN(2)/25))/(LN(2)/25)*Calculateur!DW37*Calculateur!DY37*VLOOKUP('Données projet'!$B$9,Paramètres!$A$1:$I$88,3,0)*0.475*44/12</f>
        <v>0</v>
      </c>
      <c r="EC37" s="23">
        <f>EXP(-LN(2)/2)*EC36+(1-EXP(-LN(2)/2))/(LN(2)/2)*DW37*DZ37*VLOOKUP('Données projet'!$B$9,Paramètres!$A$1:$I$88,3,0)*0.475*44/12</f>
        <v>0</v>
      </c>
      <c r="ED37" s="24">
        <f t="shared" si="24"/>
        <v>0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3.25</v>
      </c>
      <c r="EJ37" s="13">
        <f>IF(A37&lt;'Données projet'!$A$192,$EG$205^A37,IF(A37='Données projet'!$A$192,'Données projet'!$B$192,EJ36+EI37-ER36))</f>
        <v>19.846607449592916</v>
      </c>
      <c r="EK37" s="18">
        <f>EJ37*VLOOKUP('Données projet'!$B$15,Paramètres!$A$1:$I$88,3,0)*VLOOKUP('Données projet'!$B$15,Paramètres!$A$1:$I$88,5,0)</f>
        <v>9.2882122864094843</v>
      </c>
      <c r="EL37" s="14">
        <f t="shared" si="49"/>
        <v>3.3023028355827222</v>
      </c>
      <c r="EM37" s="22">
        <f t="shared" si="25"/>
        <v>21.928480504136427</v>
      </c>
      <c r="EN37" s="62">
        <f t="shared" si="26"/>
        <v>238.41076299321881</v>
      </c>
      <c r="EO37" s="62">
        <f ca="1">AVERAGE(OFFSET($EN$3,0,0,'Données projet'!$E$15+1,1))-AVERAGE(OFFSET($H$3,0,0,'Données projet'!$E$15+1,1))</f>
        <v>238.59014604384171</v>
      </c>
      <c r="EP37" s="62">
        <f t="shared" si="27"/>
        <v>90.841373219575217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projet'!$B$15,Paramètres!$A$1:$I$88,7,0))</f>
        <v>0</v>
      </c>
      <c r="ET37" s="17">
        <f>IF(ISNA(VLOOKUP(A37,'Données projet'!$A$191:$I$211,6,0)),0%,VLOOKUP(A37,'Données projet'!$A$191:$I$211,6,0)*VLOOKUP('Données projet'!$B$15,Paramètres!$A$1:$I$88,7,0))</f>
        <v>0</v>
      </c>
      <c r="EU37" s="17">
        <f>IF(ISNA(VLOOKUP(A37,'Données projet'!$A$191:$I$211,7,0)),0%,VLOOKUP(A37,'Données projet'!$A$191:$I$211,7,0))</f>
        <v>0</v>
      </c>
      <c r="EV37" s="23">
        <f>EXP(-LN(2)/35)*EV36+(1-EXP(-LN(2)/35))/(LN(2)/35)*ER37*ES37*VLOOKUP('Données projet'!$B$9,Paramètres!$A$1:$I$88,3,0)*0.475*44/12</f>
        <v>0</v>
      </c>
      <c r="EW37" s="23">
        <f>EXP(-LN(2)/25)*EW36+(1-EXP(-LN(2)/25))/(LN(2)/25)*Calculateur!ER37*Calculateur!ET37*VLOOKUP('Données projet'!$B$9,Paramètres!$A$1:$I$88,3,0)*0.475*44/12</f>
        <v>0</v>
      </c>
      <c r="EX37" s="23">
        <f>EXP(-LN(2)/2)*EX36+(1-EXP(-LN(2)/2))/(LN(2)/2)*ER37*EU37*VLOOKUP('Données projet'!$B$9,Paramètres!$A$1:$I$88,3,0)*0.475*44/12</f>
        <v>0</v>
      </c>
      <c r="EY37" s="24">
        <f t="shared" si="28"/>
        <v>0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IF(A37&lt;'Données projet'!$A$218,$FB$205^A37,IF(A37='Données projet'!$A$218,'Données projet'!$B$218,FE36+FD37-FM36))</f>
        <v>0</v>
      </c>
      <c r="FF37" s="18" t="e">
        <f>FE37*VLOOKUP('Données projet'!$B$16,Paramètres!$A$1:$I$88,3,0)*VLOOKUP('Données projet'!$B$16,Paramètres!$A$1:$I$88,5,0)</f>
        <v>#N/A</v>
      </c>
      <c r="FG37" s="14" t="e">
        <f t="shared" si="50"/>
        <v>#N/A</v>
      </c>
      <c r="FH37" s="22" t="e">
        <f t="shared" si="29"/>
        <v>#N/A</v>
      </c>
      <c r="FI37" s="62" t="e">
        <f t="shared" si="30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31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projet'!$B$16,Paramètres!$A$1:$I$88,7,0))</f>
        <v>0</v>
      </c>
      <c r="FO37" s="17">
        <f>IF(ISNA(VLOOKUP(A37,'Données projet'!$A$217:$I$237,6,0)),0%,VLOOKUP(A37,'Données projet'!$A$217:$I$237,6,0)*VLOOKUP('Données projet'!$B$16,Paramètres!$A$1:$I$88,7,0))</f>
        <v>0</v>
      </c>
      <c r="FP37" s="17">
        <f>IF(ISNA(VLOOKUP(A37,'Données projet'!$A$217:$I$237,7,0)),0%,VLOOKUP(A37,'Données projet'!$A$217:$I$237,7,0))</f>
        <v>0</v>
      </c>
      <c r="FQ37" s="23">
        <f>EXP(-LN(2)/35)*FQ36+(1-EXP(-LN(2)/35))/(LN(2)/35)*FM37*FN37*VLOOKUP('Données projet'!$B$9,Paramètres!$A$1:$I$88,3,0)*0.475*44/12</f>
        <v>0</v>
      </c>
      <c r="FR37" s="23">
        <f>EXP(-LN(2)/25)*FR36+(1-EXP(-LN(2)/25))/(LN(2)/25)*Calculateur!FM37*Calculateur!FO37*VLOOKUP('Données projet'!$B$9,Paramètres!$A$1:$I$88,3,0)*0.475*44/12</f>
        <v>0</v>
      </c>
      <c r="FS37" s="23">
        <f>EXP(-LN(2)/2)*FS36+(1-EXP(-LN(2)/2))/(LN(2)/2)*FM37*FP37*VLOOKUP('Données projet'!$B$9,Paramètres!$A$1:$I$88,3,0)*0.475*44/12</f>
        <v>0</v>
      </c>
      <c r="FT37" s="24">
        <f t="shared" si="32"/>
        <v>0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IF(A37&lt;'Données projet'!$A$244,$FW$205^A37,IF(A37='Données projet'!$A$244,'Données projet'!$B$244,FZ36+FY37-GH36))</f>
        <v>0</v>
      </c>
      <c r="GA37" s="18" t="e">
        <f>FZ37*VLOOKUP('Données projet'!$B$17,Paramètres!$A$1:$I$88,3,0)*VLOOKUP('Données projet'!$B$17,Paramètres!$A$1:$I$88,5,0)</f>
        <v>#N/A</v>
      </c>
      <c r="GB37" s="14" t="e">
        <f t="shared" si="51"/>
        <v>#N/A</v>
      </c>
      <c r="GC37" s="22" t="e">
        <f t="shared" si="33"/>
        <v>#N/A</v>
      </c>
      <c r="GD37" s="62" t="e">
        <f t="shared" si="34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35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projet'!$B$17,Paramètres!$A$1:$I$88,7,0))</f>
        <v>0</v>
      </c>
      <c r="GJ37" s="17">
        <f>IF(ISNA(VLOOKUP(A37,'Données projet'!$A$243:$I$263,6,0)),0%,VLOOKUP(A37,'Données projet'!$A$243:$I$263,6,0)*VLOOKUP('Données projet'!$B$17,Paramètres!$A$1:$I$88,7,0))</f>
        <v>0</v>
      </c>
      <c r="GK37" s="17">
        <f>IF(ISNA(VLOOKUP(A37,'Données projet'!$A$243:$I$263,7,0)),0%,VLOOKUP(A37,'Données projet'!$A$243:$I$263,7,0))</f>
        <v>0</v>
      </c>
      <c r="GL37" s="23">
        <f>EXP(-LN(2)/35)*GL36+(1-EXP(-LN(2)/35))/(LN(2)/35)*GH37*GI37*VLOOKUP('Données projet'!$B$9,Paramètres!$A$1:$I$88,3,0)*0.475*44/12</f>
        <v>0</v>
      </c>
      <c r="GM37" s="23">
        <f>EXP(-LN(2)/25)*GM36+(1-EXP(-LN(2)/25))/(LN(2)/25)*Calculateur!GH37*Calculateur!GJ37*VLOOKUP('Données projet'!$B$9,Paramètres!$A$1:$I$88,3,0)*0.475*44/12</f>
        <v>0</v>
      </c>
      <c r="GN37" s="23">
        <f>EXP(-LN(2)/2)*GN36+(1-EXP(-LN(2)/2))/(LN(2)/2)*GH37*GK37*VLOOKUP('Données projet'!$B$9,Paramètres!$A$1:$I$88,3,0)*0.475*44/12</f>
        <v>0</v>
      </c>
      <c r="GO37" s="23">
        <f t="shared" si="36"/>
        <v>0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IF(A37&lt;'Données projet'!$A$270,$GR$205^A37,IF(A37='Données projet'!$A$270,'Données projet'!$B$270,GU36+GT37-HC36))</f>
        <v>0</v>
      </c>
      <c r="GV37" s="18" t="e">
        <f>GU37*VLOOKUP('Données projet'!$B$18,Paramètres!$A$1:$I$88,3,0)*VLOOKUP('Données projet'!$B$18,Paramètres!$A$1:$I$88,5,0)</f>
        <v>#N/A</v>
      </c>
      <c r="GW37" s="14" t="e">
        <f t="shared" si="52"/>
        <v>#N/A</v>
      </c>
      <c r="GX37" s="22" t="e">
        <f t="shared" si="37"/>
        <v>#N/A</v>
      </c>
      <c r="GY37" s="62" t="e">
        <f t="shared" si="38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39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projet'!$B$18,Paramètres!$A$1:$I$88,7,0))</f>
        <v>0</v>
      </c>
      <c r="HE37" s="17">
        <f>IF(ISNA(VLOOKUP(A37,'Données projet'!$A$269:$I$289,6,0)),0%,VLOOKUP(A37,'Données projet'!$A$269:$I$289,6,0)*VLOOKUP('Données projet'!$B$18,Paramètres!$A$1:$I$88,7,0))</f>
        <v>0</v>
      </c>
      <c r="HF37" s="17">
        <f>IF(ISNA(VLOOKUP(A37,'Données projet'!$A$269:$I$289,7,0)),0%,VLOOKUP(A37,'Données projet'!$A$269:$I$289,7,0))</f>
        <v>0</v>
      </c>
      <c r="HG37" s="23">
        <f>EXP(-LN(2)/35)*HG36+(1-EXP(-LN(2)/35))/(LN(2)/35)*HC37*HD37*VLOOKUP('Données projet'!$B$9,Paramètres!$A$1:$I$88,3,0)*0.475*44/12</f>
        <v>0</v>
      </c>
      <c r="HH37" s="23">
        <f>EXP(-LN(2)/25)*HH36+(1-EXP(-LN(2)/25))/(LN(2)/25)*Calculateur!HC37*Calculateur!HE37*VLOOKUP('Données projet'!$B$9,Paramètres!$A$1:$I$88,3,0)*0.475*44/12</f>
        <v>0</v>
      </c>
      <c r="HI37" s="23">
        <f>EXP(-LN(2)/2)*HI36+(1-EXP(-LN(2)/2))/(LN(2)/2)*HC37*HF37*VLOOKUP('Données projet'!$B$9,Paramètres!$A$1:$I$88,3,0)*0.475*44/12</f>
        <v>0</v>
      </c>
      <c r="HJ37" s="24">
        <f t="shared" si="40"/>
        <v>0</v>
      </c>
    </row>
    <row r="38" spans="1:218" s="5" customFormat="1" x14ac:dyDescent="0.25">
      <c r="A38" s="11">
        <f t="shared" si="4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8" s="12">
        <f t="shared" si="4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135.66666666666666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1.9254166666666663</v>
      </c>
      <c r="N38" s="14">
        <f>IF(A38&lt;'Données projet'!$A$36,$K$205^A38,IF(A38='Données projet'!$A$36,'Données projet'!$B$36,N37+M38-V37))</f>
        <v>53.039583333333354</v>
      </c>
      <c r="O38" s="14">
        <f>N38*VLOOKUP('Données projet'!$B$9,Paramètres!$A$1:$I$88,3,0)*VLOOKUP('Données projet'!$B$9,Paramètres!$A$1:$I$88,5,0)</f>
        <v>61.101600000000019</v>
      </c>
      <c r="P38" s="14">
        <f t="shared" si="43"/>
        <v>17.446492456972504</v>
      </c>
      <c r="Q38" s="22">
        <f t="shared" si="53"/>
        <v>136.80459436256049</v>
      </c>
      <c r="R38" s="62">
        <f t="shared" si="0"/>
        <v>354.62007077058041</v>
      </c>
      <c r="S38" s="62">
        <f ca="1">AVERAGE(OFFSET($R$3,0,0,'Données projet'!$E$9+1,1))-AVERAGE(OFFSET($H$3,0,0,'Données projet'!$E$9+1,1))</f>
        <v>314.72063458462026</v>
      </c>
      <c r="T38" s="62">
        <f t="shared" si="3"/>
        <v>216.4380325968244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projet'!$B$9,Paramètres!$A$1:$I$88,7,0))</f>
        <v>0</v>
      </c>
      <c r="X38" s="17">
        <f>IF(ISNA(VLOOKUP(A38,'Données projet'!$A$35:$I$55,6,0)),0%,VLOOKUP(A38,'Données projet'!$A$35:$I$55,6,0)*VLOOKUP('Données projet'!$B$9,Paramètres!$A$1:$I$88,7,0))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projet'!$B$9,Paramètres!$A$1:$I$88,3,0)*0.475*44/12</f>
        <v>0</v>
      </c>
      <c r="AA38" s="23">
        <f>EXP(-LN(2)/25)*AA37+(1-EXP(-LN(2)/25))/(LN(2)/25)*Calculateur!V38*Calculateur!X38*VLOOKUP('Données projet'!$B$9,Paramètres!$A$1:$I$88,3,0)*0.475*44/12</f>
        <v>0</v>
      </c>
      <c r="AB38" s="23">
        <f>EXP(-LN(2)/2)*AB37+(1-EXP(-LN(2)/2))/(LN(2)/2)*V38*Y38*VLOOKUP('Données projet'!$B$9,Paramètres!$A$1:$I$88,3,0)*0.475*44/12</f>
        <v>0</v>
      </c>
      <c r="AC38" s="24">
        <f t="shared" si="4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91</v>
      </c>
      <c r="AG38" s="13">
        <f>VLOOKUP(A38,'Données projet'!$A$61:$I$81,9,0)</f>
        <v>5.4</v>
      </c>
      <c r="AH38" s="13">
        <f t="array" ref="AH38">INDEX(AG:AG,MIN(IF(ISNUMBER(AG38:AG234),ROW(AG38:AG234),"")))</f>
        <v>5.4</v>
      </c>
      <c r="AI38" s="14">
        <f>IF(A38&lt;'Données projet'!$A$62,$AF$205^A38,IF(A38='Données projet'!$A$62,'Données projet'!$B$62,AI37+AH38-AQ37))</f>
        <v>91.000000000000043</v>
      </c>
      <c r="AJ38" s="14">
        <f>AI38*VLOOKUP('Données projet'!$B$10,Paramètres!$A$1:$I$88,3,0)*VLOOKUP('Données projet'!$B$10,Paramètres!$A$1:$I$88,5,0)</f>
        <v>95.113200000000063</v>
      </c>
      <c r="AK38" s="14">
        <f t="shared" si="44"/>
        <v>25.794411857052886</v>
      </c>
      <c r="AL38" s="22">
        <f t="shared" si="5"/>
        <v>210.58075731770055</v>
      </c>
      <c r="AM38" s="62">
        <f t="shared" si="6"/>
        <v>428.39623372572044</v>
      </c>
      <c r="AN38" s="62">
        <f ca="1">AVERAGE(OFFSET($AM$3,0,0,'Données projet'!$E$10+1,1))-AVERAGE(OFFSET($H$3,0,0,'Données projet'!$E$10+1,1))</f>
        <v>458.33072853676879</v>
      </c>
      <c r="AO38" s="62">
        <f t="shared" si="7"/>
        <v>254.1734169352687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projet'!$B$10,Paramètres!$A$1:$I$88,7,0))</f>
        <v>0</v>
      </c>
      <c r="AS38" s="17">
        <f>IF(ISNA(VLOOKUP(A38,'Données projet'!$A$61:$I$81,6,0)),0%,VLOOKUP(A38,'Données projet'!$A$61:$I$81,6,0)*VLOOKUP('Données projet'!$B$10,Paramètres!$A$1:$I$88,7,0))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projet'!$B$9,Paramètres!$A$1:$I$88,3,0)*0.475*44/12</f>
        <v>0</v>
      </c>
      <c r="AV38" s="23">
        <f>EXP(-LN(2)/25)*AV37+(1-EXP(-LN(2)/25))/(LN(2)/25)*Calculateur!AQ38*Calculateur!AS38*VLOOKUP('Données projet'!$B$9,Paramètres!$A$1:$I$88,3,0)*0.475*44/12</f>
        <v>0</v>
      </c>
      <c r="AW38" s="23">
        <f>EXP(-LN(2)/2)*AW37+(1-EXP(-LN(2)/2))/(LN(2)/2)*AQ38*AT38*VLOOKUP('Données projet'!$B$9,Paramètres!$A$1:$I$88,3,0)*0.475*44/12</f>
        <v>0</v>
      </c>
      <c r="AX38" s="23">
        <f t="shared" si="8"/>
        <v>0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91</v>
      </c>
      <c r="BB38" s="13">
        <f>VLOOKUP(A38,'Données projet'!$A$87:$I$107,9,0)</f>
        <v>5.4</v>
      </c>
      <c r="BC38" s="13">
        <f t="array" ref="BC38">INDEX(BB:BB,MIN(IF(ISNUMBER(BB38:BB234),ROW(BB38:BB234),"")))</f>
        <v>5.4</v>
      </c>
      <c r="BD38" s="13">
        <f>IF(A38&lt;'Données projet'!$A$88,$BA$205^A38,IF(A38='Données projet'!$A$88,'Données projet'!$B$88,BD37+BC38-BL37))</f>
        <v>91.000000000000043</v>
      </c>
      <c r="BE38" s="14">
        <f>BD38*VLOOKUP('Données projet'!$B$11,Paramètres!$A$1:$I$88,3,0)*VLOOKUP('Données projet'!$B$11,Paramètres!$A$1:$I$88,5,0)</f>
        <v>92.274000000000044</v>
      </c>
      <c r="BF38" s="14">
        <f t="shared" si="45"/>
        <v>25.112860036087575</v>
      </c>
      <c r="BG38" s="22">
        <f t="shared" si="9"/>
        <v>204.44878122951926</v>
      </c>
      <c r="BH38" s="62">
        <f t="shared" si="10"/>
        <v>422.26425763753917</v>
      </c>
      <c r="BI38" s="62">
        <f ca="1">AVERAGE(OFFSET($BH$3,0,0,'Données projet'!$E$11+1,1))-AVERAGE(OFFSET($H$3,0,0,'Données projet'!$E$11+1,1))</f>
        <v>447.82618173893104</v>
      </c>
      <c r="BJ38" s="62">
        <f t="shared" si="11"/>
        <v>248.96509970783379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projet'!$B$11,Paramètres!$A$1:$I$88,7,0))</f>
        <v>0</v>
      </c>
      <c r="BN38" s="17">
        <f>IF(ISNA(VLOOKUP(A38,'Données projet'!$A$87:$I$107,6,0)),0%,VLOOKUP(A38,'Données projet'!$A$87:$I$107,6,0)*VLOOKUP('Données projet'!$B$11,Paramètres!$A$1:$I$88,7,0))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projet'!$B$9,Paramètres!$A$1:$I$88,3,0)*0.475*44/12</f>
        <v>0</v>
      </c>
      <c r="BQ38" s="23">
        <f>EXP(-LN(2)/25)*BQ37+(1-EXP(-LN(2)/25))/(LN(2)/25)*Calculateur!BL38*Calculateur!BN38*VLOOKUP('Données projet'!$B$9,Paramètres!$A$1:$I$88,3,0)*0.475*44/12</f>
        <v>0</v>
      </c>
      <c r="BR38" s="23">
        <f>EXP(-LN(2)/2)*BR37+(1-EXP(-LN(2)/2))/(LN(2)/2)*BL38*BO38*VLOOKUP('Données projet'!$B$9,Paramètres!$A$1:$I$88,3,0)*0.475*44/12</f>
        <v>0</v>
      </c>
      <c r="BS38" s="24">
        <f t="shared" si="12"/>
        <v>0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>
        <f>VLOOKUP(A38,'Données projet'!$A$113:$I$133,2,0)</f>
        <v>91</v>
      </c>
      <c r="BW38" s="13">
        <f>VLOOKUP(A38,'Données projet'!$A$113:$I$133,9,0)</f>
        <v>5.4</v>
      </c>
      <c r="BX38" s="13">
        <f t="array" ref="BX38">INDEX(BW:BW,MIN(IF(ISNUMBER(BW38:BW234),ROW(BW38:BW234),"")))</f>
        <v>5.4</v>
      </c>
      <c r="BY38" s="13">
        <f>IF(A38&lt;'Données projet'!$A$114,$BV$205^A38,IF(A38='Données projet'!$A$114,'Données projet'!$B$114,BY37+BX38-CG37))</f>
        <v>91.000000000000043</v>
      </c>
      <c r="BZ38" s="14">
        <f>BY38*VLOOKUP('Données projet'!$B$12,Paramètres!$A$1:$I$88,3,0)*VLOOKUP('Données projet'!$B$12,Paramètres!$A$1:$I$88,5,0)</f>
        <v>97.95240000000004</v>
      </c>
      <c r="CA38" s="14">
        <f t="shared" si="46"/>
        <v>26.473599278177087</v>
      </c>
      <c r="CB38" s="22">
        <f t="shared" si="13"/>
        <v>216.70861540949181</v>
      </c>
      <c r="CC38" s="62">
        <f t="shared" si="14"/>
        <v>434.5240918175117</v>
      </c>
      <c r="CD38" s="62">
        <f ca="1">AVERAGE(OFFSET($CC$3,0,0,'Données projet'!$E$12+1,1))-AVERAGE(OFFSET($H$3,0,0,'Données projet'!$E$12+1,1))</f>
        <v>468.82871618425406</v>
      </c>
      <c r="CE38" s="62">
        <f t="shared" si="15"/>
        <v>259.37818128554397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projet'!$B$12,Paramètres!$A$1:$I$88,7,0))</f>
        <v>0</v>
      </c>
      <c r="CI38" s="17">
        <f>IF(ISNA(VLOOKUP(A38,'Données projet'!$A$113:$I$133,6,0)),0%,VLOOKUP(A38,'Données projet'!$A$113:$I$133,6,0)*VLOOKUP('Données projet'!$B$12,Paramètres!$A$1:$I$88,7,0))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projet'!$B$9,Paramètres!$A$1:$I$88,3,0)*0.475*44/12</f>
        <v>0</v>
      </c>
      <c r="CL38" s="23">
        <f>EXP(-LN(2)/25)*CL37+(1-EXP(-LN(2)/25))/(LN(2)/25)*Calculateur!CG38*Calculateur!CI38*VLOOKUP('Données projet'!$B$9,Paramètres!$A$1:$I$88,3,0)*0.475*44/12</f>
        <v>0</v>
      </c>
      <c r="CM38" s="23">
        <f>EXP(-LN(2)/2)*CM37+(1-EXP(-LN(2)/2))/(LN(2)/2)*CG38*CJ38*VLOOKUP('Données projet'!$B$9,Paramètres!$A$1:$I$88,3,0)*0.475*44/12</f>
        <v>0</v>
      </c>
      <c r="CN38" s="24">
        <f t="shared" si="16"/>
        <v>0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>
        <f>VLOOKUP(A38,'Données projet'!$A$139:$I$159,2,0)</f>
        <v>91</v>
      </c>
      <c r="CR38" s="13">
        <f>VLOOKUP(A38,'Données projet'!$A$139:$I$159,9,0)</f>
        <v>5.4</v>
      </c>
      <c r="CS38" s="13">
        <f t="array" ref="CS38">INDEX(CR:CR,MIN(IF(ISNUMBER(CR38:CR234),ROW(CR38:CR234),"")))</f>
        <v>5.4</v>
      </c>
      <c r="CT38" s="13">
        <f>IF(A38&lt;'Données projet'!$A$140,$CQ$205^A38,IF(A38='Données projet'!$A$140,'Données projet'!$B$140,CT37+CS38-DB37))</f>
        <v>91.000000000000043</v>
      </c>
      <c r="CU38" s="18">
        <f>CT38*VLOOKUP('Données projet'!$B$13,Paramètres!$A$1:$I$88,3,0)*VLOOKUP('Données projet'!$B$13,Paramètres!$A$1:$I$88,5,0)</f>
        <v>78.078000000000046</v>
      </c>
      <c r="CV38" s="14">
        <f t="shared" si="47"/>
        <v>21.666582091642102</v>
      </c>
      <c r="CW38" s="22">
        <f t="shared" si="17"/>
        <v>173.72181380961004</v>
      </c>
      <c r="CX38" s="62">
        <f t="shared" si="18"/>
        <v>391.53729021762996</v>
      </c>
      <c r="CY38" s="62">
        <f ca="1">AVERAGE(OFFSET($CX$3,0,0,'Données projet'!$E$13+1,1))-AVERAGE(OFFSET($H$3,0,0,'Données projet'!$E$13+1,1))</f>
        <v>395.19659151668884</v>
      </c>
      <c r="CZ38" s="62">
        <f t="shared" si="19"/>
        <v>222.86563304507339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projet'!$B$13,Paramètres!$A$1:$I$88,7,0))</f>
        <v>0</v>
      </c>
      <c r="DD38" s="17">
        <f>IF(ISNA(VLOOKUP(A38,'Données projet'!$A$139:$I$159,6,0)),0%,VLOOKUP(A38,'Données projet'!$A$139:$I$159,6,0)*VLOOKUP('Données projet'!$B$13,Paramètres!$A$1:$I$88,7,0))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projet'!$B$9,Paramètres!$A$1:$I$88,3,0)*0.475*44/12</f>
        <v>0</v>
      </c>
      <c r="DG38" s="23">
        <f>EXP(-LN(2)/25)*DG37+(1-EXP(-LN(2)/25))/(LN(2)/25)*Calculateur!DB38*Calculateur!DD38*VLOOKUP('Données projet'!$B$9,Paramètres!$A$1:$I$88,3,0)*0.475*44/12</f>
        <v>0</v>
      </c>
      <c r="DH38" s="23">
        <f>EXP(-LN(2)/2)*DH37+(1-EXP(-LN(2)/2))/(LN(2)/2)*DB38*DE38*VLOOKUP('Données projet'!$B$9,Paramètres!$A$1:$I$88,3,0)*0.475*44/12</f>
        <v>0</v>
      </c>
      <c r="DI38" s="24">
        <f t="shared" si="20"/>
        <v>0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2.2749999999999999</v>
      </c>
      <c r="DO38" s="13">
        <f>IF(A38&lt;'Données projet'!$A$166,$DL$205^A38,IF(A38='Données projet'!$A$166,'Données projet'!$B$166,DO37+DN38-DW37))</f>
        <v>51.779901301140889</v>
      </c>
      <c r="DP38" s="18">
        <f>DO38*VLOOKUP('Données projet'!$B$14,Paramètres!$A$1:$I$88,3,0)*VLOOKUP('Données projet'!$B$14,Paramètres!$A$1:$I$88,5,0)</f>
        <v>30.291242261167419</v>
      </c>
      <c r="DQ38" s="14">
        <f t="shared" si="48"/>
        <v>9.3852066705851076</v>
      </c>
      <c r="DR38" s="22">
        <f t="shared" si="21"/>
        <v>69.103148556135636</v>
      </c>
      <c r="DS38" s="62">
        <f t="shared" si="22"/>
        <v>286.91862496415558</v>
      </c>
      <c r="DT38" s="62">
        <f ca="1">AVERAGE(OFFSET($DS$3,0,0,'Données projet'!$E$14+1,1))-AVERAGE(OFFSET($H$3,0,0,'Données projet'!$E$14+1,1))</f>
        <v>155.18073137151848</v>
      </c>
      <c r="DU38" s="62">
        <f t="shared" si="23"/>
        <v>115.19459155667272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projet'!$B$14,Paramètres!$A$1:$I$88,7,0))</f>
        <v>0</v>
      </c>
      <c r="DY38" s="17">
        <f>IF(ISNA(VLOOKUP(A38,'Données projet'!$A$165:$I$185,6,0)),0%,VLOOKUP(A38,'Données projet'!$A$165:$I$185,6,0)*VLOOKUP('Données projet'!$B$14,Paramètres!$A$1:$I$88,7,0))</f>
        <v>0</v>
      </c>
      <c r="DZ38" s="17">
        <f>IF(ISNA(VLOOKUP(A38,'Données projet'!$A$165:$I$185,7,0)),0%,VLOOKUP(A38,'Données projet'!$A$165:$I$185,7,0))</f>
        <v>0</v>
      </c>
      <c r="EA38" s="23">
        <f>EXP(-LN(2)/35)*EA37+(1-EXP(-LN(2)/35))/(LN(2)/35)*DW38*DX38*VLOOKUP('Données projet'!$B$9,Paramètres!$A$1:$I$88,3,0)*0.475*44/12</f>
        <v>0</v>
      </c>
      <c r="EB38" s="23">
        <f>EXP(-LN(2)/25)*EB37+(1-EXP(-LN(2)/25))/(LN(2)/25)*Calculateur!DW38*Calculateur!DY38*VLOOKUP('Données projet'!$B$9,Paramètres!$A$1:$I$88,3,0)*0.475*44/12</f>
        <v>0</v>
      </c>
      <c r="EC38" s="23">
        <f>EXP(-LN(2)/2)*EC37+(1-EXP(-LN(2)/2))/(LN(2)/2)*DW38*DZ38*VLOOKUP('Données projet'!$B$9,Paramètres!$A$1:$I$88,3,0)*0.475*44/12</f>
        <v>0</v>
      </c>
      <c r="ED38" s="24">
        <f t="shared" si="24"/>
        <v>0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3.25</v>
      </c>
      <c r="EJ38" s="13">
        <f>IF(A38&lt;'Données projet'!$A$192,$EG$205^A38,IF(A38='Données projet'!$A$192,'Données projet'!$B$192,EJ37+EI38-ER37))</f>
        <v>21.669731155281379</v>
      </c>
      <c r="EK38" s="18">
        <f>EJ38*VLOOKUP('Données projet'!$B$15,Paramètres!$A$1:$I$88,3,0)*VLOOKUP('Données projet'!$B$15,Paramètres!$A$1:$I$88,5,0)</f>
        <v>10.141434180671686</v>
      </c>
      <c r="EL38" s="14">
        <f t="shared" si="49"/>
        <v>3.5689583014462998</v>
      </c>
      <c r="EM38" s="22">
        <f t="shared" si="25"/>
        <v>23.878933573022156</v>
      </c>
      <c r="EN38" s="62">
        <f t="shared" si="26"/>
        <v>241.69440998104207</v>
      </c>
      <c r="EO38" s="62">
        <f ca="1">AVERAGE(OFFSET($EN$3,0,0,'Données projet'!$E$15+1,1))-AVERAGE(OFFSET($H$3,0,0,'Données projet'!$E$15+1,1))</f>
        <v>238.59014604384171</v>
      </c>
      <c r="EP38" s="62">
        <f t="shared" si="27"/>
        <v>90.841373219575217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projet'!$B$15,Paramètres!$A$1:$I$88,7,0))</f>
        <v>0</v>
      </c>
      <c r="ET38" s="17">
        <f>IF(ISNA(VLOOKUP(A38,'Données projet'!$A$191:$I$211,6,0)),0%,VLOOKUP(A38,'Données projet'!$A$191:$I$211,6,0)*VLOOKUP('Données projet'!$B$15,Paramètres!$A$1:$I$88,7,0))</f>
        <v>0</v>
      </c>
      <c r="EU38" s="17">
        <f>IF(ISNA(VLOOKUP(A38,'Données projet'!$A$191:$I$211,7,0)),0%,VLOOKUP(A38,'Données projet'!$A$191:$I$211,7,0))</f>
        <v>0</v>
      </c>
      <c r="EV38" s="23">
        <f>EXP(-LN(2)/35)*EV37+(1-EXP(-LN(2)/35))/(LN(2)/35)*ER38*ES38*VLOOKUP('Données projet'!$B$9,Paramètres!$A$1:$I$88,3,0)*0.475*44/12</f>
        <v>0</v>
      </c>
      <c r="EW38" s="23">
        <f>EXP(-LN(2)/25)*EW37+(1-EXP(-LN(2)/25))/(LN(2)/25)*Calculateur!ER38*Calculateur!ET38*VLOOKUP('Données projet'!$B$9,Paramètres!$A$1:$I$88,3,0)*0.475*44/12</f>
        <v>0</v>
      </c>
      <c r="EX38" s="23">
        <f>EXP(-LN(2)/2)*EX37+(1-EXP(-LN(2)/2))/(LN(2)/2)*ER38*EU38*VLOOKUP('Données projet'!$B$9,Paramètres!$A$1:$I$88,3,0)*0.475*44/12</f>
        <v>0</v>
      </c>
      <c r="EY38" s="24">
        <f t="shared" si="28"/>
        <v>0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IF(A38&lt;'Données projet'!$A$218,$FB$205^A38,IF(A38='Données projet'!$A$218,'Données projet'!$B$218,FE37+FD38-FM37))</f>
        <v>0</v>
      </c>
      <c r="FF38" s="18" t="e">
        <f>FE38*VLOOKUP('Données projet'!$B$16,Paramètres!$A$1:$I$88,3,0)*VLOOKUP('Données projet'!$B$16,Paramètres!$A$1:$I$88,5,0)</f>
        <v>#N/A</v>
      </c>
      <c r="FG38" s="14" t="e">
        <f t="shared" si="50"/>
        <v>#N/A</v>
      </c>
      <c r="FH38" s="22" t="e">
        <f t="shared" si="29"/>
        <v>#N/A</v>
      </c>
      <c r="FI38" s="62" t="e">
        <f t="shared" si="30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31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projet'!$B$16,Paramètres!$A$1:$I$88,7,0))</f>
        <v>0</v>
      </c>
      <c r="FO38" s="17">
        <f>IF(ISNA(VLOOKUP(A38,'Données projet'!$A$217:$I$237,6,0)),0%,VLOOKUP(A38,'Données projet'!$A$217:$I$237,6,0)*VLOOKUP('Données projet'!$B$16,Paramètres!$A$1:$I$88,7,0))</f>
        <v>0</v>
      </c>
      <c r="FP38" s="17">
        <f>IF(ISNA(VLOOKUP(A38,'Données projet'!$A$217:$I$237,7,0)),0%,VLOOKUP(A38,'Données projet'!$A$217:$I$237,7,0))</f>
        <v>0</v>
      </c>
      <c r="FQ38" s="23">
        <f>EXP(-LN(2)/35)*FQ37+(1-EXP(-LN(2)/35))/(LN(2)/35)*FM38*FN38*VLOOKUP('Données projet'!$B$9,Paramètres!$A$1:$I$88,3,0)*0.475*44/12</f>
        <v>0</v>
      </c>
      <c r="FR38" s="23">
        <f>EXP(-LN(2)/25)*FR37+(1-EXP(-LN(2)/25))/(LN(2)/25)*Calculateur!FM38*Calculateur!FO38*VLOOKUP('Données projet'!$B$9,Paramètres!$A$1:$I$88,3,0)*0.475*44/12</f>
        <v>0</v>
      </c>
      <c r="FS38" s="23">
        <f>EXP(-LN(2)/2)*FS37+(1-EXP(-LN(2)/2))/(LN(2)/2)*FM38*FP38*VLOOKUP('Données projet'!$B$9,Paramètres!$A$1:$I$88,3,0)*0.475*44/12</f>
        <v>0</v>
      </c>
      <c r="FT38" s="24">
        <f t="shared" si="32"/>
        <v>0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IF(A38&lt;'Données projet'!$A$244,$FW$205^A38,IF(A38='Données projet'!$A$244,'Données projet'!$B$244,FZ37+FY38-GH37))</f>
        <v>0</v>
      </c>
      <c r="GA38" s="18" t="e">
        <f>FZ38*VLOOKUP('Données projet'!$B$17,Paramètres!$A$1:$I$88,3,0)*VLOOKUP('Données projet'!$B$17,Paramètres!$A$1:$I$88,5,0)</f>
        <v>#N/A</v>
      </c>
      <c r="GB38" s="14" t="e">
        <f t="shared" si="51"/>
        <v>#N/A</v>
      </c>
      <c r="GC38" s="22" t="e">
        <f t="shared" si="33"/>
        <v>#N/A</v>
      </c>
      <c r="GD38" s="62" t="e">
        <f t="shared" si="34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35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projet'!$B$17,Paramètres!$A$1:$I$88,7,0))</f>
        <v>0</v>
      </c>
      <c r="GJ38" s="17">
        <f>IF(ISNA(VLOOKUP(A38,'Données projet'!$A$243:$I$263,6,0)),0%,VLOOKUP(A38,'Données projet'!$A$243:$I$263,6,0)*VLOOKUP('Données projet'!$B$17,Paramètres!$A$1:$I$88,7,0))</f>
        <v>0</v>
      </c>
      <c r="GK38" s="17">
        <f>IF(ISNA(VLOOKUP(A38,'Données projet'!$A$243:$I$263,7,0)),0%,VLOOKUP(A38,'Données projet'!$A$243:$I$263,7,0))</f>
        <v>0</v>
      </c>
      <c r="GL38" s="23">
        <f>EXP(-LN(2)/35)*GL37+(1-EXP(-LN(2)/35))/(LN(2)/35)*GH38*GI38*VLOOKUP('Données projet'!$B$9,Paramètres!$A$1:$I$88,3,0)*0.475*44/12</f>
        <v>0</v>
      </c>
      <c r="GM38" s="23">
        <f>EXP(-LN(2)/25)*GM37+(1-EXP(-LN(2)/25))/(LN(2)/25)*Calculateur!GH38*Calculateur!GJ38*VLOOKUP('Données projet'!$B$9,Paramètres!$A$1:$I$88,3,0)*0.475*44/12</f>
        <v>0</v>
      </c>
      <c r="GN38" s="23">
        <f>EXP(-LN(2)/2)*GN37+(1-EXP(-LN(2)/2))/(LN(2)/2)*GH38*GK38*VLOOKUP('Données projet'!$B$9,Paramètres!$A$1:$I$88,3,0)*0.475*44/12</f>
        <v>0</v>
      </c>
      <c r="GO38" s="23">
        <f t="shared" si="36"/>
        <v>0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IF(A38&lt;'Données projet'!$A$270,$GR$205^A38,IF(A38='Données projet'!$A$270,'Données projet'!$B$270,GU37+GT38-HC37))</f>
        <v>0</v>
      </c>
      <c r="GV38" s="18" t="e">
        <f>GU38*VLOOKUP('Données projet'!$B$18,Paramètres!$A$1:$I$88,3,0)*VLOOKUP('Données projet'!$B$18,Paramètres!$A$1:$I$88,5,0)</f>
        <v>#N/A</v>
      </c>
      <c r="GW38" s="14" t="e">
        <f t="shared" si="52"/>
        <v>#N/A</v>
      </c>
      <c r="GX38" s="22" t="e">
        <f t="shared" si="37"/>
        <v>#N/A</v>
      </c>
      <c r="GY38" s="62" t="e">
        <f t="shared" si="38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39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projet'!$B$18,Paramètres!$A$1:$I$88,7,0))</f>
        <v>0</v>
      </c>
      <c r="HE38" s="17">
        <f>IF(ISNA(VLOOKUP(A38,'Données projet'!$A$269:$I$289,6,0)),0%,VLOOKUP(A38,'Données projet'!$A$269:$I$289,6,0)*VLOOKUP('Données projet'!$B$18,Paramètres!$A$1:$I$88,7,0))</f>
        <v>0</v>
      </c>
      <c r="HF38" s="17">
        <f>IF(ISNA(VLOOKUP(A38,'Données projet'!$A$269:$I$289,7,0)),0%,VLOOKUP(A38,'Données projet'!$A$269:$I$289,7,0))</f>
        <v>0</v>
      </c>
      <c r="HG38" s="23">
        <f>EXP(-LN(2)/35)*HG37+(1-EXP(-LN(2)/35))/(LN(2)/35)*HC38*HD38*VLOOKUP('Données projet'!$B$9,Paramètres!$A$1:$I$88,3,0)*0.475*44/12</f>
        <v>0</v>
      </c>
      <c r="HH38" s="23">
        <f>EXP(-LN(2)/25)*HH37+(1-EXP(-LN(2)/25))/(LN(2)/25)*Calculateur!HC38*Calculateur!HE38*VLOOKUP('Données projet'!$B$9,Paramètres!$A$1:$I$88,3,0)*0.475*44/12</f>
        <v>0</v>
      </c>
      <c r="HI38" s="23">
        <f>EXP(-LN(2)/2)*HI37+(1-EXP(-LN(2)/2))/(LN(2)/2)*HC38*HF38*VLOOKUP('Données projet'!$B$9,Paramètres!$A$1:$I$88,3,0)*0.475*44/12</f>
        <v>0</v>
      </c>
      <c r="HJ38" s="24">
        <f t="shared" si="40"/>
        <v>0</v>
      </c>
    </row>
    <row r="39" spans="1:218" s="5" customFormat="1" x14ac:dyDescent="0.25">
      <c r="A39" s="11">
        <f t="shared" si="4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39" s="12">
        <f t="shared" si="4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135.66666666666666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1.9254166666666663</v>
      </c>
      <c r="N39" s="14">
        <f>IF(A39&lt;'Données projet'!$A$36,$K$205^A39,IF(A39='Données projet'!$A$36,'Données projet'!$B$36,N38+M39-V38))</f>
        <v>54.965000000000018</v>
      </c>
      <c r="O39" s="14">
        <f>N39*VLOOKUP('Données projet'!$B$9,Paramètres!$A$1:$I$88,3,0)*VLOOKUP('Données projet'!$B$9,Paramètres!$A$1:$I$88,5,0)</f>
        <v>63.319680000000012</v>
      </c>
      <c r="P39" s="14">
        <f t="shared" si="43"/>
        <v>18.004939659941751</v>
      </c>
      <c r="Q39" s="22">
        <f t="shared" si="53"/>
        <v>141.64037924106523</v>
      </c>
      <c r="R39" s="62">
        <f t="shared" si="0"/>
        <v>360.76592163410419</v>
      </c>
      <c r="S39" s="62">
        <f ca="1">AVERAGE(OFFSET($R$3,0,0,'Données projet'!$E$9+1,1))-AVERAGE(OFFSET($H$3,0,0,'Données projet'!$E$9+1,1))</f>
        <v>314.72063458462026</v>
      </c>
      <c r="T39" s="62">
        <f t="shared" si="3"/>
        <v>216.4380325968244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projet'!$B$9,Paramètres!$A$1:$I$88,7,0))</f>
        <v>0</v>
      </c>
      <c r="X39" s="17">
        <f>IF(ISNA(VLOOKUP(A39,'Données projet'!$A$35:$I$55,6,0)),0%,VLOOKUP(A39,'Données projet'!$A$35:$I$55,6,0)*VLOOKUP('Données projet'!$B$9,Paramètres!$A$1:$I$88,7,0))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projet'!$B$9,Paramètres!$A$1:$I$88,3,0)*0.475*44/12</f>
        <v>0</v>
      </c>
      <c r="AA39" s="23">
        <f>EXP(-LN(2)/25)*AA38+(1-EXP(-LN(2)/25))/(LN(2)/25)*Calculateur!V39*Calculateur!X39*VLOOKUP('Données projet'!$B$9,Paramètres!$A$1:$I$88,3,0)*0.475*44/12</f>
        <v>0</v>
      </c>
      <c r="AB39" s="23">
        <f>EXP(-LN(2)/2)*AB38+(1-EXP(-LN(2)/2))/(LN(2)/2)*V39*Y39*VLOOKUP('Données projet'!$B$9,Paramètres!$A$1:$I$88,3,0)*0.475*44/12</f>
        <v>0</v>
      </c>
      <c r="AC39" s="24">
        <f t="shared" si="4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5.6</v>
      </c>
      <c r="AI39" s="14">
        <f>IF(A39&lt;'Données projet'!$A$62,$AF$205^A39,IF(A39='Données projet'!$A$62,'Données projet'!$B$62,AI38+AH39-AQ38))</f>
        <v>96.600000000000037</v>
      </c>
      <c r="AJ39" s="14">
        <f>AI39*VLOOKUP('Données projet'!$B$10,Paramètres!$A$1:$I$88,3,0)*VLOOKUP('Données projet'!$B$10,Paramètres!$A$1:$I$88,5,0)</f>
        <v>100.96632000000004</v>
      </c>
      <c r="AK39" s="14">
        <f t="shared" si="44"/>
        <v>27.192080955278762</v>
      </c>
      <c r="AL39" s="22">
        <f t="shared" si="5"/>
        <v>223.20921499711059</v>
      </c>
      <c r="AM39" s="62">
        <f t="shared" si="6"/>
        <v>442.33475739014955</v>
      </c>
      <c r="AN39" s="62">
        <f ca="1">AVERAGE(OFFSET($AM$3,0,0,'Données projet'!$E$10+1,1))-AVERAGE(OFFSET($H$3,0,0,'Données projet'!$E$10+1,1))</f>
        <v>458.33072853676879</v>
      </c>
      <c r="AO39" s="62">
        <f t="shared" si="7"/>
        <v>254.1734169352687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projet'!$B$10,Paramètres!$A$1:$I$88,7,0))</f>
        <v>0</v>
      </c>
      <c r="AS39" s="17">
        <f>IF(ISNA(VLOOKUP(A39,'Données projet'!$A$61:$I$81,6,0)),0%,VLOOKUP(A39,'Données projet'!$A$61:$I$81,6,0)*VLOOKUP('Données projet'!$B$10,Paramètres!$A$1:$I$88,7,0))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projet'!$B$9,Paramètres!$A$1:$I$88,3,0)*0.475*44/12</f>
        <v>0</v>
      </c>
      <c r="AV39" s="23">
        <f>EXP(-LN(2)/25)*AV38+(1-EXP(-LN(2)/25))/(LN(2)/25)*Calculateur!AQ39*Calculateur!AS39*VLOOKUP('Données projet'!$B$9,Paramètres!$A$1:$I$88,3,0)*0.475*44/12</f>
        <v>0</v>
      </c>
      <c r="AW39" s="23">
        <f>EXP(-LN(2)/2)*AW38+(1-EXP(-LN(2)/2))/(LN(2)/2)*AQ39*AT39*VLOOKUP('Données projet'!$B$9,Paramètres!$A$1:$I$88,3,0)*0.475*44/12</f>
        <v>0</v>
      </c>
      <c r="AX39" s="23">
        <f t="shared" si="8"/>
        <v>0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5.6</v>
      </c>
      <c r="BD39" s="13">
        <f>IF(A39&lt;'Données projet'!$A$88,$BA$205^A39,IF(A39='Données projet'!$A$88,'Données projet'!$B$88,BD38+BC39-BL38))</f>
        <v>96.600000000000037</v>
      </c>
      <c r="BE39" s="14">
        <f>BD39*VLOOKUP('Données projet'!$B$11,Paramètres!$A$1:$I$88,3,0)*VLOOKUP('Données projet'!$B$11,Paramètres!$A$1:$I$88,5,0)</f>
        <v>97.95240000000004</v>
      </c>
      <c r="BF39" s="14">
        <f t="shared" si="45"/>
        <v>26.473599278177087</v>
      </c>
      <c r="BG39" s="22">
        <f t="shared" si="9"/>
        <v>216.70861540949181</v>
      </c>
      <c r="BH39" s="62">
        <f t="shared" si="10"/>
        <v>435.83415780253074</v>
      </c>
      <c r="BI39" s="62">
        <f ca="1">AVERAGE(OFFSET($BH$3,0,0,'Données projet'!$E$11+1,1))-AVERAGE(OFFSET($H$3,0,0,'Données projet'!$E$11+1,1))</f>
        <v>447.82618173893104</v>
      </c>
      <c r="BJ39" s="62">
        <f t="shared" si="11"/>
        <v>248.96509970783379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projet'!$B$11,Paramètres!$A$1:$I$88,7,0))</f>
        <v>0</v>
      </c>
      <c r="BN39" s="17">
        <f>IF(ISNA(VLOOKUP(A39,'Données projet'!$A$87:$I$107,6,0)),0%,VLOOKUP(A39,'Données projet'!$A$87:$I$107,6,0)*VLOOKUP('Données projet'!$B$11,Paramètres!$A$1:$I$88,7,0))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projet'!$B$9,Paramètres!$A$1:$I$88,3,0)*0.475*44/12</f>
        <v>0</v>
      </c>
      <c r="BQ39" s="23">
        <f>EXP(-LN(2)/25)*BQ38+(1-EXP(-LN(2)/25))/(LN(2)/25)*Calculateur!BL39*Calculateur!BN39*VLOOKUP('Données projet'!$B$9,Paramètres!$A$1:$I$88,3,0)*0.475*44/12</f>
        <v>0</v>
      </c>
      <c r="BR39" s="23">
        <f>EXP(-LN(2)/2)*BR38+(1-EXP(-LN(2)/2))/(LN(2)/2)*BL39*BO39*VLOOKUP('Données projet'!$B$9,Paramètres!$A$1:$I$88,3,0)*0.475*44/12</f>
        <v>0</v>
      </c>
      <c r="BS39" s="24">
        <f t="shared" si="12"/>
        <v>0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5.6</v>
      </c>
      <c r="BY39" s="13">
        <f>IF(A39&lt;'Données projet'!$A$114,$BV$205^A39,IF(A39='Données projet'!$A$114,'Données projet'!$B$114,BY38+BX39-CG38))</f>
        <v>96.600000000000037</v>
      </c>
      <c r="BZ39" s="14">
        <f>BY39*VLOOKUP('Données projet'!$B$12,Paramètres!$A$1:$I$88,3,0)*VLOOKUP('Données projet'!$B$12,Paramètres!$A$1:$I$88,5,0)</f>
        <v>103.98024000000004</v>
      </c>
      <c r="CA39" s="14">
        <f t="shared" si="46"/>
        <v>27.908070117635532</v>
      </c>
      <c r="CB39" s="22">
        <f t="shared" si="13"/>
        <v>229.70547345488194</v>
      </c>
      <c r="CC39" s="62">
        <f t="shared" si="14"/>
        <v>448.83101584792087</v>
      </c>
      <c r="CD39" s="62">
        <f ca="1">AVERAGE(OFFSET($CC$3,0,0,'Données projet'!$E$12+1,1))-AVERAGE(OFFSET($H$3,0,0,'Données projet'!$E$12+1,1))</f>
        <v>468.82871618425406</v>
      </c>
      <c r="CE39" s="62">
        <f t="shared" si="15"/>
        <v>259.37818128554397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projet'!$B$12,Paramètres!$A$1:$I$88,7,0))</f>
        <v>0</v>
      </c>
      <c r="CI39" s="17">
        <f>IF(ISNA(VLOOKUP(A39,'Données projet'!$A$113:$I$133,6,0)),0%,VLOOKUP(A39,'Données projet'!$A$113:$I$133,6,0)*VLOOKUP('Données projet'!$B$12,Paramètres!$A$1:$I$88,7,0))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projet'!$B$9,Paramètres!$A$1:$I$88,3,0)*0.475*44/12</f>
        <v>0</v>
      </c>
      <c r="CL39" s="23">
        <f>EXP(-LN(2)/25)*CL38+(1-EXP(-LN(2)/25))/(LN(2)/25)*Calculateur!CG39*Calculateur!CI39*VLOOKUP('Données projet'!$B$9,Paramètres!$A$1:$I$88,3,0)*0.475*44/12</f>
        <v>0</v>
      </c>
      <c r="CM39" s="23">
        <f>EXP(-LN(2)/2)*CM38+(1-EXP(-LN(2)/2))/(LN(2)/2)*CG39*CJ39*VLOOKUP('Données projet'!$B$9,Paramètres!$A$1:$I$88,3,0)*0.475*44/12</f>
        <v>0</v>
      </c>
      <c r="CN39" s="24">
        <f t="shared" si="16"/>
        <v>0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5.6</v>
      </c>
      <c r="CT39" s="13">
        <f>IF(A39&lt;'Données projet'!$A$140,$CQ$205^A39,IF(A39='Données projet'!$A$140,'Données projet'!$B$140,CT38+CS39-DB38))</f>
        <v>96.600000000000037</v>
      </c>
      <c r="CU39" s="18">
        <f>CT39*VLOOKUP('Données projet'!$B$13,Paramètres!$A$1:$I$88,3,0)*VLOOKUP('Données projet'!$B$13,Paramètres!$A$1:$I$88,5,0)</f>
        <v>82.882800000000046</v>
      </c>
      <c r="CV39" s="14">
        <f t="shared" si="47"/>
        <v>22.840584911380059</v>
      </c>
      <c r="CW39" s="22">
        <f t="shared" si="17"/>
        <v>184.13489538732037</v>
      </c>
      <c r="CX39" s="62">
        <f t="shared" si="18"/>
        <v>403.26043778035933</v>
      </c>
      <c r="CY39" s="62">
        <f ca="1">AVERAGE(OFFSET($CX$3,0,0,'Données projet'!$E$13+1,1))-AVERAGE(OFFSET($H$3,0,0,'Données projet'!$E$13+1,1))</f>
        <v>395.19659151668884</v>
      </c>
      <c r="CZ39" s="62">
        <f t="shared" si="19"/>
        <v>222.86563304507339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projet'!$B$13,Paramètres!$A$1:$I$88,7,0))</f>
        <v>0</v>
      </c>
      <c r="DD39" s="17">
        <f>IF(ISNA(VLOOKUP(A39,'Données projet'!$A$139:$I$159,6,0)),0%,VLOOKUP(A39,'Données projet'!$A$139:$I$159,6,0)*VLOOKUP('Données projet'!$B$13,Paramètres!$A$1:$I$88,7,0))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projet'!$B$9,Paramètres!$A$1:$I$88,3,0)*0.475*44/12</f>
        <v>0</v>
      </c>
      <c r="DG39" s="23">
        <f>EXP(-LN(2)/25)*DG38+(1-EXP(-LN(2)/25))/(LN(2)/25)*Calculateur!DB39*Calculateur!DD39*VLOOKUP('Données projet'!$B$9,Paramètres!$A$1:$I$88,3,0)*0.475*44/12</f>
        <v>0</v>
      </c>
      <c r="DH39" s="23">
        <f>EXP(-LN(2)/2)*DH38+(1-EXP(-LN(2)/2))/(LN(2)/2)*DB39*DE39*VLOOKUP('Données projet'!$B$9,Paramètres!$A$1:$I$88,3,0)*0.475*44/12</f>
        <v>0</v>
      </c>
      <c r="DI39" s="24">
        <f t="shared" si="20"/>
        <v>0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2.2749999999999999</v>
      </c>
      <c r="DO39" s="13">
        <f>IF(A39&lt;'Données projet'!$A$166,$DL$205^A39,IF(A39='Données projet'!$A$166,'Données projet'!$B$166,DO38+DN39-DW38))</f>
        <v>57.961184622504824</v>
      </c>
      <c r="DP39" s="18">
        <f>DO39*VLOOKUP('Données projet'!$B$14,Paramètres!$A$1:$I$88,3,0)*VLOOKUP('Données projet'!$B$14,Paramètres!$A$1:$I$88,5,0)</f>
        <v>33.907293004165325</v>
      </c>
      <c r="DQ39" s="14">
        <f t="shared" si="48"/>
        <v>10.368574797717937</v>
      </c>
      <c r="DR39" s="22">
        <f t="shared" si="21"/>
        <v>77.113803088280008</v>
      </c>
      <c r="DS39" s="62">
        <f t="shared" si="22"/>
        <v>296.23934548131899</v>
      </c>
      <c r="DT39" s="62">
        <f ca="1">AVERAGE(OFFSET($DS$3,0,0,'Données projet'!$E$14+1,1))-AVERAGE(OFFSET($H$3,0,0,'Données projet'!$E$14+1,1))</f>
        <v>155.18073137151848</v>
      </c>
      <c r="DU39" s="62">
        <f t="shared" si="23"/>
        <v>115.19459155667272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projet'!$B$14,Paramètres!$A$1:$I$88,7,0))</f>
        <v>0</v>
      </c>
      <c r="DY39" s="17">
        <f>IF(ISNA(VLOOKUP(A39,'Données projet'!$A$165:$I$185,6,0)),0%,VLOOKUP(A39,'Données projet'!$A$165:$I$185,6,0)*VLOOKUP('Données projet'!$B$14,Paramètres!$A$1:$I$88,7,0))</f>
        <v>0</v>
      </c>
      <c r="DZ39" s="17">
        <f>IF(ISNA(VLOOKUP(A39,'Données projet'!$A$165:$I$185,7,0)),0%,VLOOKUP(A39,'Données projet'!$A$165:$I$185,7,0))</f>
        <v>0</v>
      </c>
      <c r="EA39" s="23">
        <f>EXP(-LN(2)/35)*EA38+(1-EXP(-LN(2)/35))/(LN(2)/35)*DW39*DX39*VLOOKUP('Données projet'!$B$9,Paramètres!$A$1:$I$88,3,0)*0.475*44/12</f>
        <v>0</v>
      </c>
      <c r="EB39" s="23">
        <f>EXP(-LN(2)/25)*EB38+(1-EXP(-LN(2)/25))/(LN(2)/25)*Calculateur!DW39*Calculateur!DY39*VLOOKUP('Données projet'!$B$9,Paramètres!$A$1:$I$88,3,0)*0.475*44/12</f>
        <v>0</v>
      </c>
      <c r="EC39" s="23">
        <f>EXP(-LN(2)/2)*EC38+(1-EXP(-LN(2)/2))/(LN(2)/2)*DW39*DZ39*VLOOKUP('Données projet'!$B$9,Paramètres!$A$1:$I$88,3,0)*0.475*44/12</f>
        <v>0</v>
      </c>
      <c r="ED39" s="24">
        <f t="shared" si="24"/>
        <v>0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3.25</v>
      </c>
      <c r="EJ39" s="13">
        <f>IF(A39&lt;'Données projet'!$A$192,$EG$205^A39,IF(A39='Données projet'!$A$192,'Données projet'!$B$192,EJ38+EI39-ER38))</f>
        <v>23.660328322350335</v>
      </c>
      <c r="EK39" s="18">
        <f>EJ39*VLOOKUP('Données projet'!$B$15,Paramètres!$A$1:$I$88,3,0)*VLOOKUP('Données projet'!$B$15,Paramètres!$A$1:$I$88,5,0)</f>
        <v>11.073033654859957</v>
      </c>
      <c r="EL39" s="14">
        <f t="shared" si="49"/>
        <v>3.8571457530226185</v>
      </c>
      <c r="EM39" s="22">
        <f t="shared" si="25"/>
        <v>26.003395802062155</v>
      </c>
      <c r="EN39" s="62">
        <f t="shared" si="26"/>
        <v>245.12893819510111</v>
      </c>
      <c r="EO39" s="62">
        <f ca="1">AVERAGE(OFFSET($EN$3,0,0,'Données projet'!$E$15+1,1))-AVERAGE(OFFSET($H$3,0,0,'Données projet'!$E$15+1,1))</f>
        <v>238.59014604384171</v>
      </c>
      <c r="EP39" s="62">
        <f t="shared" si="27"/>
        <v>90.841373219575217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projet'!$B$15,Paramètres!$A$1:$I$88,7,0))</f>
        <v>0</v>
      </c>
      <c r="ET39" s="17">
        <f>IF(ISNA(VLOOKUP(A39,'Données projet'!$A$191:$I$211,6,0)),0%,VLOOKUP(A39,'Données projet'!$A$191:$I$211,6,0)*VLOOKUP('Données projet'!$B$15,Paramètres!$A$1:$I$88,7,0))</f>
        <v>0</v>
      </c>
      <c r="EU39" s="17">
        <f>IF(ISNA(VLOOKUP(A39,'Données projet'!$A$191:$I$211,7,0)),0%,VLOOKUP(A39,'Données projet'!$A$191:$I$211,7,0))</f>
        <v>0</v>
      </c>
      <c r="EV39" s="23">
        <f>EXP(-LN(2)/35)*EV38+(1-EXP(-LN(2)/35))/(LN(2)/35)*ER39*ES39*VLOOKUP('Données projet'!$B$9,Paramètres!$A$1:$I$88,3,0)*0.475*44/12</f>
        <v>0</v>
      </c>
      <c r="EW39" s="23">
        <f>EXP(-LN(2)/25)*EW38+(1-EXP(-LN(2)/25))/(LN(2)/25)*Calculateur!ER39*Calculateur!ET39*VLOOKUP('Données projet'!$B$9,Paramètres!$A$1:$I$88,3,0)*0.475*44/12</f>
        <v>0</v>
      </c>
      <c r="EX39" s="23">
        <f>EXP(-LN(2)/2)*EX38+(1-EXP(-LN(2)/2))/(LN(2)/2)*ER39*EU39*VLOOKUP('Données projet'!$B$9,Paramètres!$A$1:$I$88,3,0)*0.475*44/12</f>
        <v>0</v>
      </c>
      <c r="EY39" s="24">
        <f t="shared" si="28"/>
        <v>0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IF(A39&lt;'Données projet'!$A$218,$FB$205^A39,IF(A39='Données projet'!$A$218,'Données projet'!$B$218,FE38+FD39-FM38))</f>
        <v>0</v>
      </c>
      <c r="FF39" s="18" t="e">
        <f>FE39*VLOOKUP('Données projet'!$B$16,Paramètres!$A$1:$I$88,3,0)*VLOOKUP('Données projet'!$B$16,Paramètres!$A$1:$I$88,5,0)</f>
        <v>#N/A</v>
      </c>
      <c r="FG39" s="14" t="e">
        <f t="shared" si="50"/>
        <v>#N/A</v>
      </c>
      <c r="FH39" s="22" t="e">
        <f t="shared" si="29"/>
        <v>#N/A</v>
      </c>
      <c r="FI39" s="62" t="e">
        <f t="shared" si="30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31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projet'!$B$16,Paramètres!$A$1:$I$88,7,0))</f>
        <v>0</v>
      </c>
      <c r="FO39" s="17">
        <f>IF(ISNA(VLOOKUP(A39,'Données projet'!$A$217:$I$237,6,0)),0%,VLOOKUP(A39,'Données projet'!$A$217:$I$237,6,0)*VLOOKUP('Données projet'!$B$16,Paramètres!$A$1:$I$88,7,0))</f>
        <v>0</v>
      </c>
      <c r="FP39" s="17">
        <f>IF(ISNA(VLOOKUP(A39,'Données projet'!$A$217:$I$237,7,0)),0%,VLOOKUP(A39,'Données projet'!$A$217:$I$237,7,0))</f>
        <v>0</v>
      </c>
      <c r="FQ39" s="23">
        <f>EXP(-LN(2)/35)*FQ38+(1-EXP(-LN(2)/35))/(LN(2)/35)*FM39*FN39*VLOOKUP('Données projet'!$B$9,Paramètres!$A$1:$I$88,3,0)*0.475*44/12</f>
        <v>0</v>
      </c>
      <c r="FR39" s="23">
        <f>EXP(-LN(2)/25)*FR38+(1-EXP(-LN(2)/25))/(LN(2)/25)*Calculateur!FM39*Calculateur!FO39*VLOOKUP('Données projet'!$B$9,Paramètres!$A$1:$I$88,3,0)*0.475*44/12</f>
        <v>0</v>
      </c>
      <c r="FS39" s="23">
        <f>EXP(-LN(2)/2)*FS38+(1-EXP(-LN(2)/2))/(LN(2)/2)*FM39*FP39*VLOOKUP('Données projet'!$B$9,Paramètres!$A$1:$I$88,3,0)*0.475*44/12</f>
        <v>0</v>
      </c>
      <c r="FT39" s="24">
        <f t="shared" si="32"/>
        <v>0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IF(A39&lt;'Données projet'!$A$244,$FW$205^A39,IF(A39='Données projet'!$A$244,'Données projet'!$B$244,FZ38+FY39-GH38))</f>
        <v>0</v>
      </c>
      <c r="GA39" s="18" t="e">
        <f>FZ39*VLOOKUP('Données projet'!$B$17,Paramètres!$A$1:$I$88,3,0)*VLOOKUP('Données projet'!$B$17,Paramètres!$A$1:$I$88,5,0)</f>
        <v>#N/A</v>
      </c>
      <c r="GB39" s="14" t="e">
        <f t="shared" si="51"/>
        <v>#N/A</v>
      </c>
      <c r="GC39" s="22" t="e">
        <f t="shared" si="33"/>
        <v>#N/A</v>
      </c>
      <c r="GD39" s="62" t="e">
        <f t="shared" si="34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35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projet'!$B$17,Paramètres!$A$1:$I$88,7,0))</f>
        <v>0</v>
      </c>
      <c r="GJ39" s="17">
        <f>IF(ISNA(VLOOKUP(A39,'Données projet'!$A$243:$I$263,6,0)),0%,VLOOKUP(A39,'Données projet'!$A$243:$I$263,6,0)*VLOOKUP('Données projet'!$B$17,Paramètres!$A$1:$I$88,7,0))</f>
        <v>0</v>
      </c>
      <c r="GK39" s="17">
        <f>IF(ISNA(VLOOKUP(A39,'Données projet'!$A$243:$I$263,7,0)),0%,VLOOKUP(A39,'Données projet'!$A$243:$I$263,7,0))</f>
        <v>0</v>
      </c>
      <c r="GL39" s="23">
        <f>EXP(-LN(2)/35)*GL38+(1-EXP(-LN(2)/35))/(LN(2)/35)*GH39*GI39*VLOOKUP('Données projet'!$B$9,Paramètres!$A$1:$I$88,3,0)*0.475*44/12</f>
        <v>0</v>
      </c>
      <c r="GM39" s="23">
        <f>EXP(-LN(2)/25)*GM38+(1-EXP(-LN(2)/25))/(LN(2)/25)*Calculateur!GH39*Calculateur!GJ39*VLOOKUP('Données projet'!$B$9,Paramètres!$A$1:$I$88,3,0)*0.475*44/12</f>
        <v>0</v>
      </c>
      <c r="GN39" s="23">
        <f>EXP(-LN(2)/2)*GN38+(1-EXP(-LN(2)/2))/(LN(2)/2)*GH39*GK39*VLOOKUP('Données projet'!$B$9,Paramètres!$A$1:$I$88,3,0)*0.475*44/12</f>
        <v>0</v>
      </c>
      <c r="GO39" s="23">
        <f t="shared" si="36"/>
        <v>0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IF(A39&lt;'Données projet'!$A$270,$GR$205^A39,IF(A39='Données projet'!$A$270,'Données projet'!$B$270,GU38+GT39-HC38))</f>
        <v>0</v>
      </c>
      <c r="GV39" s="18" t="e">
        <f>GU39*VLOOKUP('Données projet'!$B$18,Paramètres!$A$1:$I$88,3,0)*VLOOKUP('Données projet'!$B$18,Paramètres!$A$1:$I$88,5,0)</f>
        <v>#N/A</v>
      </c>
      <c r="GW39" s="14" t="e">
        <f t="shared" si="52"/>
        <v>#N/A</v>
      </c>
      <c r="GX39" s="22" t="e">
        <f t="shared" si="37"/>
        <v>#N/A</v>
      </c>
      <c r="GY39" s="62" t="e">
        <f t="shared" si="38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39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projet'!$B$18,Paramètres!$A$1:$I$88,7,0))</f>
        <v>0</v>
      </c>
      <c r="HE39" s="17">
        <f>IF(ISNA(VLOOKUP(A39,'Données projet'!$A$269:$I$289,6,0)),0%,VLOOKUP(A39,'Données projet'!$A$269:$I$289,6,0)*VLOOKUP('Données projet'!$B$18,Paramètres!$A$1:$I$88,7,0))</f>
        <v>0</v>
      </c>
      <c r="HF39" s="17">
        <f>IF(ISNA(VLOOKUP(A39,'Données projet'!$A$269:$I$289,7,0)),0%,VLOOKUP(A39,'Données projet'!$A$269:$I$289,7,0))</f>
        <v>0</v>
      </c>
      <c r="HG39" s="23">
        <f>EXP(-LN(2)/35)*HG38+(1-EXP(-LN(2)/35))/(LN(2)/35)*HC39*HD39*VLOOKUP('Données projet'!$B$9,Paramètres!$A$1:$I$88,3,0)*0.475*44/12</f>
        <v>0</v>
      </c>
      <c r="HH39" s="23">
        <f>EXP(-LN(2)/25)*HH38+(1-EXP(-LN(2)/25))/(LN(2)/25)*Calculateur!HC39*Calculateur!HE39*VLOOKUP('Données projet'!$B$9,Paramètres!$A$1:$I$88,3,0)*0.475*44/12</f>
        <v>0</v>
      </c>
      <c r="HI39" s="23">
        <f>EXP(-LN(2)/2)*HI38+(1-EXP(-LN(2)/2))/(LN(2)/2)*HC39*HF39*VLOOKUP('Données projet'!$B$9,Paramètres!$A$1:$I$88,3,0)*0.475*44/12</f>
        <v>0</v>
      </c>
      <c r="HJ39" s="24">
        <f t="shared" si="40"/>
        <v>0</v>
      </c>
    </row>
    <row r="40" spans="1:218" s="5" customFormat="1" x14ac:dyDescent="0.25">
      <c r="A40" s="11">
        <f t="shared" si="4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0" s="12">
        <f t="shared" si="4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135.66666666666666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1.9254166666666663</v>
      </c>
      <c r="N40" s="14">
        <f>IF(A40&lt;'Données projet'!$A$36,$K$205^A40,IF(A40='Données projet'!$A$36,'Données projet'!$B$36,N39+M40-V39))</f>
        <v>56.890416666666681</v>
      </c>
      <c r="O40" s="14">
        <f>N40*VLOOKUP('Données projet'!$B$9,Paramètres!$A$1:$I$88,3,0)*VLOOKUP('Données projet'!$B$9,Paramètres!$A$1:$I$88,5,0)</f>
        <v>65.537760000000006</v>
      </c>
      <c r="P40" s="14">
        <f t="shared" si="43"/>
        <v>18.561113952495973</v>
      </c>
      <c r="Q40" s="22">
        <f t="shared" si="53"/>
        <v>146.47220546726382</v>
      </c>
      <c r="R40" s="62">
        <f t="shared" si="0"/>
        <v>366.88508712935061</v>
      </c>
      <c r="S40" s="62">
        <f ca="1">AVERAGE(OFFSET($R$3,0,0,'Données projet'!$E$9+1,1))-AVERAGE(OFFSET($H$3,0,0,'Données projet'!$E$9+1,1))</f>
        <v>314.72063458462026</v>
      </c>
      <c r="T40" s="62">
        <f t="shared" si="3"/>
        <v>216.4380325968244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projet'!$B$9,Paramètres!$A$1:$I$88,7,0))</f>
        <v>0</v>
      </c>
      <c r="X40" s="17">
        <f>IF(ISNA(VLOOKUP(A40,'Données projet'!$A$35:$I$55,6,0)),0%,VLOOKUP(A40,'Données projet'!$A$35:$I$55,6,0)*VLOOKUP('Données projet'!$B$9,Paramètres!$A$1:$I$88,7,0))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projet'!$B$9,Paramètres!$A$1:$I$88,3,0)*0.475*44/12</f>
        <v>0</v>
      </c>
      <c r="AA40" s="23">
        <f>EXP(-LN(2)/25)*AA39+(1-EXP(-LN(2)/25))/(LN(2)/25)*Calculateur!V40*Calculateur!X40*VLOOKUP('Données projet'!$B$9,Paramètres!$A$1:$I$88,3,0)*0.475*44/12</f>
        <v>0</v>
      </c>
      <c r="AB40" s="23">
        <f>EXP(-LN(2)/2)*AB39+(1-EXP(-LN(2)/2))/(LN(2)/2)*V40*Y40*VLOOKUP('Données projet'!$B$9,Paramètres!$A$1:$I$88,3,0)*0.475*44/12</f>
        <v>0</v>
      </c>
      <c r="AC40" s="24">
        <f t="shared" si="4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5.6</v>
      </c>
      <c r="AI40" s="14">
        <f>IF(A40&lt;'Données projet'!$A$62,$AF$205^A40,IF(A40='Données projet'!$A$62,'Données projet'!$B$62,AI39+AH40-AQ39))</f>
        <v>102.20000000000003</v>
      </c>
      <c r="AJ40" s="14">
        <f>AI40*VLOOKUP('Données projet'!$B$10,Paramètres!$A$1:$I$88,3,0)*VLOOKUP('Données projet'!$B$10,Paramètres!$A$1:$I$88,5,0)</f>
        <v>106.81944000000003</v>
      </c>
      <c r="AK40" s="14">
        <f t="shared" si="44"/>
        <v>28.580345014037729</v>
      </c>
      <c r="AL40" s="22">
        <f t="shared" si="5"/>
        <v>235.82129223278241</v>
      </c>
      <c r="AM40" s="62">
        <f t="shared" si="6"/>
        <v>456.23417389486917</v>
      </c>
      <c r="AN40" s="62">
        <f ca="1">AVERAGE(OFFSET($AM$3,0,0,'Données projet'!$E$10+1,1))-AVERAGE(OFFSET($H$3,0,0,'Données projet'!$E$10+1,1))</f>
        <v>458.33072853676879</v>
      </c>
      <c r="AO40" s="62">
        <f t="shared" si="7"/>
        <v>254.1734169352687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projet'!$B$10,Paramètres!$A$1:$I$88,7,0))</f>
        <v>0</v>
      </c>
      <c r="AS40" s="17">
        <f>IF(ISNA(VLOOKUP(A40,'Données projet'!$A$61:$I$81,6,0)),0%,VLOOKUP(A40,'Données projet'!$A$61:$I$81,6,0)*VLOOKUP('Données projet'!$B$10,Paramètres!$A$1:$I$88,7,0))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projet'!$B$9,Paramètres!$A$1:$I$88,3,0)*0.475*44/12</f>
        <v>0</v>
      </c>
      <c r="AV40" s="23">
        <f>EXP(-LN(2)/25)*AV39+(1-EXP(-LN(2)/25))/(LN(2)/25)*Calculateur!AQ40*Calculateur!AS40*VLOOKUP('Données projet'!$B$9,Paramètres!$A$1:$I$88,3,0)*0.475*44/12</f>
        <v>0</v>
      </c>
      <c r="AW40" s="23">
        <f>EXP(-LN(2)/2)*AW39+(1-EXP(-LN(2)/2))/(LN(2)/2)*AQ40*AT40*VLOOKUP('Données projet'!$B$9,Paramètres!$A$1:$I$88,3,0)*0.475*44/12</f>
        <v>0</v>
      </c>
      <c r="AX40" s="23">
        <f t="shared" si="8"/>
        <v>0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5.6</v>
      </c>
      <c r="BD40" s="13">
        <f>IF(A40&lt;'Données projet'!$A$88,$BA$205^A40,IF(A40='Données projet'!$A$88,'Données projet'!$B$88,BD39+BC40-BL39))</f>
        <v>102.20000000000003</v>
      </c>
      <c r="BE40" s="14">
        <f>BD40*VLOOKUP('Données projet'!$B$11,Paramètres!$A$1:$I$88,3,0)*VLOOKUP('Données projet'!$B$11,Paramètres!$A$1:$I$88,5,0)</f>
        <v>103.63080000000004</v>
      </c>
      <c r="BF40" s="14">
        <f t="shared" si="45"/>
        <v>27.825181985080775</v>
      </c>
      <c r="BG40" s="22">
        <f t="shared" si="9"/>
        <v>228.95250195734911</v>
      </c>
      <c r="BH40" s="62">
        <f t="shared" si="10"/>
        <v>449.36538361943587</v>
      </c>
      <c r="BI40" s="62">
        <f ca="1">AVERAGE(OFFSET($BH$3,0,0,'Données projet'!$E$11+1,1))-AVERAGE(OFFSET($H$3,0,0,'Données projet'!$E$11+1,1))</f>
        <v>447.82618173893104</v>
      </c>
      <c r="BJ40" s="62">
        <f t="shared" si="11"/>
        <v>248.96509970783379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projet'!$B$11,Paramètres!$A$1:$I$88,7,0))</f>
        <v>0</v>
      </c>
      <c r="BN40" s="17">
        <f>IF(ISNA(VLOOKUP(A40,'Données projet'!$A$87:$I$107,6,0)),0%,VLOOKUP(A40,'Données projet'!$A$87:$I$107,6,0)*VLOOKUP('Données projet'!$B$11,Paramètres!$A$1:$I$88,7,0))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projet'!$B$9,Paramètres!$A$1:$I$88,3,0)*0.475*44/12</f>
        <v>0</v>
      </c>
      <c r="BQ40" s="23">
        <f>EXP(-LN(2)/25)*BQ39+(1-EXP(-LN(2)/25))/(LN(2)/25)*Calculateur!BL40*Calculateur!BN40*VLOOKUP('Données projet'!$B$9,Paramètres!$A$1:$I$88,3,0)*0.475*44/12</f>
        <v>0</v>
      </c>
      <c r="BR40" s="23">
        <f>EXP(-LN(2)/2)*BR39+(1-EXP(-LN(2)/2))/(LN(2)/2)*BL40*BO40*VLOOKUP('Données projet'!$B$9,Paramètres!$A$1:$I$88,3,0)*0.475*44/12</f>
        <v>0</v>
      </c>
      <c r="BS40" s="24">
        <f t="shared" si="12"/>
        <v>0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5.6</v>
      </c>
      <c r="BY40" s="13">
        <f>IF(A40&lt;'Données projet'!$A$114,$BV$205^A40,IF(A40='Données projet'!$A$114,'Données projet'!$B$114,BY39+BX40-CG39))</f>
        <v>102.20000000000003</v>
      </c>
      <c r="BZ40" s="14">
        <f>BY40*VLOOKUP('Données projet'!$B$12,Paramètres!$A$1:$I$88,3,0)*VLOOKUP('Données projet'!$B$12,Paramètres!$A$1:$I$88,5,0)</f>
        <v>110.00808000000002</v>
      </c>
      <c r="CA40" s="14">
        <f t="shared" si="46"/>
        <v>29.33288827544246</v>
      </c>
      <c r="CB40" s="22">
        <f t="shared" si="13"/>
        <v>242.6855197463957</v>
      </c>
      <c r="CC40" s="62">
        <f t="shared" si="14"/>
        <v>463.09840140848246</v>
      </c>
      <c r="CD40" s="62">
        <f ca="1">AVERAGE(OFFSET($CC$3,0,0,'Données projet'!$E$12+1,1))-AVERAGE(OFFSET($H$3,0,0,'Données projet'!$E$12+1,1))</f>
        <v>468.82871618425406</v>
      </c>
      <c r="CE40" s="62">
        <f t="shared" si="15"/>
        <v>259.37818128554397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projet'!$B$12,Paramètres!$A$1:$I$88,7,0))</f>
        <v>0</v>
      </c>
      <c r="CI40" s="17">
        <f>IF(ISNA(VLOOKUP(A40,'Données projet'!$A$113:$I$133,6,0)),0%,VLOOKUP(A40,'Données projet'!$A$113:$I$133,6,0)*VLOOKUP('Données projet'!$B$12,Paramètres!$A$1:$I$88,7,0))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projet'!$B$9,Paramètres!$A$1:$I$88,3,0)*0.475*44/12</f>
        <v>0</v>
      </c>
      <c r="CL40" s="23">
        <f>EXP(-LN(2)/25)*CL39+(1-EXP(-LN(2)/25))/(LN(2)/25)*Calculateur!CG40*Calculateur!CI40*VLOOKUP('Données projet'!$B$9,Paramètres!$A$1:$I$88,3,0)*0.475*44/12</f>
        <v>0</v>
      </c>
      <c r="CM40" s="23">
        <f>EXP(-LN(2)/2)*CM39+(1-EXP(-LN(2)/2))/(LN(2)/2)*CG40*CJ40*VLOOKUP('Données projet'!$B$9,Paramètres!$A$1:$I$88,3,0)*0.475*44/12</f>
        <v>0</v>
      </c>
      <c r="CN40" s="24">
        <f t="shared" si="16"/>
        <v>0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5.6</v>
      </c>
      <c r="CT40" s="13">
        <f>IF(A40&lt;'Données projet'!$A$140,$CQ$205^A40,IF(A40='Données projet'!$A$140,'Données projet'!$B$140,CT39+CS40-DB39))</f>
        <v>102.20000000000003</v>
      </c>
      <c r="CU40" s="18">
        <f>CT40*VLOOKUP('Données projet'!$B$13,Paramètres!$A$1:$I$88,3,0)*VLOOKUP('Données projet'!$B$13,Paramètres!$A$1:$I$88,5,0)</f>
        <v>87.687600000000032</v>
      </c>
      <c r="CV40" s="14">
        <f t="shared" si="47"/>
        <v>24.006687761899297</v>
      </c>
      <c r="CW40" s="22">
        <f t="shared" si="17"/>
        <v>194.53421785197466</v>
      </c>
      <c r="CX40" s="62">
        <f t="shared" si="18"/>
        <v>414.94709951406139</v>
      </c>
      <c r="CY40" s="62">
        <f ca="1">AVERAGE(OFFSET($CX$3,0,0,'Données projet'!$E$13+1,1))-AVERAGE(OFFSET($H$3,0,0,'Données projet'!$E$13+1,1))</f>
        <v>395.19659151668884</v>
      </c>
      <c r="CZ40" s="62">
        <f t="shared" si="19"/>
        <v>222.86563304507339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projet'!$B$13,Paramètres!$A$1:$I$88,7,0))</f>
        <v>0</v>
      </c>
      <c r="DD40" s="17">
        <f>IF(ISNA(VLOOKUP(A40,'Données projet'!$A$139:$I$159,6,0)),0%,VLOOKUP(A40,'Données projet'!$A$139:$I$159,6,0)*VLOOKUP('Données projet'!$B$13,Paramètres!$A$1:$I$88,7,0))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projet'!$B$9,Paramètres!$A$1:$I$88,3,0)*0.475*44/12</f>
        <v>0</v>
      </c>
      <c r="DG40" s="23">
        <f>EXP(-LN(2)/25)*DG39+(1-EXP(-LN(2)/25))/(LN(2)/25)*Calculateur!DB40*Calculateur!DD40*VLOOKUP('Données projet'!$B$9,Paramètres!$A$1:$I$88,3,0)*0.475*44/12</f>
        <v>0</v>
      </c>
      <c r="DH40" s="23">
        <f>EXP(-LN(2)/2)*DH39+(1-EXP(-LN(2)/2))/(LN(2)/2)*DB40*DE40*VLOOKUP('Données projet'!$B$9,Paramètres!$A$1:$I$88,3,0)*0.475*44/12</f>
        <v>0</v>
      </c>
      <c r="DI40" s="24">
        <f t="shared" si="20"/>
        <v>0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2.2749999999999999</v>
      </c>
      <c r="DO40" s="13">
        <f>IF(A40&lt;'Données projet'!$A$166,$DL$205^A40,IF(A40='Données projet'!$A$166,'Données projet'!$B$166,DO39+DN40-DW39))</f>
        <v>64.880365516843284</v>
      </c>
      <c r="DP40" s="18">
        <f>DO40*VLOOKUP('Données projet'!$B$14,Paramètres!$A$1:$I$88,3,0)*VLOOKUP('Données projet'!$B$14,Paramètres!$A$1:$I$88,5,0)</f>
        <v>37.955013827353326</v>
      </c>
      <c r="DQ40" s="14">
        <f t="shared" si="48"/>
        <v>11.454978788354065</v>
      </c>
      <c r="DR40" s="22">
        <f t="shared" si="21"/>
        <v>86.055737139023719</v>
      </c>
      <c r="DS40" s="62">
        <f t="shared" si="22"/>
        <v>306.46861880111049</v>
      </c>
      <c r="DT40" s="62">
        <f ca="1">AVERAGE(OFFSET($DS$3,0,0,'Données projet'!$E$14+1,1))-AVERAGE(OFFSET($H$3,0,0,'Données projet'!$E$14+1,1))</f>
        <v>155.18073137151848</v>
      </c>
      <c r="DU40" s="62">
        <f t="shared" si="23"/>
        <v>115.19459155667272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projet'!$B$14,Paramètres!$A$1:$I$88,7,0))</f>
        <v>0</v>
      </c>
      <c r="DY40" s="17">
        <f>IF(ISNA(VLOOKUP(A40,'Données projet'!$A$165:$I$185,6,0)),0%,VLOOKUP(A40,'Données projet'!$A$165:$I$185,6,0)*VLOOKUP('Données projet'!$B$14,Paramètres!$A$1:$I$88,7,0))</f>
        <v>0</v>
      </c>
      <c r="DZ40" s="17">
        <f>IF(ISNA(VLOOKUP(A40,'Données projet'!$A$165:$I$185,7,0)),0%,VLOOKUP(A40,'Données projet'!$A$165:$I$185,7,0))</f>
        <v>0</v>
      </c>
      <c r="EA40" s="23">
        <f>EXP(-LN(2)/35)*EA39+(1-EXP(-LN(2)/35))/(LN(2)/35)*DW40*DX40*VLOOKUP('Données projet'!$B$9,Paramètres!$A$1:$I$88,3,0)*0.475*44/12</f>
        <v>0</v>
      </c>
      <c r="EB40" s="23">
        <f>EXP(-LN(2)/25)*EB39+(1-EXP(-LN(2)/25))/(LN(2)/25)*Calculateur!DW40*Calculateur!DY40*VLOOKUP('Données projet'!$B$9,Paramètres!$A$1:$I$88,3,0)*0.475*44/12</f>
        <v>0</v>
      </c>
      <c r="EC40" s="23">
        <f>EXP(-LN(2)/2)*EC39+(1-EXP(-LN(2)/2))/(LN(2)/2)*DW40*DZ40*VLOOKUP('Données projet'!$B$9,Paramètres!$A$1:$I$88,3,0)*0.475*44/12</f>
        <v>0</v>
      </c>
      <c r="ED40" s="24">
        <f t="shared" si="24"/>
        <v>0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3.25</v>
      </c>
      <c r="EJ40" s="13">
        <f>IF(A40&lt;'Données projet'!$A$192,$EG$205^A40,IF(A40='Données projet'!$A$192,'Données projet'!$B$192,EJ39+EI40-ER39))</f>
        <v>25.833783184014045</v>
      </c>
      <c r="EK40" s="18">
        <f>EJ40*VLOOKUP('Données projet'!$B$15,Paramètres!$A$1:$I$88,3,0)*VLOOKUP('Données projet'!$B$15,Paramètres!$A$1:$I$88,5,0)</f>
        <v>12.090210530118574</v>
      </c>
      <c r="EL40" s="14">
        <f t="shared" si="49"/>
        <v>4.1686038623738977</v>
      </c>
      <c r="EM40" s="22">
        <f t="shared" si="25"/>
        <v>28.317435066924389</v>
      </c>
      <c r="EN40" s="62">
        <f t="shared" si="26"/>
        <v>248.73031672901115</v>
      </c>
      <c r="EO40" s="62">
        <f ca="1">AVERAGE(OFFSET($EN$3,0,0,'Données projet'!$E$15+1,1))-AVERAGE(OFFSET($H$3,0,0,'Données projet'!$E$15+1,1))</f>
        <v>238.59014604384171</v>
      </c>
      <c r="EP40" s="62">
        <f t="shared" si="27"/>
        <v>90.841373219575217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projet'!$B$15,Paramètres!$A$1:$I$88,7,0))</f>
        <v>0</v>
      </c>
      <c r="ET40" s="17">
        <f>IF(ISNA(VLOOKUP(A40,'Données projet'!$A$191:$I$211,6,0)),0%,VLOOKUP(A40,'Données projet'!$A$191:$I$211,6,0)*VLOOKUP('Données projet'!$B$15,Paramètres!$A$1:$I$88,7,0))</f>
        <v>0</v>
      </c>
      <c r="EU40" s="17">
        <f>IF(ISNA(VLOOKUP(A40,'Données projet'!$A$191:$I$211,7,0)),0%,VLOOKUP(A40,'Données projet'!$A$191:$I$211,7,0))</f>
        <v>0</v>
      </c>
      <c r="EV40" s="23">
        <f>EXP(-LN(2)/35)*EV39+(1-EXP(-LN(2)/35))/(LN(2)/35)*ER40*ES40*VLOOKUP('Données projet'!$B$9,Paramètres!$A$1:$I$88,3,0)*0.475*44/12</f>
        <v>0</v>
      </c>
      <c r="EW40" s="23">
        <f>EXP(-LN(2)/25)*EW39+(1-EXP(-LN(2)/25))/(LN(2)/25)*Calculateur!ER40*Calculateur!ET40*VLOOKUP('Données projet'!$B$9,Paramètres!$A$1:$I$88,3,0)*0.475*44/12</f>
        <v>0</v>
      </c>
      <c r="EX40" s="23">
        <f>EXP(-LN(2)/2)*EX39+(1-EXP(-LN(2)/2))/(LN(2)/2)*ER40*EU40*VLOOKUP('Données projet'!$B$9,Paramètres!$A$1:$I$88,3,0)*0.475*44/12</f>
        <v>0</v>
      </c>
      <c r="EY40" s="24">
        <f t="shared" si="28"/>
        <v>0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IF(A40&lt;'Données projet'!$A$218,$FB$205^A40,IF(A40='Données projet'!$A$218,'Données projet'!$B$218,FE39+FD40-FM39))</f>
        <v>0</v>
      </c>
      <c r="FF40" s="18" t="e">
        <f>FE40*VLOOKUP('Données projet'!$B$16,Paramètres!$A$1:$I$88,3,0)*VLOOKUP('Données projet'!$B$16,Paramètres!$A$1:$I$88,5,0)</f>
        <v>#N/A</v>
      </c>
      <c r="FG40" s="14" t="e">
        <f t="shared" si="50"/>
        <v>#N/A</v>
      </c>
      <c r="FH40" s="22" t="e">
        <f t="shared" si="29"/>
        <v>#N/A</v>
      </c>
      <c r="FI40" s="62" t="e">
        <f t="shared" si="30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31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projet'!$B$16,Paramètres!$A$1:$I$88,7,0))</f>
        <v>0</v>
      </c>
      <c r="FO40" s="17">
        <f>IF(ISNA(VLOOKUP(A40,'Données projet'!$A$217:$I$237,6,0)),0%,VLOOKUP(A40,'Données projet'!$A$217:$I$237,6,0)*VLOOKUP('Données projet'!$B$16,Paramètres!$A$1:$I$88,7,0))</f>
        <v>0</v>
      </c>
      <c r="FP40" s="17">
        <f>IF(ISNA(VLOOKUP(A40,'Données projet'!$A$217:$I$237,7,0)),0%,VLOOKUP(A40,'Données projet'!$A$217:$I$237,7,0))</f>
        <v>0</v>
      </c>
      <c r="FQ40" s="23">
        <f>EXP(-LN(2)/35)*FQ39+(1-EXP(-LN(2)/35))/(LN(2)/35)*FM40*FN40*VLOOKUP('Données projet'!$B$9,Paramètres!$A$1:$I$88,3,0)*0.475*44/12</f>
        <v>0</v>
      </c>
      <c r="FR40" s="23">
        <f>EXP(-LN(2)/25)*FR39+(1-EXP(-LN(2)/25))/(LN(2)/25)*Calculateur!FM40*Calculateur!FO40*VLOOKUP('Données projet'!$B$9,Paramètres!$A$1:$I$88,3,0)*0.475*44/12</f>
        <v>0</v>
      </c>
      <c r="FS40" s="23">
        <f>EXP(-LN(2)/2)*FS39+(1-EXP(-LN(2)/2))/(LN(2)/2)*FM40*FP40*VLOOKUP('Données projet'!$B$9,Paramètres!$A$1:$I$88,3,0)*0.475*44/12</f>
        <v>0</v>
      </c>
      <c r="FT40" s="24">
        <f t="shared" si="32"/>
        <v>0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IF(A40&lt;'Données projet'!$A$244,$FW$205^A40,IF(A40='Données projet'!$A$244,'Données projet'!$B$244,FZ39+FY40-GH39))</f>
        <v>0</v>
      </c>
      <c r="GA40" s="18" t="e">
        <f>FZ40*VLOOKUP('Données projet'!$B$17,Paramètres!$A$1:$I$88,3,0)*VLOOKUP('Données projet'!$B$17,Paramètres!$A$1:$I$88,5,0)</f>
        <v>#N/A</v>
      </c>
      <c r="GB40" s="14" t="e">
        <f t="shared" si="51"/>
        <v>#N/A</v>
      </c>
      <c r="GC40" s="22" t="e">
        <f t="shared" si="33"/>
        <v>#N/A</v>
      </c>
      <c r="GD40" s="62" t="e">
        <f t="shared" si="34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35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projet'!$B$17,Paramètres!$A$1:$I$88,7,0))</f>
        <v>0</v>
      </c>
      <c r="GJ40" s="17">
        <f>IF(ISNA(VLOOKUP(A40,'Données projet'!$A$243:$I$263,6,0)),0%,VLOOKUP(A40,'Données projet'!$A$243:$I$263,6,0)*VLOOKUP('Données projet'!$B$17,Paramètres!$A$1:$I$88,7,0))</f>
        <v>0</v>
      </c>
      <c r="GK40" s="17">
        <f>IF(ISNA(VLOOKUP(A40,'Données projet'!$A$243:$I$263,7,0)),0%,VLOOKUP(A40,'Données projet'!$A$243:$I$263,7,0))</f>
        <v>0</v>
      </c>
      <c r="GL40" s="23">
        <f>EXP(-LN(2)/35)*GL39+(1-EXP(-LN(2)/35))/(LN(2)/35)*GH40*GI40*VLOOKUP('Données projet'!$B$9,Paramètres!$A$1:$I$88,3,0)*0.475*44/12</f>
        <v>0</v>
      </c>
      <c r="GM40" s="23">
        <f>EXP(-LN(2)/25)*GM39+(1-EXP(-LN(2)/25))/(LN(2)/25)*Calculateur!GH40*Calculateur!GJ40*VLOOKUP('Données projet'!$B$9,Paramètres!$A$1:$I$88,3,0)*0.475*44/12</f>
        <v>0</v>
      </c>
      <c r="GN40" s="23">
        <f>EXP(-LN(2)/2)*GN39+(1-EXP(-LN(2)/2))/(LN(2)/2)*GH40*GK40*VLOOKUP('Données projet'!$B$9,Paramètres!$A$1:$I$88,3,0)*0.475*44/12</f>
        <v>0</v>
      </c>
      <c r="GO40" s="23">
        <f t="shared" si="36"/>
        <v>0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IF(A40&lt;'Données projet'!$A$270,$GR$205^A40,IF(A40='Données projet'!$A$270,'Données projet'!$B$270,GU39+GT40-HC39))</f>
        <v>0</v>
      </c>
      <c r="GV40" s="18" t="e">
        <f>GU40*VLOOKUP('Données projet'!$B$18,Paramètres!$A$1:$I$88,3,0)*VLOOKUP('Données projet'!$B$18,Paramètres!$A$1:$I$88,5,0)</f>
        <v>#N/A</v>
      </c>
      <c r="GW40" s="14" t="e">
        <f t="shared" si="52"/>
        <v>#N/A</v>
      </c>
      <c r="GX40" s="22" t="e">
        <f t="shared" si="37"/>
        <v>#N/A</v>
      </c>
      <c r="GY40" s="62" t="e">
        <f t="shared" si="38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39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projet'!$B$18,Paramètres!$A$1:$I$88,7,0))</f>
        <v>0</v>
      </c>
      <c r="HE40" s="17">
        <f>IF(ISNA(VLOOKUP(A40,'Données projet'!$A$269:$I$289,6,0)),0%,VLOOKUP(A40,'Données projet'!$A$269:$I$289,6,0)*VLOOKUP('Données projet'!$B$18,Paramètres!$A$1:$I$88,7,0))</f>
        <v>0</v>
      </c>
      <c r="HF40" s="17">
        <f>IF(ISNA(VLOOKUP(A40,'Données projet'!$A$269:$I$289,7,0)),0%,VLOOKUP(A40,'Données projet'!$A$269:$I$289,7,0))</f>
        <v>0</v>
      </c>
      <c r="HG40" s="23">
        <f>EXP(-LN(2)/35)*HG39+(1-EXP(-LN(2)/35))/(LN(2)/35)*HC40*HD40*VLOOKUP('Données projet'!$B$9,Paramètres!$A$1:$I$88,3,0)*0.475*44/12</f>
        <v>0</v>
      </c>
      <c r="HH40" s="23">
        <f>EXP(-LN(2)/25)*HH39+(1-EXP(-LN(2)/25))/(LN(2)/25)*Calculateur!HC40*Calculateur!HE40*VLOOKUP('Données projet'!$B$9,Paramètres!$A$1:$I$88,3,0)*0.475*44/12</f>
        <v>0</v>
      </c>
      <c r="HI40" s="23">
        <f>EXP(-LN(2)/2)*HI39+(1-EXP(-LN(2)/2))/(LN(2)/2)*HC40*HF40*VLOOKUP('Données projet'!$B$9,Paramètres!$A$1:$I$88,3,0)*0.475*44/12</f>
        <v>0</v>
      </c>
      <c r="HJ40" s="24">
        <f t="shared" si="40"/>
        <v>0</v>
      </c>
    </row>
    <row r="41" spans="1:218" s="5" customFormat="1" x14ac:dyDescent="0.25">
      <c r="A41" s="11">
        <f t="shared" si="4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1" s="12">
        <f t="shared" si="4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135.66666666666666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1.9254166666666663</v>
      </c>
      <c r="N41" s="14">
        <f>IF(A41&lt;'Données projet'!$A$36,$K$205^A41,IF(A41='Données projet'!$A$36,'Données projet'!$B$36,N40+M41-V40))</f>
        <v>58.815833333333345</v>
      </c>
      <c r="O41" s="14">
        <f>N41*VLOOKUP('Données projet'!$B$9,Paramètres!$A$1:$I$88,3,0)*VLOOKUP('Données projet'!$B$9,Paramètres!$A$1:$I$88,5,0)</f>
        <v>67.755840000000006</v>
      </c>
      <c r="P41" s="14">
        <f t="shared" si="43"/>
        <v>19.115101078108083</v>
      </c>
      <c r="Q41" s="22">
        <f t="shared" si="53"/>
        <v>151.3002223777049</v>
      </c>
      <c r="R41" s="62">
        <f t="shared" si="0"/>
        <v>372.97811085058083</v>
      </c>
      <c r="S41" s="62">
        <f ca="1">AVERAGE(OFFSET($R$3,0,0,'Données projet'!$E$9+1,1))-AVERAGE(OFFSET($H$3,0,0,'Données projet'!$E$9+1,1))</f>
        <v>314.72063458462026</v>
      </c>
      <c r="T41" s="62">
        <f t="shared" si="3"/>
        <v>216.4380325968244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projet'!$B$9,Paramètres!$A$1:$I$88,7,0))</f>
        <v>0</v>
      </c>
      <c r="X41" s="17">
        <f>IF(ISNA(VLOOKUP(A41,'Données projet'!$A$35:$I$55,6,0)),0%,VLOOKUP(A41,'Données projet'!$A$35:$I$55,6,0)*VLOOKUP('Données projet'!$B$9,Paramètres!$A$1:$I$88,7,0))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projet'!$B$9,Paramètres!$A$1:$I$88,3,0)*0.475*44/12</f>
        <v>0</v>
      </c>
      <c r="AA41" s="23">
        <f>EXP(-LN(2)/25)*AA40+(1-EXP(-LN(2)/25))/(LN(2)/25)*Calculateur!V41*Calculateur!X41*VLOOKUP('Données projet'!$B$9,Paramètres!$A$1:$I$88,3,0)*0.475*44/12</f>
        <v>0</v>
      </c>
      <c r="AB41" s="23">
        <f>EXP(-LN(2)/2)*AB40+(1-EXP(-LN(2)/2))/(LN(2)/2)*V41*Y41*VLOOKUP('Données projet'!$B$9,Paramètres!$A$1:$I$88,3,0)*0.475*44/12</f>
        <v>0</v>
      </c>
      <c r="AC41" s="24">
        <f t="shared" si="4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5.6</v>
      </c>
      <c r="AI41" s="14">
        <f>IF(A41&lt;'Données projet'!$A$62,$AF$205^A41,IF(A41='Données projet'!$A$62,'Données projet'!$B$62,AI40+AH41-AQ40))</f>
        <v>107.80000000000003</v>
      </c>
      <c r="AJ41" s="14">
        <f>AI41*VLOOKUP('Données projet'!$B$10,Paramètres!$A$1:$I$88,3,0)*VLOOKUP('Données projet'!$B$10,Paramètres!$A$1:$I$88,5,0)</f>
        <v>112.67256000000005</v>
      </c>
      <c r="AK41" s="14">
        <f t="shared" si="44"/>
        <v>29.959778123077367</v>
      </c>
      <c r="AL41" s="22">
        <f t="shared" si="5"/>
        <v>248.41798889769314</v>
      </c>
      <c r="AM41" s="62">
        <f t="shared" si="6"/>
        <v>470.09587737056904</v>
      </c>
      <c r="AN41" s="62">
        <f ca="1">AVERAGE(OFFSET($AM$3,0,0,'Données projet'!$E$10+1,1))-AVERAGE(OFFSET($H$3,0,0,'Données projet'!$E$10+1,1))</f>
        <v>458.33072853676879</v>
      </c>
      <c r="AO41" s="62">
        <f t="shared" si="7"/>
        <v>254.1734169352687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projet'!$B$10,Paramètres!$A$1:$I$88,7,0))</f>
        <v>0</v>
      </c>
      <c r="AS41" s="17">
        <f>IF(ISNA(VLOOKUP(A41,'Données projet'!$A$61:$I$81,6,0)),0%,VLOOKUP(A41,'Données projet'!$A$61:$I$81,6,0)*VLOOKUP('Données projet'!$B$10,Paramètres!$A$1:$I$88,7,0))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projet'!$B$9,Paramètres!$A$1:$I$88,3,0)*0.475*44/12</f>
        <v>0</v>
      </c>
      <c r="AV41" s="23">
        <f>EXP(-LN(2)/25)*AV40+(1-EXP(-LN(2)/25))/(LN(2)/25)*Calculateur!AQ41*Calculateur!AS41*VLOOKUP('Données projet'!$B$9,Paramètres!$A$1:$I$88,3,0)*0.475*44/12</f>
        <v>0</v>
      </c>
      <c r="AW41" s="23">
        <f>EXP(-LN(2)/2)*AW40+(1-EXP(-LN(2)/2))/(LN(2)/2)*AQ41*AT41*VLOOKUP('Données projet'!$B$9,Paramètres!$A$1:$I$88,3,0)*0.475*44/12</f>
        <v>0</v>
      </c>
      <c r="AX41" s="23">
        <f t="shared" si="8"/>
        <v>0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5.6</v>
      </c>
      <c r="BD41" s="13">
        <f>IF(A41&lt;'Données projet'!$A$88,$BA$205^A41,IF(A41='Données projet'!$A$88,'Données projet'!$B$88,BD40+BC41-BL40))</f>
        <v>107.80000000000003</v>
      </c>
      <c r="BE41" s="14">
        <f>BD41*VLOOKUP('Données projet'!$B$11,Paramètres!$A$1:$I$88,3,0)*VLOOKUP('Données projet'!$B$11,Paramètres!$A$1:$I$88,5,0)</f>
        <v>109.30920000000003</v>
      </c>
      <c r="BF41" s="14">
        <f t="shared" si="45"/>
        <v>29.168167077682771</v>
      </c>
      <c r="BG41" s="22">
        <f t="shared" si="9"/>
        <v>241.18141432696416</v>
      </c>
      <c r="BH41" s="62">
        <f t="shared" si="10"/>
        <v>462.85930279984007</v>
      </c>
      <c r="BI41" s="62">
        <f ca="1">AVERAGE(OFFSET($BH$3,0,0,'Données projet'!$E$11+1,1))-AVERAGE(OFFSET($H$3,0,0,'Données projet'!$E$11+1,1))</f>
        <v>447.82618173893104</v>
      </c>
      <c r="BJ41" s="62">
        <f t="shared" si="11"/>
        <v>248.96509970783379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projet'!$B$11,Paramètres!$A$1:$I$88,7,0))</f>
        <v>0</v>
      </c>
      <c r="BN41" s="17">
        <f>IF(ISNA(VLOOKUP(A41,'Données projet'!$A$87:$I$107,6,0)),0%,VLOOKUP(A41,'Données projet'!$A$87:$I$107,6,0)*VLOOKUP('Données projet'!$B$11,Paramètres!$A$1:$I$88,7,0))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projet'!$B$9,Paramètres!$A$1:$I$88,3,0)*0.475*44/12</f>
        <v>0</v>
      </c>
      <c r="BQ41" s="23">
        <f>EXP(-LN(2)/25)*BQ40+(1-EXP(-LN(2)/25))/(LN(2)/25)*Calculateur!BL41*Calculateur!BN41*VLOOKUP('Données projet'!$B$9,Paramètres!$A$1:$I$88,3,0)*0.475*44/12</f>
        <v>0</v>
      </c>
      <c r="BR41" s="23">
        <f>EXP(-LN(2)/2)*BR40+(1-EXP(-LN(2)/2))/(LN(2)/2)*BL41*BO41*VLOOKUP('Données projet'!$B$9,Paramètres!$A$1:$I$88,3,0)*0.475*44/12</f>
        <v>0</v>
      </c>
      <c r="BS41" s="24">
        <f t="shared" si="12"/>
        <v>0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5.6</v>
      </c>
      <c r="BY41" s="13">
        <f>IF(A41&lt;'Données projet'!$A$114,$BV$205^A41,IF(A41='Données projet'!$A$114,'Données projet'!$B$114,BY40+BX41-CG40))</f>
        <v>107.80000000000003</v>
      </c>
      <c r="BZ41" s="14">
        <f>BY41*VLOOKUP('Données projet'!$B$12,Paramètres!$A$1:$I$88,3,0)*VLOOKUP('Données projet'!$B$12,Paramètres!$A$1:$I$88,5,0)</f>
        <v>116.03592000000002</v>
      </c>
      <c r="CA41" s="14">
        <f t="shared" si="46"/>
        <v>30.748642957586174</v>
      </c>
      <c r="CB41" s="22">
        <f t="shared" si="13"/>
        <v>255.64978048446264</v>
      </c>
      <c r="CC41" s="62">
        <f t="shared" si="14"/>
        <v>477.32766895733857</v>
      </c>
      <c r="CD41" s="62">
        <f ca="1">AVERAGE(OFFSET($CC$3,0,0,'Données projet'!$E$12+1,1))-AVERAGE(OFFSET($H$3,0,0,'Données projet'!$E$12+1,1))</f>
        <v>468.82871618425406</v>
      </c>
      <c r="CE41" s="62">
        <f t="shared" si="15"/>
        <v>259.37818128554397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projet'!$B$12,Paramètres!$A$1:$I$88,7,0))</f>
        <v>0</v>
      </c>
      <c r="CI41" s="17">
        <f>IF(ISNA(VLOOKUP(A41,'Données projet'!$A$113:$I$133,6,0)),0%,VLOOKUP(A41,'Données projet'!$A$113:$I$133,6,0)*VLOOKUP('Données projet'!$B$12,Paramètres!$A$1:$I$88,7,0))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projet'!$B$9,Paramètres!$A$1:$I$88,3,0)*0.475*44/12</f>
        <v>0</v>
      </c>
      <c r="CL41" s="23">
        <f>EXP(-LN(2)/25)*CL40+(1-EXP(-LN(2)/25))/(LN(2)/25)*Calculateur!CG41*Calculateur!CI41*VLOOKUP('Données projet'!$B$9,Paramètres!$A$1:$I$88,3,0)*0.475*44/12</f>
        <v>0</v>
      </c>
      <c r="CM41" s="23">
        <f>EXP(-LN(2)/2)*CM40+(1-EXP(-LN(2)/2))/(LN(2)/2)*CG41*CJ41*VLOOKUP('Données projet'!$B$9,Paramètres!$A$1:$I$88,3,0)*0.475*44/12</f>
        <v>0</v>
      </c>
      <c r="CN41" s="24">
        <f t="shared" si="16"/>
        <v>0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5.6</v>
      </c>
      <c r="CT41" s="13">
        <f>IF(A41&lt;'Données projet'!$A$140,$CQ$205^A41,IF(A41='Données projet'!$A$140,'Données projet'!$B$140,CT40+CS41-DB40))</f>
        <v>107.80000000000003</v>
      </c>
      <c r="CU41" s="18">
        <f>CT41*VLOOKUP('Données projet'!$B$13,Paramètres!$A$1:$I$88,3,0)*VLOOKUP('Données projet'!$B$13,Paramètres!$A$1:$I$88,5,0)</f>
        <v>92.492400000000032</v>
      </c>
      <c r="CV41" s="14">
        <f t="shared" si="47"/>
        <v>25.165372862477202</v>
      </c>
      <c r="CW41" s="22">
        <f t="shared" si="17"/>
        <v>204.92062106881451</v>
      </c>
      <c r="CX41" s="62">
        <f t="shared" si="18"/>
        <v>426.59850954169042</v>
      </c>
      <c r="CY41" s="62">
        <f ca="1">AVERAGE(OFFSET($CX$3,0,0,'Données projet'!$E$13+1,1))-AVERAGE(OFFSET($H$3,0,0,'Données projet'!$E$13+1,1))</f>
        <v>395.19659151668884</v>
      </c>
      <c r="CZ41" s="62">
        <f t="shared" si="19"/>
        <v>222.86563304507339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projet'!$B$13,Paramètres!$A$1:$I$88,7,0))</f>
        <v>0</v>
      </c>
      <c r="DD41" s="17">
        <f>IF(ISNA(VLOOKUP(A41,'Données projet'!$A$139:$I$159,6,0)),0%,VLOOKUP(A41,'Données projet'!$A$139:$I$159,6,0)*VLOOKUP('Données projet'!$B$13,Paramètres!$A$1:$I$88,7,0))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projet'!$B$9,Paramètres!$A$1:$I$88,3,0)*0.475*44/12</f>
        <v>0</v>
      </c>
      <c r="DG41" s="23">
        <f>EXP(-LN(2)/25)*DG40+(1-EXP(-LN(2)/25))/(LN(2)/25)*Calculateur!DB41*Calculateur!DD41*VLOOKUP('Données projet'!$B$9,Paramètres!$A$1:$I$88,3,0)*0.475*44/12</f>
        <v>0</v>
      </c>
      <c r="DH41" s="23">
        <f>EXP(-LN(2)/2)*DH40+(1-EXP(-LN(2)/2))/(LN(2)/2)*DB41*DE41*VLOOKUP('Données projet'!$B$9,Paramètres!$A$1:$I$88,3,0)*0.475*44/12</f>
        <v>0</v>
      </c>
      <c r="DI41" s="24">
        <f t="shared" si="20"/>
        <v>0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2.2749999999999999</v>
      </c>
      <c r="DO41" s="13">
        <f>IF(A41&lt;'Données projet'!$A$166,$DL$205^A41,IF(A41='Données projet'!$A$166,'Données projet'!$B$166,DO40+DN41-DW40))</f>
        <v>72.625531327818337</v>
      </c>
      <c r="DP41" s="18">
        <f>DO41*VLOOKUP('Données projet'!$B$14,Paramètres!$A$1:$I$88,3,0)*VLOOKUP('Données projet'!$B$14,Paramètres!$A$1:$I$88,5,0)</f>
        <v>42.485935826773726</v>
      </c>
      <c r="DQ41" s="14">
        <f t="shared" si="48"/>
        <v>12.655214588462204</v>
      </c>
      <c r="DR41" s="22">
        <f t="shared" si="21"/>
        <v>96.037503639869229</v>
      </c>
      <c r="DS41" s="62">
        <f t="shared" si="22"/>
        <v>317.71539211274518</v>
      </c>
      <c r="DT41" s="62">
        <f ca="1">AVERAGE(OFFSET($DS$3,0,0,'Données projet'!$E$14+1,1))-AVERAGE(OFFSET($H$3,0,0,'Données projet'!$E$14+1,1))</f>
        <v>155.18073137151848</v>
      </c>
      <c r="DU41" s="62">
        <f t="shared" si="23"/>
        <v>115.19459155667272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projet'!$B$14,Paramètres!$A$1:$I$88,7,0))</f>
        <v>0</v>
      </c>
      <c r="DY41" s="17">
        <f>IF(ISNA(VLOOKUP(A41,'Données projet'!$A$165:$I$185,6,0)),0%,VLOOKUP(A41,'Données projet'!$A$165:$I$185,6,0)*VLOOKUP('Données projet'!$B$14,Paramètres!$A$1:$I$88,7,0))</f>
        <v>0</v>
      </c>
      <c r="DZ41" s="17">
        <f>IF(ISNA(VLOOKUP(A41,'Données projet'!$A$165:$I$185,7,0)),0%,VLOOKUP(A41,'Données projet'!$A$165:$I$185,7,0))</f>
        <v>0</v>
      </c>
      <c r="EA41" s="23">
        <f>EXP(-LN(2)/35)*EA40+(1-EXP(-LN(2)/35))/(LN(2)/35)*DW41*DX41*VLOOKUP('Données projet'!$B$9,Paramètres!$A$1:$I$88,3,0)*0.475*44/12</f>
        <v>0</v>
      </c>
      <c r="EB41" s="23">
        <f>EXP(-LN(2)/25)*EB40+(1-EXP(-LN(2)/25))/(LN(2)/25)*Calculateur!DW41*Calculateur!DY41*VLOOKUP('Données projet'!$B$9,Paramètres!$A$1:$I$88,3,0)*0.475*44/12</f>
        <v>0</v>
      </c>
      <c r="EC41" s="23">
        <f>EXP(-LN(2)/2)*EC40+(1-EXP(-LN(2)/2))/(LN(2)/2)*DW41*DZ41*VLOOKUP('Données projet'!$B$9,Paramètres!$A$1:$I$88,3,0)*0.475*44/12</f>
        <v>0</v>
      </c>
      <c r="ED41" s="24">
        <f t="shared" si="24"/>
        <v>0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3.25</v>
      </c>
      <c r="EJ41" s="13">
        <f>IF(A41&lt;'Données projet'!$A$192,$EG$205^A41,IF(A41='Données projet'!$A$192,'Données projet'!$B$192,EJ40+EI41-ER40))</f>
        <v>28.206893180269752</v>
      </c>
      <c r="EK41" s="18">
        <f>EJ41*VLOOKUP('Données projet'!$B$15,Paramètres!$A$1:$I$88,3,0)*VLOOKUP('Données projet'!$B$15,Paramètres!$A$1:$I$88,5,0)</f>
        <v>13.200826008366246</v>
      </c>
      <c r="EL41" s="14">
        <f t="shared" si="49"/>
        <v>4.5052116964418643</v>
      </c>
      <c r="EM41" s="22">
        <f t="shared" si="25"/>
        <v>30.838015669207461</v>
      </c>
      <c r="EN41" s="62">
        <f t="shared" si="26"/>
        <v>252.5159041420834</v>
      </c>
      <c r="EO41" s="62">
        <f ca="1">AVERAGE(OFFSET($EN$3,0,0,'Données projet'!$E$15+1,1))-AVERAGE(OFFSET($H$3,0,0,'Données projet'!$E$15+1,1))</f>
        <v>238.59014604384171</v>
      </c>
      <c r="EP41" s="62">
        <f t="shared" si="27"/>
        <v>90.841373219575217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projet'!$B$15,Paramètres!$A$1:$I$88,7,0))</f>
        <v>0</v>
      </c>
      <c r="ET41" s="17">
        <f>IF(ISNA(VLOOKUP(A41,'Données projet'!$A$191:$I$211,6,0)),0%,VLOOKUP(A41,'Données projet'!$A$191:$I$211,6,0)*VLOOKUP('Données projet'!$B$15,Paramètres!$A$1:$I$88,7,0))</f>
        <v>0</v>
      </c>
      <c r="EU41" s="17">
        <f>IF(ISNA(VLOOKUP(A41,'Données projet'!$A$191:$I$211,7,0)),0%,VLOOKUP(A41,'Données projet'!$A$191:$I$211,7,0))</f>
        <v>0</v>
      </c>
      <c r="EV41" s="23">
        <f>EXP(-LN(2)/35)*EV40+(1-EXP(-LN(2)/35))/(LN(2)/35)*ER41*ES41*VLOOKUP('Données projet'!$B$9,Paramètres!$A$1:$I$88,3,0)*0.475*44/12</f>
        <v>0</v>
      </c>
      <c r="EW41" s="23">
        <f>EXP(-LN(2)/25)*EW40+(1-EXP(-LN(2)/25))/(LN(2)/25)*Calculateur!ER41*Calculateur!ET41*VLOOKUP('Données projet'!$B$9,Paramètres!$A$1:$I$88,3,0)*0.475*44/12</f>
        <v>0</v>
      </c>
      <c r="EX41" s="23">
        <f>EXP(-LN(2)/2)*EX40+(1-EXP(-LN(2)/2))/(LN(2)/2)*ER41*EU41*VLOOKUP('Données projet'!$B$9,Paramètres!$A$1:$I$88,3,0)*0.475*44/12</f>
        <v>0</v>
      </c>
      <c r="EY41" s="24">
        <f t="shared" si="28"/>
        <v>0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IF(A41&lt;'Données projet'!$A$218,$FB$205^A41,IF(A41='Données projet'!$A$218,'Données projet'!$B$218,FE40+FD41-FM40))</f>
        <v>0</v>
      </c>
      <c r="FF41" s="18" t="e">
        <f>FE41*VLOOKUP('Données projet'!$B$16,Paramètres!$A$1:$I$88,3,0)*VLOOKUP('Données projet'!$B$16,Paramètres!$A$1:$I$88,5,0)</f>
        <v>#N/A</v>
      </c>
      <c r="FG41" s="14" t="e">
        <f t="shared" si="50"/>
        <v>#N/A</v>
      </c>
      <c r="FH41" s="22" t="e">
        <f t="shared" si="29"/>
        <v>#N/A</v>
      </c>
      <c r="FI41" s="62" t="e">
        <f t="shared" si="30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31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projet'!$B$16,Paramètres!$A$1:$I$88,7,0))</f>
        <v>0</v>
      </c>
      <c r="FO41" s="17">
        <f>IF(ISNA(VLOOKUP(A41,'Données projet'!$A$217:$I$237,6,0)),0%,VLOOKUP(A41,'Données projet'!$A$217:$I$237,6,0)*VLOOKUP('Données projet'!$B$16,Paramètres!$A$1:$I$88,7,0))</f>
        <v>0</v>
      </c>
      <c r="FP41" s="17">
        <f>IF(ISNA(VLOOKUP(A41,'Données projet'!$A$217:$I$237,7,0)),0%,VLOOKUP(A41,'Données projet'!$A$217:$I$237,7,0))</f>
        <v>0</v>
      </c>
      <c r="FQ41" s="23">
        <f>EXP(-LN(2)/35)*FQ40+(1-EXP(-LN(2)/35))/(LN(2)/35)*FM41*FN41*VLOOKUP('Données projet'!$B$9,Paramètres!$A$1:$I$88,3,0)*0.475*44/12</f>
        <v>0</v>
      </c>
      <c r="FR41" s="23">
        <f>EXP(-LN(2)/25)*FR40+(1-EXP(-LN(2)/25))/(LN(2)/25)*Calculateur!FM41*Calculateur!FO41*VLOOKUP('Données projet'!$B$9,Paramètres!$A$1:$I$88,3,0)*0.475*44/12</f>
        <v>0</v>
      </c>
      <c r="FS41" s="23">
        <f>EXP(-LN(2)/2)*FS40+(1-EXP(-LN(2)/2))/(LN(2)/2)*FM41*FP41*VLOOKUP('Données projet'!$B$9,Paramètres!$A$1:$I$88,3,0)*0.475*44/12</f>
        <v>0</v>
      </c>
      <c r="FT41" s="24">
        <f t="shared" si="32"/>
        <v>0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IF(A41&lt;'Données projet'!$A$244,$FW$205^A41,IF(A41='Données projet'!$A$244,'Données projet'!$B$244,FZ40+FY41-GH40))</f>
        <v>0</v>
      </c>
      <c r="GA41" s="18" t="e">
        <f>FZ41*VLOOKUP('Données projet'!$B$17,Paramètres!$A$1:$I$88,3,0)*VLOOKUP('Données projet'!$B$17,Paramètres!$A$1:$I$88,5,0)</f>
        <v>#N/A</v>
      </c>
      <c r="GB41" s="14" t="e">
        <f t="shared" si="51"/>
        <v>#N/A</v>
      </c>
      <c r="GC41" s="22" t="e">
        <f t="shared" si="33"/>
        <v>#N/A</v>
      </c>
      <c r="GD41" s="62" t="e">
        <f t="shared" si="34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35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projet'!$B$17,Paramètres!$A$1:$I$88,7,0))</f>
        <v>0</v>
      </c>
      <c r="GJ41" s="17">
        <f>IF(ISNA(VLOOKUP(A41,'Données projet'!$A$243:$I$263,6,0)),0%,VLOOKUP(A41,'Données projet'!$A$243:$I$263,6,0)*VLOOKUP('Données projet'!$B$17,Paramètres!$A$1:$I$88,7,0))</f>
        <v>0</v>
      </c>
      <c r="GK41" s="17">
        <f>IF(ISNA(VLOOKUP(A41,'Données projet'!$A$243:$I$263,7,0)),0%,VLOOKUP(A41,'Données projet'!$A$243:$I$263,7,0))</f>
        <v>0</v>
      </c>
      <c r="GL41" s="23">
        <f>EXP(-LN(2)/35)*GL40+(1-EXP(-LN(2)/35))/(LN(2)/35)*GH41*GI41*VLOOKUP('Données projet'!$B$9,Paramètres!$A$1:$I$88,3,0)*0.475*44/12</f>
        <v>0</v>
      </c>
      <c r="GM41" s="23">
        <f>EXP(-LN(2)/25)*GM40+(1-EXP(-LN(2)/25))/(LN(2)/25)*Calculateur!GH41*Calculateur!GJ41*VLOOKUP('Données projet'!$B$9,Paramètres!$A$1:$I$88,3,0)*0.475*44/12</f>
        <v>0</v>
      </c>
      <c r="GN41" s="23">
        <f>EXP(-LN(2)/2)*GN40+(1-EXP(-LN(2)/2))/(LN(2)/2)*GH41*GK41*VLOOKUP('Données projet'!$B$9,Paramètres!$A$1:$I$88,3,0)*0.475*44/12</f>
        <v>0</v>
      </c>
      <c r="GO41" s="23">
        <f t="shared" si="36"/>
        <v>0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IF(A41&lt;'Données projet'!$A$270,$GR$205^A41,IF(A41='Données projet'!$A$270,'Données projet'!$B$270,GU40+GT41-HC40))</f>
        <v>0</v>
      </c>
      <c r="GV41" s="18" t="e">
        <f>GU41*VLOOKUP('Données projet'!$B$18,Paramètres!$A$1:$I$88,3,0)*VLOOKUP('Données projet'!$B$18,Paramètres!$A$1:$I$88,5,0)</f>
        <v>#N/A</v>
      </c>
      <c r="GW41" s="14" t="e">
        <f t="shared" si="52"/>
        <v>#N/A</v>
      </c>
      <c r="GX41" s="22" t="e">
        <f t="shared" si="37"/>
        <v>#N/A</v>
      </c>
      <c r="GY41" s="62" t="e">
        <f t="shared" si="38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39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projet'!$B$18,Paramètres!$A$1:$I$88,7,0))</f>
        <v>0</v>
      </c>
      <c r="HE41" s="17">
        <f>IF(ISNA(VLOOKUP(A41,'Données projet'!$A$269:$I$289,6,0)),0%,VLOOKUP(A41,'Données projet'!$A$269:$I$289,6,0)*VLOOKUP('Données projet'!$B$18,Paramètres!$A$1:$I$88,7,0))</f>
        <v>0</v>
      </c>
      <c r="HF41" s="17">
        <f>IF(ISNA(VLOOKUP(A41,'Données projet'!$A$269:$I$289,7,0)),0%,VLOOKUP(A41,'Données projet'!$A$269:$I$289,7,0))</f>
        <v>0</v>
      </c>
      <c r="HG41" s="23">
        <f>EXP(-LN(2)/35)*HG40+(1-EXP(-LN(2)/35))/(LN(2)/35)*HC41*HD41*VLOOKUP('Données projet'!$B$9,Paramètres!$A$1:$I$88,3,0)*0.475*44/12</f>
        <v>0</v>
      </c>
      <c r="HH41" s="23">
        <f>EXP(-LN(2)/25)*HH40+(1-EXP(-LN(2)/25))/(LN(2)/25)*Calculateur!HC41*Calculateur!HE41*VLOOKUP('Données projet'!$B$9,Paramètres!$A$1:$I$88,3,0)*0.475*44/12</f>
        <v>0</v>
      </c>
      <c r="HI41" s="23">
        <f>EXP(-LN(2)/2)*HI40+(1-EXP(-LN(2)/2))/(LN(2)/2)*HC41*HF41*VLOOKUP('Données projet'!$B$9,Paramètres!$A$1:$I$88,3,0)*0.475*44/12</f>
        <v>0</v>
      </c>
      <c r="HJ41" s="24">
        <f t="shared" si="40"/>
        <v>0</v>
      </c>
    </row>
    <row r="42" spans="1:218" s="5" customFormat="1" x14ac:dyDescent="0.25">
      <c r="A42" s="11">
        <f t="shared" si="4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2" s="12">
        <f t="shared" si="4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135.66666666666666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1.9254166666666663</v>
      </c>
      <c r="N42" s="14">
        <f>IF(A42&lt;'Données projet'!$A$36,$K$205^A42,IF(A42='Données projet'!$A$36,'Données projet'!$B$36,N41+M42-V41))</f>
        <v>60.741250000000008</v>
      </c>
      <c r="O42" s="14">
        <f>N42*VLOOKUP('Données projet'!$B$9,Paramètres!$A$1:$I$88,3,0)*VLOOKUP('Données projet'!$B$9,Paramètres!$A$1:$I$88,5,0)</f>
        <v>69.973920000000007</v>
      </c>
      <c r="P42" s="14">
        <f t="shared" si="43"/>
        <v>19.666980847748825</v>
      </c>
      <c r="Q42" s="22">
        <f t="shared" si="53"/>
        <v>156.12456897649591</v>
      </c>
      <c r="R42" s="62">
        <f t="shared" si="0"/>
        <v>379.04551922012541</v>
      </c>
      <c r="S42" s="62">
        <f ca="1">AVERAGE(OFFSET($R$3,0,0,'Données projet'!$E$9+1,1))-AVERAGE(OFFSET($H$3,0,0,'Données projet'!$E$9+1,1))</f>
        <v>314.72063458462026</v>
      </c>
      <c r="T42" s="62">
        <f t="shared" si="3"/>
        <v>216.4380325968244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projet'!$B$9,Paramètres!$A$1:$I$88,7,0))</f>
        <v>0</v>
      </c>
      <c r="X42" s="17">
        <f>IF(ISNA(VLOOKUP(A42,'Données projet'!$A$35:$I$55,6,0)),0%,VLOOKUP(A42,'Données projet'!$A$35:$I$55,6,0)*VLOOKUP('Données projet'!$B$9,Paramètres!$A$1:$I$88,7,0))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projet'!$B$9,Paramètres!$A$1:$I$88,3,0)*0.475*44/12</f>
        <v>0</v>
      </c>
      <c r="AA42" s="23">
        <f>EXP(-LN(2)/25)*AA41+(1-EXP(-LN(2)/25))/(LN(2)/25)*Calculateur!V42*Calculateur!X42*VLOOKUP('Données projet'!$B$9,Paramètres!$A$1:$I$88,3,0)*0.475*44/12</f>
        <v>0</v>
      </c>
      <c r="AB42" s="23">
        <f>EXP(-LN(2)/2)*AB41+(1-EXP(-LN(2)/2))/(LN(2)/2)*V42*Y42*VLOOKUP('Données projet'!$B$9,Paramètres!$A$1:$I$88,3,0)*0.475*44/12</f>
        <v>0</v>
      </c>
      <c r="AC42" s="24">
        <f t="shared" si="4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5.6</v>
      </c>
      <c r="AI42" s="14">
        <f>IF(A42&lt;'Données projet'!$A$62,$AF$205^A42,IF(A42='Données projet'!$A$62,'Données projet'!$B$62,AI41+AH42-AQ41))</f>
        <v>113.40000000000002</v>
      </c>
      <c r="AJ42" s="14">
        <f>AI42*VLOOKUP('Données projet'!$B$10,Paramètres!$A$1:$I$88,3,0)*VLOOKUP('Données projet'!$B$10,Paramètres!$A$1:$I$88,5,0)</f>
        <v>118.52568000000004</v>
      </c>
      <c r="AK42" s="14">
        <f t="shared" si="44"/>
        <v>31.33089135758231</v>
      </c>
      <c r="AL42" s="22">
        <f t="shared" si="5"/>
        <v>261.00019511445589</v>
      </c>
      <c r="AM42" s="62">
        <f t="shared" si="6"/>
        <v>483.92114535808537</v>
      </c>
      <c r="AN42" s="62">
        <f ca="1">AVERAGE(OFFSET($AM$3,0,0,'Données projet'!$E$10+1,1))-AVERAGE(OFFSET($H$3,0,0,'Données projet'!$E$10+1,1))</f>
        <v>458.33072853676879</v>
      </c>
      <c r="AO42" s="62">
        <f t="shared" si="7"/>
        <v>254.1734169352687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projet'!$B$10,Paramètres!$A$1:$I$88,7,0))</f>
        <v>0</v>
      </c>
      <c r="AS42" s="17">
        <f>IF(ISNA(VLOOKUP(A42,'Données projet'!$A$61:$I$81,6,0)),0%,VLOOKUP(A42,'Données projet'!$A$61:$I$81,6,0)*VLOOKUP('Données projet'!$B$10,Paramètres!$A$1:$I$88,7,0))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projet'!$B$9,Paramètres!$A$1:$I$88,3,0)*0.475*44/12</f>
        <v>0</v>
      </c>
      <c r="AV42" s="23">
        <f>EXP(-LN(2)/25)*AV41+(1-EXP(-LN(2)/25))/(LN(2)/25)*Calculateur!AQ42*Calculateur!AS42*VLOOKUP('Données projet'!$B$9,Paramètres!$A$1:$I$88,3,0)*0.475*44/12</f>
        <v>0</v>
      </c>
      <c r="AW42" s="23">
        <f>EXP(-LN(2)/2)*AW41+(1-EXP(-LN(2)/2))/(LN(2)/2)*AQ42*AT42*VLOOKUP('Données projet'!$B$9,Paramètres!$A$1:$I$88,3,0)*0.475*44/12</f>
        <v>0</v>
      </c>
      <c r="AX42" s="23">
        <f t="shared" si="8"/>
        <v>0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5.6</v>
      </c>
      <c r="BD42" s="13">
        <f>IF(A42&lt;'Données projet'!$A$88,$BA$205^A42,IF(A42='Données projet'!$A$88,'Données projet'!$B$88,BD41+BC42-BL41))</f>
        <v>113.40000000000002</v>
      </c>
      <c r="BE42" s="14">
        <f>BD42*VLOOKUP('Données projet'!$B$11,Paramètres!$A$1:$I$88,3,0)*VLOOKUP('Données projet'!$B$11,Paramètres!$A$1:$I$88,5,0)</f>
        <v>114.98760000000004</v>
      </c>
      <c r="BF42" s="14">
        <f t="shared" si="45"/>
        <v>30.503052127303899</v>
      </c>
      <c r="BG42" s="22">
        <f t="shared" si="9"/>
        <v>253.39621912172103</v>
      </c>
      <c r="BH42" s="62">
        <f t="shared" si="10"/>
        <v>476.31716936535054</v>
      </c>
      <c r="BI42" s="62">
        <f ca="1">AVERAGE(OFFSET($BH$3,0,0,'Données projet'!$E$11+1,1))-AVERAGE(OFFSET($H$3,0,0,'Données projet'!$E$11+1,1))</f>
        <v>447.82618173893104</v>
      </c>
      <c r="BJ42" s="62">
        <f t="shared" si="11"/>
        <v>248.96509970783379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projet'!$B$11,Paramètres!$A$1:$I$88,7,0))</f>
        <v>0</v>
      </c>
      <c r="BN42" s="17">
        <f>IF(ISNA(VLOOKUP(A42,'Données projet'!$A$87:$I$107,6,0)),0%,VLOOKUP(A42,'Données projet'!$A$87:$I$107,6,0)*VLOOKUP('Données projet'!$B$11,Paramètres!$A$1:$I$88,7,0))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projet'!$B$9,Paramètres!$A$1:$I$88,3,0)*0.475*44/12</f>
        <v>0</v>
      </c>
      <c r="BQ42" s="23">
        <f>EXP(-LN(2)/25)*BQ41+(1-EXP(-LN(2)/25))/(LN(2)/25)*Calculateur!BL42*Calculateur!BN42*VLOOKUP('Données projet'!$B$9,Paramètres!$A$1:$I$88,3,0)*0.475*44/12</f>
        <v>0</v>
      </c>
      <c r="BR42" s="23">
        <f>EXP(-LN(2)/2)*BR41+(1-EXP(-LN(2)/2))/(LN(2)/2)*BL42*BO42*VLOOKUP('Données projet'!$B$9,Paramètres!$A$1:$I$88,3,0)*0.475*44/12</f>
        <v>0</v>
      </c>
      <c r="BS42" s="24">
        <f t="shared" si="12"/>
        <v>0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5.6</v>
      </c>
      <c r="BY42" s="13">
        <f>IF(A42&lt;'Données projet'!$A$114,$BV$205^A42,IF(A42='Données projet'!$A$114,'Données projet'!$B$114,BY41+BX42-CG41))</f>
        <v>113.40000000000002</v>
      </c>
      <c r="BZ42" s="14">
        <f>BY42*VLOOKUP('Données projet'!$B$12,Paramètres!$A$1:$I$88,3,0)*VLOOKUP('Données projet'!$B$12,Paramètres!$A$1:$I$88,5,0)</f>
        <v>122.06376000000002</v>
      </c>
      <c r="CA42" s="14">
        <f t="shared" si="46"/>
        <v>32.155858696268126</v>
      </c>
      <c r="CB42" s="22">
        <f t="shared" si="13"/>
        <v>268.59916922933365</v>
      </c>
      <c r="CC42" s="62">
        <f t="shared" si="14"/>
        <v>491.52011947296319</v>
      </c>
      <c r="CD42" s="62">
        <f ca="1">AVERAGE(OFFSET($CC$3,0,0,'Données projet'!$E$12+1,1))-AVERAGE(OFFSET($H$3,0,0,'Données projet'!$E$12+1,1))</f>
        <v>468.82871618425406</v>
      </c>
      <c r="CE42" s="62">
        <f t="shared" si="15"/>
        <v>259.37818128554397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projet'!$B$12,Paramètres!$A$1:$I$88,7,0))</f>
        <v>0</v>
      </c>
      <c r="CI42" s="17">
        <f>IF(ISNA(VLOOKUP(A42,'Données projet'!$A$113:$I$133,6,0)),0%,VLOOKUP(A42,'Données projet'!$A$113:$I$133,6,0)*VLOOKUP('Données projet'!$B$12,Paramètres!$A$1:$I$88,7,0))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projet'!$B$9,Paramètres!$A$1:$I$88,3,0)*0.475*44/12</f>
        <v>0</v>
      </c>
      <c r="CL42" s="23">
        <f>EXP(-LN(2)/25)*CL41+(1-EXP(-LN(2)/25))/(LN(2)/25)*Calculateur!CG42*Calculateur!CI42*VLOOKUP('Données projet'!$B$9,Paramètres!$A$1:$I$88,3,0)*0.475*44/12</f>
        <v>0</v>
      </c>
      <c r="CM42" s="23">
        <f>EXP(-LN(2)/2)*CM41+(1-EXP(-LN(2)/2))/(LN(2)/2)*CG42*CJ42*VLOOKUP('Données projet'!$B$9,Paramètres!$A$1:$I$88,3,0)*0.475*44/12</f>
        <v>0</v>
      </c>
      <c r="CN42" s="24">
        <f t="shared" si="16"/>
        <v>0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5.6</v>
      </c>
      <c r="CT42" s="13">
        <f>IF(A42&lt;'Données projet'!$A$140,$CQ$205^A42,IF(A42='Données projet'!$A$140,'Données projet'!$B$140,CT41+CS42-DB41))</f>
        <v>113.40000000000002</v>
      </c>
      <c r="CU42" s="18">
        <f>CT42*VLOOKUP('Données projet'!$B$13,Paramètres!$A$1:$I$88,3,0)*VLOOKUP('Données projet'!$B$13,Paramètres!$A$1:$I$88,5,0)</f>
        <v>97.297200000000032</v>
      </c>
      <c r="CV42" s="14">
        <f t="shared" si="47"/>
        <v>26.317069501926472</v>
      </c>
      <c r="CW42" s="22">
        <f t="shared" si="17"/>
        <v>215.29485271585531</v>
      </c>
      <c r="CX42" s="62">
        <f t="shared" si="18"/>
        <v>438.21580295948479</v>
      </c>
      <c r="CY42" s="62">
        <f ca="1">AVERAGE(OFFSET($CX$3,0,0,'Données projet'!$E$13+1,1))-AVERAGE(OFFSET($H$3,0,0,'Données projet'!$E$13+1,1))</f>
        <v>395.19659151668884</v>
      </c>
      <c r="CZ42" s="62">
        <f t="shared" si="19"/>
        <v>222.86563304507339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projet'!$B$13,Paramètres!$A$1:$I$88,7,0))</f>
        <v>0</v>
      </c>
      <c r="DD42" s="17">
        <f>IF(ISNA(VLOOKUP(A42,'Données projet'!$A$139:$I$159,6,0)),0%,VLOOKUP(A42,'Données projet'!$A$139:$I$159,6,0)*VLOOKUP('Données projet'!$B$13,Paramètres!$A$1:$I$88,7,0))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projet'!$B$9,Paramètres!$A$1:$I$88,3,0)*0.475*44/12</f>
        <v>0</v>
      </c>
      <c r="DG42" s="23">
        <f>EXP(-LN(2)/25)*DG41+(1-EXP(-LN(2)/25))/(LN(2)/25)*Calculateur!DB42*Calculateur!DD42*VLOOKUP('Données projet'!$B$9,Paramètres!$A$1:$I$88,3,0)*0.475*44/12</f>
        <v>0</v>
      </c>
      <c r="DH42" s="23">
        <f>EXP(-LN(2)/2)*DH41+(1-EXP(-LN(2)/2))/(LN(2)/2)*DB42*DE42*VLOOKUP('Données projet'!$B$9,Paramètres!$A$1:$I$88,3,0)*0.475*44/12</f>
        <v>0</v>
      </c>
      <c r="DI42" s="24">
        <f t="shared" si="20"/>
        <v>0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2.2749999999999999</v>
      </c>
      <c r="DO42" s="13">
        <f>IF(A42&lt;'Données projet'!$A$166,$DL$205^A42,IF(A42='Données projet'!$A$166,'Données projet'!$B$166,DO41+DN42-DW41))</f>
        <v>81.29528492373619</v>
      </c>
      <c r="DP42" s="18">
        <f>DO42*VLOOKUP('Données projet'!$B$14,Paramètres!$A$1:$I$88,3,0)*VLOOKUP('Données projet'!$B$14,Paramètres!$A$1:$I$88,5,0)</f>
        <v>47.557741680385668</v>
      </c>
      <c r="DQ42" s="14">
        <f t="shared" si="48"/>
        <v>13.981209327323324</v>
      </c>
      <c r="DR42" s="22">
        <f t="shared" si="21"/>
        <v>107.1803396717598</v>
      </c>
      <c r="DS42" s="62">
        <f t="shared" si="22"/>
        <v>330.10128991538932</v>
      </c>
      <c r="DT42" s="62">
        <f ca="1">AVERAGE(OFFSET($DS$3,0,0,'Données projet'!$E$14+1,1))-AVERAGE(OFFSET($H$3,0,0,'Données projet'!$E$14+1,1))</f>
        <v>155.18073137151848</v>
      </c>
      <c r="DU42" s="62">
        <f t="shared" si="23"/>
        <v>115.19459155667272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projet'!$B$14,Paramètres!$A$1:$I$88,7,0))</f>
        <v>0</v>
      </c>
      <c r="DY42" s="17">
        <f>IF(ISNA(VLOOKUP(A42,'Données projet'!$A$165:$I$185,6,0)),0%,VLOOKUP(A42,'Données projet'!$A$165:$I$185,6,0)*VLOOKUP('Données projet'!$B$14,Paramètres!$A$1:$I$88,7,0))</f>
        <v>0</v>
      </c>
      <c r="DZ42" s="17">
        <f>IF(ISNA(VLOOKUP(A42,'Données projet'!$A$165:$I$185,7,0)),0%,VLOOKUP(A42,'Données projet'!$A$165:$I$185,7,0))</f>
        <v>0</v>
      </c>
      <c r="EA42" s="23">
        <f>EXP(-LN(2)/35)*EA41+(1-EXP(-LN(2)/35))/(LN(2)/35)*DW42*DX42*VLOOKUP('Données projet'!$B$9,Paramètres!$A$1:$I$88,3,0)*0.475*44/12</f>
        <v>0</v>
      </c>
      <c r="EB42" s="23">
        <f>EXP(-LN(2)/25)*EB41+(1-EXP(-LN(2)/25))/(LN(2)/25)*Calculateur!DW42*Calculateur!DY42*VLOOKUP('Données projet'!$B$9,Paramètres!$A$1:$I$88,3,0)*0.475*44/12</f>
        <v>0</v>
      </c>
      <c r="EC42" s="23">
        <f>EXP(-LN(2)/2)*EC41+(1-EXP(-LN(2)/2))/(LN(2)/2)*DW42*DZ42*VLOOKUP('Données projet'!$B$9,Paramètres!$A$1:$I$88,3,0)*0.475*44/12</f>
        <v>0</v>
      </c>
      <c r="ED42" s="24">
        <f t="shared" si="24"/>
        <v>0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3.25</v>
      </c>
      <c r="EJ42" s="13">
        <f>IF(A42&lt;'Données projet'!$A$192,$EG$205^A42,IF(A42='Données projet'!$A$192,'Données projet'!$B$192,EJ41+EI42-ER41))</f>
        <v>30.797998776094229</v>
      </c>
      <c r="EK42" s="18">
        <f>EJ42*VLOOKUP('Données projet'!$B$15,Paramètres!$A$1:$I$88,3,0)*VLOOKUP('Données projet'!$B$15,Paramètres!$A$1:$I$88,5,0)</f>
        <v>14.413463427212099</v>
      </c>
      <c r="EL42" s="14">
        <f t="shared" si="49"/>
        <v>4.8690000537009741</v>
      </c>
      <c r="EM42" s="22">
        <f t="shared" si="25"/>
        <v>33.583623895923601</v>
      </c>
      <c r="EN42" s="62">
        <f t="shared" si="26"/>
        <v>256.50457413955309</v>
      </c>
      <c r="EO42" s="62">
        <f ca="1">AVERAGE(OFFSET($EN$3,0,0,'Données projet'!$E$15+1,1))-AVERAGE(OFFSET($H$3,0,0,'Données projet'!$E$15+1,1))</f>
        <v>238.59014604384171</v>
      </c>
      <c r="EP42" s="62">
        <f t="shared" si="27"/>
        <v>90.841373219575217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projet'!$B$15,Paramètres!$A$1:$I$88,7,0))</f>
        <v>0</v>
      </c>
      <c r="ET42" s="17">
        <f>IF(ISNA(VLOOKUP(A42,'Données projet'!$A$191:$I$211,6,0)),0%,VLOOKUP(A42,'Données projet'!$A$191:$I$211,6,0)*VLOOKUP('Données projet'!$B$15,Paramètres!$A$1:$I$88,7,0))</f>
        <v>0</v>
      </c>
      <c r="EU42" s="17">
        <f>IF(ISNA(VLOOKUP(A42,'Données projet'!$A$191:$I$211,7,0)),0%,VLOOKUP(A42,'Données projet'!$A$191:$I$211,7,0))</f>
        <v>0</v>
      </c>
      <c r="EV42" s="23">
        <f>EXP(-LN(2)/35)*EV41+(1-EXP(-LN(2)/35))/(LN(2)/35)*ER42*ES42*VLOOKUP('Données projet'!$B$9,Paramètres!$A$1:$I$88,3,0)*0.475*44/12</f>
        <v>0</v>
      </c>
      <c r="EW42" s="23">
        <f>EXP(-LN(2)/25)*EW41+(1-EXP(-LN(2)/25))/(LN(2)/25)*Calculateur!ER42*Calculateur!ET42*VLOOKUP('Données projet'!$B$9,Paramètres!$A$1:$I$88,3,0)*0.475*44/12</f>
        <v>0</v>
      </c>
      <c r="EX42" s="23">
        <f>EXP(-LN(2)/2)*EX41+(1-EXP(-LN(2)/2))/(LN(2)/2)*ER42*EU42*VLOOKUP('Données projet'!$B$9,Paramètres!$A$1:$I$88,3,0)*0.475*44/12</f>
        <v>0</v>
      </c>
      <c r="EY42" s="24">
        <f t="shared" si="28"/>
        <v>0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IF(A42&lt;'Données projet'!$A$218,$FB$205^A42,IF(A42='Données projet'!$A$218,'Données projet'!$B$218,FE41+FD42-FM41))</f>
        <v>0</v>
      </c>
      <c r="FF42" s="18" t="e">
        <f>FE42*VLOOKUP('Données projet'!$B$16,Paramètres!$A$1:$I$88,3,0)*VLOOKUP('Données projet'!$B$16,Paramètres!$A$1:$I$88,5,0)</f>
        <v>#N/A</v>
      </c>
      <c r="FG42" s="14" t="e">
        <f t="shared" si="50"/>
        <v>#N/A</v>
      </c>
      <c r="FH42" s="22" t="e">
        <f t="shared" si="29"/>
        <v>#N/A</v>
      </c>
      <c r="FI42" s="62" t="e">
        <f t="shared" si="30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31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projet'!$B$16,Paramètres!$A$1:$I$88,7,0))</f>
        <v>0</v>
      </c>
      <c r="FO42" s="17">
        <f>IF(ISNA(VLOOKUP(A42,'Données projet'!$A$217:$I$237,6,0)),0%,VLOOKUP(A42,'Données projet'!$A$217:$I$237,6,0)*VLOOKUP('Données projet'!$B$16,Paramètres!$A$1:$I$88,7,0))</f>
        <v>0</v>
      </c>
      <c r="FP42" s="17">
        <f>IF(ISNA(VLOOKUP(A42,'Données projet'!$A$217:$I$237,7,0)),0%,VLOOKUP(A42,'Données projet'!$A$217:$I$237,7,0))</f>
        <v>0</v>
      </c>
      <c r="FQ42" s="23">
        <f>EXP(-LN(2)/35)*FQ41+(1-EXP(-LN(2)/35))/(LN(2)/35)*FM42*FN42*VLOOKUP('Données projet'!$B$9,Paramètres!$A$1:$I$88,3,0)*0.475*44/12</f>
        <v>0</v>
      </c>
      <c r="FR42" s="23">
        <f>EXP(-LN(2)/25)*FR41+(1-EXP(-LN(2)/25))/(LN(2)/25)*Calculateur!FM42*Calculateur!FO42*VLOOKUP('Données projet'!$B$9,Paramètres!$A$1:$I$88,3,0)*0.475*44/12</f>
        <v>0</v>
      </c>
      <c r="FS42" s="23">
        <f>EXP(-LN(2)/2)*FS41+(1-EXP(-LN(2)/2))/(LN(2)/2)*FM42*FP42*VLOOKUP('Données projet'!$B$9,Paramètres!$A$1:$I$88,3,0)*0.475*44/12</f>
        <v>0</v>
      </c>
      <c r="FT42" s="24">
        <f t="shared" si="32"/>
        <v>0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IF(A42&lt;'Données projet'!$A$244,$FW$205^A42,IF(A42='Données projet'!$A$244,'Données projet'!$B$244,FZ41+FY42-GH41))</f>
        <v>0</v>
      </c>
      <c r="GA42" s="18" t="e">
        <f>FZ42*VLOOKUP('Données projet'!$B$17,Paramètres!$A$1:$I$88,3,0)*VLOOKUP('Données projet'!$B$17,Paramètres!$A$1:$I$88,5,0)</f>
        <v>#N/A</v>
      </c>
      <c r="GB42" s="14" t="e">
        <f t="shared" si="51"/>
        <v>#N/A</v>
      </c>
      <c r="GC42" s="22" t="e">
        <f t="shared" si="33"/>
        <v>#N/A</v>
      </c>
      <c r="GD42" s="62" t="e">
        <f t="shared" si="34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35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projet'!$B$17,Paramètres!$A$1:$I$88,7,0))</f>
        <v>0</v>
      </c>
      <c r="GJ42" s="17">
        <f>IF(ISNA(VLOOKUP(A42,'Données projet'!$A$243:$I$263,6,0)),0%,VLOOKUP(A42,'Données projet'!$A$243:$I$263,6,0)*VLOOKUP('Données projet'!$B$17,Paramètres!$A$1:$I$88,7,0))</f>
        <v>0</v>
      </c>
      <c r="GK42" s="17">
        <f>IF(ISNA(VLOOKUP(A42,'Données projet'!$A$243:$I$263,7,0)),0%,VLOOKUP(A42,'Données projet'!$A$243:$I$263,7,0))</f>
        <v>0</v>
      </c>
      <c r="GL42" s="23">
        <f>EXP(-LN(2)/35)*GL41+(1-EXP(-LN(2)/35))/(LN(2)/35)*GH42*GI42*VLOOKUP('Données projet'!$B$9,Paramètres!$A$1:$I$88,3,0)*0.475*44/12</f>
        <v>0</v>
      </c>
      <c r="GM42" s="23">
        <f>EXP(-LN(2)/25)*GM41+(1-EXP(-LN(2)/25))/(LN(2)/25)*Calculateur!GH42*Calculateur!GJ42*VLOOKUP('Données projet'!$B$9,Paramètres!$A$1:$I$88,3,0)*0.475*44/12</f>
        <v>0</v>
      </c>
      <c r="GN42" s="23">
        <f>EXP(-LN(2)/2)*GN41+(1-EXP(-LN(2)/2))/(LN(2)/2)*GH42*GK42*VLOOKUP('Données projet'!$B$9,Paramètres!$A$1:$I$88,3,0)*0.475*44/12</f>
        <v>0</v>
      </c>
      <c r="GO42" s="23">
        <f t="shared" si="36"/>
        <v>0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IF(A42&lt;'Données projet'!$A$270,$GR$205^A42,IF(A42='Données projet'!$A$270,'Données projet'!$B$270,GU41+GT42-HC41))</f>
        <v>0</v>
      </c>
      <c r="GV42" s="18" t="e">
        <f>GU42*VLOOKUP('Données projet'!$B$18,Paramètres!$A$1:$I$88,3,0)*VLOOKUP('Données projet'!$B$18,Paramètres!$A$1:$I$88,5,0)</f>
        <v>#N/A</v>
      </c>
      <c r="GW42" s="14" t="e">
        <f t="shared" si="52"/>
        <v>#N/A</v>
      </c>
      <c r="GX42" s="22" t="e">
        <f t="shared" si="37"/>
        <v>#N/A</v>
      </c>
      <c r="GY42" s="62" t="e">
        <f t="shared" si="38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39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projet'!$B$18,Paramètres!$A$1:$I$88,7,0))</f>
        <v>0</v>
      </c>
      <c r="HE42" s="17">
        <f>IF(ISNA(VLOOKUP(A42,'Données projet'!$A$269:$I$289,6,0)),0%,VLOOKUP(A42,'Données projet'!$A$269:$I$289,6,0)*VLOOKUP('Données projet'!$B$18,Paramètres!$A$1:$I$88,7,0))</f>
        <v>0</v>
      </c>
      <c r="HF42" s="17">
        <f>IF(ISNA(VLOOKUP(A42,'Données projet'!$A$269:$I$289,7,0)),0%,VLOOKUP(A42,'Données projet'!$A$269:$I$289,7,0))</f>
        <v>0</v>
      </c>
      <c r="HG42" s="23">
        <f>EXP(-LN(2)/35)*HG41+(1-EXP(-LN(2)/35))/(LN(2)/35)*HC42*HD42*VLOOKUP('Données projet'!$B$9,Paramètres!$A$1:$I$88,3,0)*0.475*44/12</f>
        <v>0</v>
      </c>
      <c r="HH42" s="23">
        <f>EXP(-LN(2)/25)*HH41+(1-EXP(-LN(2)/25))/(LN(2)/25)*Calculateur!HC42*Calculateur!HE42*VLOOKUP('Données projet'!$B$9,Paramètres!$A$1:$I$88,3,0)*0.475*44/12</f>
        <v>0</v>
      </c>
      <c r="HI42" s="23">
        <f>EXP(-LN(2)/2)*HI41+(1-EXP(-LN(2)/2))/(LN(2)/2)*HC42*HF42*VLOOKUP('Données projet'!$B$9,Paramètres!$A$1:$I$88,3,0)*0.475*44/12</f>
        <v>0</v>
      </c>
      <c r="HJ42" s="24">
        <f t="shared" si="40"/>
        <v>0</v>
      </c>
    </row>
    <row r="43" spans="1:218" s="5" customFormat="1" x14ac:dyDescent="0.25">
      <c r="A43" s="11">
        <f t="shared" si="4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3" s="12">
        <f t="shared" si="4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135.66666666666666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62.666666666666671</v>
      </c>
      <c r="L43" s="13">
        <f>VLOOKUP(A43,'Données projet'!$A$35:$I$55,9,0)</f>
        <v>1.9254166666666663</v>
      </c>
      <c r="M43" s="13">
        <f t="array" ref="M43">INDEX(L:L,MIN(IF(ISNUMBER(L43:L239),ROW(L43:L239),"")))</f>
        <v>1.9254166666666663</v>
      </c>
      <c r="N43" s="14">
        <f>IF(A43&lt;'Données projet'!$A$36,$K$205^A43,IF(A43='Données projet'!$A$36,'Données projet'!$B$36,N42+M43-V42))</f>
        <v>62.666666666666671</v>
      </c>
      <c r="O43" s="14">
        <f>N43*VLOOKUP('Données projet'!$B$9,Paramètres!$A$1:$I$88,3,0)*VLOOKUP('Données projet'!$B$9,Paramètres!$A$1:$I$88,5,0)</f>
        <v>72.192000000000007</v>
      </c>
      <c r="P43" s="14">
        <f t="shared" si="43"/>
        <v>20.216827725253115</v>
      </c>
      <c r="Q43" s="22">
        <f t="shared" si="53"/>
        <v>160.94537495481583</v>
      </c>
      <c r="R43" s="62">
        <f t="shared" si="0"/>
        <v>385.08782262654614</v>
      </c>
      <c r="S43" s="62">
        <f ca="1">AVERAGE(OFFSET($R$3,0,0,'Données projet'!$E$9+1,1))-AVERAGE(OFFSET($H$3,0,0,'Données projet'!$E$9+1,1))</f>
        <v>314.72063458462026</v>
      </c>
      <c r="T43" s="62">
        <f t="shared" si="3"/>
        <v>216.4380325968244</v>
      </c>
      <c r="U43" s="16">
        <f>IF(ISNA(VLOOKUP(A43,'Données projet'!$A$35:$I$55,3,0)),0,VLOOKUP(A43,'Données projet'!$A$35:$I$55,3,0))</f>
        <v>2</v>
      </c>
      <c r="V43" s="16">
        <f>IF(ISNA(VLOOKUP(A43,'Données projet'!$A$35:$I$55,4,0)),0,VLOOKUP(A43,'Données projet'!$A$35:$I$55,4,0))</f>
        <v>7.0000000000000009</v>
      </c>
      <c r="W43" s="17">
        <f>IF(ISNA(VLOOKUP(A43,'Données projet'!$A$35:$I$55,5,0)),0%,VLOOKUP(A43,'Données projet'!$A$35:$I$55,5,0)*VLOOKUP('Données projet'!$B$9,Paramètres!$A$1:$I$88,7,0))</f>
        <v>0</v>
      </c>
      <c r="X43" s="17">
        <f>IF(ISNA(VLOOKUP(A43,'Données projet'!$A$35:$I$55,6,0)),0%,VLOOKUP(A43,'Données projet'!$A$35:$I$55,6,0)*VLOOKUP('Données projet'!$B$9,Paramètres!$A$1:$I$88,7,0))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projet'!$B$9,Paramètres!$A$1:$I$88,3,0)*0.475*44/12</f>
        <v>0</v>
      </c>
      <c r="AA43" s="23">
        <f>EXP(-LN(2)/25)*AA42+(1-EXP(-LN(2)/25))/(LN(2)/25)*Calculateur!V43*Calculateur!X43*VLOOKUP('Données projet'!$B$9,Paramètres!$A$1:$I$88,3,0)*0.475*44/12</f>
        <v>0</v>
      </c>
      <c r="AB43" s="23">
        <f>EXP(-LN(2)/2)*AB42+(1-EXP(-LN(2)/2))/(LN(2)/2)*V43*Y43*VLOOKUP('Données projet'!$B$9,Paramètres!$A$1:$I$88,3,0)*0.475*44/12</f>
        <v>0</v>
      </c>
      <c r="AC43" s="24">
        <f t="shared" si="4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119</v>
      </c>
      <c r="AG43" s="13">
        <f>VLOOKUP(A43,'Données projet'!$A$61:$I$81,9,0)</f>
        <v>5.6</v>
      </c>
      <c r="AH43" s="13">
        <f t="array" ref="AH43">INDEX(AG:AG,MIN(IF(ISNUMBER(AG43:AG239),ROW(AG43:AG239),"")))</f>
        <v>5.6</v>
      </c>
      <c r="AI43" s="14">
        <f>IF(A43&lt;'Données projet'!$A$62,$AF$205^A43,IF(A43='Données projet'!$A$62,'Données projet'!$B$62,AI42+AH43-AQ42))</f>
        <v>119.00000000000001</v>
      </c>
      <c r="AJ43" s="14">
        <f>AI43*VLOOKUP('Données projet'!$B$10,Paramètres!$A$1:$I$88,3,0)*VLOOKUP('Données projet'!$B$10,Paramètres!$A$1:$I$88,5,0)</f>
        <v>124.37880000000003</v>
      </c>
      <c r="AK43" s="14">
        <f t="shared" si="44"/>
        <v>32.69414246460255</v>
      </c>
      <c r="AL43" s="22">
        <f t="shared" si="5"/>
        <v>273.56870812584953</v>
      </c>
      <c r="AM43" s="62">
        <f t="shared" si="6"/>
        <v>497.71115579757986</v>
      </c>
      <c r="AN43" s="62">
        <f ca="1">AVERAGE(OFFSET($AM$3,0,0,'Données projet'!$E$10+1,1))-AVERAGE(OFFSET($H$3,0,0,'Données projet'!$E$10+1,1))</f>
        <v>458.33072853676879</v>
      </c>
      <c r="AO43" s="62">
        <f t="shared" si="7"/>
        <v>254.1734169352687</v>
      </c>
      <c r="AP43" s="16">
        <f>IF(ISNA(VLOOKUP(A43,'Données projet'!$A$61:$I$81,3,0)),0,VLOOKUP(A43,'Données projet'!$A$61:$I$81,3,0))</f>
        <v>2</v>
      </c>
      <c r="AQ43" s="16">
        <f>IF(ISNA(VLOOKUP(A43,'Données projet'!$A$61:$I$81,4,0)),0,VLOOKUP(A43,'Données projet'!$A$61:$I$81,4,0))</f>
        <v>19</v>
      </c>
      <c r="AR43" s="17">
        <f>IF(ISNA(VLOOKUP(A43,'Données projet'!$A$61:$I$81,5,0)),0%,VLOOKUP(A43,'Données projet'!$A$61:$I$81,5,0)*VLOOKUP('Données projet'!$B$10,Paramètres!$A$1:$I$88,7,0))</f>
        <v>0</v>
      </c>
      <c r="AS43" s="17">
        <f>IF(ISNA(VLOOKUP(A43,'Données projet'!$A$61:$I$81,6,0)),0%,VLOOKUP(A43,'Données projet'!$A$61:$I$81,6,0)*VLOOKUP('Données projet'!$B$10,Paramètres!$A$1:$I$88,7,0))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projet'!$B$9,Paramètres!$A$1:$I$88,3,0)*0.475*44/12</f>
        <v>0</v>
      </c>
      <c r="AV43" s="23">
        <f>EXP(-LN(2)/25)*AV42+(1-EXP(-LN(2)/25))/(LN(2)/25)*Calculateur!AQ43*Calculateur!AS43*VLOOKUP('Données projet'!$B$9,Paramètres!$A$1:$I$88,3,0)*0.475*44/12</f>
        <v>0</v>
      </c>
      <c r="AW43" s="23">
        <f>EXP(-LN(2)/2)*AW42+(1-EXP(-LN(2)/2))/(LN(2)/2)*AQ43*AT43*VLOOKUP('Données projet'!$B$9,Paramètres!$A$1:$I$88,3,0)*0.475*44/12</f>
        <v>0</v>
      </c>
      <c r="AX43" s="23">
        <f t="shared" si="8"/>
        <v>0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119</v>
      </c>
      <c r="BB43" s="13">
        <f>VLOOKUP(A43,'Données projet'!$A$87:$I$107,9,0)</f>
        <v>5.6</v>
      </c>
      <c r="BC43" s="13">
        <f t="array" ref="BC43">INDEX(BB:BB,MIN(IF(ISNUMBER(BB43:BB239),ROW(BB43:BB239),"")))</f>
        <v>5.6</v>
      </c>
      <c r="BD43" s="13">
        <f>IF(A43&lt;'Données projet'!$A$88,$BA$205^A43,IF(A43='Données projet'!$A$88,'Données projet'!$B$88,BD42+BC43-BL42))</f>
        <v>119.00000000000001</v>
      </c>
      <c r="BE43" s="14">
        <f>BD43*VLOOKUP('Données projet'!$B$11,Paramètres!$A$1:$I$88,3,0)*VLOOKUP('Données projet'!$B$11,Paramètres!$A$1:$I$88,5,0)</f>
        <v>120.66600000000001</v>
      </c>
      <c r="BF43" s="14">
        <f t="shared" si="45"/>
        <v>31.830282786190971</v>
      </c>
      <c r="BG43" s="22">
        <f t="shared" si="9"/>
        <v>265.59769251928259</v>
      </c>
      <c r="BH43" s="62">
        <f t="shared" si="10"/>
        <v>489.74014019101287</v>
      </c>
      <c r="BI43" s="62">
        <f ca="1">AVERAGE(OFFSET($BH$3,0,0,'Données projet'!$E$11+1,1))-AVERAGE(OFFSET($H$3,0,0,'Données projet'!$E$11+1,1))</f>
        <v>447.82618173893104</v>
      </c>
      <c r="BJ43" s="62">
        <f t="shared" si="11"/>
        <v>248.96509970783379</v>
      </c>
      <c r="BK43" s="16">
        <f>IF(ISNA(VLOOKUP(A43,'Données projet'!$A$87:$I$107,3,0)),0,VLOOKUP(A43,'Données projet'!$A$87:$I$107,3,0))</f>
        <v>2</v>
      </c>
      <c r="BL43" s="16">
        <f>IF(ISNA(VLOOKUP(A43,'Données projet'!$A$87:$I$107,4,0)),0,VLOOKUP(A43,'Données projet'!$A$87:$I$107,4,0))</f>
        <v>19</v>
      </c>
      <c r="BM43" s="17">
        <f>IF(ISNA(VLOOKUP(A43,'Données projet'!$A$87:$I$107,5,0)),0%,VLOOKUP(A43,'Données projet'!$A$87:$I$107,5,0)*VLOOKUP('Données projet'!$B$11,Paramètres!$A$1:$I$88,7,0))</f>
        <v>0</v>
      </c>
      <c r="BN43" s="17">
        <f>IF(ISNA(VLOOKUP(A43,'Données projet'!$A$87:$I$107,6,0)),0%,VLOOKUP(A43,'Données projet'!$A$87:$I$107,6,0)*VLOOKUP('Données projet'!$B$11,Paramètres!$A$1:$I$88,7,0))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projet'!$B$9,Paramètres!$A$1:$I$88,3,0)*0.475*44/12</f>
        <v>0</v>
      </c>
      <c r="BQ43" s="23">
        <f>EXP(-LN(2)/25)*BQ42+(1-EXP(-LN(2)/25))/(LN(2)/25)*Calculateur!BL43*Calculateur!BN43*VLOOKUP('Données projet'!$B$9,Paramètres!$A$1:$I$88,3,0)*0.475*44/12</f>
        <v>0</v>
      </c>
      <c r="BR43" s="23">
        <f>EXP(-LN(2)/2)*BR42+(1-EXP(-LN(2)/2))/(LN(2)/2)*BL43*BO43*VLOOKUP('Données projet'!$B$9,Paramètres!$A$1:$I$88,3,0)*0.475*44/12</f>
        <v>0</v>
      </c>
      <c r="BS43" s="24">
        <f t="shared" si="12"/>
        <v>0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>
        <f>VLOOKUP(A43,'Données projet'!$A$113:$I$133,2,0)</f>
        <v>119</v>
      </c>
      <c r="BW43" s="13">
        <f>VLOOKUP(A43,'Données projet'!$A$113:$I$133,9,0)</f>
        <v>5.6</v>
      </c>
      <c r="BX43" s="13">
        <f t="array" ref="BX43">INDEX(BW:BW,MIN(IF(ISNUMBER(BW43:BW239),ROW(BW43:BW239),"")))</f>
        <v>5.6</v>
      </c>
      <c r="BY43" s="13">
        <f>IF(A43&lt;'Données projet'!$A$114,$BV$205^A43,IF(A43='Données projet'!$A$114,'Données projet'!$B$114,BY42+BX43-CG42))</f>
        <v>119.00000000000001</v>
      </c>
      <c r="BZ43" s="14">
        <f>BY43*VLOOKUP('Données projet'!$B$12,Paramètres!$A$1:$I$88,3,0)*VLOOKUP('Données projet'!$B$12,Paramètres!$A$1:$I$88,5,0)</f>
        <v>128.0916</v>
      </c>
      <c r="CA43" s="14">
        <f t="shared" si="46"/>
        <v>33.555005291382955</v>
      </c>
      <c r="CB43" s="22">
        <f t="shared" si="13"/>
        <v>281.53450421582534</v>
      </c>
      <c r="CC43" s="62">
        <f t="shared" si="14"/>
        <v>505.67695188755567</v>
      </c>
      <c r="CD43" s="62">
        <f ca="1">AVERAGE(OFFSET($CC$3,0,0,'Données projet'!$E$12+1,1))-AVERAGE(OFFSET($H$3,0,0,'Données projet'!$E$12+1,1))</f>
        <v>468.82871618425406</v>
      </c>
      <c r="CE43" s="62">
        <f t="shared" si="15"/>
        <v>259.37818128554397</v>
      </c>
      <c r="CF43" s="16">
        <f>IF(ISNA(VLOOKUP(A43,'Données projet'!$A$113:$I$133,3,0)),0,VLOOKUP(A43,'Données projet'!$A$113:$I$133,3,0))</f>
        <v>2</v>
      </c>
      <c r="CG43" s="16">
        <f>IF(ISNA(VLOOKUP(A43,'Données projet'!$A$113:$I$133,4,0)),0,VLOOKUP(A43,'Données projet'!$A$113:$I$133,4,0))</f>
        <v>19</v>
      </c>
      <c r="CH43" s="17">
        <f>IF(ISNA(VLOOKUP(A43,'Données projet'!$A$113:$I$133,5,0)),0%,VLOOKUP(A43,'Données projet'!$A$113:$I$133,5,0)*VLOOKUP('Données projet'!$B$12,Paramètres!$A$1:$I$88,7,0))</f>
        <v>0</v>
      </c>
      <c r="CI43" s="17">
        <f>IF(ISNA(VLOOKUP(A43,'Données projet'!$A$113:$I$133,6,0)),0%,VLOOKUP(A43,'Données projet'!$A$113:$I$133,6,0)*VLOOKUP('Données projet'!$B$12,Paramètres!$A$1:$I$88,7,0))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projet'!$B$9,Paramètres!$A$1:$I$88,3,0)*0.475*44/12</f>
        <v>0</v>
      </c>
      <c r="CL43" s="23">
        <f>EXP(-LN(2)/25)*CL42+(1-EXP(-LN(2)/25))/(LN(2)/25)*Calculateur!CG43*Calculateur!CI43*VLOOKUP('Données projet'!$B$9,Paramètres!$A$1:$I$88,3,0)*0.475*44/12</f>
        <v>0</v>
      </c>
      <c r="CM43" s="23">
        <f>EXP(-LN(2)/2)*CM42+(1-EXP(-LN(2)/2))/(LN(2)/2)*CG43*CJ43*VLOOKUP('Données projet'!$B$9,Paramètres!$A$1:$I$88,3,0)*0.475*44/12</f>
        <v>0</v>
      </c>
      <c r="CN43" s="24">
        <f t="shared" si="16"/>
        <v>0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>
        <f>VLOOKUP(A43,'Données projet'!$A$139:$I$159,2,0)</f>
        <v>119</v>
      </c>
      <c r="CR43" s="13">
        <f>VLOOKUP(A43,'Données projet'!$A$139:$I$159,9,0)</f>
        <v>5.6</v>
      </c>
      <c r="CS43" s="13">
        <f t="array" ref="CS43">INDEX(CR:CR,MIN(IF(ISNUMBER(CR43:CR239),ROW(CR43:CR239),"")))</f>
        <v>5.6</v>
      </c>
      <c r="CT43" s="13">
        <f>IF(A43&lt;'Données projet'!$A$140,$CQ$205^A43,IF(A43='Données projet'!$A$140,'Données projet'!$B$140,CT42+CS43-DB42))</f>
        <v>119.00000000000001</v>
      </c>
      <c r="CU43" s="18">
        <f>CT43*VLOOKUP('Données projet'!$B$13,Paramètres!$A$1:$I$88,3,0)*VLOOKUP('Données projet'!$B$13,Paramètres!$A$1:$I$88,5,0)</f>
        <v>102.10200000000003</v>
      </c>
      <c r="CV43" s="14">
        <f t="shared" si="47"/>
        <v>27.462162174923392</v>
      </c>
      <c r="CW43" s="22">
        <f t="shared" si="17"/>
        <v>225.65758245465827</v>
      </c>
      <c r="CX43" s="62">
        <f t="shared" si="18"/>
        <v>449.80003012638861</v>
      </c>
      <c r="CY43" s="62">
        <f ca="1">AVERAGE(OFFSET($CX$3,0,0,'Données projet'!$E$13+1,1))-AVERAGE(OFFSET($H$3,0,0,'Données projet'!$E$13+1,1))</f>
        <v>395.19659151668884</v>
      </c>
      <c r="CZ43" s="62">
        <f t="shared" si="19"/>
        <v>222.86563304507339</v>
      </c>
      <c r="DA43" s="16">
        <f>IF(ISNA(VLOOKUP(A43,'Données projet'!$A$139:$I$159,3,0)),0,VLOOKUP(A43,'Données projet'!$A$139:$I$159,3,0))</f>
        <v>2</v>
      </c>
      <c r="DB43" s="16">
        <f>IF(ISNA(VLOOKUP(A43,'Données projet'!$A$139:$I$159,4,0)),0,VLOOKUP(A43,'Données projet'!$A$139:$I$159,4,0))</f>
        <v>19</v>
      </c>
      <c r="DC43" s="17">
        <f>IF(ISNA(VLOOKUP(A43,'Données projet'!$A$139:$I$159,5,0)),0%,VLOOKUP(A43,'Données projet'!$A$139:$I$159,5,0)*VLOOKUP('Données projet'!$B$13,Paramètres!$A$1:$I$88,7,0))</f>
        <v>0</v>
      </c>
      <c r="DD43" s="17">
        <f>IF(ISNA(VLOOKUP(A43,'Données projet'!$A$139:$I$159,6,0)),0%,VLOOKUP(A43,'Données projet'!$A$139:$I$159,6,0)*VLOOKUP('Données projet'!$B$13,Paramètres!$A$1:$I$88,7,0))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projet'!$B$9,Paramètres!$A$1:$I$88,3,0)*0.475*44/12</f>
        <v>0</v>
      </c>
      <c r="DG43" s="23">
        <f>EXP(-LN(2)/25)*DG42+(1-EXP(-LN(2)/25))/(LN(2)/25)*Calculateur!DB43*Calculateur!DD43*VLOOKUP('Données projet'!$B$9,Paramètres!$A$1:$I$88,3,0)*0.475*44/12</f>
        <v>0</v>
      </c>
      <c r="DH43" s="23">
        <f>EXP(-LN(2)/2)*DH42+(1-EXP(-LN(2)/2))/(LN(2)/2)*DB43*DE43*VLOOKUP('Données projet'!$B$9,Paramètres!$A$1:$I$88,3,0)*0.475*44/12</f>
        <v>0</v>
      </c>
      <c r="DI43" s="24">
        <f t="shared" si="20"/>
        <v>0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>
        <f>VLOOKUP(A43,'Données projet'!$A$165:$I$185,2,0)</f>
        <v>91</v>
      </c>
      <c r="DM43" s="13">
        <f>VLOOKUP(A43,'Données projet'!$A$165:$I$185,9,0)</f>
        <v>2.2749999999999999</v>
      </c>
      <c r="DN43" s="13">
        <f t="array" ref="DN43">INDEX(DM:DM,MIN(IF(ISNUMBER(DM43:DM239),ROW(DM43:DM239),"")))</f>
        <v>2.2749999999999999</v>
      </c>
      <c r="DO43" s="13">
        <f>IF(A43&lt;'Données projet'!$A$166,$DL$205^A43,IF(A43='Données projet'!$A$166,'Données projet'!$B$166,DO42+DN43-DW42))</f>
        <v>91</v>
      </c>
      <c r="DP43" s="18">
        <f>DO43*VLOOKUP('Données projet'!$B$14,Paramètres!$A$1:$I$88,3,0)*VLOOKUP('Données projet'!$B$14,Paramètres!$A$1:$I$88,5,0)</f>
        <v>53.235000000000007</v>
      </c>
      <c r="DQ43" s="14">
        <f t="shared" si="48"/>
        <v>15.446139841251496</v>
      </c>
      <c r="DR43" s="22">
        <f t="shared" si="21"/>
        <v>119.6196518901797</v>
      </c>
      <c r="DS43" s="62">
        <f t="shared" si="22"/>
        <v>343.76209956191002</v>
      </c>
      <c r="DT43" s="62">
        <f ca="1">AVERAGE(OFFSET($DS$3,0,0,'Données projet'!$E$14+1,1))-AVERAGE(OFFSET($H$3,0,0,'Données projet'!$E$14+1,1))</f>
        <v>155.18073137151848</v>
      </c>
      <c r="DU43" s="62">
        <f t="shared" si="23"/>
        <v>115.19459155667272</v>
      </c>
      <c r="DV43" s="16">
        <f>IF(ISNA(VLOOKUP(A43,'Données projet'!$A$165:$I$185,3,0)),0,VLOOKUP(A43,'Données projet'!$A$165:$I$185,3,0))</f>
        <v>1</v>
      </c>
      <c r="DW43" s="16">
        <f>IF(ISNA(VLOOKUP(A43,'Données projet'!$A$165:$I$185,4,0)),0,VLOOKUP(A43,'Données projet'!$A$165:$I$185,4,0))</f>
        <v>50</v>
      </c>
      <c r="DX43" s="17">
        <f>IF(ISNA(VLOOKUP(A43,'Données projet'!$A$165:$I$185,5,0)),0%,VLOOKUP(A43,'Données projet'!$A$165:$I$185,5,0)*VLOOKUP('Données projet'!$B$14,Paramètres!$A$1:$I$88,7,0))</f>
        <v>0</v>
      </c>
      <c r="DY43" s="17">
        <f>IF(ISNA(VLOOKUP(A43,'Données projet'!$A$165:$I$185,6,0)),0%,VLOOKUP(A43,'Données projet'!$A$165:$I$185,6,0)*VLOOKUP('Données projet'!$B$14,Paramètres!$A$1:$I$88,7,0))</f>
        <v>0</v>
      </c>
      <c r="DZ43" s="17">
        <f>IF(ISNA(VLOOKUP(A43,'Données projet'!$A$165:$I$185,7,0)),0%,VLOOKUP(A43,'Données projet'!$A$165:$I$185,7,0))</f>
        <v>0</v>
      </c>
      <c r="EA43" s="23">
        <f>EXP(-LN(2)/35)*EA42+(1-EXP(-LN(2)/35))/(LN(2)/35)*DW43*DX43*VLOOKUP('Données projet'!$B$9,Paramètres!$A$1:$I$88,3,0)*0.475*44/12</f>
        <v>0</v>
      </c>
      <c r="EB43" s="23">
        <f>EXP(-LN(2)/25)*EB42+(1-EXP(-LN(2)/25))/(LN(2)/25)*Calculateur!DW43*Calculateur!DY43*VLOOKUP('Données projet'!$B$9,Paramètres!$A$1:$I$88,3,0)*0.475*44/12</f>
        <v>0</v>
      </c>
      <c r="EC43" s="23">
        <f>EXP(-LN(2)/2)*EC42+(1-EXP(-LN(2)/2))/(LN(2)/2)*DW43*DZ43*VLOOKUP('Données projet'!$B$9,Paramètres!$A$1:$I$88,3,0)*0.475*44/12</f>
        <v>0</v>
      </c>
      <c r="ED43" s="24">
        <f t="shared" si="24"/>
        <v>0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3.25</v>
      </c>
      <c r="EJ43" s="13">
        <f>IF(A43&lt;'Données projet'!$A$192,$EG$205^A43,IF(A43='Données projet'!$A$192,'Données projet'!$B$192,EJ42+EI43-ER42))</f>
        <v>33.627125204833725</v>
      </c>
      <c r="EK43" s="18">
        <f>EJ43*VLOOKUP('Données projet'!$B$15,Paramètres!$A$1:$I$88,3,0)*VLOOKUP('Données projet'!$B$15,Paramètres!$A$1:$I$88,5,0)</f>
        <v>15.737494595862184</v>
      </c>
      <c r="EL43" s="14">
        <f t="shared" si="49"/>
        <v>5.2621637162274908</v>
      </c>
      <c r="EM43" s="22">
        <f t="shared" si="25"/>
        <v>36.574404893556185</v>
      </c>
      <c r="EN43" s="62">
        <f t="shared" si="26"/>
        <v>260.7168525652865</v>
      </c>
      <c r="EO43" s="62">
        <f ca="1">AVERAGE(OFFSET($EN$3,0,0,'Données projet'!$E$15+1,1))-AVERAGE(OFFSET($H$3,0,0,'Données projet'!$E$15+1,1))</f>
        <v>238.59014604384171</v>
      </c>
      <c r="EP43" s="62">
        <f t="shared" si="27"/>
        <v>90.841373219575217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projet'!$B$15,Paramètres!$A$1:$I$88,7,0))</f>
        <v>0</v>
      </c>
      <c r="ET43" s="17">
        <f>IF(ISNA(VLOOKUP(A43,'Données projet'!$A$191:$I$211,6,0)),0%,VLOOKUP(A43,'Données projet'!$A$191:$I$211,6,0)*VLOOKUP('Données projet'!$B$15,Paramètres!$A$1:$I$88,7,0))</f>
        <v>0</v>
      </c>
      <c r="EU43" s="17">
        <f>IF(ISNA(VLOOKUP(A43,'Données projet'!$A$191:$I$211,7,0)),0%,VLOOKUP(A43,'Données projet'!$A$191:$I$211,7,0))</f>
        <v>0</v>
      </c>
      <c r="EV43" s="23">
        <f>EXP(-LN(2)/35)*EV42+(1-EXP(-LN(2)/35))/(LN(2)/35)*ER43*ES43*VLOOKUP('Données projet'!$B$9,Paramètres!$A$1:$I$88,3,0)*0.475*44/12</f>
        <v>0</v>
      </c>
      <c r="EW43" s="23">
        <f>EXP(-LN(2)/25)*EW42+(1-EXP(-LN(2)/25))/(LN(2)/25)*Calculateur!ER43*Calculateur!ET43*VLOOKUP('Données projet'!$B$9,Paramètres!$A$1:$I$88,3,0)*0.475*44/12</f>
        <v>0</v>
      </c>
      <c r="EX43" s="23">
        <f>EXP(-LN(2)/2)*EX42+(1-EXP(-LN(2)/2))/(LN(2)/2)*ER43*EU43*VLOOKUP('Données projet'!$B$9,Paramètres!$A$1:$I$88,3,0)*0.475*44/12</f>
        <v>0</v>
      </c>
      <c r="EY43" s="24">
        <f t="shared" si="28"/>
        <v>0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IF(A43&lt;'Données projet'!$A$218,$FB$205^A43,IF(A43='Données projet'!$A$218,'Données projet'!$B$218,FE42+FD43-FM42))</f>
        <v>0</v>
      </c>
      <c r="FF43" s="18" t="e">
        <f>FE43*VLOOKUP('Données projet'!$B$16,Paramètres!$A$1:$I$88,3,0)*VLOOKUP('Données projet'!$B$16,Paramètres!$A$1:$I$88,5,0)</f>
        <v>#N/A</v>
      </c>
      <c r="FG43" s="14" t="e">
        <f t="shared" si="50"/>
        <v>#N/A</v>
      </c>
      <c r="FH43" s="22" t="e">
        <f t="shared" si="29"/>
        <v>#N/A</v>
      </c>
      <c r="FI43" s="62" t="e">
        <f t="shared" si="30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31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projet'!$B$16,Paramètres!$A$1:$I$88,7,0))</f>
        <v>0</v>
      </c>
      <c r="FO43" s="17">
        <f>IF(ISNA(VLOOKUP(A43,'Données projet'!$A$217:$I$237,6,0)),0%,VLOOKUP(A43,'Données projet'!$A$217:$I$237,6,0)*VLOOKUP('Données projet'!$B$16,Paramètres!$A$1:$I$88,7,0))</f>
        <v>0</v>
      </c>
      <c r="FP43" s="17">
        <f>IF(ISNA(VLOOKUP(A43,'Données projet'!$A$217:$I$237,7,0)),0%,VLOOKUP(A43,'Données projet'!$A$217:$I$237,7,0))</f>
        <v>0</v>
      </c>
      <c r="FQ43" s="23">
        <f>EXP(-LN(2)/35)*FQ42+(1-EXP(-LN(2)/35))/(LN(2)/35)*FM43*FN43*VLOOKUP('Données projet'!$B$9,Paramètres!$A$1:$I$88,3,0)*0.475*44/12</f>
        <v>0</v>
      </c>
      <c r="FR43" s="23">
        <f>EXP(-LN(2)/25)*FR42+(1-EXP(-LN(2)/25))/(LN(2)/25)*Calculateur!FM43*Calculateur!FO43*VLOOKUP('Données projet'!$B$9,Paramètres!$A$1:$I$88,3,0)*0.475*44/12</f>
        <v>0</v>
      </c>
      <c r="FS43" s="23">
        <f>EXP(-LN(2)/2)*FS42+(1-EXP(-LN(2)/2))/(LN(2)/2)*FM43*FP43*VLOOKUP('Données projet'!$B$9,Paramètres!$A$1:$I$88,3,0)*0.475*44/12</f>
        <v>0</v>
      </c>
      <c r="FT43" s="24">
        <f t="shared" si="32"/>
        <v>0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IF(A43&lt;'Données projet'!$A$244,$FW$205^A43,IF(A43='Données projet'!$A$244,'Données projet'!$B$244,FZ42+FY43-GH42))</f>
        <v>0</v>
      </c>
      <c r="GA43" s="18" t="e">
        <f>FZ43*VLOOKUP('Données projet'!$B$17,Paramètres!$A$1:$I$88,3,0)*VLOOKUP('Données projet'!$B$17,Paramètres!$A$1:$I$88,5,0)</f>
        <v>#N/A</v>
      </c>
      <c r="GB43" s="14" t="e">
        <f t="shared" si="51"/>
        <v>#N/A</v>
      </c>
      <c r="GC43" s="22" t="e">
        <f t="shared" si="33"/>
        <v>#N/A</v>
      </c>
      <c r="GD43" s="62" t="e">
        <f t="shared" si="34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35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projet'!$B$17,Paramètres!$A$1:$I$88,7,0))</f>
        <v>0</v>
      </c>
      <c r="GJ43" s="17">
        <f>IF(ISNA(VLOOKUP(A43,'Données projet'!$A$243:$I$263,6,0)),0%,VLOOKUP(A43,'Données projet'!$A$243:$I$263,6,0)*VLOOKUP('Données projet'!$B$17,Paramètres!$A$1:$I$88,7,0))</f>
        <v>0</v>
      </c>
      <c r="GK43" s="17">
        <f>IF(ISNA(VLOOKUP(A43,'Données projet'!$A$243:$I$263,7,0)),0%,VLOOKUP(A43,'Données projet'!$A$243:$I$263,7,0))</f>
        <v>0</v>
      </c>
      <c r="GL43" s="23">
        <f>EXP(-LN(2)/35)*GL42+(1-EXP(-LN(2)/35))/(LN(2)/35)*GH43*GI43*VLOOKUP('Données projet'!$B$9,Paramètres!$A$1:$I$88,3,0)*0.475*44/12</f>
        <v>0</v>
      </c>
      <c r="GM43" s="23">
        <f>EXP(-LN(2)/25)*GM42+(1-EXP(-LN(2)/25))/(LN(2)/25)*Calculateur!GH43*Calculateur!GJ43*VLOOKUP('Données projet'!$B$9,Paramètres!$A$1:$I$88,3,0)*0.475*44/12</f>
        <v>0</v>
      </c>
      <c r="GN43" s="23">
        <f>EXP(-LN(2)/2)*GN42+(1-EXP(-LN(2)/2))/(LN(2)/2)*GH43*GK43*VLOOKUP('Données projet'!$B$9,Paramètres!$A$1:$I$88,3,0)*0.475*44/12</f>
        <v>0</v>
      </c>
      <c r="GO43" s="23">
        <f t="shared" si="36"/>
        <v>0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IF(A43&lt;'Données projet'!$A$270,$GR$205^A43,IF(A43='Données projet'!$A$270,'Données projet'!$B$270,GU42+GT43-HC42))</f>
        <v>0</v>
      </c>
      <c r="GV43" s="18" t="e">
        <f>GU43*VLOOKUP('Données projet'!$B$18,Paramètres!$A$1:$I$88,3,0)*VLOOKUP('Données projet'!$B$18,Paramètres!$A$1:$I$88,5,0)</f>
        <v>#N/A</v>
      </c>
      <c r="GW43" s="14" t="e">
        <f t="shared" si="52"/>
        <v>#N/A</v>
      </c>
      <c r="GX43" s="22" t="e">
        <f t="shared" si="37"/>
        <v>#N/A</v>
      </c>
      <c r="GY43" s="62" t="e">
        <f t="shared" si="38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39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projet'!$B$18,Paramètres!$A$1:$I$88,7,0))</f>
        <v>0</v>
      </c>
      <c r="HE43" s="17">
        <f>IF(ISNA(VLOOKUP(A43,'Données projet'!$A$269:$I$289,6,0)),0%,VLOOKUP(A43,'Données projet'!$A$269:$I$289,6,0)*VLOOKUP('Données projet'!$B$18,Paramètres!$A$1:$I$88,7,0))</f>
        <v>0</v>
      </c>
      <c r="HF43" s="17">
        <f>IF(ISNA(VLOOKUP(A43,'Données projet'!$A$269:$I$289,7,0)),0%,VLOOKUP(A43,'Données projet'!$A$269:$I$289,7,0))</f>
        <v>0</v>
      </c>
      <c r="HG43" s="23">
        <f>EXP(-LN(2)/35)*HG42+(1-EXP(-LN(2)/35))/(LN(2)/35)*HC43*HD43*VLOOKUP('Données projet'!$B$9,Paramètres!$A$1:$I$88,3,0)*0.475*44/12</f>
        <v>0</v>
      </c>
      <c r="HH43" s="23">
        <f>EXP(-LN(2)/25)*HH42+(1-EXP(-LN(2)/25))/(LN(2)/25)*Calculateur!HC43*Calculateur!HE43*VLOOKUP('Données projet'!$B$9,Paramètres!$A$1:$I$88,3,0)*0.475*44/12</f>
        <v>0</v>
      </c>
      <c r="HI43" s="23">
        <f>EXP(-LN(2)/2)*HI42+(1-EXP(-LN(2)/2))/(LN(2)/2)*HC43*HF43*VLOOKUP('Données projet'!$B$9,Paramètres!$A$1:$I$88,3,0)*0.475*44/12</f>
        <v>0</v>
      </c>
      <c r="HJ43" s="24">
        <f t="shared" si="40"/>
        <v>0</v>
      </c>
    </row>
    <row r="44" spans="1:218" s="5" customFormat="1" x14ac:dyDescent="0.25">
      <c r="A44" s="11">
        <f t="shared" si="4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4" s="12">
        <f t="shared" si="4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135.66666666666666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1.8720833333333331</v>
      </c>
      <c r="N44" s="14">
        <f>IF(A44&lt;'Données projet'!$A$36,$K$205^A44,IF(A44='Données projet'!$A$36,'Données projet'!$B$36,N43+M44-V43))</f>
        <v>57.538750000000007</v>
      </c>
      <c r="O44" s="14">
        <f>N44*VLOOKUP('Données projet'!$B$9,Paramètres!$A$1:$I$88,3,0)*VLOOKUP('Données projet'!$B$9,Paramètres!$A$1:$I$88,5,0)</f>
        <v>66.28464000000001</v>
      </c>
      <c r="P44" s="14">
        <f t="shared" si="43"/>
        <v>18.747894674998243</v>
      </c>
      <c r="Q44" s="22">
        <f t="shared" si="53"/>
        <v>148.09833122562196</v>
      </c>
      <c r="R44" s="62">
        <f t="shared" si="0"/>
        <v>373.44108607593461</v>
      </c>
      <c r="S44" s="62">
        <f ca="1">AVERAGE(OFFSET($R$3,0,0,'Données projet'!$E$9+1,1))-AVERAGE(OFFSET($H$3,0,0,'Données projet'!$E$9+1,1))</f>
        <v>314.72063458462026</v>
      </c>
      <c r="T44" s="62">
        <f t="shared" si="3"/>
        <v>216.4380325968244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projet'!$B$9,Paramètres!$A$1:$I$88,7,0))</f>
        <v>0</v>
      </c>
      <c r="X44" s="17">
        <f>IF(ISNA(VLOOKUP(A44,'Données projet'!$A$35:$I$55,6,0)),0%,VLOOKUP(A44,'Données projet'!$A$35:$I$55,6,0)*VLOOKUP('Données projet'!$B$9,Paramètres!$A$1:$I$88,7,0))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projet'!$B$9,Paramètres!$A$1:$I$88,3,0)*0.475*44/12</f>
        <v>0</v>
      </c>
      <c r="AA44" s="23">
        <f>EXP(-LN(2)/25)*AA43+(1-EXP(-LN(2)/25))/(LN(2)/25)*Calculateur!V44*Calculateur!X44*VLOOKUP('Données projet'!$B$9,Paramètres!$A$1:$I$88,3,0)*0.475*44/12</f>
        <v>0</v>
      </c>
      <c r="AB44" s="23">
        <f>EXP(-LN(2)/2)*AB43+(1-EXP(-LN(2)/2))/(LN(2)/2)*V44*Y44*VLOOKUP('Données projet'!$B$9,Paramètres!$A$1:$I$88,3,0)*0.475*44/12</f>
        <v>0</v>
      </c>
      <c r="AC44" s="24">
        <f t="shared" si="4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5.6</v>
      </c>
      <c r="AI44" s="14">
        <f>IF(A44&lt;'Données projet'!$A$62,$AF$205^A44,IF(A44='Données projet'!$A$62,'Données projet'!$B$62,AI43+AH44-AQ43))</f>
        <v>105.60000000000001</v>
      </c>
      <c r="AJ44" s="14">
        <f>AI44*VLOOKUP('Données projet'!$B$10,Paramètres!$A$1:$I$88,3,0)*VLOOKUP('Données projet'!$B$10,Paramètres!$A$1:$I$88,5,0)</f>
        <v>110.37312000000001</v>
      </c>
      <c r="AK44" s="14">
        <f t="shared" si="44"/>
        <v>29.418877221958358</v>
      </c>
      <c r="AL44" s="22">
        <f t="shared" si="5"/>
        <v>243.47106182824416</v>
      </c>
      <c r="AM44" s="62">
        <f t="shared" si="6"/>
        <v>468.8138166785568</v>
      </c>
      <c r="AN44" s="62">
        <f ca="1">AVERAGE(OFFSET($AM$3,0,0,'Données projet'!$E$10+1,1))-AVERAGE(OFFSET($H$3,0,0,'Données projet'!$E$10+1,1))</f>
        <v>458.33072853676879</v>
      </c>
      <c r="AO44" s="62">
        <f t="shared" si="7"/>
        <v>254.1734169352687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projet'!$B$10,Paramètres!$A$1:$I$88,7,0))</f>
        <v>0</v>
      </c>
      <c r="AS44" s="17">
        <f>IF(ISNA(VLOOKUP(A44,'Données projet'!$A$61:$I$81,6,0)),0%,VLOOKUP(A44,'Données projet'!$A$61:$I$81,6,0)*VLOOKUP('Données projet'!$B$10,Paramètres!$A$1:$I$88,7,0))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projet'!$B$9,Paramètres!$A$1:$I$88,3,0)*0.475*44/12</f>
        <v>0</v>
      </c>
      <c r="AV44" s="23">
        <f>EXP(-LN(2)/25)*AV43+(1-EXP(-LN(2)/25))/(LN(2)/25)*Calculateur!AQ44*Calculateur!AS44*VLOOKUP('Données projet'!$B$9,Paramètres!$A$1:$I$88,3,0)*0.475*44/12</f>
        <v>0</v>
      </c>
      <c r="AW44" s="23">
        <f>EXP(-LN(2)/2)*AW43+(1-EXP(-LN(2)/2))/(LN(2)/2)*AQ44*AT44*VLOOKUP('Données projet'!$B$9,Paramètres!$A$1:$I$88,3,0)*0.475*44/12</f>
        <v>0</v>
      </c>
      <c r="AX44" s="23">
        <f t="shared" si="8"/>
        <v>0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5.6</v>
      </c>
      <c r="BD44" s="13">
        <f>IF(A44&lt;'Données projet'!$A$88,$BA$205^A44,IF(A44='Données projet'!$A$88,'Données projet'!$B$88,BD43+BC44-BL43))</f>
        <v>105.60000000000001</v>
      </c>
      <c r="BE44" s="14">
        <f>BD44*VLOOKUP('Données projet'!$B$11,Paramètres!$A$1:$I$88,3,0)*VLOOKUP('Données projet'!$B$11,Paramètres!$A$1:$I$88,5,0)</f>
        <v>107.07840000000003</v>
      </c>
      <c r="BF44" s="14">
        <f t="shared" si="45"/>
        <v>28.641558109101805</v>
      </c>
      <c r="BG44" s="22">
        <f t="shared" si="9"/>
        <v>236.37892704001902</v>
      </c>
      <c r="BH44" s="62">
        <f t="shared" si="10"/>
        <v>461.72168189033164</v>
      </c>
      <c r="BI44" s="62">
        <f ca="1">AVERAGE(OFFSET($BH$3,0,0,'Données projet'!$E$11+1,1))-AVERAGE(OFFSET($H$3,0,0,'Données projet'!$E$11+1,1))</f>
        <v>447.82618173893104</v>
      </c>
      <c r="BJ44" s="62">
        <f t="shared" si="11"/>
        <v>248.96509970783379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projet'!$B$11,Paramètres!$A$1:$I$88,7,0))</f>
        <v>0</v>
      </c>
      <c r="BN44" s="17">
        <f>IF(ISNA(VLOOKUP(A44,'Données projet'!$A$87:$I$107,6,0)),0%,VLOOKUP(A44,'Données projet'!$A$87:$I$107,6,0)*VLOOKUP('Données projet'!$B$11,Paramètres!$A$1:$I$88,7,0))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projet'!$B$9,Paramètres!$A$1:$I$88,3,0)*0.475*44/12</f>
        <v>0</v>
      </c>
      <c r="BQ44" s="23">
        <f>EXP(-LN(2)/25)*BQ43+(1-EXP(-LN(2)/25))/(LN(2)/25)*Calculateur!BL44*Calculateur!BN44*VLOOKUP('Données projet'!$B$9,Paramètres!$A$1:$I$88,3,0)*0.475*44/12</f>
        <v>0</v>
      </c>
      <c r="BR44" s="23">
        <f>EXP(-LN(2)/2)*BR43+(1-EXP(-LN(2)/2))/(LN(2)/2)*BL44*BO44*VLOOKUP('Données projet'!$B$9,Paramètres!$A$1:$I$88,3,0)*0.475*44/12</f>
        <v>0</v>
      </c>
      <c r="BS44" s="24">
        <f t="shared" si="12"/>
        <v>0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5.6</v>
      </c>
      <c r="BY44" s="13">
        <f>IF(A44&lt;'Données projet'!$A$114,$BV$205^A44,IF(A44='Données projet'!$A$114,'Données projet'!$B$114,BY43+BX44-CG43))</f>
        <v>105.60000000000001</v>
      </c>
      <c r="BZ44" s="14">
        <f>BY44*VLOOKUP('Données projet'!$B$12,Paramètres!$A$1:$I$88,3,0)*VLOOKUP('Données projet'!$B$12,Paramètres!$A$1:$I$88,5,0)</f>
        <v>113.66784000000001</v>
      </c>
      <c r="CA44" s="14">
        <f t="shared" si="46"/>
        <v>30.193499704668234</v>
      </c>
      <c r="CB44" s="22">
        <f t="shared" si="13"/>
        <v>250.5584999856305</v>
      </c>
      <c r="CC44" s="62">
        <f t="shared" si="14"/>
        <v>475.90125483594318</v>
      </c>
      <c r="CD44" s="62">
        <f ca="1">AVERAGE(OFFSET($CC$3,0,0,'Données projet'!$E$12+1,1))-AVERAGE(OFFSET($H$3,0,0,'Données projet'!$E$12+1,1))</f>
        <v>468.82871618425406</v>
      </c>
      <c r="CE44" s="62">
        <f t="shared" si="15"/>
        <v>259.37818128554397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projet'!$B$12,Paramètres!$A$1:$I$88,7,0))</f>
        <v>0</v>
      </c>
      <c r="CI44" s="17">
        <f>IF(ISNA(VLOOKUP(A44,'Données projet'!$A$113:$I$133,6,0)),0%,VLOOKUP(A44,'Données projet'!$A$113:$I$133,6,0)*VLOOKUP('Données projet'!$B$12,Paramètres!$A$1:$I$88,7,0))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projet'!$B$9,Paramètres!$A$1:$I$88,3,0)*0.475*44/12</f>
        <v>0</v>
      </c>
      <c r="CL44" s="23">
        <f>EXP(-LN(2)/25)*CL43+(1-EXP(-LN(2)/25))/(LN(2)/25)*Calculateur!CG44*Calculateur!CI44*VLOOKUP('Données projet'!$B$9,Paramètres!$A$1:$I$88,3,0)*0.475*44/12</f>
        <v>0</v>
      </c>
      <c r="CM44" s="23">
        <f>EXP(-LN(2)/2)*CM43+(1-EXP(-LN(2)/2))/(LN(2)/2)*CG44*CJ44*VLOOKUP('Données projet'!$B$9,Paramètres!$A$1:$I$88,3,0)*0.475*44/12</f>
        <v>0</v>
      </c>
      <c r="CN44" s="24">
        <f t="shared" si="16"/>
        <v>0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5.6</v>
      </c>
      <c r="CT44" s="13">
        <f>IF(A44&lt;'Données projet'!$A$140,$CQ$205^A44,IF(A44='Données projet'!$A$140,'Données projet'!$B$140,CT43+CS44-DB43))</f>
        <v>105.60000000000001</v>
      </c>
      <c r="CU44" s="18">
        <f>CT44*VLOOKUP('Données projet'!$B$13,Paramètres!$A$1:$I$88,3,0)*VLOOKUP('Données projet'!$B$13,Paramètres!$A$1:$I$88,5,0)</f>
        <v>90.604800000000026</v>
      </c>
      <c r="CV44" s="14">
        <f t="shared" si="47"/>
        <v>24.711031284832952</v>
      </c>
      <c r="CW44" s="22">
        <f t="shared" si="17"/>
        <v>200.84173948775074</v>
      </c>
      <c r="CX44" s="62">
        <f t="shared" si="18"/>
        <v>426.18449433806336</v>
      </c>
      <c r="CY44" s="62">
        <f ca="1">AVERAGE(OFFSET($CX$3,0,0,'Données projet'!$E$13+1,1))-AVERAGE(OFFSET($H$3,0,0,'Données projet'!$E$13+1,1))</f>
        <v>395.19659151668884</v>
      </c>
      <c r="CZ44" s="62">
        <f t="shared" si="19"/>
        <v>222.86563304507339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projet'!$B$13,Paramètres!$A$1:$I$88,7,0))</f>
        <v>0</v>
      </c>
      <c r="DD44" s="17">
        <f>IF(ISNA(VLOOKUP(A44,'Données projet'!$A$139:$I$159,6,0)),0%,VLOOKUP(A44,'Données projet'!$A$139:$I$159,6,0)*VLOOKUP('Données projet'!$B$13,Paramètres!$A$1:$I$88,7,0))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projet'!$B$9,Paramètres!$A$1:$I$88,3,0)*0.475*44/12</f>
        <v>0</v>
      </c>
      <c r="DG44" s="23">
        <f>EXP(-LN(2)/25)*DG43+(1-EXP(-LN(2)/25))/(LN(2)/25)*Calculateur!DB44*Calculateur!DD44*VLOOKUP('Données projet'!$B$9,Paramètres!$A$1:$I$88,3,0)*0.475*44/12</f>
        <v>0</v>
      </c>
      <c r="DH44" s="23">
        <f>EXP(-LN(2)/2)*DH43+(1-EXP(-LN(2)/2))/(LN(2)/2)*DB44*DE44*VLOOKUP('Données projet'!$B$9,Paramètres!$A$1:$I$88,3,0)*0.475*44/12</f>
        <v>0</v>
      </c>
      <c r="DI44" s="24">
        <f t="shared" si="20"/>
        <v>0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4.5999999999999996</v>
      </c>
      <c r="DO44" s="13">
        <f>IF(A44&lt;'Données projet'!$A$166,$DL$205^A44,IF(A44='Données projet'!$A$166,'Données projet'!$B$166,DO43+DN44-DW43))</f>
        <v>45.599999999999994</v>
      </c>
      <c r="DP44" s="18">
        <f>DO44*VLOOKUP('Données projet'!$B$14,Paramètres!$A$1:$I$88,3,0)*VLOOKUP('Données projet'!$B$14,Paramètres!$A$1:$I$88,5,0)</f>
        <v>26.676000000000002</v>
      </c>
      <c r="DQ44" s="14">
        <f t="shared" si="48"/>
        <v>8.3882684956477913</v>
      </c>
      <c r="DR44" s="22">
        <f t="shared" si="21"/>
        <v>61.070267629919897</v>
      </c>
      <c r="DS44" s="62">
        <f t="shared" si="22"/>
        <v>286.41302248023254</v>
      </c>
      <c r="DT44" s="62">
        <f ca="1">AVERAGE(OFFSET($DS$3,0,0,'Données projet'!$E$14+1,1))-AVERAGE(OFFSET($H$3,0,0,'Données projet'!$E$14+1,1))</f>
        <v>155.18073137151848</v>
      </c>
      <c r="DU44" s="62">
        <f t="shared" si="23"/>
        <v>115.19459155667272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projet'!$B$14,Paramètres!$A$1:$I$88,7,0))</f>
        <v>0</v>
      </c>
      <c r="DY44" s="17">
        <f>IF(ISNA(VLOOKUP(A44,'Données projet'!$A$165:$I$185,6,0)),0%,VLOOKUP(A44,'Données projet'!$A$165:$I$185,6,0)*VLOOKUP('Données projet'!$B$14,Paramètres!$A$1:$I$88,7,0))</f>
        <v>0</v>
      </c>
      <c r="DZ44" s="17">
        <f>IF(ISNA(VLOOKUP(A44,'Données projet'!$A$165:$I$185,7,0)),0%,VLOOKUP(A44,'Données projet'!$A$165:$I$185,7,0))</f>
        <v>0</v>
      </c>
      <c r="EA44" s="23">
        <f>EXP(-LN(2)/35)*EA43+(1-EXP(-LN(2)/35))/(LN(2)/35)*DW44*DX44*VLOOKUP('Données projet'!$B$9,Paramètres!$A$1:$I$88,3,0)*0.475*44/12</f>
        <v>0</v>
      </c>
      <c r="EB44" s="23">
        <f>EXP(-LN(2)/25)*EB43+(1-EXP(-LN(2)/25))/(LN(2)/25)*Calculateur!DW44*Calculateur!DY44*VLOOKUP('Données projet'!$B$9,Paramètres!$A$1:$I$88,3,0)*0.475*44/12</f>
        <v>0</v>
      </c>
      <c r="EC44" s="23">
        <f>EXP(-LN(2)/2)*EC43+(1-EXP(-LN(2)/2))/(LN(2)/2)*DW44*DZ44*VLOOKUP('Données projet'!$B$9,Paramètres!$A$1:$I$88,3,0)*0.475*44/12</f>
        <v>0</v>
      </c>
      <c r="ED44" s="24">
        <f t="shared" si="24"/>
        <v>0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3.25</v>
      </c>
      <c r="EJ44" s="13">
        <f>IF(A44&lt;'Données projet'!$A$192,$EG$205^A44,IF(A44='Données projet'!$A$192,'Données projet'!$B$192,EJ43+EI44-ER43))</f>
        <v>36.716137232244172</v>
      </c>
      <c r="EK44" s="18">
        <f>EJ44*VLOOKUP('Données projet'!$B$15,Paramètres!$A$1:$I$88,3,0)*VLOOKUP('Données projet'!$B$15,Paramètres!$A$1:$I$88,5,0)</f>
        <v>17.183152224690271</v>
      </c>
      <c r="EL44" s="14">
        <f t="shared" si="49"/>
        <v>5.6870746911028274</v>
      </c>
      <c r="EM44" s="22">
        <f t="shared" si="25"/>
        <v>39.832311878339645</v>
      </c>
      <c r="EN44" s="62">
        <f t="shared" si="26"/>
        <v>265.17506672865227</v>
      </c>
      <c r="EO44" s="62">
        <f ca="1">AVERAGE(OFFSET($EN$3,0,0,'Données projet'!$E$15+1,1))-AVERAGE(OFFSET($H$3,0,0,'Données projet'!$E$15+1,1))</f>
        <v>238.59014604384171</v>
      </c>
      <c r="EP44" s="62">
        <f t="shared" si="27"/>
        <v>90.841373219575217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projet'!$B$15,Paramètres!$A$1:$I$88,7,0))</f>
        <v>0</v>
      </c>
      <c r="ET44" s="17">
        <f>IF(ISNA(VLOOKUP(A44,'Données projet'!$A$191:$I$211,6,0)),0%,VLOOKUP(A44,'Données projet'!$A$191:$I$211,6,0)*VLOOKUP('Données projet'!$B$15,Paramètres!$A$1:$I$88,7,0))</f>
        <v>0</v>
      </c>
      <c r="EU44" s="17">
        <f>IF(ISNA(VLOOKUP(A44,'Données projet'!$A$191:$I$211,7,0)),0%,VLOOKUP(A44,'Données projet'!$A$191:$I$211,7,0))</f>
        <v>0</v>
      </c>
      <c r="EV44" s="23">
        <f>EXP(-LN(2)/35)*EV43+(1-EXP(-LN(2)/35))/(LN(2)/35)*ER44*ES44*VLOOKUP('Données projet'!$B$9,Paramètres!$A$1:$I$88,3,0)*0.475*44/12</f>
        <v>0</v>
      </c>
      <c r="EW44" s="23">
        <f>EXP(-LN(2)/25)*EW43+(1-EXP(-LN(2)/25))/(LN(2)/25)*Calculateur!ER44*Calculateur!ET44*VLOOKUP('Données projet'!$B$9,Paramètres!$A$1:$I$88,3,0)*0.475*44/12</f>
        <v>0</v>
      </c>
      <c r="EX44" s="23">
        <f>EXP(-LN(2)/2)*EX43+(1-EXP(-LN(2)/2))/(LN(2)/2)*ER44*EU44*VLOOKUP('Données projet'!$B$9,Paramètres!$A$1:$I$88,3,0)*0.475*44/12</f>
        <v>0</v>
      </c>
      <c r="EY44" s="24">
        <f t="shared" si="28"/>
        <v>0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IF(A44&lt;'Données projet'!$A$218,$FB$205^A44,IF(A44='Données projet'!$A$218,'Données projet'!$B$218,FE43+FD44-FM43))</f>
        <v>0</v>
      </c>
      <c r="FF44" s="18" t="e">
        <f>FE44*VLOOKUP('Données projet'!$B$16,Paramètres!$A$1:$I$88,3,0)*VLOOKUP('Données projet'!$B$16,Paramètres!$A$1:$I$88,5,0)</f>
        <v>#N/A</v>
      </c>
      <c r="FG44" s="14" t="e">
        <f t="shared" si="50"/>
        <v>#N/A</v>
      </c>
      <c r="FH44" s="22" t="e">
        <f t="shared" si="29"/>
        <v>#N/A</v>
      </c>
      <c r="FI44" s="62" t="e">
        <f t="shared" si="30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31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projet'!$B$16,Paramètres!$A$1:$I$88,7,0))</f>
        <v>0</v>
      </c>
      <c r="FO44" s="17">
        <f>IF(ISNA(VLOOKUP(A44,'Données projet'!$A$217:$I$237,6,0)),0%,VLOOKUP(A44,'Données projet'!$A$217:$I$237,6,0)*VLOOKUP('Données projet'!$B$16,Paramètres!$A$1:$I$88,7,0))</f>
        <v>0</v>
      </c>
      <c r="FP44" s="17">
        <f>IF(ISNA(VLOOKUP(A44,'Données projet'!$A$217:$I$237,7,0)),0%,VLOOKUP(A44,'Données projet'!$A$217:$I$237,7,0))</f>
        <v>0</v>
      </c>
      <c r="FQ44" s="23">
        <f>EXP(-LN(2)/35)*FQ43+(1-EXP(-LN(2)/35))/(LN(2)/35)*FM44*FN44*VLOOKUP('Données projet'!$B$9,Paramètres!$A$1:$I$88,3,0)*0.475*44/12</f>
        <v>0</v>
      </c>
      <c r="FR44" s="23">
        <f>EXP(-LN(2)/25)*FR43+(1-EXP(-LN(2)/25))/(LN(2)/25)*Calculateur!FM44*Calculateur!FO44*VLOOKUP('Données projet'!$B$9,Paramètres!$A$1:$I$88,3,0)*0.475*44/12</f>
        <v>0</v>
      </c>
      <c r="FS44" s="23">
        <f>EXP(-LN(2)/2)*FS43+(1-EXP(-LN(2)/2))/(LN(2)/2)*FM44*FP44*VLOOKUP('Données projet'!$B$9,Paramètres!$A$1:$I$88,3,0)*0.475*44/12</f>
        <v>0</v>
      </c>
      <c r="FT44" s="24">
        <f t="shared" si="32"/>
        <v>0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IF(A44&lt;'Données projet'!$A$244,$FW$205^A44,IF(A44='Données projet'!$A$244,'Données projet'!$B$244,FZ43+FY44-GH43))</f>
        <v>0</v>
      </c>
      <c r="GA44" s="18" t="e">
        <f>FZ44*VLOOKUP('Données projet'!$B$17,Paramètres!$A$1:$I$88,3,0)*VLOOKUP('Données projet'!$B$17,Paramètres!$A$1:$I$88,5,0)</f>
        <v>#N/A</v>
      </c>
      <c r="GB44" s="14" t="e">
        <f t="shared" si="51"/>
        <v>#N/A</v>
      </c>
      <c r="GC44" s="22" t="e">
        <f t="shared" si="33"/>
        <v>#N/A</v>
      </c>
      <c r="GD44" s="62" t="e">
        <f t="shared" si="34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35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projet'!$B$17,Paramètres!$A$1:$I$88,7,0))</f>
        <v>0</v>
      </c>
      <c r="GJ44" s="17">
        <f>IF(ISNA(VLOOKUP(A44,'Données projet'!$A$243:$I$263,6,0)),0%,VLOOKUP(A44,'Données projet'!$A$243:$I$263,6,0)*VLOOKUP('Données projet'!$B$17,Paramètres!$A$1:$I$88,7,0))</f>
        <v>0</v>
      </c>
      <c r="GK44" s="17">
        <f>IF(ISNA(VLOOKUP(A44,'Données projet'!$A$243:$I$263,7,0)),0%,VLOOKUP(A44,'Données projet'!$A$243:$I$263,7,0))</f>
        <v>0</v>
      </c>
      <c r="GL44" s="23">
        <f>EXP(-LN(2)/35)*GL43+(1-EXP(-LN(2)/35))/(LN(2)/35)*GH44*GI44*VLOOKUP('Données projet'!$B$9,Paramètres!$A$1:$I$88,3,0)*0.475*44/12</f>
        <v>0</v>
      </c>
      <c r="GM44" s="23">
        <f>EXP(-LN(2)/25)*GM43+(1-EXP(-LN(2)/25))/(LN(2)/25)*Calculateur!GH44*Calculateur!GJ44*VLOOKUP('Données projet'!$B$9,Paramètres!$A$1:$I$88,3,0)*0.475*44/12</f>
        <v>0</v>
      </c>
      <c r="GN44" s="23">
        <f>EXP(-LN(2)/2)*GN43+(1-EXP(-LN(2)/2))/(LN(2)/2)*GH44*GK44*VLOOKUP('Données projet'!$B$9,Paramètres!$A$1:$I$88,3,0)*0.475*44/12</f>
        <v>0</v>
      </c>
      <c r="GO44" s="23">
        <f t="shared" si="36"/>
        <v>0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IF(A44&lt;'Données projet'!$A$270,$GR$205^A44,IF(A44='Données projet'!$A$270,'Données projet'!$B$270,GU43+GT44-HC43))</f>
        <v>0</v>
      </c>
      <c r="GV44" s="18" t="e">
        <f>GU44*VLOOKUP('Données projet'!$B$18,Paramètres!$A$1:$I$88,3,0)*VLOOKUP('Données projet'!$B$18,Paramètres!$A$1:$I$88,5,0)</f>
        <v>#N/A</v>
      </c>
      <c r="GW44" s="14" t="e">
        <f t="shared" si="52"/>
        <v>#N/A</v>
      </c>
      <c r="GX44" s="22" t="e">
        <f t="shared" si="37"/>
        <v>#N/A</v>
      </c>
      <c r="GY44" s="62" t="e">
        <f t="shared" si="38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39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projet'!$B$18,Paramètres!$A$1:$I$88,7,0))</f>
        <v>0</v>
      </c>
      <c r="HE44" s="17">
        <f>IF(ISNA(VLOOKUP(A44,'Données projet'!$A$269:$I$289,6,0)),0%,VLOOKUP(A44,'Données projet'!$A$269:$I$289,6,0)*VLOOKUP('Données projet'!$B$18,Paramètres!$A$1:$I$88,7,0))</f>
        <v>0</v>
      </c>
      <c r="HF44" s="17">
        <f>IF(ISNA(VLOOKUP(A44,'Données projet'!$A$269:$I$289,7,0)),0%,VLOOKUP(A44,'Données projet'!$A$269:$I$289,7,0))</f>
        <v>0</v>
      </c>
      <c r="HG44" s="23">
        <f>EXP(-LN(2)/35)*HG43+(1-EXP(-LN(2)/35))/(LN(2)/35)*HC44*HD44*VLOOKUP('Données projet'!$B$9,Paramètres!$A$1:$I$88,3,0)*0.475*44/12</f>
        <v>0</v>
      </c>
      <c r="HH44" s="23">
        <f>EXP(-LN(2)/25)*HH43+(1-EXP(-LN(2)/25))/(LN(2)/25)*Calculateur!HC44*Calculateur!HE44*VLOOKUP('Données projet'!$B$9,Paramètres!$A$1:$I$88,3,0)*0.475*44/12</f>
        <v>0</v>
      </c>
      <c r="HI44" s="23">
        <f>EXP(-LN(2)/2)*HI43+(1-EXP(-LN(2)/2))/(LN(2)/2)*HC44*HF44*VLOOKUP('Données projet'!$B$9,Paramètres!$A$1:$I$88,3,0)*0.475*44/12</f>
        <v>0</v>
      </c>
      <c r="HJ44" s="24">
        <f t="shared" si="40"/>
        <v>0</v>
      </c>
    </row>
    <row r="45" spans="1:218" s="5" customFormat="1" x14ac:dyDescent="0.25">
      <c r="A45" s="11">
        <f t="shared" si="4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5" s="12">
        <f t="shared" si="4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135.66666666666666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1.8720833333333331</v>
      </c>
      <c r="N45" s="14">
        <f>IF(A45&lt;'Données projet'!$A$36,$K$205^A45,IF(A45='Données projet'!$A$36,'Données projet'!$B$36,N44+M45-V44))</f>
        <v>59.410833333333343</v>
      </c>
      <c r="O45" s="14">
        <f>N45*VLOOKUP('Données projet'!$B$9,Paramètres!$A$1:$I$88,3,0)*VLOOKUP('Données projet'!$B$9,Paramètres!$A$1:$I$88,5,0)</f>
        <v>68.441280000000006</v>
      </c>
      <c r="P45" s="14">
        <f t="shared" si="43"/>
        <v>19.285866604126806</v>
      </c>
      <c r="Q45" s="22">
        <f t="shared" si="53"/>
        <v>152.79144700218751</v>
      </c>
      <c r="R45" s="62">
        <f t="shared" si="0"/>
        <v>379.31368638501897</v>
      </c>
      <c r="S45" s="62">
        <f ca="1">AVERAGE(OFFSET($R$3,0,0,'Données projet'!$E$9+1,1))-AVERAGE(OFFSET($H$3,0,0,'Données projet'!$E$9+1,1))</f>
        <v>314.72063458462026</v>
      </c>
      <c r="T45" s="62">
        <f t="shared" si="3"/>
        <v>216.4380325968244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projet'!$B$9,Paramètres!$A$1:$I$88,7,0))</f>
        <v>0</v>
      </c>
      <c r="X45" s="17">
        <f>IF(ISNA(VLOOKUP(A45,'Données projet'!$A$35:$I$55,6,0)),0%,VLOOKUP(A45,'Données projet'!$A$35:$I$55,6,0)*VLOOKUP('Données projet'!$B$9,Paramètres!$A$1:$I$88,7,0))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projet'!$B$9,Paramètres!$A$1:$I$88,3,0)*0.475*44/12</f>
        <v>0</v>
      </c>
      <c r="AA45" s="23">
        <f>EXP(-LN(2)/25)*AA44+(1-EXP(-LN(2)/25))/(LN(2)/25)*Calculateur!V45*Calculateur!X45*VLOOKUP('Données projet'!$B$9,Paramètres!$A$1:$I$88,3,0)*0.475*44/12</f>
        <v>0</v>
      </c>
      <c r="AB45" s="23">
        <f>EXP(-LN(2)/2)*AB44+(1-EXP(-LN(2)/2))/(LN(2)/2)*V45*Y45*VLOOKUP('Données projet'!$B$9,Paramètres!$A$1:$I$88,3,0)*0.475*44/12</f>
        <v>0</v>
      </c>
      <c r="AC45" s="24">
        <f t="shared" si="4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5.6</v>
      </c>
      <c r="AI45" s="14">
        <f>IF(A45&lt;'Données projet'!$A$62,$AF$205^A45,IF(A45='Données projet'!$A$62,'Données projet'!$B$62,AI44+AH45-AQ44))</f>
        <v>111.2</v>
      </c>
      <c r="AJ45" s="14">
        <f>AI45*VLOOKUP('Données projet'!$B$10,Paramètres!$A$1:$I$88,3,0)*VLOOKUP('Données projet'!$B$10,Paramètres!$A$1:$I$88,5,0)</f>
        <v>116.22624000000002</v>
      </c>
      <c r="AK45" s="14">
        <f t="shared" si="44"/>
        <v>30.793201626219972</v>
      </c>
      <c r="AL45" s="22">
        <f t="shared" si="5"/>
        <v>256.05886083233315</v>
      </c>
      <c r="AM45" s="62">
        <f t="shared" si="6"/>
        <v>482.58110021516461</v>
      </c>
      <c r="AN45" s="62">
        <f ca="1">AVERAGE(OFFSET($AM$3,0,0,'Données projet'!$E$10+1,1))-AVERAGE(OFFSET($H$3,0,0,'Données projet'!$E$10+1,1))</f>
        <v>458.33072853676879</v>
      </c>
      <c r="AO45" s="62">
        <f t="shared" si="7"/>
        <v>254.1734169352687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projet'!$B$10,Paramètres!$A$1:$I$88,7,0))</f>
        <v>0</v>
      </c>
      <c r="AS45" s="17">
        <f>IF(ISNA(VLOOKUP(A45,'Données projet'!$A$61:$I$81,6,0)),0%,VLOOKUP(A45,'Données projet'!$A$61:$I$81,6,0)*VLOOKUP('Données projet'!$B$10,Paramètres!$A$1:$I$88,7,0))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projet'!$B$9,Paramètres!$A$1:$I$88,3,0)*0.475*44/12</f>
        <v>0</v>
      </c>
      <c r="AV45" s="23">
        <f>EXP(-LN(2)/25)*AV44+(1-EXP(-LN(2)/25))/(LN(2)/25)*Calculateur!AQ45*Calculateur!AS45*VLOOKUP('Données projet'!$B$9,Paramètres!$A$1:$I$88,3,0)*0.475*44/12</f>
        <v>0</v>
      </c>
      <c r="AW45" s="23">
        <f>EXP(-LN(2)/2)*AW44+(1-EXP(-LN(2)/2))/(LN(2)/2)*AQ45*AT45*VLOOKUP('Données projet'!$B$9,Paramètres!$A$1:$I$88,3,0)*0.475*44/12</f>
        <v>0</v>
      </c>
      <c r="AX45" s="23">
        <f t="shared" si="8"/>
        <v>0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5.6</v>
      </c>
      <c r="BD45" s="13">
        <f>IF(A45&lt;'Données projet'!$A$88,$BA$205^A45,IF(A45='Données projet'!$A$88,'Données projet'!$B$88,BD44+BC45-BL44))</f>
        <v>111.2</v>
      </c>
      <c r="BE45" s="14">
        <f>BD45*VLOOKUP('Données projet'!$B$11,Paramètres!$A$1:$I$88,3,0)*VLOOKUP('Données projet'!$B$11,Paramètres!$A$1:$I$88,5,0)</f>
        <v>112.75680000000001</v>
      </c>
      <c r="BF45" s="14">
        <f t="shared" si="45"/>
        <v>29.979569481474474</v>
      </c>
      <c r="BG45" s="22">
        <f t="shared" si="9"/>
        <v>248.59917684690143</v>
      </c>
      <c r="BH45" s="62">
        <f t="shared" si="10"/>
        <v>475.12141622973286</v>
      </c>
      <c r="BI45" s="62">
        <f ca="1">AVERAGE(OFFSET($BH$3,0,0,'Données projet'!$E$11+1,1))-AVERAGE(OFFSET($H$3,0,0,'Données projet'!$E$11+1,1))</f>
        <v>447.82618173893104</v>
      </c>
      <c r="BJ45" s="62">
        <f t="shared" si="11"/>
        <v>248.96509970783379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projet'!$B$11,Paramètres!$A$1:$I$88,7,0))</f>
        <v>0</v>
      </c>
      <c r="BN45" s="17">
        <f>IF(ISNA(VLOOKUP(A45,'Données projet'!$A$87:$I$107,6,0)),0%,VLOOKUP(A45,'Données projet'!$A$87:$I$107,6,0)*VLOOKUP('Données projet'!$B$11,Paramètres!$A$1:$I$88,7,0))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projet'!$B$9,Paramètres!$A$1:$I$88,3,0)*0.475*44/12</f>
        <v>0</v>
      </c>
      <c r="BQ45" s="23">
        <f>EXP(-LN(2)/25)*BQ44+(1-EXP(-LN(2)/25))/(LN(2)/25)*Calculateur!BL45*Calculateur!BN45*VLOOKUP('Données projet'!$B$9,Paramètres!$A$1:$I$88,3,0)*0.475*44/12</f>
        <v>0</v>
      </c>
      <c r="BR45" s="23">
        <f>EXP(-LN(2)/2)*BR44+(1-EXP(-LN(2)/2))/(LN(2)/2)*BL45*BO45*VLOOKUP('Données projet'!$B$9,Paramètres!$A$1:$I$88,3,0)*0.475*44/12</f>
        <v>0</v>
      </c>
      <c r="BS45" s="24">
        <f t="shared" si="12"/>
        <v>0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5.6</v>
      </c>
      <c r="BY45" s="13">
        <f>IF(A45&lt;'Données projet'!$A$114,$BV$205^A45,IF(A45='Données projet'!$A$114,'Données projet'!$B$114,BY44+BX45-CG44))</f>
        <v>111.2</v>
      </c>
      <c r="BZ45" s="14">
        <f>BY45*VLOOKUP('Données projet'!$B$12,Paramètres!$A$1:$I$88,3,0)*VLOOKUP('Données projet'!$B$12,Paramètres!$A$1:$I$88,5,0)</f>
        <v>119.69568</v>
      </c>
      <c r="CA45" s="14">
        <f t="shared" si="46"/>
        <v>31.604011165765694</v>
      </c>
      <c r="CB45" s="22">
        <f t="shared" si="13"/>
        <v>263.5136287803752</v>
      </c>
      <c r="CC45" s="62">
        <f t="shared" si="14"/>
        <v>490.0358681632066</v>
      </c>
      <c r="CD45" s="62">
        <f ca="1">AVERAGE(OFFSET($CC$3,0,0,'Données projet'!$E$12+1,1))-AVERAGE(OFFSET($H$3,0,0,'Données projet'!$E$12+1,1))</f>
        <v>468.82871618425406</v>
      </c>
      <c r="CE45" s="62">
        <f t="shared" si="15"/>
        <v>259.37818128554397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projet'!$B$12,Paramètres!$A$1:$I$88,7,0))</f>
        <v>0</v>
      </c>
      <c r="CI45" s="17">
        <f>IF(ISNA(VLOOKUP(A45,'Données projet'!$A$113:$I$133,6,0)),0%,VLOOKUP(A45,'Données projet'!$A$113:$I$133,6,0)*VLOOKUP('Données projet'!$B$12,Paramètres!$A$1:$I$88,7,0))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projet'!$B$9,Paramètres!$A$1:$I$88,3,0)*0.475*44/12</f>
        <v>0</v>
      </c>
      <c r="CL45" s="23">
        <f>EXP(-LN(2)/25)*CL44+(1-EXP(-LN(2)/25))/(LN(2)/25)*Calculateur!CG45*Calculateur!CI45*VLOOKUP('Données projet'!$B$9,Paramètres!$A$1:$I$88,3,0)*0.475*44/12</f>
        <v>0</v>
      </c>
      <c r="CM45" s="23">
        <f>EXP(-LN(2)/2)*CM44+(1-EXP(-LN(2)/2))/(LN(2)/2)*CG45*CJ45*VLOOKUP('Données projet'!$B$9,Paramètres!$A$1:$I$88,3,0)*0.475*44/12</f>
        <v>0</v>
      </c>
      <c r="CN45" s="24">
        <f t="shared" si="16"/>
        <v>0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5.6</v>
      </c>
      <c r="CT45" s="13">
        <f>IF(A45&lt;'Données projet'!$A$140,$CQ$205^A45,IF(A45='Données projet'!$A$140,'Données projet'!$B$140,CT44+CS45-DB44))</f>
        <v>111.2</v>
      </c>
      <c r="CU45" s="18">
        <f>CT45*VLOOKUP('Données projet'!$B$13,Paramètres!$A$1:$I$88,3,0)*VLOOKUP('Données projet'!$B$13,Paramètres!$A$1:$I$88,5,0)</f>
        <v>95.409600000000012</v>
      </c>
      <c r="CV45" s="14">
        <f t="shared" si="47"/>
        <v>25.865425216762812</v>
      </c>
      <c r="CW45" s="22">
        <f t="shared" si="17"/>
        <v>211.22066891919528</v>
      </c>
      <c r="CX45" s="62">
        <f t="shared" si="18"/>
        <v>437.74290830202671</v>
      </c>
      <c r="CY45" s="62">
        <f ca="1">AVERAGE(OFFSET($CX$3,0,0,'Données projet'!$E$13+1,1))-AVERAGE(OFFSET($H$3,0,0,'Données projet'!$E$13+1,1))</f>
        <v>395.19659151668884</v>
      </c>
      <c r="CZ45" s="62">
        <f t="shared" si="19"/>
        <v>222.86563304507339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projet'!$B$13,Paramètres!$A$1:$I$88,7,0))</f>
        <v>0</v>
      </c>
      <c r="DD45" s="17">
        <f>IF(ISNA(VLOOKUP(A45,'Données projet'!$A$139:$I$159,6,0)),0%,VLOOKUP(A45,'Données projet'!$A$139:$I$159,6,0)*VLOOKUP('Données projet'!$B$13,Paramètres!$A$1:$I$88,7,0))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projet'!$B$9,Paramètres!$A$1:$I$88,3,0)*0.475*44/12</f>
        <v>0</v>
      </c>
      <c r="DG45" s="23">
        <f>EXP(-LN(2)/25)*DG44+(1-EXP(-LN(2)/25))/(LN(2)/25)*Calculateur!DB45*Calculateur!DD45*VLOOKUP('Données projet'!$B$9,Paramètres!$A$1:$I$88,3,0)*0.475*44/12</f>
        <v>0</v>
      </c>
      <c r="DH45" s="23">
        <f>EXP(-LN(2)/2)*DH44+(1-EXP(-LN(2)/2))/(LN(2)/2)*DB45*DE45*VLOOKUP('Données projet'!$B$9,Paramètres!$A$1:$I$88,3,0)*0.475*44/12</f>
        <v>0</v>
      </c>
      <c r="DI45" s="24">
        <f t="shared" si="20"/>
        <v>0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4.5999999999999996</v>
      </c>
      <c r="DO45" s="13">
        <f>IF(A45&lt;'Données projet'!$A$166,$DL$205^A45,IF(A45='Données projet'!$A$166,'Données projet'!$B$166,DO44+DN45-DW44))</f>
        <v>50.199999999999996</v>
      </c>
      <c r="DP45" s="18">
        <f>DO45*VLOOKUP('Données projet'!$B$14,Paramètres!$A$1:$I$88,3,0)*VLOOKUP('Données projet'!$B$14,Paramètres!$A$1:$I$88,5,0)</f>
        <v>29.367000000000001</v>
      </c>
      <c r="DQ45" s="14">
        <f t="shared" si="48"/>
        <v>9.1317243330795304</v>
      </c>
      <c r="DR45" s="22">
        <f t="shared" si="21"/>
        <v>67.05194488011351</v>
      </c>
      <c r="DS45" s="62">
        <f t="shared" si="22"/>
        <v>293.57418426294493</v>
      </c>
      <c r="DT45" s="62">
        <f ca="1">AVERAGE(OFFSET($DS$3,0,0,'Données projet'!$E$14+1,1))-AVERAGE(OFFSET($H$3,0,0,'Données projet'!$E$14+1,1))</f>
        <v>155.18073137151848</v>
      </c>
      <c r="DU45" s="62">
        <f t="shared" si="23"/>
        <v>115.19459155667272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projet'!$B$14,Paramètres!$A$1:$I$88,7,0))</f>
        <v>0</v>
      </c>
      <c r="DY45" s="17">
        <f>IF(ISNA(VLOOKUP(A45,'Données projet'!$A$165:$I$185,6,0)),0%,VLOOKUP(A45,'Données projet'!$A$165:$I$185,6,0)*VLOOKUP('Données projet'!$B$14,Paramètres!$A$1:$I$88,7,0))</f>
        <v>0</v>
      </c>
      <c r="DZ45" s="17">
        <f>IF(ISNA(VLOOKUP(A45,'Données projet'!$A$165:$I$185,7,0)),0%,VLOOKUP(A45,'Données projet'!$A$165:$I$185,7,0))</f>
        <v>0</v>
      </c>
      <c r="EA45" s="23">
        <f>EXP(-LN(2)/35)*EA44+(1-EXP(-LN(2)/35))/(LN(2)/35)*DW45*DX45*VLOOKUP('Données projet'!$B$9,Paramètres!$A$1:$I$88,3,0)*0.475*44/12</f>
        <v>0</v>
      </c>
      <c r="EB45" s="23">
        <f>EXP(-LN(2)/25)*EB44+(1-EXP(-LN(2)/25))/(LN(2)/25)*Calculateur!DW45*Calculateur!DY45*VLOOKUP('Données projet'!$B$9,Paramètres!$A$1:$I$88,3,0)*0.475*44/12</f>
        <v>0</v>
      </c>
      <c r="EC45" s="23">
        <f>EXP(-LN(2)/2)*EC44+(1-EXP(-LN(2)/2))/(LN(2)/2)*DW45*DZ45*VLOOKUP('Données projet'!$B$9,Paramètres!$A$1:$I$88,3,0)*0.475*44/12</f>
        <v>0</v>
      </c>
      <c r="ED45" s="24">
        <f t="shared" si="24"/>
        <v>0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3.25</v>
      </c>
      <c r="EJ45" s="13">
        <f>IF(A45&lt;'Données projet'!$A$192,$EG$205^A45,IF(A45='Données projet'!$A$192,'Données projet'!$B$192,EJ44+EI45-ER44))</f>
        <v>40.088908137267943</v>
      </c>
      <c r="EK45" s="18">
        <f>EJ45*VLOOKUP('Données projet'!$B$15,Paramètres!$A$1:$I$88,3,0)*VLOOKUP('Données projet'!$B$15,Paramètres!$A$1:$I$88,5,0)</f>
        <v>18.761609008241397</v>
      </c>
      <c r="EL45" s="14">
        <f t="shared" si="49"/>
        <v>6.1462965210381713</v>
      </c>
      <c r="EM45" s="22">
        <f t="shared" si="25"/>
        <v>43.381268796828579</v>
      </c>
      <c r="EN45" s="62">
        <f t="shared" si="26"/>
        <v>269.90350817965998</v>
      </c>
      <c r="EO45" s="62">
        <f ca="1">AVERAGE(OFFSET($EN$3,0,0,'Données projet'!$E$15+1,1))-AVERAGE(OFFSET($H$3,0,0,'Données projet'!$E$15+1,1))</f>
        <v>238.59014604384171</v>
      </c>
      <c r="EP45" s="62">
        <f t="shared" si="27"/>
        <v>90.841373219575217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projet'!$B$15,Paramètres!$A$1:$I$88,7,0))</f>
        <v>0</v>
      </c>
      <c r="ET45" s="17">
        <f>IF(ISNA(VLOOKUP(A45,'Données projet'!$A$191:$I$211,6,0)),0%,VLOOKUP(A45,'Données projet'!$A$191:$I$211,6,0)*VLOOKUP('Données projet'!$B$15,Paramètres!$A$1:$I$88,7,0))</f>
        <v>0</v>
      </c>
      <c r="EU45" s="17">
        <f>IF(ISNA(VLOOKUP(A45,'Données projet'!$A$191:$I$211,7,0)),0%,VLOOKUP(A45,'Données projet'!$A$191:$I$211,7,0))</f>
        <v>0</v>
      </c>
      <c r="EV45" s="23">
        <f>EXP(-LN(2)/35)*EV44+(1-EXP(-LN(2)/35))/(LN(2)/35)*ER45*ES45*VLOOKUP('Données projet'!$B$9,Paramètres!$A$1:$I$88,3,0)*0.475*44/12</f>
        <v>0</v>
      </c>
      <c r="EW45" s="23">
        <f>EXP(-LN(2)/25)*EW44+(1-EXP(-LN(2)/25))/(LN(2)/25)*Calculateur!ER45*Calculateur!ET45*VLOOKUP('Données projet'!$B$9,Paramètres!$A$1:$I$88,3,0)*0.475*44/12</f>
        <v>0</v>
      </c>
      <c r="EX45" s="23">
        <f>EXP(-LN(2)/2)*EX44+(1-EXP(-LN(2)/2))/(LN(2)/2)*ER45*EU45*VLOOKUP('Données projet'!$B$9,Paramètres!$A$1:$I$88,3,0)*0.475*44/12</f>
        <v>0</v>
      </c>
      <c r="EY45" s="24">
        <f t="shared" si="28"/>
        <v>0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IF(A45&lt;'Données projet'!$A$218,$FB$205^A45,IF(A45='Données projet'!$A$218,'Données projet'!$B$218,FE44+FD45-FM44))</f>
        <v>0</v>
      </c>
      <c r="FF45" s="18" t="e">
        <f>FE45*VLOOKUP('Données projet'!$B$16,Paramètres!$A$1:$I$88,3,0)*VLOOKUP('Données projet'!$B$16,Paramètres!$A$1:$I$88,5,0)</f>
        <v>#N/A</v>
      </c>
      <c r="FG45" s="14" t="e">
        <f t="shared" si="50"/>
        <v>#N/A</v>
      </c>
      <c r="FH45" s="22" t="e">
        <f t="shared" si="29"/>
        <v>#N/A</v>
      </c>
      <c r="FI45" s="62" t="e">
        <f t="shared" si="30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31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projet'!$B$16,Paramètres!$A$1:$I$88,7,0))</f>
        <v>0</v>
      </c>
      <c r="FO45" s="17">
        <f>IF(ISNA(VLOOKUP(A45,'Données projet'!$A$217:$I$237,6,0)),0%,VLOOKUP(A45,'Données projet'!$A$217:$I$237,6,0)*VLOOKUP('Données projet'!$B$16,Paramètres!$A$1:$I$88,7,0))</f>
        <v>0</v>
      </c>
      <c r="FP45" s="17">
        <f>IF(ISNA(VLOOKUP(A45,'Données projet'!$A$217:$I$237,7,0)),0%,VLOOKUP(A45,'Données projet'!$A$217:$I$237,7,0))</f>
        <v>0</v>
      </c>
      <c r="FQ45" s="23">
        <f>EXP(-LN(2)/35)*FQ44+(1-EXP(-LN(2)/35))/(LN(2)/35)*FM45*FN45*VLOOKUP('Données projet'!$B$9,Paramètres!$A$1:$I$88,3,0)*0.475*44/12</f>
        <v>0</v>
      </c>
      <c r="FR45" s="23">
        <f>EXP(-LN(2)/25)*FR44+(1-EXP(-LN(2)/25))/(LN(2)/25)*Calculateur!FM45*Calculateur!FO45*VLOOKUP('Données projet'!$B$9,Paramètres!$A$1:$I$88,3,0)*0.475*44/12</f>
        <v>0</v>
      </c>
      <c r="FS45" s="23">
        <f>EXP(-LN(2)/2)*FS44+(1-EXP(-LN(2)/2))/(LN(2)/2)*FM45*FP45*VLOOKUP('Données projet'!$B$9,Paramètres!$A$1:$I$88,3,0)*0.475*44/12</f>
        <v>0</v>
      </c>
      <c r="FT45" s="24">
        <f t="shared" si="32"/>
        <v>0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IF(A45&lt;'Données projet'!$A$244,$FW$205^A45,IF(A45='Données projet'!$A$244,'Données projet'!$B$244,FZ44+FY45-GH44))</f>
        <v>0</v>
      </c>
      <c r="GA45" s="18" t="e">
        <f>FZ45*VLOOKUP('Données projet'!$B$17,Paramètres!$A$1:$I$88,3,0)*VLOOKUP('Données projet'!$B$17,Paramètres!$A$1:$I$88,5,0)</f>
        <v>#N/A</v>
      </c>
      <c r="GB45" s="14" t="e">
        <f t="shared" si="51"/>
        <v>#N/A</v>
      </c>
      <c r="GC45" s="22" t="e">
        <f t="shared" si="33"/>
        <v>#N/A</v>
      </c>
      <c r="GD45" s="62" t="e">
        <f t="shared" si="34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35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projet'!$B$17,Paramètres!$A$1:$I$88,7,0))</f>
        <v>0</v>
      </c>
      <c r="GJ45" s="17">
        <f>IF(ISNA(VLOOKUP(A45,'Données projet'!$A$243:$I$263,6,0)),0%,VLOOKUP(A45,'Données projet'!$A$243:$I$263,6,0)*VLOOKUP('Données projet'!$B$17,Paramètres!$A$1:$I$88,7,0))</f>
        <v>0</v>
      </c>
      <c r="GK45" s="17">
        <f>IF(ISNA(VLOOKUP(A45,'Données projet'!$A$243:$I$263,7,0)),0%,VLOOKUP(A45,'Données projet'!$A$243:$I$263,7,0))</f>
        <v>0</v>
      </c>
      <c r="GL45" s="23">
        <f>EXP(-LN(2)/35)*GL44+(1-EXP(-LN(2)/35))/(LN(2)/35)*GH45*GI45*VLOOKUP('Données projet'!$B$9,Paramètres!$A$1:$I$88,3,0)*0.475*44/12</f>
        <v>0</v>
      </c>
      <c r="GM45" s="23">
        <f>EXP(-LN(2)/25)*GM44+(1-EXP(-LN(2)/25))/(LN(2)/25)*Calculateur!GH45*Calculateur!GJ45*VLOOKUP('Données projet'!$B$9,Paramètres!$A$1:$I$88,3,0)*0.475*44/12</f>
        <v>0</v>
      </c>
      <c r="GN45" s="23">
        <f>EXP(-LN(2)/2)*GN44+(1-EXP(-LN(2)/2))/(LN(2)/2)*GH45*GK45*VLOOKUP('Données projet'!$B$9,Paramètres!$A$1:$I$88,3,0)*0.475*44/12</f>
        <v>0</v>
      </c>
      <c r="GO45" s="23">
        <f t="shared" si="36"/>
        <v>0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IF(A45&lt;'Données projet'!$A$270,$GR$205^A45,IF(A45='Données projet'!$A$270,'Données projet'!$B$270,GU44+GT45-HC44))</f>
        <v>0</v>
      </c>
      <c r="GV45" s="18" t="e">
        <f>GU45*VLOOKUP('Données projet'!$B$18,Paramètres!$A$1:$I$88,3,0)*VLOOKUP('Données projet'!$B$18,Paramètres!$A$1:$I$88,5,0)</f>
        <v>#N/A</v>
      </c>
      <c r="GW45" s="14" t="e">
        <f t="shared" si="52"/>
        <v>#N/A</v>
      </c>
      <c r="GX45" s="22" t="e">
        <f t="shared" si="37"/>
        <v>#N/A</v>
      </c>
      <c r="GY45" s="62" t="e">
        <f t="shared" si="38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39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projet'!$B$18,Paramètres!$A$1:$I$88,7,0))</f>
        <v>0</v>
      </c>
      <c r="HE45" s="17">
        <f>IF(ISNA(VLOOKUP(A45,'Données projet'!$A$269:$I$289,6,0)),0%,VLOOKUP(A45,'Données projet'!$A$269:$I$289,6,0)*VLOOKUP('Données projet'!$B$18,Paramètres!$A$1:$I$88,7,0))</f>
        <v>0</v>
      </c>
      <c r="HF45" s="17">
        <f>IF(ISNA(VLOOKUP(A45,'Données projet'!$A$269:$I$289,7,0)),0%,VLOOKUP(A45,'Données projet'!$A$269:$I$289,7,0))</f>
        <v>0</v>
      </c>
      <c r="HG45" s="23">
        <f>EXP(-LN(2)/35)*HG44+(1-EXP(-LN(2)/35))/(LN(2)/35)*HC45*HD45*VLOOKUP('Données projet'!$B$9,Paramètres!$A$1:$I$88,3,0)*0.475*44/12</f>
        <v>0</v>
      </c>
      <c r="HH45" s="23">
        <f>EXP(-LN(2)/25)*HH44+(1-EXP(-LN(2)/25))/(LN(2)/25)*Calculateur!HC45*Calculateur!HE45*VLOOKUP('Données projet'!$B$9,Paramètres!$A$1:$I$88,3,0)*0.475*44/12</f>
        <v>0</v>
      </c>
      <c r="HI45" s="23">
        <f>EXP(-LN(2)/2)*HI44+(1-EXP(-LN(2)/2))/(LN(2)/2)*HC45*HF45*VLOOKUP('Données projet'!$B$9,Paramètres!$A$1:$I$88,3,0)*0.475*44/12</f>
        <v>0</v>
      </c>
      <c r="HJ45" s="24">
        <f t="shared" si="40"/>
        <v>0</v>
      </c>
    </row>
    <row r="46" spans="1:218" s="5" customFormat="1" x14ac:dyDescent="0.25">
      <c r="A46" s="11">
        <f t="shared" si="4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6" s="12">
        <f t="shared" si="4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135.66666666666666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1.8720833333333331</v>
      </c>
      <c r="N46" s="14">
        <f>IF(A46&lt;'Données projet'!$A$36,$K$205^A46,IF(A46='Données projet'!$A$36,'Données projet'!$B$36,N45+M46-V45))</f>
        <v>61.282916666666679</v>
      </c>
      <c r="O46" s="14">
        <f>N46*VLOOKUP('Données projet'!$B$9,Paramètres!$A$1:$I$88,3,0)*VLOOKUP('Données projet'!$B$9,Paramètres!$A$1:$I$88,5,0)</f>
        <v>70.597920000000002</v>
      </c>
      <c r="P46" s="14">
        <f t="shared" si="43"/>
        <v>19.821868598485771</v>
      </c>
      <c r="Q46" s="22">
        <f t="shared" si="53"/>
        <v>157.48113180902939</v>
      </c>
      <c r="R46" s="62">
        <f t="shared" si="0"/>
        <v>385.16239430467277</v>
      </c>
      <c r="S46" s="62">
        <f ca="1">AVERAGE(OFFSET($R$3,0,0,'Données projet'!$E$9+1,1))-AVERAGE(OFFSET($H$3,0,0,'Données projet'!$E$9+1,1))</f>
        <v>314.72063458462026</v>
      </c>
      <c r="T46" s="62">
        <f t="shared" si="3"/>
        <v>216.4380325968244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projet'!$B$9,Paramètres!$A$1:$I$88,7,0))</f>
        <v>0</v>
      </c>
      <c r="X46" s="17">
        <f>IF(ISNA(VLOOKUP(A46,'Données projet'!$A$35:$I$55,6,0)),0%,VLOOKUP(A46,'Données projet'!$A$35:$I$55,6,0)*VLOOKUP('Données projet'!$B$9,Paramètres!$A$1:$I$88,7,0))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projet'!$B$9,Paramètres!$A$1:$I$88,3,0)*0.475*44/12</f>
        <v>0</v>
      </c>
      <c r="AA46" s="23">
        <f>EXP(-LN(2)/25)*AA45+(1-EXP(-LN(2)/25))/(LN(2)/25)*Calculateur!V46*Calculateur!X46*VLOOKUP('Données projet'!$B$9,Paramètres!$A$1:$I$88,3,0)*0.475*44/12</f>
        <v>0</v>
      </c>
      <c r="AB46" s="23">
        <f>EXP(-LN(2)/2)*AB45+(1-EXP(-LN(2)/2))/(LN(2)/2)*V46*Y46*VLOOKUP('Données projet'!$B$9,Paramètres!$A$1:$I$88,3,0)*0.475*44/12</f>
        <v>0</v>
      </c>
      <c r="AC46" s="24">
        <f t="shared" si="4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5.6</v>
      </c>
      <c r="AI46" s="14">
        <f>IF(A46&lt;'Données projet'!$A$62,$AF$205^A46,IF(A46='Données projet'!$A$62,'Données projet'!$B$62,AI45+AH46-AQ45))</f>
        <v>116.8</v>
      </c>
      <c r="AJ46" s="14">
        <f>AI46*VLOOKUP('Données projet'!$B$10,Paramètres!$A$1:$I$88,3,0)*VLOOKUP('Données projet'!$B$10,Paramètres!$A$1:$I$88,5,0)</f>
        <v>122.07936000000001</v>
      </c>
      <c r="AK46" s="14">
        <f t="shared" si="44"/>
        <v>32.159489898555321</v>
      </c>
      <c r="AL46" s="22">
        <f t="shared" si="5"/>
        <v>268.63266357331719</v>
      </c>
      <c r="AM46" s="62">
        <f t="shared" si="6"/>
        <v>496.31392606896054</v>
      </c>
      <c r="AN46" s="62">
        <f ca="1">AVERAGE(OFFSET($AM$3,0,0,'Données projet'!$E$10+1,1))-AVERAGE(OFFSET($H$3,0,0,'Données projet'!$E$10+1,1))</f>
        <v>458.33072853676879</v>
      </c>
      <c r="AO46" s="62">
        <f t="shared" si="7"/>
        <v>254.1734169352687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projet'!$B$10,Paramètres!$A$1:$I$88,7,0))</f>
        <v>0</v>
      </c>
      <c r="AS46" s="17">
        <f>IF(ISNA(VLOOKUP(A46,'Données projet'!$A$61:$I$81,6,0)),0%,VLOOKUP(A46,'Données projet'!$A$61:$I$81,6,0)*VLOOKUP('Données projet'!$B$10,Paramètres!$A$1:$I$88,7,0))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projet'!$B$9,Paramètres!$A$1:$I$88,3,0)*0.475*44/12</f>
        <v>0</v>
      </c>
      <c r="AV46" s="23">
        <f>EXP(-LN(2)/25)*AV45+(1-EXP(-LN(2)/25))/(LN(2)/25)*Calculateur!AQ46*Calculateur!AS46*VLOOKUP('Données projet'!$B$9,Paramètres!$A$1:$I$88,3,0)*0.475*44/12</f>
        <v>0</v>
      </c>
      <c r="AW46" s="23">
        <f>EXP(-LN(2)/2)*AW45+(1-EXP(-LN(2)/2))/(LN(2)/2)*AQ46*AT46*VLOOKUP('Données projet'!$B$9,Paramètres!$A$1:$I$88,3,0)*0.475*44/12</f>
        <v>0</v>
      </c>
      <c r="AX46" s="23">
        <f t="shared" si="8"/>
        <v>0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5.6</v>
      </c>
      <c r="BD46" s="13">
        <f>IF(A46&lt;'Données projet'!$A$88,$BA$205^A46,IF(A46='Données projet'!$A$88,'Données projet'!$B$88,BD45+BC46-BL45))</f>
        <v>116.8</v>
      </c>
      <c r="BE46" s="14">
        <f>BD46*VLOOKUP('Données projet'!$B$11,Paramètres!$A$1:$I$88,3,0)*VLOOKUP('Données projet'!$B$11,Paramètres!$A$1:$I$88,5,0)</f>
        <v>118.43520000000001</v>
      </c>
      <c r="BF46" s="14">
        <f t="shared" si="45"/>
        <v>31.309757056296963</v>
      </c>
      <c r="BG46" s="22">
        <f t="shared" si="9"/>
        <v>260.80580020638394</v>
      </c>
      <c r="BH46" s="62">
        <f t="shared" si="10"/>
        <v>488.48706270202729</v>
      </c>
      <c r="BI46" s="62">
        <f ca="1">AVERAGE(OFFSET($BH$3,0,0,'Données projet'!$E$11+1,1))-AVERAGE(OFFSET($H$3,0,0,'Données projet'!$E$11+1,1))</f>
        <v>447.82618173893104</v>
      </c>
      <c r="BJ46" s="62">
        <f t="shared" si="11"/>
        <v>248.96509970783379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projet'!$B$11,Paramètres!$A$1:$I$88,7,0))</f>
        <v>0</v>
      </c>
      <c r="BN46" s="17">
        <f>IF(ISNA(VLOOKUP(A46,'Données projet'!$A$87:$I$107,6,0)),0%,VLOOKUP(A46,'Données projet'!$A$87:$I$107,6,0)*VLOOKUP('Données projet'!$B$11,Paramètres!$A$1:$I$88,7,0))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projet'!$B$9,Paramètres!$A$1:$I$88,3,0)*0.475*44/12</f>
        <v>0</v>
      </c>
      <c r="BQ46" s="23">
        <f>EXP(-LN(2)/25)*BQ45+(1-EXP(-LN(2)/25))/(LN(2)/25)*Calculateur!BL46*Calculateur!BN46*VLOOKUP('Données projet'!$B$9,Paramètres!$A$1:$I$88,3,0)*0.475*44/12</f>
        <v>0</v>
      </c>
      <c r="BR46" s="23">
        <f>EXP(-LN(2)/2)*BR45+(1-EXP(-LN(2)/2))/(LN(2)/2)*BL46*BO46*VLOOKUP('Données projet'!$B$9,Paramètres!$A$1:$I$88,3,0)*0.475*44/12</f>
        <v>0</v>
      </c>
      <c r="BS46" s="24">
        <f t="shared" si="12"/>
        <v>0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5.6</v>
      </c>
      <c r="BY46" s="13">
        <f>IF(A46&lt;'Données projet'!$A$114,$BV$205^A46,IF(A46='Données projet'!$A$114,'Données projet'!$B$114,BY45+BX46-CG45))</f>
        <v>116.8</v>
      </c>
      <c r="BZ46" s="14">
        <f>BY46*VLOOKUP('Données projet'!$B$12,Paramètres!$A$1:$I$88,3,0)*VLOOKUP('Données projet'!$B$12,Paramètres!$A$1:$I$88,5,0)</f>
        <v>125.72352000000001</v>
      </c>
      <c r="CA46" s="14">
        <f t="shared" si="46"/>
        <v>33.006274897178891</v>
      </c>
      <c r="CB46" s="22">
        <f t="shared" si="13"/>
        <v>276.45439277925317</v>
      </c>
      <c r="CC46" s="62">
        <f t="shared" si="14"/>
        <v>504.13565527489652</v>
      </c>
      <c r="CD46" s="62">
        <f ca="1">AVERAGE(OFFSET($CC$3,0,0,'Données projet'!$E$12+1,1))-AVERAGE(OFFSET($H$3,0,0,'Données projet'!$E$12+1,1))</f>
        <v>468.82871618425406</v>
      </c>
      <c r="CE46" s="62">
        <f t="shared" si="15"/>
        <v>259.37818128554397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projet'!$B$12,Paramètres!$A$1:$I$88,7,0))</f>
        <v>0</v>
      </c>
      <c r="CI46" s="17">
        <f>IF(ISNA(VLOOKUP(A46,'Données projet'!$A$113:$I$133,6,0)),0%,VLOOKUP(A46,'Données projet'!$A$113:$I$133,6,0)*VLOOKUP('Données projet'!$B$12,Paramètres!$A$1:$I$88,7,0))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projet'!$B$9,Paramètres!$A$1:$I$88,3,0)*0.475*44/12</f>
        <v>0</v>
      </c>
      <c r="CL46" s="23">
        <f>EXP(-LN(2)/25)*CL45+(1-EXP(-LN(2)/25))/(LN(2)/25)*Calculateur!CG46*Calculateur!CI46*VLOOKUP('Données projet'!$B$9,Paramètres!$A$1:$I$88,3,0)*0.475*44/12</f>
        <v>0</v>
      </c>
      <c r="CM46" s="23">
        <f>EXP(-LN(2)/2)*CM45+(1-EXP(-LN(2)/2))/(LN(2)/2)*CG46*CJ46*VLOOKUP('Données projet'!$B$9,Paramètres!$A$1:$I$88,3,0)*0.475*44/12</f>
        <v>0</v>
      </c>
      <c r="CN46" s="24">
        <f t="shared" si="16"/>
        <v>0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5.6</v>
      </c>
      <c r="CT46" s="13">
        <f>IF(A46&lt;'Données projet'!$A$140,$CQ$205^A46,IF(A46='Données projet'!$A$140,'Données projet'!$B$140,CT45+CS46-DB45))</f>
        <v>116.8</v>
      </c>
      <c r="CU46" s="18">
        <f>CT46*VLOOKUP('Données projet'!$B$13,Paramètres!$A$1:$I$88,3,0)*VLOOKUP('Données projet'!$B$13,Paramètres!$A$1:$I$88,5,0)</f>
        <v>100.21440000000001</v>
      </c>
      <c r="CV46" s="14">
        <f t="shared" si="47"/>
        <v>27.013069023392511</v>
      </c>
      <c r="CW46" s="22">
        <f t="shared" si="17"/>
        <v>221.58784188240864</v>
      </c>
      <c r="CX46" s="62">
        <f t="shared" si="18"/>
        <v>449.26910437805202</v>
      </c>
      <c r="CY46" s="62">
        <f ca="1">AVERAGE(OFFSET($CX$3,0,0,'Données projet'!$E$13+1,1))-AVERAGE(OFFSET($H$3,0,0,'Données projet'!$E$13+1,1))</f>
        <v>395.19659151668884</v>
      </c>
      <c r="CZ46" s="62">
        <f t="shared" si="19"/>
        <v>222.86563304507339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projet'!$B$13,Paramètres!$A$1:$I$88,7,0))</f>
        <v>0</v>
      </c>
      <c r="DD46" s="17">
        <f>IF(ISNA(VLOOKUP(A46,'Données projet'!$A$139:$I$159,6,0)),0%,VLOOKUP(A46,'Données projet'!$A$139:$I$159,6,0)*VLOOKUP('Données projet'!$B$13,Paramètres!$A$1:$I$88,7,0))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projet'!$B$9,Paramètres!$A$1:$I$88,3,0)*0.475*44/12</f>
        <v>0</v>
      </c>
      <c r="DG46" s="23">
        <f>EXP(-LN(2)/25)*DG45+(1-EXP(-LN(2)/25))/(LN(2)/25)*Calculateur!DB46*Calculateur!DD46*VLOOKUP('Données projet'!$B$9,Paramètres!$A$1:$I$88,3,0)*0.475*44/12</f>
        <v>0</v>
      </c>
      <c r="DH46" s="23">
        <f>EXP(-LN(2)/2)*DH45+(1-EXP(-LN(2)/2))/(LN(2)/2)*DB46*DE46*VLOOKUP('Données projet'!$B$9,Paramètres!$A$1:$I$88,3,0)*0.475*44/12</f>
        <v>0</v>
      </c>
      <c r="DI46" s="24">
        <f t="shared" si="20"/>
        <v>0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4.5999999999999996</v>
      </c>
      <c r="DO46" s="13">
        <f>IF(A46&lt;'Données projet'!$A$166,$DL$205^A46,IF(A46='Données projet'!$A$166,'Données projet'!$B$166,DO45+DN46-DW45))</f>
        <v>54.8</v>
      </c>
      <c r="DP46" s="18">
        <f>DO46*VLOOKUP('Données projet'!$B$14,Paramètres!$A$1:$I$88,3,0)*VLOOKUP('Données projet'!$B$14,Paramètres!$A$1:$I$88,5,0)</f>
        <v>32.058</v>
      </c>
      <c r="DQ46" s="14">
        <f t="shared" si="48"/>
        <v>9.8672808504717509</v>
      </c>
      <c r="DR46" s="22">
        <f t="shared" si="21"/>
        <v>73.019864147904968</v>
      </c>
      <c r="DS46" s="62">
        <f t="shared" si="22"/>
        <v>300.70112664354838</v>
      </c>
      <c r="DT46" s="62">
        <f ca="1">AVERAGE(OFFSET($DS$3,0,0,'Données projet'!$E$14+1,1))-AVERAGE(OFFSET($H$3,0,0,'Données projet'!$E$14+1,1))</f>
        <v>155.18073137151848</v>
      </c>
      <c r="DU46" s="62">
        <f t="shared" si="23"/>
        <v>115.19459155667272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projet'!$B$14,Paramètres!$A$1:$I$88,7,0))</f>
        <v>0</v>
      </c>
      <c r="DY46" s="17">
        <f>IF(ISNA(VLOOKUP(A46,'Données projet'!$A$165:$I$185,6,0)),0%,VLOOKUP(A46,'Données projet'!$A$165:$I$185,6,0)*VLOOKUP('Données projet'!$B$14,Paramètres!$A$1:$I$88,7,0))</f>
        <v>0</v>
      </c>
      <c r="DZ46" s="17">
        <f>IF(ISNA(VLOOKUP(A46,'Données projet'!$A$165:$I$185,7,0)),0%,VLOOKUP(A46,'Données projet'!$A$165:$I$185,7,0))</f>
        <v>0</v>
      </c>
      <c r="EA46" s="23">
        <f>EXP(-LN(2)/35)*EA45+(1-EXP(-LN(2)/35))/(LN(2)/35)*DW46*DX46*VLOOKUP('Données projet'!$B$9,Paramètres!$A$1:$I$88,3,0)*0.475*44/12</f>
        <v>0</v>
      </c>
      <c r="EB46" s="23">
        <f>EXP(-LN(2)/25)*EB45+(1-EXP(-LN(2)/25))/(LN(2)/25)*Calculateur!DW46*Calculateur!DY46*VLOOKUP('Données projet'!$B$9,Paramètres!$A$1:$I$88,3,0)*0.475*44/12</f>
        <v>0</v>
      </c>
      <c r="EC46" s="23">
        <f>EXP(-LN(2)/2)*EC45+(1-EXP(-LN(2)/2))/(LN(2)/2)*DW46*DZ46*VLOOKUP('Données projet'!$B$9,Paramètres!$A$1:$I$88,3,0)*0.475*44/12</f>
        <v>0</v>
      </c>
      <c r="ED46" s="24">
        <f t="shared" si="24"/>
        <v>0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3.25</v>
      </c>
      <c r="EJ46" s="13">
        <f>IF(A46&lt;'Données projet'!$A$192,$EG$205^A46,IF(A46='Données projet'!$A$192,'Données projet'!$B$192,EJ45+EI46-ER45))</f>
        <v>43.771504215506965</v>
      </c>
      <c r="EK46" s="18">
        <f>EJ46*VLOOKUP('Données projet'!$B$15,Paramètres!$A$1:$I$88,3,0)*VLOOKUP('Données projet'!$B$15,Paramètres!$A$1:$I$88,5,0)</f>
        <v>20.485063972857262</v>
      </c>
      <c r="EL46" s="14">
        <f t="shared" si="49"/>
        <v>6.6425997505582783</v>
      </c>
      <c r="EM46" s="22">
        <f t="shared" si="25"/>
        <v>47.247347651615399</v>
      </c>
      <c r="EN46" s="62">
        <f t="shared" si="26"/>
        <v>274.92861014725878</v>
      </c>
      <c r="EO46" s="62">
        <f ca="1">AVERAGE(OFFSET($EN$3,0,0,'Données projet'!$E$15+1,1))-AVERAGE(OFFSET($H$3,0,0,'Données projet'!$E$15+1,1))</f>
        <v>238.59014604384171</v>
      </c>
      <c r="EP46" s="62">
        <f t="shared" si="27"/>
        <v>90.841373219575217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projet'!$B$15,Paramètres!$A$1:$I$88,7,0))</f>
        <v>0</v>
      </c>
      <c r="ET46" s="17">
        <f>IF(ISNA(VLOOKUP(A46,'Données projet'!$A$191:$I$211,6,0)),0%,VLOOKUP(A46,'Données projet'!$A$191:$I$211,6,0)*VLOOKUP('Données projet'!$B$15,Paramètres!$A$1:$I$88,7,0))</f>
        <v>0</v>
      </c>
      <c r="EU46" s="17">
        <f>IF(ISNA(VLOOKUP(A46,'Données projet'!$A$191:$I$211,7,0)),0%,VLOOKUP(A46,'Données projet'!$A$191:$I$211,7,0))</f>
        <v>0</v>
      </c>
      <c r="EV46" s="23">
        <f>EXP(-LN(2)/35)*EV45+(1-EXP(-LN(2)/35))/(LN(2)/35)*ER46*ES46*VLOOKUP('Données projet'!$B$9,Paramètres!$A$1:$I$88,3,0)*0.475*44/12</f>
        <v>0</v>
      </c>
      <c r="EW46" s="23">
        <f>EXP(-LN(2)/25)*EW45+(1-EXP(-LN(2)/25))/(LN(2)/25)*Calculateur!ER46*Calculateur!ET46*VLOOKUP('Données projet'!$B$9,Paramètres!$A$1:$I$88,3,0)*0.475*44/12</f>
        <v>0</v>
      </c>
      <c r="EX46" s="23">
        <f>EXP(-LN(2)/2)*EX45+(1-EXP(-LN(2)/2))/(LN(2)/2)*ER46*EU46*VLOOKUP('Données projet'!$B$9,Paramètres!$A$1:$I$88,3,0)*0.475*44/12</f>
        <v>0</v>
      </c>
      <c r="EY46" s="24">
        <f t="shared" si="28"/>
        <v>0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IF(A46&lt;'Données projet'!$A$218,$FB$205^A46,IF(A46='Données projet'!$A$218,'Données projet'!$B$218,FE45+FD46-FM45))</f>
        <v>0</v>
      </c>
      <c r="FF46" s="18" t="e">
        <f>FE46*VLOOKUP('Données projet'!$B$16,Paramètres!$A$1:$I$88,3,0)*VLOOKUP('Données projet'!$B$16,Paramètres!$A$1:$I$88,5,0)</f>
        <v>#N/A</v>
      </c>
      <c r="FG46" s="14" t="e">
        <f t="shared" si="50"/>
        <v>#N/A</v>
      </c>
      <c r="FH46" s="22" t="e">
        <f t="shared" si="29"/>
        <v>#N/A</v>
      </c>
      <c r="FI46" s="62" t="e">
        <f t="shared" si="30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31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projet'!$B$16,Paramètres!$A$1:$I$88,7,0))</f>
        <v>0</v>
      </c>
      <c r="FO46" s="17">
        <f>IF(ISNA(VLOOKUP(A46,'Données projet'!$A$217:$I$237,6,0)),0%,VLOOKUP(A46,'Données projet'!$A$217:$I$237,6,0)*VLOOKUP('Données projet'!$B$16,Paramètres!$A$1:$I$88,7,0))</f>
        <v>0</v>
      </c>
      <c r="FP46" s="17">
        <f>IF(ISNA(VLOOKUP(A46,'Données projet'!$A$217:$I$237,7,0)),0%,VLOOKUP(A46,'Données projet'!$A$217:$I$237,7,0))</f>
        <v>0</v>
      </c>
      <c r="FQ46" s="23">
        <f>EXP(-LN(2)/35)*FQ45+(1-EXP(-LN(2)/35))/(LN(2)/35)*FM46*FN46*VLOOKUP('Données projet'!$B$9,Paramètres!$A$1:$I$88,3,0)*0.475*44/12</f>
        <v>0</v>
      </c>
      <c r="FR46" s="23">
        <f>EXP(-LN(2)/25)*FR45+(1-EXP(-LN(2)/25))/(LN(2)/25)*Calculateur!FM46*Calculateur!FO46*VLOOKUP('Données projet'!$B$9,Paramètres!$A$1:$I$88,3,0)*0.475*44/12</f>
        <v>0</v>
      </c>
      <c r="FS46" s="23">
        <f>EXP(-LN(2)/2)*FS45+(1-EXP(-LN(2)/2))/(LN(2)/2)*FM46*FP46*VLOOKUP('Données projet'!$B$9,Paramètres!$A$1:$I$88,3,0)*0.475*44/12</f>
        <v>0</v>
      </c>
      <c r="FT46" s="24">
        <f t="shared" si="32"/>
        <v>0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IF(A46&lt;'Données projet'!$A$244,$FW$205^A46,IF(A46='Données projet'!$A$244,'Données projet'!$B$244,FZ45+FY46-GH45))</f>
        <v>0</v>
      </c>
      <c r="GA46" s="18" t="e">
        <f>FZ46*VLOOKUP('Données projet'!$B$17,Paramètres!$A$1:$I$88,3,0)*VLOOKUP('Données projet'!$B$17,Paramètres!$A$1:$I$88,5,0)</f>
        <v>#N/A</v>
      </c>
      <c r="GB46" s="14" t="e">
        <f t="shared" si="51"/>
        <v>#N/A</v>
      </c>
      <c r="GC46" s="22" t="e">
        <f t="shared" si="33"/>
        <v>#N/A</v>
      </c>
      <c r="GD46" s="62" t="e">
        <f t="shared" si="34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35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projet'!$B$17,Paramètres!$A$1:$I$88,7,0))</f>
        <v>0</v>
      </c>
      <c r="GJ46" s="17">
        <f>IF(ISNA(VLOOKUP(A46,'Données projet'!$A$243:$I$263,6,0)),0%,VLOOKUP(A46,'Données projet'!$A$243:$I$263,6,0)*VLOOKUP('Données projet'!$B$17,Paramètres!$A$1:$I$88,7,0))</f>
        <v>0</v>
      </c>
      <c r="GK46" s="17">
        <f>IF(ISNA(VLOOKUP(A46,'Données projet'!$A$243:$I$263,7,0)),0%,VLOOKUP(A46,'Données projet'!$A$243:$I$263,7,0))</f>
        <v>0</v>
      </c>
      <c r="GL46" s="23">
        <f>EXP(-LN(2)/35)*GL45+(1-EXP(-LN(2)/35))/(LN(2)/35)*GH46*GI46*VLOOKUP('Données projet'!$B$9,Paramètres!$A$1:$I$88,3,0)*0.475*44/12</f>
        <v>0</v>
      </c>
      <c r="GM46" s="23">
        <f>EXP(-LN(2)/25)*GM45+(1-EXP(-LN(2)/25))/(LN(2)/25)*Calculateur!GH46*Calculateur!GJ46*VLOOKUP('Données projet'!$B$9,Paramètres!$A$1:$I$88,3,0)*0.475*44/12</f>
        <v>0</v>
      </c>
      <c r="GN46" s="23">
        <f>EXP(-LN(2)/2)*GN45+(1-EXP(-LN(2)/2))/(LN(2)/2)*GH46*GK46*VLOOKUP('Données projet'!$B$9,Paramètres!$A$1:$I$88,3,0)*0.475*44/12</f>
        <v>0</v>
      </c>
      <c r="GO46" s="23">
        <f t="shared" si="36"/>
        <v>0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IF(A46&lt;'Données projet'!$A$270,$GR$205^A46,IF(A46='Données projet'!$A$270,'Données projet'!$B$270,GU45+GT46-HC45))</f>
        <v>0</v>
      </c>
      <c r="GV46" s="18" t="e">
        <f>GU46*VLOOKUP('Données projet'!$B$18,Paramètres!$A$1:$I$88,3,0)*VLOOKUP('Données projet'!$B$18,Paramètres!$A$1:$I$88,5,0)</f>
        <v>#N/A</v>
      </c>
      <c r="GW46" s="14" t="e">
        <f t="shared" si="52"/>
        <v>#N/A</v>
      </c>
      <c r="GX46" s="22" t="e">
        <f t="shared" si="37"/>
        <v>#N/A</v>
      </c>
      <c r="GY46" s="62" t="e">
        <f t="shared" si="38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39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projet'!$B$18,Paramètres!$A$1:$I$88,7,0))</f>
        <v>0</v>
      </c>
      <c r="HE46" s="17">
        <f>IF(ISNA(VLOOKUP(A46,'Données projet'!$A$269:$I$289,6,0)),0%,VLOOKUP(A46,'Données projet'!$A$269:$I$289,6,0)*VLOOKUP('Données projet'!$B$18,Paramètres!$A$1:$I$88,7,0))</f>
        <v>0</v>
      </c>
      <c r="HF46" s="17">
        <f>IF(ISNA(VLOOKUP(A46,'Données projet'!$A$269:$I$289,7,0)),0%,VLOOKUP(A46,'Données projet'!$A$269:$I$289,7,0))</f>
        <v>0</v>
      </c>
      <c r="HG46" s="23">
        <f>EXP(-LN(2)/35)*HG45+(1-EXP(-LN(2)/35))/(LN(2)/35)*HC46*HD46*VLOOKUP('Données projet'!$B$9,Paramètres!$A$1:$I$88,3,0)*0.475*44/12</f>
        <v>0</v>
      </c>
      <c r="HH46" s="23">
        <f>EXP(-LN(2)/25)*HH45+(1-EXP(-LN(2)/25))/(LN(2)/25)*Calculateur!HC46*Calculateur!HE46*VLOOKUP('Données projet'!$B$9,Paramètres!$A$1:$I$88,3,0)*0.475*44/12</f>
        <v>0</v>
      </c>
      <c r="HI46" s="23">
        <f>EXP(-LN(2)/2)*HI45+(1-EXP(-LN(2)/2))/(LN(2)/2)*HC46*HF46*VLOOKUP('Données projet'!$B$9,Paramètres!$A$1:$I$88,3,0)*0.475*44/12</f>
        <v>0</v>
      </c>
      <c r="HJ46" s="24">
        <f t="shared" si="40"/>
        <v>0</v>
      </c>
    </row>
    <row r="47" spans="1:218" s="5" customFormat="1" x14ac:dyDescent="0.25">
      <c r="A47" s="11">
        <f t="shared" si="4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7" s="12">
        <f t="shared" si="4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135.66666666666666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1.8720833333333331</v>
      </c>
      <c r="N47" s="14">
        <f>IF(A47&lt;'Données projet'!$A$36,$K$205^A47,IF(A47='Données projet'!$A$36,'Données projet'!$B$36,N46+M47-V46))</f>
        <v>63.155000000000015</v>
      </c>
      <c r="O47" s="14">
        <f>N47*VLOOKUP('Données projet'!$B$9,Paramètres!$A$1:$I$88,3,0)*VLOOKUP('Données projet'!$B$9,Paramètres!$A$1:$I$88,5,0)</f>
        <v>72.754560000000012</v>
      </c>
      <c r="P47" s="14">
        <f t="shared" si="43"/>
        <v>20.355967742631517</v>
      </c>
      <c r="Q47" s="22">
        <f t="shared" si="53"/>
        <v>162.16750248508325</v>
      </c>
      <c r="R47" s="62">
        <f t="shared" si="0"/>
        <v>390.98768163371881</v>
      </c>
      <c r="S47" s="62">
        <f ca="1">AVERAGE(OFFSET($R$3,0,0,'Données projet'!$E$9+1,1))-AVERAGE(OFFSET($H$3,0,0,'Données projet'!$E$9+1,1))</f>
        <v>314.72063458462026</v>
      </c>
      <c r="T47" s="62">
        <f t="shared" si="3"/>
        <v>216.4380325968244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projet'!$B$9,Paramètres!$A$1:$I$88,7,0))</f>
        <v>0</v>
      </c>
      <c r="X47" s="17">
        <f>IF(ISNA(VLOOKUP(A47,'Données projet'!$A$35:$I$55,6,0)),0%,VLOOKUP(A47,'Données projet'!$A$35:$I$55,6,0)*VLOOKUP('Données projet'!$B$9,Paramètres!$A$1:$I$88,7,0))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projet'!$B$9,Paramètres!$A$1:$I$88,3,0)*0.475*44/12</f>
        <v>0</v>
      </c>
      <c r="AA47" s="23">
        <f>EXP(-LN(2)/25)*AA46+(1-EXP(-LN(2)/25))/(LN(2)/25)*Calculateur!V47*Calculateur!X47*VLOOKUP('Données projet'!$B$9,Paramètres!$A$1:$I$88,3,0)*0.475*44/12</f>
        <v>0</v>
      </c>
      <c r="AB47" s="23">
        <f>EXP(-LN(2)/2)*AB46+(1-EXP(-LN(2)/2))/(LN(2)/2)*V47*Y47*VLOOKUP('Données projet'!$B$9,Paramètres!$A$1:$I$88,3,0)*0.475*44/12</f>
        <v>0</v>
      </c>
      <c r="AC47" s="24">
        <f t="shared" si="4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5.6</v>
      </c>
      <c r="AI47" s="14">
        <f>IF(A47&lt;'Données projet'!$A$62,$AF$205^A47,IF(A47='Données projet'!$A$62,'Données projet'!$B$62,AI46+AH47-AQ46))</f>
        <v>122.39999999999999</v>
      </c>
      <c r="AJ47" s="14">
        <f>AI47*VLOOKUP('Données projet'!$B$10,Paramètres!$A$1:$I$88,3,0)*VLOOKUP('Données projet'!$B$10,Paramètres!$A$1:$I$88,5,0)</f>
        <v>127.93248</v>
      </c>
      <c r="AK47" s="14">
        <f t="shared" si="44"/>
        <v>33.518171319644878</v>
      </c>
      <c r="AL47" s="22">
        <f t="shared" si="5"/>
        <v>281.19321771504815</v>
      </c>
      <c r="AM47" s="62">
        <f t="shared" si="6"/>
        <v>510.01339686368374</v>
      </c>
      <c r="AN47" s="62">
        <f ca="1">AVERAGE(OFFSET($AM$3,0,0,'Données projet'!$E$10+1,1))-AVERAGE(OFFSET($H$3,0,0,'Données projet'!$E$10+1,1))</f>
        <v>458.33072853676879</v>
      </c>
      <c r="AO47" s="62">
        <f t="shared" si="7"/>
        <v>254.1734169352687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projet'!$B$10,Paramètres!$A$1:$I$88,7,0))</f>
        <v>0</v>
      </c>
      <c r="AS47" s="17">
        <f>IF(ISNA(VLOOKUP(A47,'Données projet'!$A$61:$I$81,6,0)),0%,VLOOKUP(A47,'Données projet'!$A$61:$I$81,6,0)*VLOOKUP('Données projet'!$B$10,Paramètres!$A$1:$I$88,7,0))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projet'!$B$9,Paramètres!$A$1:$I$88,3,0)*0.475*44/12</f>
        <v>0</v>
      </c>
      <c r="AV47" s="23">
        <f>EXP(-LN(2)/25)*AV46+(1-EXP(-LN(2)/25))/(LN(2)/25)*Calculateur!AQ47*Calculateur!AS47*VLOOKUP('Données projet'!$B$9,Paramètres!$A$1:$I$88,3,0)*0.475*44/12</f>
        <v>0</v>
      </c>
      <c r="AW47" s="23">
        <f>EXP(-LN(2)/2)*AW46+(1-EXP(-LN(2)/2))/(LN(2)/2)*AQ47*AT47*VLOOKUP('Données projet'!$B$9,Paramètres!$A$1:$I$88,3,0)*0.475*44/12</f>
        <v>0</v>
      </c>
      <c r="AX47" s="23">
        <f t="shared" si="8"/>
        <v>0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5.6</v>
      </c>
      <c r="BD47" s="13">
        <f>IF(A47&lt;'Données projet'!$A$88,$BA$205^A47,IF(A47='Données projet'!$A$88,'Données projet'!$B$88,BD46+BC47-BL46))</f>
        <v>122.39999999999999</v>
      </c>
      <c r="BE47" s="14">
        <f>BD47*VLOOKUP('Données projet'!$B$11,Paramètres!$A$1:$I$88,3,0)*VLOOKUP('Données projet'!$B$11,Paramètres!$A$1:$I$88,5,0)</f>
        <v>124.11360000000001</v>
      </c>
      <c r="BF47" s="14">
        <f t="shared" si="45"/>
        <v>32.632538771598028</v>
      </c>
      <c r="BG47" s="22">
        <f t="shared" si="9"/>
        <v>272.99952502719992</v>
      </c>
      <c r="BH47" s="62">
        <f t="shared" si="10"/>
        <v>501.81970417583545</v>
      </c>
      <c r="BI47" s="62">
        <f ca="1">AVERAGE(OFFSET($BH$3,0,0,'Données projet'!$E$11+1,1))-AVERAGE(OFFSET($H$3,0,0,'Données projet'!$E$11+1,1))</f>
        <v>447.82618173893104</v>
      </c>
      <c r="BJ47" s="62">
        <f t="shared" si="11"/>
        <v>248.96509970783379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projet'!$B$11,Paramètres!$A$1:$I$88,7,0))</f>
        <v>0</v>
      </c>
      <c r="BN47" s="17">
        <f>IF(ISNA(VLOOKUP(A47,'Données projet'!$A$87:$I$107,6,0)),0%,VLOOKUP(A47,'Données projet'!$A$87:$I$107,6,0)*VLOOKUP('Données projet'!$B$11,Paramètres!$A$1:$I$88,7,0))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projet'!$B$9,Paramètres!$A$1:$I$88,3,0)*0.475*44/12</f>
        <v>0</v>
      </c>
      <c r="BQ47" s="23">
        <f>EXP(-LN(2)/25)*BQ46+(1-EXP(-LN(2)/25))/(LN(2)/25)*Calculateur!BL47*Calculateur!BN47*VLOOKUP('Données projet'!$B$9,Paramètres!$A$1:$I$88,3,0)*0.475*44/12</f>
        <v>0</v>
      </c>
      <c r="BR47" s="23">
        <f>EXP(-LN(2)/2)*BR46+(1-EXP(-LN(2)/2))/(LN(2)/2)*BL47*BO47*VLOOKUP('Données projet'!$B$9,Paramètres!$A$1:$I$88,3,0)*0.475*44/12</f>
        <v>0</v>
      </c>
      <c r="BS47" s="24">
        <f t="shared" si="12"/>
        <v>0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5.6</v>
      </c>
      <c r="BY47" s="13">
        <f>IF(A47&lt;'Données projet'!$A$114,$BV$205^A47,IF(A47='Données projet'!$A$114,'Données projet'!$B$114,BY46+BX47-CG46))</f>
        <v>122.39999999999999</v>
      </c>
      <c r="BZ47" s="14">
        <f>BY47*VLOOKUP('Données projet'!$B$12,Paramètres!$A$1:$I$88,3,0)*VLOOKUP('Données projet'!$B$12,Paramètres!$A$1:$I$88,5,0)</f>
        <v>131.75135999999998</v>
      </c>
      <c r="CA47" s="14">
        <f t="shared" si="46"/>
        <v>34.400731482890627</v>
      </c>
      <c r="CB47" s="22">
        <f t="shared" si="13"/>
        <v>289.3815593327011</v>
      </c>
      <c r="CC47" s="62">
        <f t="shared" si="14"/>
        <v>518.20173848133663</v>
      </c>
      <c r="CD47" s="62">
        <f ca="1">AVERAGE(OFFSET($CC$3,0,0,'Données projet'!$E$12+1,1))-AVERAGE(OFFSET($H$3,0,0,'Données projet'!$E$12+1,1))</f>
        <v>468.82871618425406</v>
      </c>
      <c r="CE47" s="62">
        <f t="shared" si="15"/>
        <v>259.37818128554397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projet'!$B$12,Paramètres!$A$1:$I$88,7,0))</f>
        <v>0</v>
      </c>
      <c r="CI47" s="17">
        <f>IF(ISNA(VLOOKUP(A47,'Données projet'!$A$113:$I$133,6,0)),0%,VLOOKUP(A47,'Données projet'!$A$113:$I$133,6,0)*VLOOKUP('Données projet'!$B$12,Paramètres!$A$1:$I$88,7,0))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projet'!$B$9,Paramètres!$A$1:$I$88,3,0)*0.475*44/12</f>
        <v>0</v>
      </c>
      <c r="CL47" s="23">
        <f>EXP(-LN(2)/25)*CL46+(1-EXP(-LN(2)/25))/(LN(2)/25)*Calculateur!CG47*Calculateur!CI47*VLOOKUP('Données projet'!$B$9,Paramètres!$A$1:$I$88,3,0)*0.475*44/12</f>
        <v>0</v>
      </c>
      <c r="CM47" s="23">
        <f>EXP(-LN(2)/2)*CM46+(1-EXP(-LN(2)/2))/(LN(2)/2)*CG47*CJ47*VLOOKUP('Données projet'!$B$9,Paramètres!$A$1:$I$88,3,0)*0.475*44/12</f>
        <v>0</v>
      </c>
      <c r="CN47" s="24">
        <f t="shared" si="16"/>
        <v>0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5.6</v>
      </c>
      <c r="CT47" s="13">
        <f>IF(A47&lt;'Données projet'!$A$140,$CQ$205^A47,IF(A47='Données projet'!$A$140,'Données projet'!$B$140,CT46+CS47-DB46))</f>
        <v>122.39999999999999</v>
      </c>
      <c r="CU47" s="18">
        <f>CT47*VLOOKUP('Données projet'!$B$13,Paramètres!$A$1:$I$88,3,0)*VLOOKUP('Données projet'!$B$13,Paramètres!$A$1:$I$88,5,0)</f>
        <v>105.01920000000001</v>
      </c>
      <c r="CV47" s="14">
        <f t="shared" si="47"/>
        <v>28.154323288446673</v>
      </c>
      <c r="CW47" s="22">
        <f t="shared" si="17"/>
        <v>231.94388639404463</v>
      </c>
      <c r="CX47" s="62">
        <f t="shared" si="18"/>
        <v>460.76406554268021</v>
      </c>
      <c r="CY47" s="62">
        <f ca="1">AVERAGE(OFFSET($CX$3,0,0,'Données projet'!$E$13+1,1))-AVERAGE(OFFSET($H$3,0,0,'Données projet'!$E$13+1,1))</f>
        <v>395.19659151668884</v>
      </c>
      <c r="CZ47" s="62">
        <f t="shared" si="19"/>
        <v>222.86563304507339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projet'!$B$13,Paramètres!$A$1:$I$88,7,0))</f>
        <v>0</v>
      </c>
      <c r="DD47" s="17">
        <f>IF(ISNA(VLOOKUP(A47,'Données projet'!$A$139:$I$159,6,0)),0%,VLOOKUP(A47,'Données projet'!$A$139:$I$159,6,0)*VLOOKUP('Données projet'!$B$13,Paramètres!$A$1:$I$88,7,0))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projet'!$B$9,Paramètres!$A$1:$I$88,3,0)*0.475*44/12</f>
        <v>0</v>
      </c>
      <c r="DG47" s="23">
        <f>EXP(-LN(2)/25)*DG46+(1-EXP(-LN(2)/25))/(LN(2)/25)*Calculateur!DB47*Calculateur!DD47*VLOOKUP('Données projet'!$B$9,Paramètres!$A$1:$I$88,3,0)*0.475*44/12</f>
        <v>0</v>
      </c>
      <c r="DH47" s="23">
        <f>EXP(-LN(2)/2)*DH46+(1-EXP(-LN(2)/2))/(LN(2)/2)*DB47*DE47*VLOOKUP('Données projet'!$B$9,Paramètres!$A$1:$I$88,3,0)*0.475*44/12</f>
        <v>0</v>
      </c>
      <c r="DI47" s="24">
        <f t="shared" si="20"/>
        <v>0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4.5999999999999996</v>
      </c>
      <c r="DO47" s="13">
        <f>IF(A47&lt;'Données projet'!$A$166,$DL$205^A47,IF(A47='Données projet'!$A$166,'Données projet'!$B$166,DO46+DN47-DW46))</f>
        <v>59.4</v>
      </c>
      <c r="DP47" s="18">
        <f>DO47*VLOOKUP('Données projet'!$B$14,Paramètres!$A$1:$I$88,3,0)*VLOOKUP('Données projet'!$B$14,Paramètres!$A$1:$I$88,5,0)</f>
        <v>34.749000000000002</v>
      </c>
      <c r="DQ47" s="14">
        <f t="shared" si="48"/>
        <v>10.595676516633208</v>
      </c>
      <c r="DR47" s="22">
        <f t="shared" si="21"/>
        <v>78.975311599802851</v>
      </c>
      <c r="DS47" s="62">
        <f t="shared" si="22"/>
        <v>307.7954907484384</v>
      </c>
      <c r="DT47" s="62">
        <f ca="1">AVERAGE(OFFSET($DS$3,0,0,'Données projet'!$E$14+1,1))-AVERAGE(OFFSET($H$3,0,0,'Données projet'!$E$14+1,1))</f>
        <v>155.18073137151848</v>
      </c>
      <c r="DU47" s="62">
        <f t="shared" si="23"/>
        <v>115.19459155667272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projet'!$B$14,Paramètres!$A$1:$I$88,7,0))</f>
        <v>0</v>
      </c>
      <c r="DY47" s="17">
        <f>IF(ISNA(VLOOKUP(A47,'Données projet'!$A$165:$I$185,6,0)),0%,VLOOKUP(A47,'Données projet'!$A$165:$I$185,6,0)*VLOOKUP('Données projet'!$B$14,Paramètres!$A$1:$I$88,7,0))</f>
        <v>0</v>
      </c>
      <c r="DZ47" s="17">
        <f>IF(ISNA(VLOOKUP(A47,'Données projet'!$A$165:$I$185,7,0)),0%,VLOOKUP(A47,'Données projet'!$A$165:$I$185,7,0))</f>
        <v>0</v>
      </c>
      <c r="EA47" s="23">
        <f>EXP(-LN(2)/35)*EA46+(1-EXP(-LN(2)/35))/(LN(2)/35)*DW47*DX47*VLOOKUP('Données projet'!$B$9,Paramètres!$A$1:$I$88,3,0)*0.475*44/12</f>
        <v>0</v>
      </c>
      <c r="EB47" s="23">
        <f>EXP(-LN(2)/25)*EB46+(1-EXP(-LN(2)/25))/(LN(2)/25)*Calculateur!DW47*Calculateur!DY47*VLOOKUP('Données projet'!$B$9,Paramètres!$A$1:$I$88,3,0)*0.475*44/12</f>
        <v>0</v>
      </c>
      <c r="EC47" s="23">
        <f>EXP(-LN(2)/2)*EC46+(1-EXP(-LN(2)/2))/(LN(2)/2)*DW47*DZ47*VLOOKUP('Données projet'!$B$9,Paramètres!$A$1:$I$88,3,0)*0.475*44/12</f>
        <v>0</v>
      </c>
      <c r="ED47" s="24">
        <f t="shared" si="24"/>
        <v>0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3.25</v>
      </c>
      <c r="EJ47" s="13">
        <f>IF(A47&lt;'Données projet'!$A$192,$EG$205^A47,IF(A47='Données projet'!$A$192,'Données projet'!$B$192,EJ46+EI47-ER46))</f>
        <v>47.792386231318183</v>
      </c>
      <c r="EK47" s="18">
        <f>EJ47*VLOOKUP('Données projet'!$B$15,Paramètres!$A$1:$I$88,3,0)*VLOOKUP('Données projet'!$B$15,Paramètres!$A$1:$I$88,5,0)</f>
        <v>22.366836756256909</v>
      </c>
      <c r="EL47" s="14">
        <f t="shared" si="49"/>
        <v>7.1789786410538907</v>
      </c>
      <c r="EM47" s="22">
        <f t="shared" si="25"/>
        <v>51.458961816982971</v>
      </c>
      <c r="EN47" s="62">
        <f t="shared" si="26"/>
        <v>280.27914096561852</v>
      </c>
      <c r="EO47" s="62">
        <f ca="1">AVERAGE(OFFSET($EN$3,0,0,'Données projet'!$E$15+1,1))-AVERAGE(OFFSET($H$3,0,0,'Données projet'!$E$15+1,1))</f>
        <v>238.59014604384171</v>
      </c>
      <c r="EP47" s="62">
        <f t="shared" si="27"/>
        <v>90.841373219575217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projet'!$B$15,Paramètres!$A$1:$I$88,7,0))</f>
        <v>0</v>
      </c>
      <c r="ET47" s="17">
        <f>IF(ISNA(VLOOKUP(A47,'Données projet'!$A$191:$I$211,6,0)),0%,VLOOKUP(A47,'Données projet'!$A$191:$I$211,6,0)*VLOOKUP('Données projet'!$B$15,Paramètres!$A$1:$I$88,7,0))</f>
        <v>0</v>
      </c>
      <c r="EU47" s="17">
        <f>IF(ISNA(VLOOKUP(A47,'Données projet'!$A$191:$I$211,7,0)),0%,VLOOKUP(A47,'Données projet'!$A$191:$I$211,7,0))</f>
        <v>0</v>
      </c>
      <c r="EV47" s="23">
        <f>EXP(-LN(2)/35)*EV46+(1-EXP(-LN(2)/35))/(LN(2)/35)*ER47*ES47*VLOOKUP('Données projet'!$B$9,Paramètres!$A$1:$I$88,3,0)*0.475*44/12</f>
        <v>0</v>
      </c>
      <c r="EW47" s="23">
        <f>EXP(-LN(2)/25)*EW46+(1-EXP(-LN(2)/25))/(LN(2)/25)*Calculateur!ER47*Calculateur!ET47*VLOOKUP('Données projet'!$B$9,Paramètres!$A$1:$I$88,3,0)*0.475*44/12</f>
        <v>0</v>
      </c>
      <c r="EX47" s="23">
        <f>EXP(-LN(2)/2)*EX46+(1-EXP(-LN(2)/2))/(LN(2)/2)*ER47*EU47*VLOOKUP('Données projet'!$B$9,Paramètres!$A$1:$I$88,3,0)*0.475*44/12</f>
        <v>0</v>
      </c>
      <c r="EY47" s="24">
        <f t="shared" si="28"/>
        <v>0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IF(A47&lt;'Données projet'!$A$218,$FB$205^A47,IF(A47='Données projet'!$A$218,'Données projet'!$B$218,FE46+FD47-FM46))</f>
        <v>0</v>
      </c>
      <c r="FF47" s="18" t="e">
        <f>FE47*VLOOKUP('Données projet'!$B$16,Paramètres!$A$1:$I$88,3,0)*VLOOKUP('Données projet'!$B$16,Paramètres!$A$1:$I$88,5,0)</f>
        <v>#N/A</v>
      </c>
      <c r="FG47" s="14" t="e">
        <f t="shared" si="50"/>
        <v>#N/A</v>
      </c>
      <c r="FH47" s="22" t="e">
        <f t="shared" si="29"/>
        <v>#N/A</v>
      </c>
      <c r="FI47" s="62" t="e">
        <f t="shared" si="30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31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projet'!$B$16,Paramètres!$A$1:$I$88,7,0))</f>
        <v>0</v>
      </c>
      <c r="FO47" s="17">
        <f>IF(ISNA(VLOOKUP(A47,'Données projet'!$A$217:$I$237,6,0)),0%,VLOOKUP(A47,'Données projet'!$A$217:$I$237,6,0)*VLOOKUP('Données projet'!$B$16,Paramètres!$A$1:$I$88,7,0))</f>
        <v>0</v>
      </c>
      <c r="FP47" s="17">
        <f>IF(ISNA(VLOOKUP(A47,'Données projet'!$A$217:$I$237,7,0)),0%,VLOOKUP(A47,'Données projet'!$A$217:$I$237,7,0))</f>
        <v>0</v>
      </c>
      <c r="FQ47" s="23">
        <f>EXP(-LN(2)/35)*FQ46+(1-EXP(-LN(2)/35))/(LN(2)/35)*FM47*FN47*VLOOKUP('Données projet'!$B$9,Paramètres!$A$1:$I$88,3,0)*0.475*44/12</f>
        <v>0</v>
      </c>
      <c r="FR47" s="23">
        <f>EXP(-LN(2)/25)*FR46+(1-EXP(-LN(2)/25))/(LN(2)/25)*Calculateur!FM47*Calculateur!FO47*VLOOKUP('Données projet'!$B$9,Paramètres!$A$1:$I$88,3,0)*0.475*44/12</f>
        <v>0</v>
      </c>
      <c r="FS47" s="23">
        <f>EXP(-LN(2)/2)*FS46+(1-EXP(-LN(2)/2))/(LN(2)/2)*FM47*FP47*VLOOKUP('Données projet'!$B$9,Paramètres!$A$1:$I$88,3,0)*0.475*44/12</f>
        <v>0</v>
      </c>
      <c r="FT47" s="24">
        <f t="shared" si="32"/>
        <v>0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IF(A47&lt;'Données projet'!$A$244,$FW$205^A47,IF(A47='Données projet'!$A$244,'Données projet'!$B$244,FZ46+FY47-GH46))</f>
        <v>0</v>
      </c>
      <c r="GA47" s="18" t="e">
        <f>FZ47*VLOOKUP('Données projet'!$B$17,Paramètres!$A$1:$I$88,3,0)*VLOOKUP('Données projet'!$B$17,Paramètres!$A$1:$I$88,5,0)</f>
        <v>#N/A</v>
      </c>
      <c r="GB47" s="14" t="e">
        <f t="shared" si="51"/>
        <v>#N/A</v>
      </c>
      <c r="GC47" s="22" t="e">
        <f t="shared" si="33"/>
        <v>#N/A</v>
      </c>
      <c r="GD47" s="62" t="e">
        <f t="shared" si="34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35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projet'!$B$17,Paramètres!$A$1:$I$88,7,0))</f>
        <v>0</v>
      </c>
      <c r="GJ47" s="17">
        <f>IF(ISNA(VLOOKUP(A47,'Données projet'!$A$243:$I$263,6,0)),0%,VLOOKUP(A47,'Données projet'!$A$243:$I$263,6,0)*VLOOKUP('Données projet'!$B$17,Paramètres!$A$1:$I$88,7,0))</f>
        <v>0</v>
      </c>
      <c r="GK47" s="17">
        <f>IF(ISNA(VLOOKUP(A47,'Données projet'!$A$243:$I$263,7,0)),0%,VLOOKUP(A47,'Données projet'!$A$243:$I$263,7,0))</f>
        <v>0</v>
      </c>
      <c r="GL47" s="23">
        <f>EXP(-LN(2)/35)*GL46+(1-EXP(-LN(2)/35))/(LN(2)/35)*GH47*GI47*VLOOKUP('Données projet'!$B$9,Paramètres!$A$1:$I$88,3,0)*0.475*44/12</f>
        <v>0</v>
      </c>
      <c r="GM47" s="23">
        <f>EXP(-LN(2)/25)*GM46+(1-EXP(-LN(2)/25))/(LN(2)/25)*Calculateur!GH47*Calculateur!GJ47*VLOOKUP('Données projet'!$B$9,Paramètres!$A$1:$I$88,3,0)*0.475*44/12</f>
        <v>0</v>
      </c>
      <c r="GN47" s="23">
        <f>EXP(-LN(2)/2)*GN46+(1-EXP(-LN(2)/2))/(LN(2)/2)*GH47*GK47*VLOOKUP('Données projet'!$B$9,Paramètres!$A$1:$I$88,3,0)*0.475*44/12</f>
        <v>0</v>
      </c>
      <c r="GO47" s="23">
        <f t="shared" si="36"/>
        <v>0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IF(A47&lt;'Données projet'!$A$270,$GR$205^A47,IF(A47='Données projet'!$A$270,'Données projet'!$B$270,GU46+GT47-HC46))</f>
        <v>0</v>
      </c>
      <c r="GV47" s="18" t="e">
        <f>GU47*VLOOKUP('Données projet'!$B$18,Paramètres!$A$1:$I$88,3,0)*VLOOKUP('Données projet'!$B$18,Paramètres!$A$1:$I$88,5,0)</f>
        <v>#N/A</v>
      </c>
      <c r="GW47" s="14" t="e">
        <f t="shared" si="52"/>
        <v>#N/A</v>
      </c>
      <c r="GX47" s="22" t="e">
        <f t="shared" si="37"/>
        <v>#N/A</v>
      </c>
      <c r="GY47" s="62" t="e">
        <f t="shared" si="38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39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projet'!$B$18,Paramètres!$A$1:$I$88,7,0))</f>
        <v>0</v>
      </c>
      <c r="HE47" s="17">
        <f>IF(ISNA(VLOOKUP(A47,'Données projet'!$A$269:$I$289,6,0)),0%,VLOOKUP(A47,'Données projet'!$A$269:$I$289,6,0)*VLOOKUP('Données projet'!$B$18,Paramètres!$A$1:$I$88,7,0))</f>
        <v>0</v>
      </c>
      <c r="HF47" s="17">
        <f>IF(ISNA(VLOOKUP(A47,'Données projet'!$A$269:$I$289,7,0)),0%,VLOOKUP(A47,'Données projet'!$A$269:$I$289,7,0))</f>
        <v>0</v>
      </c>
      <c r="HG47" s="23">
        <f>EXP(-LN(2)/35)*HG46+(1-EXP(-LN(2)/35))/(LN(2)/35)*HC47*HD47*VLOOKUP('Données projet'!$B$9,Paramètres!$A$1:$I$88,3,0)*0.475*44/12</f>
        <v>0</v>
      </c>
      <c r="HH47" s="23">
        <f>EXP(-LN(2)/25)*HH46+(1-EXP(-LN(2)/25))/(LN(2)/25)*Calculateur!HC47*Calculateur!HE47*VLOOKUP('Données projet'!$B$9,Paramètres!$A$1:$I$88,3,0)*0.475*44/12</f>
        <v>0</v>
      </c>
      <c r="HI47" s="23">
        <f>EXP(-LN(2)/2)*HI46+(1-EXP(-LN(2)/2))/(LN(2)/2)*HC47*HF47*VLOOKUP('Données projet'!$B$9,Paramètres!$A$1:$I$88,3,0)*0.475*44/12</f>
        <v>0</v>
      </c>
      <c r="HJ47" s="24">
        <f t="shared" si="40"/>
        <v>0</v>
      </c>
    </row>
    <row r="48" spans="1:218" s="5" customFormat="1" x14ac:dyDescent="0.25">
      <c r="A48" s="11">
        <f t="shared" si="4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8" s="12">
        <f t="shared" si="4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135.66666666666666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1.8720833333333331</v>
      </c>
      <c r="N48" s="14">
        <f>IF(A48&lt;'Données projet'!$A$36,$K$205^A48,IF(A48='Données projet'!$A$36,'Données projet'!$B$36,N47+M48-V47))</f>
        <v>65.027083333333351</v>
      </c>
      <c r="O48" s="14">
        <f>N48*VLOOKUP('Données projet'!$B$9,Paramètres!$A$1:$I$88,3,0)*VLOOKUP('Données projet'!$B$9,Paramètres!$A$1:$I$88,5,0)</f>
        <v>74.911200000000022</v>
      </c>
      <c r="P48" s="14">
        <f t="shared" si="43"/>
        <v>20.888226917907243</v>
      </c>
      <c r="Q48" s="22">
        <f t="shared" si="53"/>
        <v>166.8506685486885</v>
      </c>
      <c r="R48" s="62">
        <f t="shared" si="0"/>
        <v>396.79000669262302</v>
      </c>
      <c r="S48" s="62">
        <f ca="1">AVERAGE(OFFSET($R$3,0,0,'Données projet'!$E$9+1,1))-AVERAGE(OFFSET($H$3,0,0,'Données projet'!$E$9+1,1))</f>
        <v>314.72063458462026</v>
      </c>
      <c r="T48" s="62">
        <f t="shared" si="3"/>
        <v>216.4380325968244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projet'!$B$9,Paramètres!$A$1:$I$88,7,0))</f>
        <v>0</v>
      </c>
      <c r="X48" s="17">
        <f>IF(ISNA(VLOOKUP(A48,'Données projet'!$A$35:$I$55,6,0)),0%,VLOOKUP(A48,'Données projet'!$A$35:$I$55,6,0)*VLOOKUP('Données projet'!$B$9,Paramètres!$A$1:$I$88,7,0))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projet'!$B$9,Paramètres!$A$1:$I$88,3,0)*0.475*44/12</f>
        <v>0</v>
      </c>
      <c r="AA48" s="23">
        <f>EXP(-LN(2)/25)*AA47+(1-EXP(-LN(2)/25))/(LN(2)/25)*Calculateur!V48*Calculateur!X48*VLOOKUP('Données projet'!$B$9,Paramètres!$A$1:$I$88,3,0)*0.475*44/12</f>
        <v>0</v>
      </c>
      <c r="AB48" s="23">
        <f>EXP(-LN(2)/2)*AB47+(1-EXP(-LN(2)/2))/(LN(2)/2)*V48*Y48*VLOOKUP('Données projet'!$B$9,Paramètres!$A$1:$I$88,3,0)*0.475*44/12</f>
        <v>0</v>
      </c>
      <c r="AC48" s="24">
        <f t="shared" si="4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128</v>
      </c>
      <c r="AG48" s="13">
        <f>VLOOKUP(A48,'Données projet'!$A$61:$I$81,9,0)</f>
        <v>5.6</v>
      </c>
      <c r="AH48" s="13">
        <f t="array" ref="AH48">INDEX(AG:AG,MIN(IF(ISNUMBER(AG48:AG244),ROW(AG48:AG244),"")))</f>
        <v>5.6</v>
      </c>
      <c r="AI48" s="14">
        <f>IF(A48&lt;'Données projet'!$A$62,$AF$205^A48,IF(A48='Données projet'!$A$62,'Données projet'!$B$62,AI47+AH48-AQ47))</f>
        <v>127.99999999999999</v>
      </c>
      <c r="AJ48" s="14">
        <f>AI48*VLOOKUP('Données projet'!$B$10,Paramètres!$A$1:$I$88,3,0)*VLOOKUP('Données projet'!$B$10,Paramètres!$A$1:$I$88,5,0)</f>
        <v>133.78559999999999</v>
      </c>
      <c r="AK48" s="14">
        <f t="shared" si="44"/>
        <v>34.869633669323235</v>
      </c>
      <c r="AL48" s="22">
        <f t="shared" si="5"/>
        <v>293.74119864073793</v>
      </c>
      <c r="AM48" s="62">
        <f t="shared" si="6"/>
        <v>523.68053678467243</v>
      </c>
      <c r="AN48" s="62">
        <f ca="1">AVERAGE(OFFSET($AM$3,0,0,'Données projet'!$E$10+1,1))-AVERAGE(OFFSET($H$3,0,0,'Données projet'!$E$10+1,1))</f>
        <v>458.33072853676879</v>
      </c>
      <c r="AO48" s="62">
        <f t="shared" si="7"/>
        <v>254.1734169352687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projet'!$B$10,Paramètres!$A$1:$I$88,7,0))</f>
        <v>0</v>
      </c>
      <c r="AS48" s="17">
        <f>IF(ISNA(VLOOKUP(A48,'Données projet'!$A$61:$I$81,6,0)),0%,VLOOKUP(A48,'Données projet'!$A$61:$I$81,6,0)*VLOOKUP('Données projet'!$B$10,Paramètres!$A$1:$I$88,7,0))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projet'!$B$9,Paramètres!$A$1:$I$88,3,0)*0.475*44/12</f>
        <v>0</v>
      </c>
      <c r="AV48" s="23">
        <f>EXP(-LN(2)/25)*AV47+(1-EXP(-LN(2)/25))/(LN(2)/25)*Calculateur!AQ48*Calculateur!AS48*VLOOKUP('Données projet'!$B$9,Paramètres!$A$1:$I$88,3,0)*0.475*44/12</f>
        <v>0</v>
      </c>
      <c r="AW48" s="23">
        <f>EXP(-LN(2)/2)*AW47+(1-EXP(-LN(2)/2))/(LN(2)/2)*AQ48*AT48*VLOOKUP('Données projet'!$B$9,Paramètres!$A$1:$I$88,3,0)*0.475*44/12</f>
        <v>0</v>
      </c>
      <c r="AX48" s="23">
        <f t="shared" si="8"/>
        <v>0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128</v>
      </c>
      <c r="BB48" s="13">
        <f>VLOOKUP(A48,'Données projet'!$A$87:$I$107,9,0)</f>
        <v>5.6</v>
      </c>
      <c r="BC48" s="13">
        <f t="array" ref="BC48">INDEX(BB:BB,MIN(IF(ISNUMBER(BB48:BB244),ROW(BB48:BB244),"")))</f>
        <v>5.6</v>
      </c>
      <c r="BD48" s="13">
        <f>IF(A48&lt;'Données projet'!$A$88,$BA$205^A48,IF(A48='Données projet'!$A$88,'Données projet'!$B$88,BD47+BC48-BL47))</f>
        <v>127.99999999999999</v>
      </c>
      <c r="BE48" s="14">
        <f>BD48*VLOOKUP('Données projet'!$B$11,Paramètres!$A$1:$I$88,3,0)*VLOOKUP('Données projet'!$B$11,Paramètres!$A$1:$I$88,5,0)</f>
        <v>129.79199999999997</v>
      </c>
      <c r="BF48" s="14">
        <f t="shared" si="45"/>
        <v>33.948292161114985</v>
      </c>
      <c r="BG48" s="22">
        <f t="shared" si="9"/>
        <v>285.18100884727517</v>
      </c>
      <c r="BH48" s="62">
        <f t="shared" si="10"/>
        <v>515.12034699120966</v>
      </c>
      <c r="BI48" s="62">
        <f ca="1">AVERAGE(OFFSET($BH$3,0,0,'Données projet'!$E$11+1,1))-AVERAGE(OFFSET($H$3,0,0,'Données projet'!$E$11+1,1))</f>
        <v>447.82618173893104</v>
      </c>
      <c r="BJ48" s="62">
        <f t="shared" si="11"/>
        <v>248.96509970783379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projet'!$B$11,Paramètres!$A$1:$I$88,7,0))</f>
        <v>0</v>
      </c>
      <c r="BN48" s="17">
        <f>IF(ISNA(VLOOKUP(A48,'Données projet'!$A$87:$I$107,6,0)),0%,VLOOKUP(A48,'Données projet'!$A$87:$I$107,6,0)*VLOOKUP('Données projet'!$B$11,Paramètres!$A$1:$I$88,7,0))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projet'!$B$9,Paramètres!$A$1:$I$88,3,0)*0.475*44/12</f>
        <v>0</v>
      </c>
      <c r="BQ48" s="23">
        <f>EXP(-LN(2)/25)*BQ47+(1-EXP(-LN(2)/25))/(LN(2)/25)*Calculateur!BL48*Calculateur!BN48*VLOOKUP('Données projet'!$B$9,Paramètres!$A$1:$I$88,3,0)*0.475*44/12</f>
        <v>0</v>
      </c>
      <c r="BR48" s="23">
        <f>EXP(-LN(2)/2)*BR47+(1-EXP(-LN(2)/2))/(LN(2)/2)*BL48*BO48*VLOOKUP('Données projet'!$B$9,Paramètres!$A$1:$I$88,3,0)*0.475*44/12</f>
        <v>0</v>
      </c>
      <c r="BS48" s="24">
        <f t="shared" si="12"/>
        <v>0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>
        <f>VLOOKUP(A48,'Données projet'!$A$113:$I$133,2,0)</f>
        <v>128</v>
      </c>
      <c r="BW48" s="13">
        <f>VLOOKUP(A48,'Données projet'!$A$113:$I$133,9,0)</f>
        <v>5.6</v>
      </c>
      <c r="BX48" s="13">
        <f t="array" ref="BX48">INDEX(BW:BW,MIN(IF(ISNUMBER(BW48:BW244),ROW(BW48:BW244),"")))</f>
        <v>5.6</v>
      </c>
      <c r="BY48" s="13">
        <f>IF(A48&lt;'Données projet'!$A$114,$BV$205^A48,IF(A48='Données projet'!$A$114,'Données projet'!$B$114,BY47+BX48-CG47))</f>
        <v>127.99999999999999</v>
      </c>
      <c r="BZ48" s="14">
        <f>BY48*VLOOKUP('Données projet'!$B$12,Paramètres!$A$1:$I$88,3,0)*VLOOKUP('Données projet'!$B$12,Paramètres!$A$1:$I$88,5,0)</f>
        <v>137.77919999999997</v>
      </c>
      <c r="CA48" s="14">
        <f t="shared" si="46"/>
        <v>35.787778913287674</v>
      </c>
      <c r="CB48" s="22">
        <f t="shared" si="13"/>
        <v>302.29582160730928</v>
      </c>
      <c r="CC48" s="62">
        <f t="shared" si="14"/>
        <v>532.23515975124383</v>
      </c>
      <c r="CD48" s="62">
        <f ca="1">AVERAGE(OFFSET($CC$3,0,0,'Données projet'!$E$12+1,1))-AVERAGE(OFFSET($H$3,0,0,'Données projet'!$E$12+1,1))</f>
        <v>468.82871618425406</v>
      </c>
      <c r="CE48" s="62">
        <f t="shared" si="15"/>
        <v>259.37818128554397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projet'!$B$12,Paramètres!$A$1:$I$88,7,0))</f>
        <v>0</v>
      </c>
      <c r="CI48" s="17">
        <f>IF(ISNA(VLOOKUP(A48,'Données projet'!$A$113:$I$133,6,0)),0%,VLOOKUP(A48,'Données projet'!$A$113:$I$133,6,0)*VLOOKUP('Données projet'!$B$12,Paramètres!$A$1:$I$88,7,0))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projet'!$B$9,Paramètres!$A$1:$I$88,3,0)*0.475*44/12</f>
        <v>0</v>
      </c>
      <c r="CL48" s="23">
        <f>EXP(-LN(2)/25)*CL47+(1-EXP(-LN(2)/25))/(LN(2)/25)*Calculateur!CG48*Calculateur!CI48*VLOOKUP('Données projet'!$B$9,Paramètres!$A$1:$I$88,3,0)*0.475*44/12</f>
        <v>0</v>
      </c>
      <c r="CM48" s="23">
        <f>EXP(-LN(2)/2)*CM47+(1-EXP(-LN(2)/2))/(LN(2)/2)*CG48*CJ48*VLOOKUP('Données projet'!$B$9,Paramètres!$A$1:$I$88,3,0)*0.475*44/12</f>
        <v>0</v>
      </c>
      <c r="CN48" s="24">
        <f t="shared" si="16"/>
        <v>0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>
        <f>VLOOKUP(A48,'Données projet'!$A$139:$I$159,2,0)</f>
        <v>128</v>
      </c>
      <c r="CR48" s="13">
        <f>VLOOKUP(A48,'Données projet'!$A$139:$I$159,9,0)</f>
        <v>5.6</v>
      </c>
      <c r="CS48" s="13">
        <f t="array" ref="CS48">INDEX(CR:CR,MIN(IF(ISNUMBER(CR48:CR244),ROW(CR48:CR244),"")))</f>
        <v>5.6</v>
      </c>
      <c r="CT48" s="13">
        <f>IF(A48&lt;'Données projet'!$A$140,$CQ$205^A48,IF(A48='Données projet'!$A$140,'Données projet'!$B$140,CT47+CS48-DB47))</f>
        <v>127.99999999999999</v>
      </c>
      <c r="CU48" s="18">
        <f>CT48*VLOOKUP('Données projet'!$B$13,Paramètres!$A$1:$I$88,3,0)*VLOOKUP('Données projet'!$B$13,Paramètres!$A$1:$I$88,5,0)</f>
        <v>109.82399999999998</v>
      </c>
      <c r="CV48" s="14">
        <f t="shared" si="47"/>
        <v>29.289513736104162</v>
      </c>
      <c r="CW48" s="22">
        <f t="shared" si="17"/>
        <v>242.28936975704804</v>
      </c>
      <c r="CX48" s="62">
        <f t="shared" si="18"/>
        <v>472.22870790098256</v>
      </c>
      <c r="CY48" s="62">
        <f ca="1">AVERAGE(OFFSET($CX$3,0,0,'Données projet'!$E$13+1,1))-AVERAGE(OFFSET($H$3,0,0,'Données projet'!$E$13+1,1))</f>
        <v>395.19659151668884</v>
      </c>
      <c r="CZ48" s="62">
        <f t="shared" si="19"/>
        <v>222.86563304507339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projet'!$B$13,Paramètres!$A$1:$I$88,7,0))</f>
        <v>0</v>
      </c>
      <c r="DD48" s="17">
        <f>IF(ISNA(VLOOKUP(A48,'Données projet'!$A$139:$I$159,6,0)),0%,VLOOKUP(A48,'Données projet'!$A$139:$I$159,6,0)*VLOOKUP('Données projet'!$B$13,Paramètres!$A$1:$I$88,7,0))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projet'!$B$9,Paramètres!$A$1:$I$88,3,0)*0.475*44/12</f>
        <v>0</v>
      </c>
      <c r="DG48" s="23">
        <f>EXP(-LN(2)/25)*DG47+(1-EXP(-LN(2)/25))/(LN(2)/25)*Calculateur!DB48*Calculateur!DD48*VLOOKUP('Données projet'!$B$9,Paramètres!$A$1:$I$88,3,0)*0.475*44/12</f>
        <v>0</v>
      </c>
      <c r="DH48" s="23">
        <f>EXP(-LN(2)/2)*DH47+(1-EXP(-LN(2)/2))/(LN(2)/2)*DB48*DE48*VLOOKUP('Données projet'!$B$9,Paramètres!$A$1:$I$88,3,0)*0.475*44/12</f>
        <v>0</v>
      </c>
      <c r="DI48" s="24">
        <f t="shared" si="20"/>
        <v>0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4.5999999999999996</v>
      </c>
      <c r="DO48" s="13">
        <f>IF(A48&lt;'Données projet'!$A$166,$DL$205^A48,IF(A48='Données projet'!$A$166,'Données projet'!$B$166,DO47+DN48-DW47))</f>
        <v>64</v>
      </c>
      <c r="DP48" s="18">
        <f>DO48*VLOOKUP('Données projet'!$B$14,Paramètres!$A$1:$I$88,3,0)*VLOOKUP('Données projet'!$B$14,Paramètres!$A$1:$I$88,5,0)</f>
        <v>37.440000000000005</v>
      </c>
      <c r="DQ48" s="14">
        <f t="shared" si="48"/>
        <v>11.317528925689185</v>
      </c>
      <c r="DR48" s="22">
        <f t="shared" si="21"/>
        <v>84.919362878908657</v>
      </c>
      <c r="DS48" s="62">
        <f t="shared" si="22"/>
        <v>314.85870102284321</v>
      </c>
      <c r="DT48" s="62">
        <f ca="1">AVERAGE(OFFSET($DS$3,0,0,'Données projet'!$E$14+1,1))-AVERAGE(OFFSET($H$3,0,0,'Données projet'!$E$14+1,1))</f>
        <v>155.18073137151848</v>
      </c>
      <c r="DU48" s="62">
        <f t="shared" si="23"/>
        <v>115.19459155667272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projet'!$B$14,Paramètres!$A$1:$I$88,7,0))</f>
        <v>0</v>
      </c>
      <c r="DY48" s="17">
        <f>IF(ISNA(VLOOKUP(A48,'Données projet'!$A$165:$I$185,6,0)),0%,VLOOKUP(A48,'Données projet'!$A$165:$I$185,6,0)*VLOOKUP('Données projet'!$B$14,Paramètres!$A$1:$I$88,7,0))</f>
        <v>0</v>
      </c>
      <c r="DZ48" s="17">
        <f>IF(ISNA(VLOOKUP(A48,'Données projet'!$A$165:$I$185,7,0)),0%,VLOOKUP(A48,'Données projet'!$A$165:$I$185,7,0))</f>
        <v>0</v>
      </c>
      <c r="EA48" s="23">
        <f>EXP(-LN(2)/35)*EA47+(1-EXP(-LN(2)/35))/(LN(2)/35)*DW48*DX48*VLOOKUP('Données projet'!$B$9,Paramètres!$A$1:$I$88,3,0)*0.475*44/12</f>
        <v>0</v>
      </c>
      <c r="EB48" s="23">
        <f>EXP(-LN(2)/25)*EB47+(1-EXP(-LN(2)/25))/(LN(2)/25)*Calculateur!DW48*Calculateur!DY48*VLOOKUP('Données projet'!$B$9,Paramètres!$A$1:$I$88,3,0)*0.475*44/12</f>
        <v>0</v>
      </c>
      <c r="EC48" s="23">
        <f>EXP(-LN(2)/2)*EC47+(1-EXP(-LN(2)/2))/(LN(2)/2)*DW48*DZ48*VLOOKUP('Données projet'!$B$9,Paramètres!$A$1:$I$88,3,0)*0.475*44/12</f>
        <v>0</v>
      </c>
      <c r="ED48" s="24">
        <f t="shared" si="24"/>
        <v>0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3.25</v>
      </c>
      <c r="EJ48" s="13">
        <f>IF(A48&lt;'Données projet'!$A$192,$EG$205^A48,IF(A48='Données projet'!$A$192,'Données projet'!$B$192,EJ47+EI48-ER47))</f>
        <v>52.182629375444172</v>
      </c>
      <c r="EK48" s="18">
        <f>EJ48*VLOOKUP('Données projet'!$B$15,Paramètres!$A$1:$I$88,3,0)*VLOOKUP('Données projet'!$B$15,Paramètres!$A$1:$I$88,5,0)</f>
        <v>24.421470547707873</v>
      </c>
      <c r="EL48" s="14">
        <f t="shared" si="49"/>
        <v>7.758669235546896</v>
      </c>
      <c r="EM48" s="22">
        <f t="shared" si="25"/>
        <v>56.04707678916872</v>
      </c>
      <c r="EN48" s="62">
        <f t="shared" si="26"/>
        <v>285.98641493310322</v>
      </c>
      <c r="EO48" s="62">
        <f ca="1">AVERAGE(OFFSET($EN$3,0,0,'Données projet'!$E$15+1,1))-AVERAGE(OFFSET($H$3,0,0,'Données projet'!$E$15+1,1))</f>
        <v>238.59014604384171</v>
      </c>
      <c r="EP48" s="62">
        <f t="shared" si="27"/>
        <v>90.841373219575217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projet'!$B$15,Paramètres!$A$1:$I$88,7,0))</f>
        <v>0</v>
      </c>
      <c r="ET48" s="17">
        <f>IF(ISNA(VLOOKUP(A48,'Données projet'!$A$191:$I$211,6,0)),0%,VLOOKUP(A48,'Données projet'!$A$191:$I$211,6,0)*VLOOKUP('Données projet'!$B$15,Paramètres!$A$1:$I$88,7,0))</f>
        <v>0</v>
      </c>
      <c r="EU48" s="17">
        <f>IF(ISNA(VLOOKUP(A48,'Données projet'!$A$191:$I$211,7,0)),0%,VLOOKUP(A48,'Données projet'!$A$191:$I$211,7,0))</f>
        <v>0</v>
      </c>
      <c r="EV48" s="23">
        <f>EXP(-LN(2)/35)*EV47+(1-EXP(-LN(2)/35))/(LN(2)/35)*ER48*ES48*VLOOKUP('Données projet'!$B$9,Paramètres!$A$1:$I$88,3,0)*0.475*44/12</f>
        <v>0</v>
      </c>
      <c r="EW48" s="23">
        <f>EXP(-LN(2)/25)*EW47+(1-EXP(-LN(2)/25))/(LN(2)/25)*Calculateur!ER48*Calculateur!ET48*VLOOKUP('Données projet'!$B$9,Paramètres!$A$1:$I$88,3,0)*0.475*44/12</f>
        <v>0</v>
      </c>
      <c r="EX48" s="23">
        <f>EXP(-LN(2)/2)*EX47+(1-EXP(-LN(2)/2))/(LN(2)/2)*ER48*EU48*VLOOKUP('Données projet'!$B$9,Paramètres!$A$1:$I$88,3,0)*0.475*44/12</f>
        <v>0</v>
      </c>
      <c r="EY48" s="24">
        <f t="shared" si="28"/>
        <v>0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IF(A48&lt;'Données projet'!$A$218,$FB$205^A48,IF(A48='Données projet'!$A$218,'Données projet'!$B$218,FE47+FD48-FM47))</f>
        <v>0</v>
      </c>
      <c r="FF48" s="18" t="e">
        <f>FE48*VLOOKUP('Données projet'!$B$16,Paramètres!$A$1:$I$88,3,0)*VLOOKUP('Données projet'!$B$16,Paramètres!$A$1:$I$88,5,0)</f>
        <v>#N/A</v>
      </c>
      <c r="FG48" s="14" t="e">
        <f t="shared" si="50"/>
        <v>#N/A</v>
      </c>
      <c r="FH48" s="22" t="e">
        <f t="shared" si="29"/>
        <v>#N/A</v>
      </c>
      <c r="FI48" s="62" t="e">
        <f t="shared" si="30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31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projet'!$B$16,Paramètres!$A$1:$I$88,7,0))</f>
        <v>0</v>
      </c>
      <c r="FO48" s="17">
        <f>IF(ISNA(VLOOKUP(A48,'Données projet'!$A$217:$I$237,6,0)),0%,VLOOKUP(A48,'Données projet'!$A$217:$I$237,6,0)*VLOOKUP('Données projet'!$B$16,Paramètres!$A$1:$I$88,7,0))</f>
        <v>0</v>
      </c>
      <c r="FP48" s="17">
        <f>IF(ISNA(VLOOKUP(A48,'Données projet'!$A$217:$I$237,7,0)),0%,VLOOKUP(A48,'Données projet'!$A$217:$I$237,7,0))</f>
        <v>0</v>
      </c>
      <c r="FQ48" s="23">
        <f>EXP(-LN(2)/35)*FQ47+(1-EXP(-LN(2)/35))/(LN(2)/35)*FM48*FN48*VLOOKUP('Données projet'!$B$9,Paramètres!$A$1:$I$88,3,0)*0.475*44/12</f>
        <v>0</v>
      </c>
      <c r="FR48" s="23">
        <f>EXP(-LN(2)/25)*FR47+(1-EXP(-LN(2)/25))/(LN(2)/25)*Calculateur!FM48*Calculateur!FO48*VLOOKUP('Données projet'!$B$9,Paramètres!$A$1:$I$88,3,0)*0.475*44/12</f>
        <v>0</v>
      </c>
      <c r="FS48" s="23">
        <f>EXP(-LN(2)/2)*FS47+(1-EXP(-LN(2)/2))/(LN(2)/2)*FM48*FP48*VLOOKUP('Données projet'!$B$9,Paramètres!$A$1:$I$88,3,0)*0.475*44/12</f>
        <v>0</v>
      </c>
      <c r="FT48" s="24">
        <f t="shared" si="32"/>
        <v>0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IF(A48&lt;'Données projet'!$A$244,$FW$205^A48,IF(A48='Données projet'!$A$244,'Données projet'!$B$244,FZ47+FY48-GH47))</f>
        <v>0</v>
      </c>
      <c r="GA48" s="18" t="e">
        <f>FZ48*VLOOKUP('Données projet'!$B$17,Paramètres!$A$1:$I$88,3,0)*VLOOKUP('Données projet'!$B$17,Paramètres!$A$1:$I$88,5,0)</f>
        <v>#N/A</v>
      </c>
      <c r="GB48" s="14" t="e">
        <f t="shared" si="51"/>
        <v>#N/A</v>
      </c>
      <c r="GC48" s="22" t="e">
        <f t="shared" si="33"/>
        <v>#N/A</v>
      </c>
      <c r="GD48" s="62" t="e">
        <f t="shared" si="34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35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projet'!$B$17,Paramètres!$A$1:$I$88,7,0))</f>
        <v>0</v>
      </c>
      <c r="GJ48" s="17">
        <f>IF(ISNA(VLOOKUP(A48,'Données projet'!$A$243:$I$263,6,0)),0%,VLOOKUP(A48,'Données projet'!$A$243:$I$263,6,0)*VLOOKUP('Données projet'!$B$17,Paramètres!$A$1:$I$88,7,0))</f>
        <v>0</v>
      </c>
      <c r="GK48" s="17">
        <f>IF(ISNA(VLOOKUP(A48,'Données projet'!$A$243:$I$263,7,0)),0%,VLOOKUP(A48,'Données projet'!$A$243:$I$263,7,0))</f>
        <v>0</v>
      </c>
      <c r="GL48" s="23">
        <f>EXP(-LN(2)/35)*GL47+(1-EXP(-LN(2)/35))/(LN(2)/35)*GH48*GI48*VLOOKUP('Données projet'!$B$9,Paramètres!$A$1:$I$88,3,0)*0.475*44/12</f>
        <v>0</v>
      </c>
      <c r="GM48" s="23">
        <f>EXP(-LN(2)/25)*GM47+(1-EXP(-LN(2)/25))/(LN(2)/25)*Calculateur!GH48*Calculateur!GJ48*VLOOKUP('Données projet'!$B$9,Paramètres!$A$1:$I$88,3,0)*0.475*44/12</f>
        <v>0</v>
      </c>
      <c r="GN48" s="23">
        <f>EXP(-LN(2)/2)*GN47+(1-EXP(-LN(2)/2))/(LN(2)/2)*GH48*GK48*VLOOKUP('Données projet'!$B$9,Paramètres!$A$1:$I$88,3,0)*0.475*44/12</f>
        <v>0</v>
      </c>
      <c r="GO48" s="23">
        <f t="shared" si="36"/>
        <v>0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IF(A48&lt;'Données projet'!$A$270,$GR$205^A48,IF(A48='Données projet'!$A$270,'Données projet'!$B$270,GU47+GT48-HC47))</f>
        <v>0</v>
      </c>
      <c r="GV48" s="18" t="e">
        <f>GU48*VLOOKUP('Données projet'!$B$18,Paramètres!$A$1:$I$88,3,0)*VLOOKUP('Données projet'!$B$18,Paramètres!$A$1:$I$88,5,0)</f>
        <v>#N/A</v>
      </c>
      <c r="GW48" s="14" t="e">
        <f t="shared" si="52"/>
        <v>#N/A</v>
      </c>
      <c r="GX48" s="22" t="e">
        <f t="shared" si="37"/>
        <v>#N/A</v>
      </c>
      <c r="GY48" s="62" t="e">
        <f t="shared" si="38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39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projet'!$B$18,Paramètres!$A$1:$I$88,7,0))</f>
        <v>0</v>
      </c>
      <c r="HE48" s="17">
        <f>IF(ISNA(VLOOKUP(A48,'Données projet'!$A$269:$I$289,6,0)),0%,VLOOKUP(A48,'Données projet'!$A$269:$I$289,6,0)*VLOOKUP('Données projet'!$B$18,Paramètres!$A$1:$I$88,7,0))</f>
        <v>0</v>
      </c>
      <c r="HF48" s="17">
        <f>IF(ISNA(VLOOKUP(A48,'Données projet'!$A$269:$I$289,7,0)),0%,VLOOKUP(A48,'Données projet'!$A$269:$I$289,7,0))</f>
        <v>0</v>
      </c>
      <c r="HG48" s="23">
        <f>EXP(-LN(2)/35)*HG47+(1-EXP(-LN(2)/35))/(LN(2)/35)*HC48*HD48*VLOOKUP('Données projet'!$B$9,Paramètres!$A$1:$I$88,3,0)*0.475*44/12</f>
        <v>0</v>
      </c>
      <c r="HH48" s="23">
        <f>EXP(-LN(2)/25)*HH47+(1-EXP(-LN(2)/25))/(LN(2)/25)*Calculateur!HC48*Calculateur!HE48*VLOOKUP('Données projet'!$B$9,Paramètres!$A$1:$I$88,3,0)*0.475*44/12</f>
        <v>0</v>
      </c>
      <c r="HI48" s="23">
        <f>EXP(-LN(2)/2)*HI47+(1-EXP(-LN(2)/2))/(LN(2)/2)*HC48*HF48*VLOOKUP('Données projet'!$B$9,Paramètres!$A$1:$I$88,3,0)*0.475*44/12</f>
        <v>0</v>
      </c>
      <c r="HJ48" s="24">
        <f t="shared" si="40"/>
        <v>0</v>
      </c>
    </row>
    <row r="49" spans="1:218" s="5" customFormat="1" x14ac:dyDescent="0.25">
      <c r="A49" s="11">
        <f t="shared" si="4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49" s="12">
        <f t="shared" si="4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135.66666666666666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1.8720833333333331</v>
      </c>
      <c r="N49" s="14">
        <f>IF(A49&lt;'Données projet'!$A$36,$K$205^A49,IF(A49='Données projet'!$A$36,'Données projet'!$B$36,N48+M49-V48))</f>
        <v>66.899166666666687</v>
      </c>
      <c r="O49" s="14">
        <f>N49*VLOOKUP('Données projet'!$B$9,Paramètres!$A$1:$I$88,3,0)*VLOOKUP('Données projet'!$B$9,Paramètres!$A$1:$I$88,5,0)</f>
        <v>77.067840000000018</v>
      </c>
      <c r="P49" s="14">
        <f t="shared" si="43"/>
        <v>21.418705179130875</v>
      </c>
      <c r="Q49" s="22">
        <f t="shared" si="53"/>
        <v>171.53073285365295</v>
      </c>
      <c r="R49" s="62">
        <f t="shared" si="0"/>
        <v>402.56981508638262</v>
      </c>
      <c r="S49" s="62">
        <f ca="1">AVERAGE(OFFSET($R$3,0,0,'Données projet'!$E$9+1,1))-AVERAGE(OFFSET($H$3,0,0,'Données projet'!$E$9+1,1))</f>
        <v>314.72063458462026</v>
      </c>
      <c r="T49" s="62">
        <f t="shared" si="3"/>
        <v>216.4380325968244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projet'!$B$9,Paramètres!$A$1:$I$88,7,0))</f>
        <v>0</v>
      </c>
      <c r="X49" s="17">
        <f>IF(ISNA(VLOOKUP(A49,'Données projet'!$A$35:$I$55,6,0)),0%,VLOOKUP(A49,'Données projet'!$A$35:$I$55,6,0)*VLOOKUP('Données projet'!$B$9,Paramètres!$A$1:$I$88,7,0))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projet'!$B$9,Paramètres!$A$1:$I$88,3,0)*0.475*44/12</f>
        <v>0</v>
      </c>
      <c r="AA49" s="23">
        <f>EXP(-LN(2)/25)*AA48+(1-EXP(-LN(2)/25))/(LN(2)/25)*Calculateur!V49*Calculateur!X49*VLOOKUP('Données projet'!$B$9,Paramètres!$A$1:$I$88,3,0)*0.475*44/12</f>
        <v>0</v>
      </c>
      <c r="AB49" s="23">
        <f>EXP(-LN(2)/2)*AB48+(1-EXP(-LN(2)/2))/(LN(2)/2)*V49*Y49*VLOOKUP('Données projet'!$B$9,Paramètres!$A$1:$I$88,3,0)*0.475*44/12</f>
        <v>0</v>
      </c>
      <c r="AC49" s="24">
        <f t="shared" si="4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5.2</v>
      </c>
      <c r="AI49" s="14">
        <f>IF(A49&lt;'Données projet'!$A$62,$AF$205^A49,IF(A49='Données projet'!$A$62,'Données projet'!$B$62,AI48+AH49-AQ48))</f>
        <v>133.19999999999999</v>
      </c>
      <c r="AJ49" s="14">
        <f>AI49*VLOOKUP('Données projet'!$B$10,Paramètres!$A$1:$I$88,3,0)*VLOOKUP('Données projet'!$B$10,Paramètres!$A$1:$I$88,5,0)</f>
        <v>139.22064</v>
      </c>
      <c r="AK49" s="14">
        <f t="shared" si="44"/>
        <v>36.118407097444738</v>
      </c>
      <c r="AL49" s="22">
        <f t="shared" si="5"/>
        <v>305.38217369471624</v>
      </c>
      <c r="AM49" s="62">
        <f t="shared" si="6"/>
        <v>536.42125592744594</v>
      </c>
      <c r="AN49" s="62">
        <f ca="1">AVERAGE(OFFSET($AM$3,0,0,'Données projet'!$E$10+1,1))-AVERAGE(OFFSET($H$3,0,0,'Données projet'!$E$10+1,1))</f>
        <v>458.33072853676879</v>
      </c>
      <c r="AO49" s="62">
        <f t="shared" si="7"/>
        <v>254.1734169352687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projet'!$B$10,Paramètres!$A$1:$I$88,7,0))</f>
        <v>0</v>
      </c>
      <c r="AS49" s="17">
        <f>IF(ISNA(VLOOKUP(A49,'Données projet'!$A$61:$I$81,6,0)),0%,VLOOKUP(A49,'Données projet'!$A$61:$I$81,6,0)*VLOOKUP('Données projet'!$B$10,Paramètres!$A$1:$I$88,7,0))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projet'!$B$9,Paramètres!$A$1:$I$88,3,0)*0.475*44/12</f>
        <v>0</v>
      </c>
      <c r="AV49" s="23">
        <f>EXP(-LN(2)/25)*AV48+(1-EXP(-LN(2)/25))/(LN(2)/25)*Calculateur!AQ49*Calculateur!AS49*VLOOKUP('Données projet'!$B$9,Paramètres!$A$1:$I$88,3,0)*0.475*44/12</f>
        <v>0</v>
      </c>
      <c r="AW49" s="23">
        <f>EXP(-LN(2)/2)*AW48+(1-EXP(-LN(2)/2))/(LN(2)/2)*AQ49*AT49*VLOOKUP('Données projet'!$B$9,Paramètres!$A$1:$I$88,3,0)*0.475*44/12</f>
        <v>0</v>
      </c>
      <c r="AX49" s="23">
        <f t="shared" si="8"/>
        <v>0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5.2</v>
      </c>
      <c r="BD49" s="13">
        <f>IF(A49&lt;'Données projet'!$A$88,$BA$205^A49,IF(A49='Données projet'!$A$88,'Données projet'!$B$88,BD48+BC49-BL48))</f>
        <v>133.19999999999999</v>
      </c>
      <c r="BE49" s="14">
        <f>BD49*VLOOKUP('Données projet'!$B$11,Paramètres!$A$1:$I$88,3,0)*VLOOKUP('Données projet'!$B$11,Paramètres!$A$1:$I$88,5,0)</f>
        <v>135.06479999999999</v>
      </c>
      <c r="BF49" s="14">
        <f t="shared" si="45"/>
        <v>35.164069923019092</v>
      </c>
      <c r="BG49" s="22">
        <f t="shared" si="9"/>
        <v>296.4819484492582</v>
      </c>
      <c r="BH49" s="62">
        <f t="shared" si="10"/>
        <v>527.5210306819879</v>
      </c>
      <c r="BI49" s="62">
        <f ca="1">AVERAGE(OFFSET($BH$3,0,0,'Données projet'!$E$11+1,1))-AVERAGE(OFFSET($H$3,0,0,'Données projet'!$E$11+1,1))</f>
        <v>447.82618173893104</v>
      </c>
      <c r="BJ49" s="62">
        <f t="shared" si="11"/>
        <v>248.96509970783379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projet'!$B$11,Paramètres!$A$1:$I$88,7,0))</f>
        <v>0</v>
      </c>
      <c r="BN49" s="17">
        <f>IF(ISNA(VLOOKUP(A49,'Données projet'!$A$87:$I$107,6,0)),0%,VLOOKUP(A49,'Données projet'!$A$87:$I$107,6,0)*VLOOKUP('Données projet'!$B$11,Paramètres!$A$1:$I$88,7,0))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projet'!$B$9,Paramètres!$A$1:$I$88,3,0)*0.475*44/12</f>
        <v>0</v>
      </c>
      <c r="BQ49" s="23">
        <f>EXP(-LN(2)/25)*BQ48+(1-EXP(-LN(2)/25))/(LN(2)/25)*Calculateur!BL49*Calculateur!BN49*VLOOKUP('Données projet'!$B$9,Paramètres!$A$1:$I$88,3,0)*0.475*44/12</f>
        <v>0</v>
      </c>
      <c r="BR49" s="23">
        <f>EXP(-LN(2)/2)*BR48+(1-EXP(-LN(2)/2))/(LN(2)/2)*BL49*BO49*VLOOKUP('Données projet'!$B$9,Paramètres!$A$1:$I$88,3,0)*0.475*44/12</f>
        <v>0</v>
      </c>
      <c r="BS49" s="24">
        <f t="shared" si="12"/>
        <v>0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5.2</v>
      </c>
      <c r="BY49" s="13">
        <f>IF(A49&lt;'Données projet'!$A$114,$BV$205^A49,IF(A49='Données projet'!$A$114,'Données projet'!$B$114,BY48+BX49-CG48))</f>
        <v>133.19999999999999</v>
      </c>
      <c r="BZ49" s="14">
        <f>BY49*VLOOKUP('Données projet'!$B$12,Paramètres!$A$1:$I$88,3,0)*VLOOKUP('Données projet'!$B$12,Paramètres!$A$1:$I$88,5,0)</f>
        <v>143.37647999999999</v>
      </c>
      <c r="CA49" s="14">
        <f t="shared" si="46"/>
        <v>37.069433540985031</v>
      </c>
      <c r="CB49" s="22">
        <f t="shared" si="13"/>
        <v>314.27663275054891</v>
      </c>
      <c r="CC49" s="62">
        <f t="shared" si="14"/>
        <v>545.31571498327867</v>
      </c>
      <c r="CD49" s="62">
        <f ca="1">AVERAGE(OFFSET($CC$3,0,0,'Données projet'!$E$12+1,1))-AVERAGE(OFFSET($H$3,0,0,'Données projet'!$E$12+1,1))</f>
        <v>468.82871618425406</v>
      </c>
      <c r="CE49" s="62">
        <f t="shared" si="15"/>
        <v>259.37818128554397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projet'!$B$12,Paramètres!$A$1:$I$88,7,0))</f>
        <v>0</v>
      </c>
      <c r="CI49" s="17">
        <f>IF(ISNA(VLOOKUP(A49,'Données projet'!$A$113:$I$133,6,0)),0%,VLOOKUP(A49,'Données projet'!$A$113:$I$133,6,0)*VLOOKUP('Données projet'!$B$12,Paramètres!$A$1:$I$88,7,0))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projet'!$B$9,Paramètres!$A$1:$I$88,3,0)*0.475*44/12</f>
        <v>0</v>
      </c>
      <c r="CL49" s="23">
        <f>EXP(-LN(2)/25)*CL48+(1-EXP(-LN(2)/25))/(LN(2)/25)*Calculateur!CG49*Calculateur!CI49*VLOOKUP('Données projet'!$B$9,Paramètres!$A$1:$I$88,3,0)*0.475*44/12</f>
        <v>0</v>
      </c>
      <c r="CM49" s="23">
        <f>EXP(-LN(2)/2)*CM48+(1-EXP(-LN(2)/2))/(LN(2)/2)*CG49*CJ49*VLOOKUP('Données projet'!$B$9,Paramètres!$A$1:$I$88,3,0)*0.475*44/12</f>
        <v>0</v>
      </c>
      <c r="CN49" s="24">
        <f t="shared" si="16"/>
        <v>0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5.2</v>
      </c>
      <c r="CT49" s="13">
        <f>IF(A49&lt;'Données projet'!$A$140,$CQ$205^A49,IF(A49='Données projet'!$A$140,'Données projet'!$B$140,CT48+CS49-DB48))</f>
        <v>133.19999999999999</v>
      </c>
      <c r="CU49" s="18">
        <f>CT49*VLOOKUP('Données projet'!$B$13,Paramètres!$A$1:$I$88,3,0)*VLOOKUP('Données projet'!$B$13,Paramètres!$A$1:$I$88,5,0)</f>
        <v>114.28560000000002</v>
      </c>
      <c r="CV49" s="14">
        <f t="shared" si="47"/>
        <v>30.338448371411918</v>
      </c>
      <c r="CW49" s="22">
        <f t="shared" si="17"/>
        <v>251.88688424687575</v>
      </c>
      <c r="CX49" s="62">
        <f t="shared" si="18"/>
        <v>482.92596647960545</v>
      </c>
      <c r="CY49" s="62">
        <f ca="1">AVERAGE(OFFSET($CX$3,0,0,'Données projet'!$E$13+1,1))-AVERAGE(OFFSET($H$3,0,0,'Données projet'!$E$13+1,1))</f>
        <v>395.19659151668884</v>
      </c>
      <c r="CZ49" s="62">
        <f t="shared" si="19"/>
        <v>222.86563304507339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projet'!$B$13,Paramètres!$A$1:$I$88,7,0))</f>
        <v>0</v>
      </c>
      <c r="DD49" s="17">
        <f>IF(ISNA(VLOOKUP(A49,'Données projet'!$A$139:$I$159,6,0)),0%,VLOOKUP(A49,'Données projet'!$A$139:$I$159,6,0)*VLOOKUP('Données projet'!$B$13,Paramètres!$A$1:$I$88,7,0))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projet'!$B$9,Paramètres!$A$1:$I$88,3,0)*0.475*44/12</f>
        <v>0</v>
      </c>
      <c r="DG49" s="23">
        <f>EXP(-LN(2)/25)*DG48+(1-EXP(-LN(2)/25))/(LN(2)/25)*Calculateur!DB49*Calculateur!DD49*VLOOKUP('Données projet'!$B$9,Paramètres!$A$1:$I$88,3,0)*0.475*44/12</f>
        <v>0</v>
      </c>
      <c r="DH49" s="23">
        <f>EXP(-LN(2)/2)*DH48+(1-EXP(-LN(2)/2))/(LN(2)/2)*DB49*DE49*VLOOKUP('Données projet'!$B$9,Paramètres!$A$1:$I$88,3,0)*0.475*44/12</f>
        <v>0</v>
      </c>
      <c r="DI49" s="24">
        <f t="shared" si="20"/>
        <v>0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4.5999999999999996</v>
      </c>
      <c r="DO49" s="13">
        <f>IF(A49&lt;'Données projet'!$A$166,$DL$205^A49,IF(A49='Données projet'!$A$166,'Données projet'!$B$166,DO48+DN49-DW48))</f>
        <v>68.599999999999994</v>
      </c>
      <c r="DP49" s="18">
        <f>DO49*VLOOKUP('Données projet'!$B$14,Paramètres!$A$1:$I$88,3,0)*VLOOKUP('Données projet'!$B$14,Paramètres!$A$1:$I$88,5,0)</f>
        <v>40.131</v>
      </c>
      <c r="DQ49" s="14">
        <f t="shared" si="48"/>
        <v>12.033361861076633</v>
      </c>
      <c r="DR49" s="22">
        <f t="shared" si="21"/>
        <v>90.852930241375134</v>
      </c>
      <c r="DS49" s="62">
        <f t="shared" si="22"/>
        <v>321.89201247410483</v>
      </c>
      <c r="DT49" s="62">
        <f ca="1">AVERAGE(OFFSET($DS$3,0,0,'Données projet'!$E$14+1,1))-AVERAGE(OFFSET($H$3,0,0,'Données projet'!$E$14+1,1))</f>
        <v>155.18073137151848</v>
      </c>
      <c r="DU49" s="62">
        <f t="shared" si="23"/>
        <v>115.19459155667272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projet'!$B$14,Paramètres!$A$1:$I$88,7,0))</f>
        <v>0</v>
      </c>
      <c r="DY49" s="17">
        <f>IF(ISNA(VLOOKUP(A49,'Données projet'!$A$165:$I$185,6,0)),0%,VLOOKUP(A49,'Données projet'!$A$165:$I$185,6,0)*VLOOKUP('Données projet'!$B$14,Paramètres!$A$1:$I$88,7,0))</f>
        <v>0</v>
      </c>
      <c r="DZ49" s="17">
        <f>IF(ISNA(VLOOKUP(A49,'Données projet'!$A$165:$I$185,7,0)),0%,VLOOKUP(A49,'Données projet'!$A$165:$I$185,7,0))</f>
        <v>0</v>
      </c>
      <c r="EA49" s="23">
        <f>EXP(-LN(2)/35)*EA48+(1-EXP(-LN(2)/35))/(LN(2)/35)*DW49*DX49*VLOOKUP('Données projet'!$B$9,Paramètres!$A$1:$I$88,3,0)*0.475*44/12</f>
        <v>0</v>
      </c>
      <c r="EB49" s="23">
        <f>EXP(-LN(2)/25)*EB48+(1-EXP(-LN(2)/25))/(LN(2)/25)*Calculateur!DW49*Calculateur!DY49*VLOOKUP('Données projet'!$B$9,Paramètres!$A$1:$I$88,3,0)*0.475*44/12</f>
        <v>0</v>
      </c>
      <c r="EC49" s="23">
        <f>EXP(-LN(2)/2)*EC48+(1-EXP(-LN(2)/2))/(LN(2)/2)*DW49*DZ49*VLOOKUP('Données projet'!$B$9,Paramètres!$A$1:$I$88,3,0)*0.475*44/12</f>
        <v>0</v>
      </c>
      <c r="ED49" s="24">
        <f t="shared" si="24"/>
        <v>0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3.25</v>
      </c>
      <c r="EJ49" s="13">
        <f>IF(A49&lt;'Données projet'!$A$192,$EG$205^A49,IF(A49='Données projet'!$A$192,'Données projet'!$B$192,EJ48+EI49-ER48))</f>
        <v>56.976163428110617</v>
      </c>
      <c r="EK49" s="18">
        <f>EJ49*VLOOKUP('Données projet'!$B$15,Paramètres!$A$1:$I$88,3,0)*VLOOKUP('Données projet'!$B$15,Paramètres!$A$1:$I$88,5,0)</f>
        <v>26.664844484355772</v>
      </c>
      <c r="EL49" s="14">
        <f t="shared" si="49"/>
        <v>8.3851688821551953</v>
      </c>
      <c r="EM49" s="22">
        <f t="shared" si="25"/>
        <v>61.045439946673262</v>
      </c>
      <c r="EN49" s="62">
        <f t="shared" si="26"/>
        <v>292.08452217940294</v>
      </c>
      <c r="EO49" s="62">
        <f ca="1">AVERAGE(OFFSET($EN$3,0,0,'Données projet'!$E$15+1,1))-AVERAGE(OFFSET($H$3,0,0,'Données projet'!$E$15+1,1))</f>
        <v>238.59014604384171</v>
      </c>
      <c r="EP49" s="62">
        <f t="shared" si="27"/>
        <v>90.841373219575217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projet'!$B$15,Paramètres!$A$1:$I$88,7,0))</f>
        <v>0</v>
      </c>
      <c r="ET49" s="17">
        <f>IF(ISNA(VLOOKUP(A49,'Données projet'!$A$191:$I$211,6,0)),0%,VLOOKUP(A49,'Données projet'!$A$191:$I$211,6,0)*VLOOKUP('Données projet'!$B$15,Paramètres!$A$1:$I$88,7,0))</f>
        <v>0</v>
      </c>
      <c r="EU49" s="17">
        <f>IF(ISNA(VLOOKUP(A49,'Données projet'!$A$191:$I$211,7,0)),0%,VLOOKUP(A49,'Données projet'!$A$191:$I$211,7,0))</f>
        <v>0</v>
      </c>
      <c r="EV49" s="23">
        <f>EXP(-LN(2)/35)*EV48+(1-EXP(-LN(2)/35))/(LN(2)/35)*ER49*ES49*VLOOKUP('Données projet'!$B$9,Paramètres!$A$1:$I$88,3,0)*0.475*44/12</f>
        <v>0</v>
      </c>
      <c r="EW49" s="23">
        <f>EXP(-LN(2)/25)*EW48+(1-EXP(-LN(2)/25))/(LN(2)/25)*Calculateur!ER49*Calculateur!ET49*VLOOKUP('Données projet'!$B$9,Paramètres!$A$1:$I$88,3,0)*0.475*44/12</f>
        <v>0</v>
      </c>
      <c r="EX49" s="23">
        <f>EXP(-LN(2)/2)*EX48+(1-EXP(-LN(2)/2))/(LN(2)/2)*ER49*EU49*VLOOKUP('Données projet'!$B$9,Paramètres!$A$1:$I$88,3,0)*0.475*44/12</f>
        <v>0</v>
      </c>
      <c r="EY49" s="24">
        <f t="shared" si="28"/>
        <v>0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IF(A49&lt;'Données projet'!$A$218,$FB$205^A49,IF(A49='Données projet'!$A$218,'Données projet'!$B$218,FE48+FD49-FM48))</f>
        <v>0</v>
      </c>
      <c r="FF49" s="18" t="e">
        <f>FE49*VLOOKUP('Données projet'!$B$16,Paramètres!$A$1:$I$88,3,0)*VLOOKUP('Données projet'!$B$16,Paramètres!$A$1:$I$88,5,0)</f>
        <v>#N/A</v>
      </c>
      <c r="FG49" s="14" t="e">
        <f t="shared" si="50"/>
        <v>#N/A</v>
      </c>
      <c r="FH49" s="22" t="e">
        <f t="shared" si="29"/>
        <v>#N/A</v>
      </c>
      <c r="FI49" s="62" t="e">
        <f t="shared" si="30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31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projet'!$B$16,Paramètres!$A$1:$I$88,7,0))</f>
        <v>0</v>
      </c>
      <c r="FO49" s="17">
        <f>IF(ISNA(VLOOKUP(A49,'Données projet'!$A$217:$I$237,6,0)),0%,VLOOKUP(A49,'Données projet'!$A$217:$I$237,6,0)*VLOOKUP('Données projet'!$B$16,Paramètres!$A$1:$I$88,7,0))</f>
        <v>0</v>
      </c>
      <c r="FP49" s="17">
        <f>IF(ISNA(VLOOKUP(A49,'Données projet'!$A$217:$I$237,7,0)),0%,VLOOKUP(A49,'Données projet'!$A$217:$I$237,7,0))</f>
        <v>0</v>
      </c>
      <c r="FQ49" s="23">
        <f>EXP(-LN(2)/35)*FQ48+(1-EXP(-LN(2)/35))/(LN(2)/35)*FM49*FN49*VLOOKUP('Données projet'!$B$9,Paramètres!$A$1:$I$88,3,0)*0.475*44/12</f>
        <v>0</v>
      </c>
      <c r="FR49" s="23">
        <f>EXP(-LN(2)/25)*FR48+(1-EXP(-LN(2)/25))/(LN(2)/25)*Calculateur!FM49*Calculateur!FO49*VLOOKUP('Données projet'!$B$9,Paramètres!$A$1:$I$88,3,0)*0.475*44/12</f>
        <v>0</v>
      </c>
      <c r="FS49" s="23">
        <f>EXP(-LN(2)/2)*FS48+(1-EXP(-LN(2)/2))/(LN(2)/2)*FM49*FP49*VLOOKUP('Données projet'!$B$9,Paramètres!$A$1:$I$88,3,0)*0.475*44/12</f>
        <v>0</v>
      </c>
      <c r="FT49" s="24">
        <f t="shared" si="32"/>
        <v>0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IF(A49&lt;'Données projet'!$A$244,$FW$205^A49,IF(A49='Données projet'!$A$244,'Données projet'!$B$244,FZ48+FY49-GH48))</f>
        <v>0</v>
      </c>
      <c r="GA49" s="18" t="e">
        <f>FZ49*VLOOKUP('Données projet'!$B$17,Paramètres!$A$1:$I$88,3,0)*VLOOKUP('Données projet'!$B$17,Paramètres!$A$1:$I$88,5,0)</f>
        <v>#N/A</v>
      </c>
      <c r="GB49" s="14" t="e">
        <f t="shared" si="51"/>
        <v>#N/A</v>
      </c>
      <c r="GC49" s="22" t="e">
        <f t="shared" si="33"/>
        <v>#N/A</v>
      </c>
      <c r="GD49" s="62" t="e">
        <f t="shared" si="34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35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projet'!$B$17,Paramètres!$A$1:$I$88,7,0))</f>
        <v>0</v>
      </c>
      <c r="GJ49" s="17">
        <f>IF(ISNA(VLOOKUP(A49,'Données projet'!$A$243:$I$263,6,0)),0%,VLOOKUP(A49,'Données projet'!$A$243:$I$263,6,0)*VLOOKUP('Données projet'!$B$17,Paramètres!$A$1:$I$88,7,0))</f>
        <v>0</v>
      </c>
      <c r="GK49" s="17">
        <f>IF(ISNA(VLOOKUP(A49,'Données projet'!$A$243:$I$263,7,0)),0%,VLOOKUP(A49,'Données projet'!$A$243:$I$263,7,0))</f>
        <v>0</v>
      </c>
      <c r="GL49" s="23">
        <f>EXP(-LN(2)/35)*GL48+(1-EXP(-LN(2)/35))/(LN(2)/35)*GH49*GI49*VLOOKUP('Données projet'!$B$9,Paramètres!$A$1:$I$88,3,0)*0.475*44/12</f>
        <v>0</v>
      </c>
      <c r="GM49" s="23">
        <f>EXP(-LN(2)/25)*GM48+(1-EXP(-LN(2)/25))/(LN(2)/25)*Calculateur!GH49*Calculateur!GJ49*VLOOKUP('Données projet'!$B$9,Paramètres!$A$1:$I$88,3,0)*0.475*44/12</f>
        <v>0</v>
      </c>
      <c r="GN49" s="23">
        <f>EXP(-LN(2)/2)*GN48+(1-EXP(-LN(2)/2))/(LN(2)/2)*GH49*GK49*VLOOKUP('Données projet'!$B$9,Paramètres!$A$1:$I$88,3,0)*0.475*44/12</f>
        <v>0</v>
      </c>
      <c r="GO49" s="23">
        <f t="shared" si="36"/>
        <v>0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IF(A49&lt;'Données projet'!$A$270,$GR$205^A49,IF(A49='Données projet'!$A$270,'Données projet'!$B$270,GU48+GT49-HC48))</f>
        <v>0</v>
      </c>
      <c r="GV49" s="18" t="e">
        <f>GU49*VLOOKUP('Données projet'!$B$18,Paramètres!$A$1:$I$88,3,0)*VLOOKUP('Données projet'!$B$18,Paramètres!$A$1:$I$88,5,0)</f>
        <v>#N/A</v>
      </c>
      <c r="GW49" s="14" t="e">
        <f t="shared" si="52"/>
        <v>#N/A</v>
      </c>
      <c r="GX49" s="22" t="e">
        <f t="shared" si="37"/>
        <v>#N/A</v>
      </c>
      <c r="GY49" s="62" t="e">
        <f t="shared" si="38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39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projet'!$B$18,Paramètres!$A$1:$I$88,7,0))</f>
        <v>0</v>
      </c>
      <c r="HE49" s="17">
        <f>IF(ISNA(VLOOKUP(A49,'Données projet'!$A$269:$I$289,6,0)),0%,VLOOKUP(A49,'Données projet'!$A$269:$I$289,6,0)*VLOOKUP('Données projet'!$B$18,Paramètres!$A$1:$I$88,7,0))</f>
        <v>0</v>
      </c>
      <c r="HF49" s="17">
        <f>IF(ISNA(VLOOKUP(A49,'Données projet'!$A$269:$I$289,7,0)),0%,VLOOKUP(A49,'Données projet'!$A$269:$I$289,7,0))</f>
        <v>0</v>
      </c>
      <c r="HG49" s="23">
        <f>EXP(-LN(2)/35)*HG48+(1-EXP(-LN(2)/35))/(LN(2)/35)*HC49*HD49*VLOOKUP('Données projet'!$B$9,Paramètres!$A$1:$I$88,3,0)*0.475*44/12</f>
        <v>0</v>
      </c>
      <c r="HH49" s="23">
        <f>EXP(-LN(2)/25)*HH48+(1-EXP(-LN(2)/25))/(LN(2)/25)*Calculateur!HC49*Calculateur!HE49*VLOOKUP('Données projet'!$B$9,Paramètres!$A$1:$I$88,3,0)*0.475*44/12</f>
        <v>0</v>
      </c>
      <c r="HI49" s="23">
        <f>EXP(-LN(2)/2)*HI48+(1-EXP(-LN(2)/2))/(LN(2)/2)*HC49*HF49*VLOOKUP('Données projet'!$B$9,Paramètres!$A$1:$I$88,3,0)*0.475*44/12</f>
        <v>0</v>
      </c>
      <c r="HJ49" s="24">
        <f t="shared" si="40"/>
        <v>0</v>
      </c>
    </row>
    <row r="50" spans="1:218" s="5" customFormat="1" x14ac:dyDescent="0.25">
      <c r="A50" s="11">
        <f t="shared" si="4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0" s="12">
        <f t="shared" si="4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135.66666666666666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1.8720833333333331</v>
      </c>
      <c r="N50" s="14">
        <f>IF(A50&lt;'Données projet'!$A$36,$K$205^A50,IF(A50='Données projet'!$A$36,'Données projet'!$B$36,N49+M50-V49))</f>
        <v>68.771250000000023</v>
      </c>
      <c r="O50" s="14">
        <f>N50*VLOOKUP('Données projet'!$B$9,Paramètres!$A$1:$I$88,3,0)*VLOOKUP('Données projet'!$B$9,Paramètres!$A$1:$I$88,5,0)</f>
        <v>79.224480000000028</v>
      </c>
      <c r="P50" s="14">
        <f t="shared" si="43"/>
        <v>21.947458087932979</v>
      </c>
      <c r="Q50" s="22">
        <f t="shared" si="53"/>
        <v>176.20779216981666</v>
      </c>
      <c r="R50" s="62">
        <f t="shared" si="0"/>
        <v>408.32754039006039</v>
      </c>
      <c r="S50" s="62">
        <f ca="1">AVERAGE(OFFSET($R$3,0,0,'Données projet'!$E$9+1,1))-AVERAGE(OFFSET($H$3,0,0,'Données projet'!$E$9+1,1))</f>
        <v>314.72063458462026</v>
      </c>
      <c r="T50" s="62">
        <f t="shared" si="3"/>
        <v>216.4380325968244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projet'!$B$9,Paramètres!$A$1:$I$88,7,0))</f>
        <v>0</v>
      </c>
      <c r="X50" s="17">
        <f>IF(ISNA(VLOOKUP(A50,'Données projet'!$A$35:$I$55,6,0)),0%,VLOOKUP(A50,'Données projet'!$A$35:$I$55,6,0)*VLOOKUP('Données projet'!$B$9,Paramètres!$A$1:$I$88,7,0))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projet'!$B$9,Paramètres!$A$1:$I$88,3,0)*0.475*44/12</f>
        <v>0</v>
      </c>
      <c r="AA50" s="23">
        <f>EXP(-LN(2)/25)*AA49+(1-EXP(-LN(2)/25))/(LN(2)/25)*Calculateur!V50*Calculateur!X50*VLOOKUP('Données projet'!$B$9,Paramètres!$A$1:$I$88,3,0)*0.475*44/12</f>
        <v>0</v>
      </c>
      <c r="AB50" s="23">
        <f>EXP(-LN(2)/2)*AB49+(1-EXP(-LN(2)/2))/(LN(2)/2)*V50*Y50*VLOOKUP('Données projet'!$B$9,Paramètres!$A$1:$I$88,3,0)*0.475*44/12</f>
        <v>0</v>
      </c>
      <c r="AC50" s="24">
        <f t="shared" si="4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5.2</v>
      </c>
      <c r="AI50" s="14">
        <f>IF(A50&lt;'Données projet'!$A$62,$AF$205^A50,IF(A50='Données projet'!$A$62,'Données projet'!$B$62,AI49+AH50-AQ49))</f>
        <v>138.39999999999998</v>
      </c>
      <c r="AJ50" s="14">
        <f>AI50*VLOOKUP('Données projet'!$B$10,Paramètres!$A$1:$I$88,3,0)*VLOOKUP('Données projet'!$B$10,Paramètres!$A$1:$I$88,5,0)</f>
        <v>144.65567999999999</v>
      </c>
      <c r="AK50" s="14">
        <f t="shared" si="44"/>
        <v>37.361517273376357</v>
      </c>
      <c r="AL50" s="22">
        <f t="shared" si="5"/>
        <v>317.01328525113047</v>
      </c>
      <c r="AM50" s="62">
        <f t="shared" si="6"/>
        <v>549.13303347137423</v>
      </c>
      <c r="AN50" s="62">
        <f ca="1">AVERAGE(OFFSET($AM$3,0,0,'Données projet'!$E$10+1,1))-AVERAGE(OFFSET($H$3,0,0,'Données projet'!$E$10+1,1))</f>
        <v>458.33072853676879</v>
      </c>
      <c r="AO50" s="62">
        <f t="shared" si="7"/>
        <v>254.1734169352687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projet'!$B$10,Paramètres!$A$1:$I$88,7,0))</f>
        <v>0</v>
      </c>
      <c r="AS50" s="17">
        <f>IF(ISNA(VLOOKUP(A50,'Données projet'!$A$61:$I$81,6,0)),0%,VLOOKUP(A50,'Données projet'!$A$61:$I$81,6,0)*VLOOKUP('Données projet'!$B$10,Paramètres!$A$1:$I$88,7,0))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projet'!$B$9,Paramètres!$A$1:$I$88,3,0)*0.475*44/12</f>
        <v>0</v>
      </c>
      <c r="AV50" s="23">
        <f>EXP(-LN(2)/25)*AV49+(1-EXP(-LN(2)/25))/(LN(2)/25)*Calculateur!AQ50*Calculateur!AS50*VLOOKUP('Données projet'!$B$9,Paramètres!$A$1:$I$88,3,0)*0.475*44/12</f>
        <v>0</v>
      </c>
      <c r="AW50" s="23">
        <f>EXP(-LN(2)/2)*AW49+(1-EXP(-LN(2)/2))/(LN(2)/2)*AQ50*AT50*VLOOKUP('Données projet'!$B$9,Paramètres!$A$1:$I$88,3,0)*0.475*44/12</f>
        <v>0</v>
      </c>
      <c r="AX50" s="23">
        <f t="shared" si="8"/>
        <v>0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5.2</v>
      </c>
      <c r="BD50" s="13">
        <f>IF(A50&lt;'Données projet'!$A$88,$BA$205^A50,IF(A50='Données projet'!$A$88,'Données projet'!$B$88,BD49+BC50-BL49))</f>
        <v>138.39999999999998</v>
      </c>
      <c r="BE50" s="14">
        <f>BD50*VLOOKUP('Données projet'!$B$11,Paramètres!$A$1:$I$88,3,0)*VLOOKUP('Données projet'!$B$11,Paramètres!$A$1:$I$88,5,0)</f>
        <v>140.33760000000001</v>
      </c>
      <c r="BF50" s="14">
        <f t="shared" si="45"/>
        <v>36.374334069789008</v>
      </c>
      <c r="BG50" s="22">
        <f t="shared" si="9"/>
        <v>307.77328517154916</v>
      </c>
      <c r="BH50" s="62">
        <f t="shared" si="10"/>
        <v>539.89303339179287</v>
      </c>
      <c r="BI50" s="62">
        <f ca="1">AVERAGE(OFFSET($BH$3,0,0,'Données projet'!$E$11+1,1))-AVERAGE(OFFSET($H$3,0,0,'Données projet'!$E$11+1,1))</f>
        <v>447.82618173893104</v>
      </c>
      <c r="BJ50" s="62">
        <f t="shared" si="11"/>
        <v>248.96509970783379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projet'!$B$11,Paramètres!$A$1:$I$88,7,0))</f>
        <v>0</v>
      </c>
      <c r="BN50" s="17">
        <f>IF(ISNA(VLOOKUP(A50,'Données projet'!$A$87:$I$107,6,0)),0%,VLOOKUP(A50,'Données projet'!$A$87:$I$107,6,0)*VLOOKUP('Données projet'!$B$11,Paramètres!$A$1:$I$88,7,0))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projet'!$B$9,Paramètres!$A$1:$I$88,3,0)*0.475*44/12</f>
        <v>0</v>
      </c>
      <c r="BQ50" s="23">
        <f>EXP(-LN(2)/25)*BQ49+(1-EXP(-LN(2)/25))/(LN(2)/25)*Calculateur!BL50*Calculateur!BN50*VLOOKUP('Données projet'!$B$9,Paramètres!$A$1:$I$88,3,0)*0.475*44/12</f>
        <v>0</v>
      </c>
      <c r="BR50" s="23">
        <f>EXP(-LN(2)/2)*BR49+(1-EXP(-LN(2)/2))/(LN(2)/2)*BL50*BO50*VLOOKUP('Données projet'!$B$9,Paramètres!$A$1:$I$88,3,0)*0.475*44/12</f>
        <v>0</v>
      </c>
      <c r="BS50" s="24">
        <f t="shared" si="12"/>
        <v>0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5.2</v>
      </c>
      <c r="BY50" s="13">
        <f>IF(A50&lt;'Données projet'!$A$114,$BV$205^A50,IF(A50='Données projet'!$A$114,'Données projet'!$B$114,BY49+BX50-CG49))</f>
        <v>138.39999999999998</v>
      </c>
      <c r="BZ50" s="14">
        <f>BY50*VLOOKUP('Données projet'!$B$12,Paramètres!$A$1:$I$88,3,0)*VLOOKUP('Données projet'!$B$12,Paramètres!$A$1:$I$88,5,0)</f>
        <v>148.97375999999997</v>
      </c>
      <c r="CA50" s="14">
        <f t="shared" si="46"/>
        <v>38.345275798549068</v>
      </c>
      <c r="CB50" s="22">
        <f t="shared" si="13"/>
        <v>326.24732068247289</v>
      </c>
      <c r="CC50" s="62">
        <f t="shared" si="14"/>
        <v>558.3670689027166</v>
      </c>
      <c r="CD50" s="62">
        <f ca="1">AVERAGE(OFFSET($CC$3,0,0,'Données projet'!$E$12+1,1))-AVERAGE(OFFSET($H$3,0,0,'Données projet'!$E$12+1,1))</f>
        <v>468.82871618425406</v>
      </c>
      <c r="CE50" s="62">
        <f t="shared" si="15"/>
        <v>259.37818128554397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projet'!$B$12,Paramètres!$A$1:$I$88,7,0))</f>
        <v>0</v>
      </c>
      <c r="CI50" s="17">
        <f>IF(ISNA(VLOOKUP(A50,'Données projet'!$A$113:$I$133,6,0)),0%,VLOOKUP(A50,'Données projet'!$A$113:$I$133,6,0)*VLOOKUP('Données projet'!$B$12,Paramètres!$A$1:$I$88,7,0))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projet'!$B$9,Paramètres!$A$1:$I$88,3,0)*0.475*44/12</f>
        <v>0</v>
      </c>
      <c r="CL50" s="23">
        <f>EXP(-LN(2)/25)*CL49+(1-EXP(-LN(2)/25))/(LN(2)/25)*Calculateur!CG50*Calculateur!CI50*VLOOKUP('Données projet'!$B$9,Paramètres!$A$1:$I$88,3,0)*0.475*44/12</f>
        <v>0</v>
      </c>
      <c r="CM50" s="23">
        <f>EXP(-LN(2)/2)*CM49+(1-EXP(-LN(2)/2))/(LN(2)/2)*CG50*CJ50*VLOOKUP('Données projet'!$B$9,Paramètres!$A$1:$I$88,3,0)*0.475*44/12</f>
        <v>0</v>
      </c>
      <c r="CN50" s="24">
        <f t="shared" si="16"/>
        <v>0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5.2</v>
      </c>
      <c r="CT50" s="13">
        <f>IF(A50&lt;'Données projet'!$A$140,$CQ$205^A50,IF(A50='Données projet'!$A$140,'Données projet'!$B$140,CT49+CS50-DB49))</f>
        <v>138.39999999999998</v>
      </c>
      <c r="CU50" s="18">
        <f>CT50*VLOOKUP('Données projet'!$B$13,Paramètres!$A$1:$I$88,3,0)*VLOOKUP('Données projet'!$B$13,Paramètres!$A$1:$I$88,5,0)</f>
        <v>118.74719999999999</v>
      </c>
      <c r="CV50" s="14">
        <f t="shared" si="47"/>
        <v>31.382626033807956</v>
      </c>
      <c r="CW50" s="22">
        <f t="shared" si="17"/>
        <v>261.47611367554879</v>
      </c>
      <c r="CX50" s="62">
        <f t="shared" si="18"/>
        <v>493.5958618957925</v>
      </c>
      <c r="CY50" s="62">
        <f ca="1">AVERAGE(OFFSET($CX$3,0,0,'Données projet'!$E$13+1,1))-AVERAGE(OFFSET($H$3,0,0,'Données projet'!$E$13+1,1))</f>
        <v>395.19659151668884</v>
      </c>
      <c r="CZ50" s="62">
        <f t="shared" si="19"/>
        <v>222.86563304507339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projet'!$B$13,Paramètres!$A$1:$I$88,7,0))</f>
        <v>0</v>
      </c>
      <c r="DD50" s="17">
        <f>IF(ISNA(VLOOKUP(A50,'Données projet'!$A$139:$I$159,6,0)),0%,VLOOKUP(A50,'Données projet'!$A$139:$I$159,6,0)*VLOOKUP('Données projet'!$B$13,Paramètres!$A$1:$I$88,7,0))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projet'!$B$9,Paramètres!$A$1:$I$88,3,0)*0.475*44/12</f>
        <v>0</v>
      </c>
      <c r="DG50" s="23">
        <f>EXP(-LN(2)/25)*DG49+(1-EXP(-LN(2)/25))/(LN(2)/25)*Calculateur!DB50*Calculateur!DD50*VLOOKUP('Données projet'!$B$9,Paramètres!$A$1:$I$88,3,0)*0.475*44/12</f>
        <v>0</v>
      </c>
      <c r="DH50" s="23">
        <f>EXP(-LN(2)/2)*DH49+(1-EXP(-LN(2)/2))/(LN(2)/2)*DB50*DE50*VLOOKUP('Données projet'!$B$9,Paramètres!$A$1:$I$88,3,0)*0.475*44/12</f>
        <v>0</v>
      </c>
      <c r="DI50" s="24">
        <f t="shared" si="20"/>
        <v>0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4.5999999999999996</v>
      </c>
      <c r="DO50" s="13">
        <f>IF(A50&lt;'Données projet'!$A$166,$DL$205^A50,IF(A50='Données projet'!$A$166,'Données projet'!$B$166,DO49+DN50-DW49))</f>
        <v>73.199999999999989</v>
      </c>
      <c r="DP50" s="18">
        <f>DO50*VLOOKUP('Données projet'!$B$14,Paramètres!$A$1:$I$88,3,0)*VLOOKUP('Données projet'!$B$14,Paramètres!$A$1:$I$88,5,0)</f>
        <v>42.821999999999996</v>
      </c>
      <c r="DQ50" s="14">
        <f t="shared" si="48"/>
        <v>12.743624886701214</v>
      </c>
      <c r="DR50" s="22">
        <f t="shared" si="21"/>
        <v>96.776796677671271</v>
      </c>
      <c r="DS50" s="62">
        <f t="shared" si="22"/>
        <v>328.89654489791502</v>
      </c>
      <c r="DT50" s="62">
        <f ca="1">AVERAGE(OFFSET($DS$3,0,0,'Données projet'!$E$14+1,1))-AVERAGE(OFFSET($H$3,0,0,'Données projet'!$E$14+1,1))</f>
        <v>155.18073137151848</v>
      </c>
      <c r="DU50" s="62">
        <f t="shared" si="23"/>
        <v>115.19459155667272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projet'!$B$14,Paramètres!$A$1:$I$88,7,0))</f>
        <v>0</v>
      </c>
      <c r="DY50" s="17">
        <f>IF(ISNA(VLOOKUP(A50,'Données projet'!$A$165:$I$185,6,0)),0%,VLOOKUP(A50,'Données projet'!$A$165:$I$185,6,0)*VLOOKUP('Données projet'!$B$14,Paramètres!$A$1:$I$88,7,0))</f>
        <v>0</v>
      </c>
      <c r="DZ50" s="17">
        <f>IF(ISNA(VLOOKUP(A50,'Données projet'!$A$165:$I$185,7,0)),0%,VLOOKUP(A50,'Données projet'!$A$165:$I$185,7,0))</f>
        <v>0</v>
      </c>
      <c r="EA50" s="23">
        <f>EXP(-LN(2)/35)*EA49+(1-EXP(-LN(2)/35))/(LN(2)/35)*DW50*DX50*VLOOKUP('Données projet'!$B$9,Paramètres!$A$1:$I$88,3,0)*0.475*44/12</f>
        <v>0</v>
      </c>
      <c r="EB50" s="23">
        <f>EXP(-LN(2)/25)*EB49+(1-EXP(-LN(2)/25))/(LN(2)/25)*Calculateur!DW50*Calculateur!DY50*VLOOKUP('Données projet'!$B$9,Paramètres!$A$1:$I$88,3,0)*0.475*44/12</f>
        <v>0</v>
      </c>
      <c r="EC50" s="23">
        <f>EXP(-LN(2)/2)*EC49+(1-EXP(-LN(2)/2))/(LN(2)/2)*DW50*DZ50*VLOOKUP('Données projet'!$B$9,Paramètres!$A$1:$I$88,3,0)*0.475*44/12</f>
        <v>0</v>
      </c>
      <c r="ED50" s="24">
        <f t="shared" si="24"/>
        <v>0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3.25</v>
      </c>
      <c r="EJ50" s="13">
        <f>IF(A50&lt;'Données projet'!$A$192,$EG$205^A50,IF(A50='Données projet'!$A$192,'Données projet'!$B$192,EJ49+EI50-ER49))</f>
        <v>62.210034983679634</v>
      </c>
      <c r="EK50" s="18">
        <f>EJ50*VLOOKUP('Données projet'!$B$15,Paramètres!$A$1:$I$88,3,0)*VLOOKUP('Données projet'!$B$15,Paramètres!$A$1:$I$88,5,0)</f>
        <v>29.11429637236207</v>
      </c>
      <c r="EL50" s="14">
        <f t="shared" si="49"/>
        <v>9.062257334044947</v>
      </c>
      <c r="EM50" s="22">
        <f t="shared" si="25"/>
        <v>66.490831038658897</v>
      </c>
      <c r="EN50" s="62">
        <f t="shared" si="26"/>
        <v>298.61057925890265</v>
      </c>
      <c r="EO50" s="62">
        <f ca="1">AVERAGE(OFFSET($EN$3,0,0,'Données projet'!$E$15+1,1))-AVERAGE(OFFSET($H$3,0,0,'Données projet'!$E$15+1,1))</f>
        <v>238.59014604384171</v>
      </c>
      <c r="EP50" s="62">
        <f t="shared" si="27"/>
        <v>90.841373219575217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projet'!$B$15,Paramètres!$A$1:$I$88,7,0))</f>
        <v>0</v>
      </c>
      <c r="ET50" s="17">
        <f>IF(ISNA(VLOOKUP(A50,'Données projet'!$A$191:$I$211,6,0)),0%,VLOOKUP(A50,'Données projet'!$A$191:$I$211,6,0)*VLOOKUP('Données projet'!$B$15,Paramètres!$A$1:$I$88,7,0))</f>
        <v>0</v>
      </c>
      <c r="EU50" s="17">
        <f>IF(ISNA(VLOOKUP(A50,'Données projet'!$A$191:$I$211,7,0)),0%,VLOOKUP(A50,'Données projet'!$A$191:$I$211,7,0))</f>
        <v>0</v>
      </c>
      <c r="EV50" s="23">
        <f>EXP(-LN(2)/35)*EV49+(1-EXP(-LN(2)/35))/(LN(2)/35)*ER50*ES50*VLOOKUP('Données projet'!$B$9,Paramètres!$A$1:$I$88,3,0)*0.475*44/12</f>
        <v>0</v>
      </c>
      <c r="EW50" s="23">
        <f>EXP(-LN(2)/25)*EW49+(1-EXP(-LN(2)/25))/(LN(2)/25)*Calculateur!ER50*Calculateur!ET50*VLOOKUP('Données projet'!$B$9,Paramètres!$A$1:$I$88,3,0)*0.475*44/12</f>
        <v>0</v>
      </c>
      <c r="EX50" s="23">
        <f>EXP(-LN(2)/2)*EX49+(1-EXP(-LN(2)/2))/(LN(2)/2)*ER50*EU50*VLOOKUP('Données projet'!$B$9,Paramètres!$A$1:$I$88,3,0)*0.475*44/12</f>
        <v>0</v>
      </c>
      <c r="EY50" s="24">
        <f t="shared" si="28"/>
        <v>0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IF(A50&lt;'Données projet'!$A$218,$FB$205^A50,IF(A50='Données projet'!$A$218,'Données projet'!$B$218,FE49+FD50-FM49))</f>
        <v>0</v>
      </c>
      <c r="FF50" s="18" t="e">
        <f>FE50*VLOOKUP('Données projet'!$B$16,Paramètres!$A$1:$I$88,3,0)*VLOOKUP('Données projet'!$B$16,Paramètres!$A$1:$I$88,5,0)</f>
        <v>#N/A</v>
      </c>
      <c r="FG50" s="14" t="e">
        <f t="shared" si="50"/>
        <v>#N/A</v>
      </c>
      <c r="FH50" s="22" t="e">
        <f t="shared" si="29"/>
        <v>#N/A</v>
      </c>
      <c r="FI50" s="62" t="e">
        <f t="shared" si="30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31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projet'!$B$16,Paramètres!$A$1:$I$88,7,0))</f>
        <v>0</v>
      </c>
      <c r="FO50" s="17">
        <f>IF(ISNA(VLOOKUP(A50,'Données projet'!$A$217:$I$237,6,0)),0%,VLOOKUP(A50,'Données projet'!$A$217:$I$237,6,0)*VLOOKUP('Données projet'!$B$16,Paramètres!$A$1:$I$88,7,0))</f>
        <v>0</v>
      </c>
      <c r="FP50" s="17">
        <f>IF(ISNA(VLOOKUP(A50,'Données projet'!$A$217:$I$237,7,0)),0%,VLOOKUP(A50,'Données projet'!$A$217:$I$237,7,0))</f>
        <v>0</v>
      </c>
      <c r="FQ50" s="23">
        <f>EXP(-LN(2)/35)*FQ49+(1-EXP(-LN(2)/35))/(LN(2)/35)*FM50*FN50*VLOOKUP('Données projet'!$B$9,Paramètres!$A$1:$I$88,3,0)*0.475*44/12</f>
        <v>0</v>
      </c>
      <c r="FR50" s="23">
        <f>EXP(-LN(2)/25)*FR49+(1-EXP(-LN(2)/25))/(LN(2)/25)*Calculateur!FM50*Calculateur!FO50*VLOOKUP('Données projet'!$B$9,Paramètres!$A$1:$I$88,3,0)*0.475*44/12</f>
        <v>0</v>
      </c>
      <c r="FS50" s="23">
        <f>EXP(-LN(2)/2)*FS49+(1-EXP(-LN(2)/2))/(LN(2)/2)*FM50*FP50*VLOOKUP('Données projet'!$B$9,Paramètres!$A$1:$I$88,3,0)*0.475*44/12</f>
        <v>0</v>
      </c>
      <c r="FT50" s="24">
        <f t="shared" si="32"/>
        <v>0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IF(A50&lt;'Données projet'!$A$244,$FW$205^A50,IF(A50='Données projet'!$A$244,'Données projet'!$B$244,FZ49+FY50-GH49))</f>
        <v>0</v>
      </c>
      <c r="GA50" s="18" t="e">
        <f>FZ50*VLOOKUP('Données projet'!$B$17,Paramètres!$A$1:$I$88,3,0)*VLOOKUP('Données projet'!$B$17,Paramètres!$A$1:$I$88,5,0)</f>
        <v>#N/A</v>
      </c>
      <c r="GB50" s="14" t="e">
        <f t="shared" si="51"/>
        <v>#N/A</v>
      </c>
      <c r="GC50" s="22" t="e">
        <f t="shared" si="33"/>
        <v>#N/A</v>
      </c>
      <c r="GD50" s="62" t="e">
        <f t="shared" si="34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35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projet'!$B$17,Paramètres!$A$1:$I$88,7,0))</f>
        <v>0</v>
      </c>
      <c r="GJ50" s="17">
        <f>IF(ISNA(VLOOKUP(A50,'Données projet'!$A$243:$I$263,6,0)),0%,VLOOKUP(A50,'Données projet'!$A$243:$I$263,6,0)*VLOOKUP('Données projet'!$B$17,Paramètres!$A$1:$I$88,7,0))</f>
        <v>0</v>
      </c>
      <c r="GK50" s="17">
        <f>IF(ISNA(VLOOKUP(A50,'Données projet'!$A$243:$I$263,7,0)),0%,VLOOKUP(A50,'Données projet'!$A$243:$I$263,7,0))</f>
        <v>0</v>
      </c>
      <c r="GL50" s="23">
        <f>EXP(-LN(2)/35)*GL49+(1-EXP(-LN(2)/35))/(LN(2)/35)*GH50*GI50*VLOOKUP('Données projet'!$B$9,Paramètres!$A$1:$I$88,3,0)*0.475*44/12</f>
        <v>0</v>
      </c>
      <c r="GM50" s="23">
        <f>EXP(-LN(2)/25)*GM49+(1-EXP(-LN(2)/25))/(LN(2)/25)*Calculateur!GH50*Calculateur!GJ50*VLOOKUP('Données projet'!$B$9,Paramètres!$A$1:$I$88,3,0)*0.475*44/12</f>
        <v>0</v>
      </c>
      <c r="GN50" s="23">
        <f>EXP(-LN(2)/2)*GN49+(1-EXP(-LN(2)/2))/(LN(2)/2)*GH50*GK50*VLOOKUP('Données projet'!$B$9,Paramètres!$A$1:$I$88,3,0)*0.475*44/12</f>
        <v>0</v>
      </c>
      <c r="GO50" s="23">
        <f t="shared" si="36"/>
        <v>0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IF(A50&lt;'Données projet'!$A$270,$GR$205^A50,IF(A50='Données projet'!$A$270,'Données projet'!$B$270,GU49+GT50-HC49))</f>
        <v>0</v>
      </c>
      <c r="GV50" s="18" t="e">
        <f>GU50*VLOOKUP('Données projet'!$B$18,Paramètres!$A$1:$I$88,3,0)*VLOOKUP('Données projet'!$B$18,Paramètres!$A$1:$I$88,5,0)</f>
        <v>#N/A</v>
      </c>
      <c r="GW50" s="14" t="e">
        <f t="shared" si="52"/>
        <v>#N/A</v>
      </c>
      <c r="GX50" s="22" t="e">
        <f t="shared" si="37"/>
        <v>#N/A</v>
      </c>
      <c r="GY50" s="62" t="e">
        <f t="shared" si="38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39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projet'!$B$18,Paramètres!$A$1:$I$88,7,0))</f>
        <v>0</v>
      </c>
      <c r="HE50" s="17">
        <f>IF(ISNA(VLOOKUP(A50,'Données projet'!$A$269:$I$289,6,0)),0%,VLOOKUP(A50,'Données projet'!$A$269:$I$289,6,0)*VLOOKUP('Données projet'!$B$18,Paramètres!$A$1:$I$88,7,0))</f>
        <v>0</v>
      </c>
      <c r="HF50" s="17">
        <f>IF(ISNA(VLOOKUP(A50,'Données projet'!$A$269:$I$289,7,0)),0%,VLOOKUP(A50,'Données projet'!$A$269:$I$289,7,0))</f>
        <v>0</v>
      </c>
      <c r="HG50" s="23">
        <f>EXP(-LN(2)/35)*HG49+(1-EXP(-LN(2)/35))/(LN(2)/35)*HC50*HD50*VLOOKUP('Données projet'!$B$9,Paramètres!$A$1:$I$88,3,0)*0.475*44/12</f>
        <v>0</v>
      </c>
      <c r="HH50" s="23">
        <f>EXP(-LN(2)/25)*HH49+(1-EXP(-LN(2)/25))/(LN(2)/25)*Calculateur!HC50*Calculateur!HE50*VLOOKUP('Données projet'!$B$9,Paramètres!$A$1:$I$88,3,0)*0.475*44/12</f>
        <v>0</v>
      </c>
      <c r="HI50" s="23">
        <f>EXP(-LN(2)/2)*HI49+(1-EXP(-LN(2)/2))/(LN(2)/2)*HC50*HF50*VLOOKUP('Données projet'!$B$9,Paramètres!$A$1:$I$88,3,0)*0.475*44/12</f>
        <v>0</v>
      </c>
      <c r="HJ50" s="24">
        <f t="shared" si="40"/>
        <v>0</v>
      </c>
    </row>
    <row r="51" spans="1:218" s="5" customFormat="1" x14ac:dyDescent="0.25">
      <c r="A51" s="11">
        <f t="shared" si="4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1" s="12">
        <f t="shared" si="4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135.66666666666666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1.8720833333333331</v>
      </c>
      <c r="N51" s="14">
        <f>IF(A51&lt;'Données projet'!$A$36,$K$205^A51,IF(A51='Données projet'!$A$36,'Données projet'!$B$36,N50+M51-V50))</f>
        <v>70.643333333333359</v>
      </c>
      <c r="O51" s="14">
        <f>N51*VLOOKUP('Données projet'!$B$9,Paramètres!$A$1:$I$88,3,0)*VLOOKUP('Données projet'!$B$9,Paramètres!$A$1:$I$88,5,0)</f>
        <v>81.381120000000024</v>
      </c>
      <c r="P51" s="14">
        <f t="shared" si="43"/>
        <v>22.474538008777976</v>
      </c>
      <c r="Q51" s="22">
        <f t="shared" si="53"/>
        <v>180.88193769862167</v>
      </c>
      <c r="R51" s="62">
        <f t="shared" si="0"/>
        <v>414.06360476750319</v>
      </c>
      <c r="S51" s="62">
        <f ca="1">AVERAGE(OFFSET($R$3,0,0,'Données projet'!$E$9+1,1))-AVERAGE(OFFSET($H$3,0,0,'Données projet'!$E$9+1,1))</f>
        <v>314.72063458462026</v>
      </c>
      <c r="T51" s="62">
        <f t="shared" si="3"/>
        <v>216.4380325968244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projet'!$B$9,Paramètres!$A$1:$I$88,7,0))</f>
        <v>0</v>
      </c>
      <c r="X51" s="17">
        <f>IF(ISNA(VLOOKUP(A51,'Données projet'!$A$35:$I$55,6,0)),0%,VLOOKUP(A51,'Données projet'!$A$35:$I$55,6,0)*VLOOKUP('Données projet'!$B$9,Paramètres!$A$1:$I$88,7,0))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projet'!$B$9,Paramètres!$A$1:$I$88,3,0)*0.475*44/12</f>
        <v>0</v>
      </c>
      <c r="AA51" s="23">
        <f>EXP(-LN(2)/25)*AA50+(1-EXP(-LN(2)/25))/(LN(2)/25)*Calculateur!V51*Calculateur!X51*VLOOKUP('Données projet'!$B$9,Paramètres!$A$1:$I$88,3,0)*0.475*44/12</f>
        <v>0</v>
      </c>
      <c r="AB51" s="23">
        <f>EXP(-LN(2)/2)*AB50+(1-EXP(-LN(2)/2))/(LN(2)/2)*V51*Y51*VLOOKUP('Données projet'!$B$9,Paramètres!$A$1:$I$88,3,0)*0.475*44/12</f>
        <v>0</v>
      </c>
      <c r="AC51" s="24">
        <f t="shared" si="4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5.2</v>
      </c>
      <c r="AI51" s="14">
        <f>IF(A51&lt;'Données projet'!$A$62,$AF$205^A51,IF(A51='Données projet'!$A$62,'Données projet'!$B$62,AI50+AH51-AQ50))</f>
        <v>143.59999999999997</v>
      </c>
      <c r="AJ51" s="14">
        <f>AI51*VLOOKUP('Données projet'!$B$10,Paramètres!$A$1:$I$88,3,0)*VLOOKUP('Données projet'!$B$10,Paramètres!$A$1:$I$88,5,0)</f>
        <v>150.09071999999998</v>
      </c>
      <c r="AK51" s="14">
        <f t="shared" si="44"/>
        <v>38.599201340867637</v>
      </c>
      <c r="AL51" s="22">
        <f t="shared" si="5"/>
        <v>328.63494633534441</v>
      </c>
      <c r="AM51" s="62">
        <f t="shared" si="6"/>
        <v>561.81661340422602</v>
      </c>
      <c r="AN51" s="62">
        <f ca="1">AVERAGE(OFFSET($AM$3,0,0,'Données projet'!$E$10+1,1))-AVERAGE(OFFSET($H$3,0,0,'Données projet'!$E$10+1,1))</f>
        <v>458.33072853676879</v>
      </c>
      <c r="AO51" s="62">
        <f t="shared" si="7"/>
        <v>254.1734169352687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projet'!$B$10,Paramètres!$A$1:$I$88,7,0))</f>
        <v>0</v>
      </c>
      <c r="AS51" s="17">
        <f>IF(ISNA(VLOOKUP(A51,'Données projet'!$A$61:$I$81,6,0)),0%,VLOOKUP(A51,'Données projet'!$A$61:$I$81,6,0)*VLOOKUP('Données projet'!$B$10,Paramètres!$A$1:$I$88,7,0))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projet'!$B$9,Paramètres!$A$1:$I$88,3,0)*0.475*44/12</f>
        <v>0</v>
      </c>
      <c r="AV51" s="23">
        <f>EXP(-LN(2)/25)*AV50+(1-EXP(-LN(2)/25))/(LN(2)/25)*Calculateur!AQ51*Calculateur!AS51*VLOOKUP('Données projet'!$B$9,Paramètres!$A$1:$I$88,3,0)*0.475*44/12</f>
        <v>0</v>
      </c>
      <c r="AW51" s="23">
        <f>EXP(-LN(2)/2)*AW50+(1-EXP(-LN(2)/2))/(LN(2)/2)*AQ51*AT51*VLOOKUP('Données projet'!$B$9,Paramètres!$A$1:$I$88,3,0)*0.475*44/12</f>
        <v>0</v>
      </c>
      <c r="AX51" s="23">
        <f t="shared" si="8"/>
        <v>0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5.2</v>
      </c>
      <c r="BD51" s="13">
        <f>IF(A51&lt;'Données projet'!$A$88,$BA$205^A51,IF(A51='Données projet'!$A$88,'Données projet'!$B$88,BD50+BC51-BL50))</f>
        <v>143.59999999999997</v>
      </c>
      <c r="BE51" s="14">
        <f>BD51*VLOOKUP('Données projet'!$B$11,Paramètres!$A$1:$I$88,3,0)*VLOOKUP('Données projet'!$B$11,Paramètres!$A$1:$I$88,5,0)</f>
        <v>145.61039999999997</v>
      </c>
      <c r="BF51" s="14">
        <f t="shared" si="45"/>
        <v>37.579315479252877</v>
      </c>
      <c r="BG51" s="22">
        <f t="shared" si="9"/>
        <v>319.05542112636539</v>
      </c>
      <c r="BH51" s="62">
        <f t="shared" si="10"/>
        <v>552.237088195247</v>
      </c>
      <c r="BI51" s="62">
        <f ca="1">AVERAGE(OFFSET($BH$3,0,0,'Données projet'!$E$11+1,1))-AVERAGE(OFFSET($H$3,0,0,'Données projet'!$E$11+1,1))</f>
        <v>447.82618173893104</v>
      </c>
      <c r="BJ51" s="62">
        <f t="shared" si="11"/>
        <v>248.96509970783379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projet'!$B$11,Paramètres!$A$1:$I$88,7,0))</f>
        <v>0</v>
      </c>
      <c r="BN51" s="17">
        <f>IF(ISNA(VLOOKUP(A51,'Données projet'!$A$87:$I$107,6,0)),0%,VLOOKUP(A51,'Données projet'!$A$87:$I$107,6,0)*VLOOKUP('Données projet'!$B$11,Paramètres!$A$1:$I$88,7,0))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projet'!$B$9,Paramètres!$A$1:$I$88,3,0)*0.475*44/12</f>
        <v>0</v>
      </c>
      <c r="BQ51" s="23">
        <f>EXP(-LN(2)/25)*BQ50+(1-EXP(-LN(2)/25))/(LN(2)/25)*Calculateur!BL51*Calculateur!BN51*VLOOKUP('Données projet'!$B$9,Paramètres!$A$1:$I$88,3,0)*0.475*44/12</f>
        <v>0</v>
      </c>
      <c r="BR51" s="23">
        <f>EXP(-LN(2)/2)*BR50+(1-EXP(-LN(2)/2))/(LN(2)/2)*BL51*BO51*VLOOKUP('Données projet'!$B$9,Paramètres!$A$1:$I$88,3,0)*0.475*44/12</f>
        <v>0</v>
      </c>
      <c r="BS51" s="24">
        <f t="shared" si="12"/>
        <v>0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5.2</v>
      </c>
      <c r="BY51" s="13">
        <f>IF(A51&lt;'Données projet'!$A$114,$BV$205^A51,IF(A51='Données projet'!$A$114,'Données projet'!$B$114,BY50+BX51-CG50))</f>
        <v>143.59999999999997</v>
      </c>
      <c r="BZ51" s="14">
        <f>BY51*VLOOKUP('Données projet'!$B$12,Paramètres!$A$1:$I$88,3,0)*VLOOKUP('Données projet'!$B$12,Paramètres!$A$1:$I$88,5,0)</f>
        <v>154.57103999999995</v>
      </c>
      <c r="CA51" s="14">
        <f t="shared" si="46"/>
        <v>39.615549073913137</v>
      </c>
      <c r="CB51" s="22">
        <f t="shared" si="13"/>
        <v>338.20830930373194</v>
      </c>
      <c r="CC51" s="62">
        <f t="shared" si="14"/>
        <v>571.38997637261355</v>
      </c>
      <c r="CD51" s="62">
        <f ca="1">AVERAGE(OFFSET($CC$3,0,0,'Données projet'!$E$12+1,1))-AVERAGE(OFFSET($H$3,0,0,'Données projet'!$E$12+1,1))</f>
        <v>468.82871618425406</v>
      </c>
      <c r="CE51" s="62">
        <f t="shared" si="15"/>
        <v>259.37818128554397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projet'!$B$12,Paramètres!$A$1:$I$88,7,0))</f>
        <v>0</v>
      </c>
      <c r="CI51" s="17">
        <f>IF(ISNA(VLOOKUP(A51,'Données projet'!$A$113:$I$133,6,0)),0%,VLOOKUP(A51,'Données projet'!$A$113:$I$133,6,0)*VLOOKUP('Données projet'!$B$12,Paramètres!$A$1:$I$88,7,0))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projet'!$B$9,Paramètres!$A$1:$I$88,3,0)*0.475*44/12</f>
        <v>0</v>
      </c>
      <c r="CL51" s="23">
        <f>EXP(-LN(2)/25)*CL50+(1-EXP(-LN(2)/25))/(LN(2)/25)*Calculateur!CG51*Calculateur!CI51*VLOOKUP('Données projet'!$B$9,Paramètres!$A$1:$I$88,3,0)*0.475*44/12</f>
        <v>0</v>
      </c>
      <c r="CM51" s="23">
        <f>EXP(-LN(2)/2)*CM50+(1-EXP(-LN(2)/2))/(LN(2)/2)*CG51*CJ51*VLOOKUP('Données projet'!$B$9,Paramètres!$A$1:$I$88,3,0)*0.475*44/12</f>
        <v>0</v>
      </c>
      <c r="CN51" s="24">
        <f t="shared" si="16"/>
        <v>0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5.2</v>
      </c>
      <c r="CT51" s="13">
        <f>IF(A51&lt;'Données projet'!$A$140,$CQ$205^A51,IF(A51='Données projet'!$A$140,'Données projet'!$B$140,CT50+CS51-DB50))</f>
        <v>143.59999999999997</v>
      </c>
      <c r="CU51" s="18">
        <f>CT51*VLOOKUP('Données projet'!$B$13,Paramètres!$A$1:$I$88,3,0)*VLOOKUP('Données projet'!$B$13,Paramètres!$A$1:$I$88,5,0)</f>
        <v>123.20879999999998</v>
      </c>
      <c r="CV51" s="14">
        <f t="shared" si="47"/>
        <v>32.422245917386924</v>
      </c>
      <c r="CW51" s="22">
        <f t="shared" si="17"/>
        <v>271.05740497278219</v>
      </c>
      <c r="CX51" s="62">
        <f t="shared" si="18"/>
        <v>504.23907204166375</v>
      </c>
      <c r="CY51" s="62">
        <f ca="1">AVERAGE(OFFSET($CX$3,0,0,'Données projet'!$E$13+1,1))-AVERAGE(OFFSET($H$3,0,0,'Données projet'!$E$13+1,1))</f>
        <v>395.19659151668884</v>
      </c>
      <c r="CZ51" s="62">
        <f t="shared" si="19"/>
        <v>222.86563304507339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projet'!$B$13,Paramètres!$A$1:$I$88,7,0))</f>
        <v>0</v>
      </c>
      <c r="DD51" s="17">
        <f>IF(ISNA(VLOOKUP(A51,'Données projet'!$A$139:$I$159,6,0)),0%,VLOOKUP(A51,'Données projet'!$A$139:$I$159,6,0)*VLOOKUP('Données projet'!$B$13,Paramètres!$A$1:$I$88,7,0))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projet'!$B$9,Paramètres!$A$1:$I$88,3,0)*0.475*44/12</f>
        <v>0</v>
      </c>
      <c r="DG51" s="23">
        <f>EXP(-LN(2)/25)*DG50+(1-EXP(-LN(2)/25))/(LN(2)/25)*Calculateur!DB51*Calculateur!DD51*VLOOKUP('Données projet'!$B$9,Paramètres!$A$1:$I$88,3,0)*0.475*44/12</f>
        <v>0</v>
      </c>
      <c r="DH51" s="23">
        <f>EXP(-LN(2)/2)*DH50+(1-EXP(-LN(2)/2))/(LN(2)/2)*DB51*DE51*VLOOKUP('Données projet'!$B$9,Paramètres!$A$1:$I$88,3,0)*0.475*44/12</f>
        <v>0</v>
      </c>
      <c r="DI51" s="24">
        <f t="shared" si="20"/>
        <v>0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4.5999999999999996</v>
      </c>
      <c r="DO51" s="13">
        <f>IF(A51&lt;'Données projet'!$A$166,$DL$205^A51,IF(A51='Données projet'!$A$166,'Données projet'!$B$166,DO50+DN51-DW50))</f>
        <v>77.799999999999983</v>
      </c>
      <c r="DP51" s="18">
        <f>DO51*VLOOKUP('Données projet'!$B$14,Paramètres!$A$1:$I$88,3,0)*VLOOKUP('Données projet'!$B$14,Paramètres!$A$1:$I$88,5,0)</f>
        <v>45.512999999999991</v>
      </c>
      <c r="DQ51" s="14">
        <f t="shared" si="48"/>
        <v>13.448707870161513</v>
      </c>
      <c r="DR51" s="22">
        <f t="shared" si="21"/>
        <v>102.69164120719795</v>
      </c>
      <c r="DS51" s="62">
        <f t="shared" si="22"/>
        <v>335.87330827607951</v>
      </c>
      <c r="DT51" s="62">
        <f ca="1">AVERAGE(OFFSET($DS$3,0,0,'Données projet'!$E$14+1,1))-AVERAGE(OFFSET($H$3,0,0,'Données projet'!$E$14+1,1))</f>
        <v>155.18073137151848</v>
      </c>
      <c r="DU51" s="62">
        <f t="shared" si="23"/>
        <v>115.19459155667272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projet'!$B$14,Paramètres!$A$1:$I$88,7,0))</f>
        <v>0</v>
      </c>
      <c r="DY51" s="17">
        <f>IF(ISNA(VLOOKUP(A51,'Données projet'!$A$165:$I$185,6,0)),0%,VLOOKUP(A51,'Données projet'!$A$165:$I$185,6,0)*VLOOKUP('Données projet'!$B$14,Paramètres!$A$1:$I$88,7,0))</f>
        <v>0</v>
      </c>
      <c r="DZ51" s="17">
        <f>IF(ISNA(VLOOKUP(A51,'Données projet'!$A$165:$I$185,7,0)),0%,VLOOKUP(A51,'Données projet'!$A$165:$I$185,7,0))</f>
        <v>0</v>
      </c>
      <c r="EA51" s="23">
        <f>EXP(-LN(2)/35)*EA50+(1-EXP(-LN(2)/35))/(LN(2)/35)*DW51*DX51*VLOOKUP('Données projet'!$B$9,Paramètres!$A$1:$I$88,3,0)*0.475*44/12</f>
        <v>0</v>
      </c>
      <c r="EB51" s="23">
        <f>EXP(-LN(2)/25)*EB50+(1-EXP(-LN(2)/25))/(LN(2)/25)*Calculateur!DW51*Calculateur!DY51*VLOOKUP('Données projet'!$B$9,Paramètres!$A$1:$I$88,3,0)*0.475*44/12</f>
        <v>0</v>
      </c>
      <c r="EC51" s="23">
        <f>EXP(-LN(2)/2)*EC50+(1-EXP(-LN(2)/2))/(LN(2)/2)*DW51*DZ51*VLOOKUP('Données projet'!$B$9,Paramètres!$A$1:$I$88,3,0)*0.475*44/12</f>
        <v>0</v>
      </c>
      <c r="ED51" s="24">
        <f t="shared" si="24"/>
        <v>0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3.25</v>
      </c>
      <c r="EJ51" s="13">
        <f>IF(A51&lt;'Données projet'!$A$192,$EG$205^A51,IF(A51='Données projet'!$A$192,'Données projet'!$B$192,EJ50+EI51-ER50))</f>
        <v>67.924693763449113</v>
      </c>
      <c r="EK51" s="18">
        <f>EJ51*VLOOKUP('Données projet'!$B$15,Paramètres!$A$1:$I$88,3,0)*VLOOKUP('Données projet'!$B$15,Paramètres!$A$1:$I$88,5,0)</f>
        <v>31.788756681294188</v>
      </c>
      <c r="EL51" s="14">
        <f t="shared" si="49"/>
        <v>9.7940195531689067</v>
      </c>
      <c r="EM51" s="22">
        <f t="shared" si="25"/>
        <v>72.423335275023234</v>
      </c>
      <c r="EN51" s="62">
        <f t="shared" si="26"/>
        <v>305.6050023439048</v>
      </c>
      <c r="EO51" s="62">
        <f ca="1">AVERAGE(OFFSET($EN$3,0,0,'Données projet'!$E$15+1,1))-AVERAGE(OFFSET($H$3,0,0,'Données projet'!$E$15+1,1))</f>
        <v>238.59014604384171</v>
      </c>
      <c r="EP51" s="62">
        <f t="shared" si="27"/>
        <v>90.841373219575217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projet'!$B$15,Paramètres!$A$1:$I$88,7,0))</f>
        <v>0</v>
      </c>
      <c r="ET51" s="17">
        <f>IF(ISNA(VLOOKUP(A51,'Données projet'!$A$191:$I$211,6,0)),0%,VLOOKUP(A51,'Données projet'!$A$191:$I$211,6,0)*VLOOKUP('Données projet'!$B$15,Paramètres!$A$1:$I$88,7,0))</f>
        <v>0</v>
      </c>
      <c r="EU51" s="17">
        <f>IF(ISNA(VLOOKUP(A51,'Données projet'!$A$191:$I$211,7,0)),0%,VLOOKUP(A51,'Données projet'!$A$191:$I$211,7,0))</f>
        <v>0</v>
      </c>
      <c r="EV51" s="23">
        <f>EXP(-LN(2)/35)*EV50+(1-EXP(-LN(2)/35))/(LN(2)/35)*ER51*ES51*VLOOKUP('Données projet'!$B$9,Paramètres!$A$1:$I$88,3,0)*0.475*44/12</f>
        <v>0</v>
      </c>
      <c r="EW51" s="23">
        <f>EXP(-LN(2)/25)*EW50+(1-EXP(-LN(2)/25))/(LN(2)/25)*Calculateur!ER51*Calculateur!ET51*VLOOKUP('Données projet'!$B$9,Paramètres!$A$1:$I$88,3,0)*0.475*44/12</f>
        <v>0</v>
      </c>
      <c r="EX51" s="23">
        <f>EXP(-LN(2)/2)*EX50+(1-EXP(-LN(2)/2))/(LN(2)/2)*ER51*EU51*VLOOKUP('Données projet'!$B$9,Paramètres!$A$1:$I$88,3,0)*0.475*44/12</f>
        <v>0</v>
      </c>
      <c r="EY51" s="24">
        <f t="shared" si="28"/>
        <v>0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IF(A51&lt;'Données projet'!$A$218,$FB$205^A51,IF(A51='Données projet'!$A$218,'Données projet'!$B$218,FE50+FD51-FM50))</f>
        <v>0</v>
      </c>
      <c r="FF51" s="18" t="e">
        <f>FE51*VLOOKUP('Données projet'!$B$16,Paramètres!$A$1:$I$88,3,0)*VLOOKUP('Données projet'!$B$16,Paramètres!$A$1:$I$88,5,0)</f>
        <v>#N/A</v>
      </c>
      <c r="FG51" s="14" t="e">
        <f t="shared" si="50"/>
        <v>#N/A</v>
      </c>
      <c r="FH51" s="22" t="e">
        <f t="shared" si="29"/>
        <v>#N/A</v>
      </c>
      <c r="FI51" s="62" t="e">
        <f t="shared" si="30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31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projet'!$B$16,Paramètres!$A$1:$I$88,7,0))</f>
        <v>0</v>
      </c>
      <c r="FO51" s="17">
        <f>IF(ISNA(VLOOKUP(A51,'Données projet'!$A$217:$I$237,6,0)),0%,VLOOKUP(A51,'Données projet'!$A$217:$I$237,6,0)*VLOOKUP('Données projet'!$B$16,Paramètres!$A$1:$I$88,7,0))</f>
        <v>0</v>
      </c>
      <c r="FP51" s="17">
        <f>IF(ISNA(VLOOKUP(A51,'Données projet'!$A$217:$I$237,7,0)),0%,VLOOKUP(A51,'Données projet'!$A$217:$I$237,7,0))</f>
        <v>0</v>
      </c>
      <c r="FQ51" s="23">
        <f>EXP(-LN(2)/35)*FQ50+(1-EXP(-LN(2)/35))/(LN(2)/35)*FM51*FN51*VLOOKUP('Données projet'!$B$9,Paramètres!$A$1:$I$88,3,0)*0.475*44/12</f>
        <v>0</v>
      </c>
      <c r="FR51" s="23">
        <f>EXP(-LN(2)/25)*FR50+(1-EXP(-LN(2)/25))/(LN(2)/25)*Calculateur!FM51*Calculateur!FO51*VLOOKUP('Données projet'!$B$9,Paramètres!$A$1:$I$88,3,0)*0.475*44/12</f>
        <v>0</v>
      </c>
      <c r="FS51" s="23">
        <f>EXP(-LN(2)/2)*FS50+(1-EXP(-LN(2)/2))/(LN(2)/2)*FM51*FP51*VLOOKUP('Données projet'!$B$9,Paramètres!$A$1:$I$88,3,0)*0.475*44/12</f>
        <v>0</v>
      </c>
      <c r="FT51" s="24">
        <f t="shared" si="32"/>
        <v>0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IF(A51&lt;'Données projet'!$A$244,$FW$205^A51,IF(A51='Données projet'!$A$244,'Données projet'!$B$244,FZ50+FY51-GH50))</f>
        <v>0</v>
      </c>
      <c r="GA51" s="18" t="e">
        <f>FZ51*VLOOKUP('Données projet'!$B$17,Paramètres!$A$1:$I$88,3,0)*VLOOKUP('Données projet'!$B$17,Paramètres!$A$1:$I$88,5,0)</f>
        <v>#N/A</v>
      </c>
      <c r="GB51" s="14" t="e">
        <f t="shared" si="51"/>
        <v>#N/A</v>
      </c>
      <c r="GC51" s="22" t="e">
        <f t="shared" si="33"/>
        <v>#N/A</v>
      </c>
      <c r="GD51" s="62" t="e">
        <f t="shared" si="34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35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projet'!$B$17,Paramètres!$A$1:$I$88,7,0))</f>
        <v>0</v>
      </c>
      <c r="GJ51" s="17">
        <f>IF(ISNA(VLOOKUP(A51,'Données projet'!$A$243:$I$263,6,0)),0%,VLOOKUP(A51,'Données projet'!$A$243:$I$263,6,0)*VLOOKUP('Données projet'!$B$17,Paramètres!$A$1:$I$88,7,0))</f>
        <v>0</v>
      </c>
      <c r="GK51" s="17">
        <f>IF(ISNA(VLOOKUP(A51,'Données projet'!$A$243:$I$263,7,0)),0%,VLOOKUP(A51,'Données projet'!$A$243:$I$263,7,0))</f>
        <v>0</v>
      </c>
      <c r="GL51" s="23">
        <f>EXP(-LN(2)/35)*GL50+(1-EXP(-LN(2)/35))/(LN(2)/35)*GH51*GI51*VLOOKUP('Données projet'!$B$9,Paramètres!$A$1:$I$88,3,0)*0.475*44/12</f>
        <v>0</v>
      </c>
      <c r="GM51" s="23">
        <f>EXP(-LN(2)/25)*GM50+(1-EXP(-LN(2)/25))/(LN(2)/25)*Calculateur!GH51*Calculateur!GJ51*VLOOKUP('Données projet'!$B$9,Paramètres!$A$1:$I$88,3,0)*0.475*44/12</f>
        <v>0</v>
      </c>
      <c r="GN51" s="23">
        <f>EXP(-LN(2)/2)*GN50+(1-EXP(-LN(2)/2))/(LN(2)/2)*GH51*GK51*VLOOKUP('Données projet'!$B$9,Paramètres!$A$1:$I$88,3,0)*0.475*44/12</f>
        <v>0</v>
      </c>
      <c r="GO51" s="23">
        <f t="shared" si="36"/>
        <v>0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IF(A51&lt;'Données projet'!$A$270,$GR$205^A51,IF(A51='Données projet'!$A$270,'Données projet'!$B$270,GU50+GT51-HC50))</f>
        <v>0</v>
      </c>
      <c r="GV51" s="18" t="e">
        <f>GU51*VLOOKUP('Données projet'!$B$18,Paramètres!$A$1:$I$88,3,0)*VLOOKUP('Données projet'!$B$18,Paramètres!$A$1:$I$88,5,0)</f>
        <v>#N/A</v>
      </c>
      <c r="GW51" s="14" t="e">
        <f t="shared" si="52"/>
        <v>#N/A</v>
      </c>
      <c r="GX51" s="22" t="e">
        <f t="shared" si="37"/>
        <v>#N/A</v>
      </c>
      <c r="GY51" s="62" t="e">
        <f t="shared" si="38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39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projet'!$B$18,Paramètres!$A$1:$I$88,7,0))</f>
        <v>0</v>
      </c>
      <c r="HE51" s="17">
        <f>IF(ISNA(VLOOKUP(A51,'Données projet'!$A$269:$I$289,6,0)),0%,VLOOKUP(A51,'Données projet'!$A$269:$I$289,6,0)*VLOOKUP('Données projet'!$B$18,Paramètres!$A$1:$I$88,7,0))</f>
        <v>0</v>
      </c>
      <c r="HF51" s="17">
        <f>IF(ISNA(VLOOKUP(A51,'Données projet'!$A$269:$I$289,7,0)),0%,VLOOKUP(A51,'Données projet'!$A$269:$I$289,7,0))</f>
        <v>0</v>
      </c>
      <c r="HG51" s="23">
        <f>EXP(-LN(2)/35)*HG50+(1-EXP(-LN(2)/35))/(LN(2)/35)*HC51*HD51*VLOOKUP('Données projet'!$B$9,Paramètres!$A$1:$I$88,3,0)*0.475*44/12</f>
        <v>0</v>
      </c>
      <c r="HH51" s="23">
        <f>EXP(-LN(2)/25)*HH50+(1-EXP(-LN(2)/25))/(LN(2)/25)*Calculateur!HC51*Calculateur!HE51*VLOOKUP('Données projet'!$B$9,Paramètres!$A$1:$I$88,3,0)*0.475*44/12</f>
        <v>0</v>
      </c>
      <c r="HI51" s="23">
        <f>EXP(-LN(2)/2)*HI50+(1-EXP(-LN(2)/2))/(LN(2)/2)*HC51*HF51*VLOOKUP('Données projet'!$B$9,Paramètres!$A$1:$I$88,3,0)*0.475*44/12</f>
        <v>0</v>
      </c>
      <c r="HJ51" s="24">
        <f t="shared" si="40"/>
        <v>0</v>
      </c>
    </row>
    <row r="52" spans="1:218" s="5" customFormat="1" x14ac:dyDescent="0.25">
      <c r="A52" s="11">
        <f t="shared" si="4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2" s="12">
        <f t="shared" si="4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135.66666666666666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1.8720833333333331</v>
      </c>
      <c r="N52" s="14">
        <f>IF(A52&lt;'Données projet'!$A$36,$K$205^A52,IF(A52='Données projet'!$A$36,'Données projet'!$B$36,N51+M52-V51))</f>
        <v>72.515416666666695</v>
      </c>
      <c r="O52" s="14">
        <f>N52*VLOOKUP('Données projet'!$B$9,Paramètres!$A$1:$I$88,3,0)*VLOOKUP('Données projet'!$B$9,Paramètres!$A$1:$I$88,5,0)</f>
        <v>83.537760000000034</v>
      </c>
      <c r="P52" s="14">
        <f t="shared" si="43"/>
        <v>22.999994372723616</v>
      </c>
      <c r="Q52" s="22">
        <f t="shared" si="53"/>
        <v>185.55325553249369</v>
      </c>
      <c r="R52" s="62">
        <f t="shared" si="0"/>
        <v>419.77841953208417</v>
      </c>
      <c r="S52" s="62">
        <f ca="1">AVERAGE(OFFSET($R$3,0,0,'Données projet'!$E$9+1,1))-AVERAGE(OFFSET($H$3,0,0,'Données projet'!$E$9+1,1))</f>
        <v>314.72063458462026</v>
      </c>
      <c r="T52" s="62">
        <f t="shared" si="3"/>
        <v>216.4380325968244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projet'!$B$9,Paramètres!$A$1:$I$88,7,0))</f>
        <v>0</v>
      </c>
      <c r="X52" s="17">
        <f>IF(ISNA(VLOOKUP(A52,'Données projet'!$A$35:$I$55,6,0)),0%,VLOOKUP(A52,'Données projet'!$A$35:$I$55,6,0)*VLOOKUP('Données projet'!$B$9,Paramètres!$A$1:$I$88,7,0))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projet'!$B$9,Paramètres!$A$1:$I$88,3,0)*0.475*44/12</f>
        <v>0</v>
      </c>
      <c r="AA52" s="23">
        <f>EXP(-LN(2)/25)*AA51+(1-EXP(-LN(2)/25))/(LN(2)/25)*Calculateur!V52*Calculateur!X52*VLOOKUP('Données projet'!$B$9,Paramètres!$A$1:$I$88,3,0)*0.475*44/12</f>
        <v>0</v>
      </c>
      <c r="AB52" s="23">
        <f>EXP(-LN(2)/2)*AB51+(1-EXP(-LN(2)/2))/(LN(2)/2)*V52*Y52*VLOOKUP('Données projet'!$B$9,Paramètres!$A$1:$I$88,3,0)*0.475*44/12</f>
        <v>0</v>
      </c>
      <c r="AC52" s="24">
        <f t="shared" si="4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5.2</v>
      </c>
      <c r="AI52" s="14">
        <f>IF(A52&lt;'Données projet'!$A$62,$AF$205^A52,IF(A52='Données projet'!$A$62,'Données projet'!$B$62,AI51+AH52-AQ51))</f>
        <v>148.79999999999995</v>
      </c>
      <c r="AJ52" s="14">
        <f>AI52*VLOOKUP('Données projet'!$B$10,Paramètres!$A$1:$I$88,3,0)*VLOOKUP('Données projet'!$B$10,Paramètres!$A$1:$I$88,5,0)</f>
        <v>155.52575999999996</v>
      </c>
      <c r="AK52" s="14">
        <f t="shared" si="44"/>
        <v>39.831678295492779</v>
      </c>
      <c r="AL52" s="22">
        <f t="shared" si="5"/>
        <v>340.24753836464981</v>
      </c>
      <c r="AM52" s="62">
        <f t="shared" si="6"/>
        <v>574.47270236424026</v>
      </c>
      <c r="AN52" s="62">
        <f ca="1">AVERAGE(OFFSET($AM$3,0,0,'Données projet'!$E$10+1,1))-AVERAGE(OFFSET($H$3,0,0,'Données projet'!$E$10+1,1))</f>
        <v>458.33072853676879</v>
      </c>
      <c r="AO52" s="62">
        <f t="shared" si="7"/>
        <v>254.1734169352687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projet'!$B$10,Paramètres!$A$1:$I$88,7,0))</f>
        <v>0</v>
      </c>
      <c r="AS52" s="17">
        <f>IF(ISNA(VLOOKUP(A52,'Données projet'!$A$61:$I$81,6,0)),0%,VLOOKUP(A52,'Données projet'!$A$61:$I$81,6,0)*VLOOKUP('Données projet'!$B$10,Paramètres!$A$1:$I$88,7,0))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projet'!$B$9,Paramètres!$A$1:$I$88,3,0)*0.475*44/12</f>
        <v>0</v>
      </c>
      <c r="AV52" s="23">
        <f>EXP(-LN(2)/25)*AV51+(1-EXP(-LN(2)/25))/(LN(2)/25)*Calculateur!AQ52*Calculateur!AS52*VLOOKUP('Données projet'!$B$9,Paramètres!$A$1:$I$88,3,0)*0.475*44/12</f>
        <v>0</v>
      </c>
      <c r="AW52" s="23">
        <f>EXP(-LN(2)/2)*AW51+(1-EXP(-LN(2)/2))/(LN(2)/2)*AQ52*AT52*VLOOKUP('Données projet'!$B$9,Paramètres!$A$1:$I$88,3,0)*0.475*44/12</f>
        <v>0</v>
      </c>
      <c r="AX52" s="23">
        <f t="shared" si="8"/>
        <v>0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5.2</v>
      </c>
      <c r="BD52" s="13">
        <f>IF(A52&lt;'Données projet'!$A$88,$BA$205^A52,IF(A52='Données projet'!$A$88,'Données projet'!$B$88,BD51+BC52-BL51))</f>
        <v>148.79999999999995</v>
      </c>
      <c r="BE52" s="14">
        <f>BD52*VLOOKUP('Données projet'!$B$11,Paramètres!$A$1:$I$88,3,0)*VLOOKUP('Données projet'!$B$11,Paramètres!$A$1:$I$88,5,0)</f>
        <v>150.88319999999996</v>
      </c>
      <c r="BF52" s="14">
        <f t="shared" si="45"/>
        <v>38.779227360583164</v>
      </c>
      <c r="BG52" s="22">
        <f t="shared" si="9"/>
        <v>330.32872765301562</v>
      </c>
      <c r="BH52" s="62">
        <f t="shared" si="10"/>
        <v>564.55389165260613</v>
      </c>
      <c r="BI52" s="62">
        <f ca="1">AVERAGE(OFFSET($BH$3,0,0,'Données projet'!$E$11+1,1))-AVERAGE(OFFSET($H$3,0,0,'Données projet'!$E$11+1,1))</f>
        <v>447.82618173893104</v>
      </c>
      <c r="BJ52" s="62">
        <f t="shared" si="11"/>
        <v>248.96509970783379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projet'!$B$11,Paramètres!$A$1:$I$88,7,0))</f>
        <v>0</v>
      </c>
      <c r="BN52" s="17">
        <f>IF(ISNA(VLOOKUP(A52,'Données projet'!$A$87:$I$107,6,0)),0%,VLOOKUP(A52,'Données projet'!$A$87:$I$107,6,0)*VLOOKUP('Données projet'!$B$11,Paramètres!$A$1:$I$88,7,0))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projet'!$B$9,Paramètres!$A$1:$I$88,3,0)*0.475*44/12</f>
        <v>0</v>
      </c>
      <c r="BQ52" s="23">
        <f>EXP(-LN(2)/25)*BQ51+(1-EXP(-LN(2)/25))/(LN(2)/25)*Calculateur!BL52*Calculateur!BN52*VLOOKUP('Données projet'!$B$9,Paramètres!$A$1:$I$88,3,0)*0.475*44/12</f>
        <v>0</v>
      </c>
      <c r="BR52" s="23">
        <f>EXP(-LN(2)/2)*BR51+(1-EXP(-LN(2)/2))/(LN(2)/2)*BL52*BO52*VLOOKUP('Données projet'!$B$9,Paramètres!$A$1:$I$88,3,0)*0.475*44/12</f>
        <v>0</v>
      </c>
      <c r="BS52" s="24">
        <f t="shared" si="12"/>
        <v>0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5.2</v>
      </c>
      <c r="BY52" s="13">
        <f>IF(A52&lt;'Données projet'!$A$114,$BV$205^A52,IF(A52='Données projet'!$A$114,'Données projet'!$B$114,BY51+BX52-CG51))</f>
        <v>148.79999999999995</v>
      </c>
      <c r="BZ52" s="14">
        <f>BY52*VLOOKUP('Données projet'!$B$12,Paramètres!$A$1:$I$88,3,0)*VLOOKUP('Données projet'!$B$12,Paramètres!$A$1:$I$88,5,0)</f>
        <v>160.16831999999994</v>
      </c>
      <c r="CA52" s="14">
        <f t="shared" si="46"/>
        <v>40.880478128979483</v>
      </c>
      <c r="CB52" s="22">
        <f t="shared" si="13"/>
        <v>350.15999007463915</v>
      </c>
      <c r="CC52" s="62">
        <f t="shared" si="14"/>
        <v>584.3851540742296</v>
      </c>
      <c r="CD52" s="62">
        <f ca="1">AVERAGE(OFFSET($CC$3,0,0,'Données projet'!$E$12+1,1))-AVERAGE(OFFSET($H$3,0,0,'Données projet'!$E$12+1,1))</f>
        <v>468.82871618425406</v>
      </c>
      <c r="CE52" s="62">
        <f t="shared" si="15"/>
        <v>259.37818128554397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projet'!$B$12,Paramètres!$A$1:$I$88,7,0))</f>
        <v>0</v>
      </c>
      <c r="CI52" s="17">
        <f>IF(ISNA(VLOOKUP(A52,'Données projet'!$A$113:$I$133,6,0)),0%,VLOOKUP(A52,'Données projet'!$A$113:$I$133,6,0)*VLOOKUP('Données projet'!$B$12,Paramètres!$A$1:$I$88,7,0))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projet'!$B$9,Paramètres!$A$1:$I$88,3,0)*0.475*44/12</f>
        <v>0</v>
      </c>
      <c r="CL52" s="23">
        <f>EXP(-LN(2)/25)*CL51+(1-EXP(-LN(2)/25))/(LN(2)/25)*Calculateur!CG52*Calculateur!CI52*VLOOKUP('Données projet'!$B$9,Paramètres!$A$1:$I$88,3,0)*0.475*44/12</f>
        <v>0</v>
      </c>
      <c r="CM52" s="23">
        <f>EXP(-LN(2)/2)*CM51+(1-EXP(-LN(2)/2))/(LN(2)/2)*CG52*CJ52*VLOOKUP('Données projet'!$B$9,Paramètres!$A$1:$I$88,3,0)*0.475*44/12</f>
        <v>0</v>
      </c>
      <c r="CN52" s="24">
        <f t="shared" si="16"/>
        <v>0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5.2</v>
      </c>
      <c r="CT52" s="13">
        <f>IF(A52&lt;'Données projet'!$A$140,$CQ$205^A52,IF(A52='Données projet'!$A$140,'Données projet'!$B$140,CT51+CS52-DB51))</f>
        <v>148.79999999999995</v>
      </c>
      <c r="CU52" s="18">
        <f>CT52*VLOOKUP('Données projet'!$B$13,Paramètres!$A$1:$I$88,3,0)*VLOOKUP('Données projet'!$B$13,Paramètres!$A$1:$I$88,5,0)</f>
        <v>127.67039999999997</v>
      </c>
      <c r="CV52" s="14">
        <f t="shared" si="47"/>
        <v>33.457491972285482</v>
      </c>
      <c r="CW52" s="22">
        <f t="shared" si="17"/>
        <v>280.63107851839715</v>
      </c>
      <c r="CX52" s="62">
        <f t="shared" si="18"/>
        <v>514.85624251798754</v>
      </c>
      <c r="CY52" s="62">
        <f ca="1">AVERAGE(OFFSET($CX$3,0,0,'Données projet'!$E$13+1,1))-AVERAGE(OFFSET($H$3,0,0,'Données projet'!$E$13+1,1))</f>
        <v>395.19659151668884</v>
      </c>
      <c r="CZ52" s="62">
        <f t="shared" si="19"/>
        <v>222.86563304507339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projet'!$B$13,Paramètres!$A$1:$I$88,7,0))</f>
        <v>0</v>
      </c>
      <c r="DD52" s="17">
        <f>IF(ISNA(VLOOKUP(A52,'Données projet'!$A$139:$I$159,6,0)),0%,VLOOKUP(A52,'Données projet'!$A$139:$I$159,6,0)*VLOOKUP('Données projet'!$B$13,Paramètres!$A$1:$I$88,7,0))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projet'!$B$9,Paramètres!$A$1:$I$88,3,0)*0.475*44/12</f>
        <v>0</v>
      </c>
      <c r="DG52" s="23">
        <f>EXP(-LN(2)/25)*DG51+(1-EXP(-LN(2)/25))/(LN(2)/25)*Calculateur!DB52*Calculateur!DD52*VLOOKUP('Données projet'!$B$9,Paramètres!$A$1:$I$88,3,0)*0.475*44/12</f>
        <v>0</v>
      </c>
      <c r="DH52" s="23">
        <f>EXP(-LN(2)/2)*DH51+(1-EXP(-LN(2)/2))/(LN(2)/2)*DB52*DE52*VLOOKUP('Données projet'!$B$9,Paramètres!$A$1:$I$88,3,0)*0.475*44/12</f>
        <v>0</v>
      </c>
      <c r="DI52" s="24">
        <f t="shared" si="20"/>
        <v>0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4.5999999999999996</v>
      </c>
      <c r="DO52" s="13">
        <f>IF(A52&lt;'Données projet'!$A$166,$DL$205^A52,IF(A52='Données projet'!$A$166,'Données projet'!$B$166,DO51+DN52-DW51))</f>
        <v>82.399999999999977</v>
      </c>
      <c r="DP52" s="18">
        <f>DO52*VLOOKUP('Données projet'!$B$14,Paramètres!$A$1:$I$88,3,0)*VLOOKUP('Données projet'!$B$14,Paramètres!$A$1:$I$88,5,0)</f>
        <v>48.203999999999994</v>
      </c>
      <c r="DQ52" s="14">
        <f t="shared" si="48"/>
        <v>14.148951972009977</v>
      </c>
      <c r="DR52" s="22">
        <f t="shared" si="21"/>
        <v>108.59805801791737</v>
      </c>
      <c r="DS52" s="62">
        <f t="shared" si="22"/>
        <v>342.82322201750782</v>
      </c>
      <c r="DT52" s="62">
        <f ca="1">AVERAGE(OFFSET($DS$3,0,0,'Données projet'!$E$14+1,1))-AVERAGE(OFFSET($H$3,0,0,'Données projet'!$E$14+1,1))</f>
        <v>155.18073137151848</v>
      </c>
      <c r="DU52" s="62">
        <f t="shared" si="23"/>
        <v>115.19459155667272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projet'!$B$14,Paramètres!$A$1:$I$88,7,0))</f>
        <v>0</v>
      </c>
      <c r="DY52" s="17">
        <f>IF(ISNA(VLOOKUP(A52,'Données projet'!$A$165:$I$185,6,0)),0%,VLOOKUP(A52,'Données projet'!$A$165:$I$185,6,0)*VLOOKUP('Données projet'!$B$14,Paramètres!$A$1:$I$88,7,0))</f>
        <v>0</v>
      </c>
      <c r="DZ52" s="17">
        <f>IF(ISNA(VLOOKUP(A52,'Données projet'!$A$165:$I$185,7,0)),0%,VLOOKUP(A52,'Données projet'!$A$165:$I$185,7,0))</f>
        <v>0</v>
      </c>
      <c r="EA52" s="23">
        <f>EXP(-LN(2)/35)*EA51+(1-EXP(-LN(2)/35))/(LN(2)/35)*DW52*DX52*VLOOKUP('Données projet'!$B$9,Paramètres!$A$1:$I$88,3,0)*0.475*44/12</f>
        <v>0</v>
      </c>
      <c r="EB52" s="23">
        <f>EXP(-LN(2)/25)*EB51+(1-EXP(-LN(2)/25))/(LN(2)/25)*Calculateur!DW52*Calculateur!DY52*VLOOKUP('Données projet'!$B$9,Paramètres!$A$1:$I$88,3,0)*0.475*44/12</f>
        <v>0</v>
      </c>
      <c r="EC52" s="23">
        <f>EXP(-LN(2)/2)*EC51+(1-EXP(-LN(2)/2))/(LN(2)/2)*DW52*DZ52*VLOOKUP('Données projet'!$B$9,Paramètres!$A$1:$I$88,3,0)*0.475*44/12</f>
        <v>0</v>
      </c>
      <c r="ED52" s="24">
        <f t="shared" si="24"/>
        <v>0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3.25</v>
      </c>
      <c r="EJ52" s="13">
        <f>IF(A52&lt;'Données projet'!$A$192,$EG$205^A52,IF(A52='Données projet'!$A$192,'Données projet'!$B$192,EJ51+EI52-ER51))</f>
        <v>74.164305229352991</v>
      </c>
      <c r="EK52" s="18">
        <f>EJ52*VLOOKUP('Données projet'!$B$15,Paramètres!$A$1:$I$88,3,0)*VLOOKUP('Données projet'!$B$15,Paramètres!$A$1:$I$88,5,0)</f>
        <v>34.708894847337199</v>
      </c>
      <c r="EL52" s="14">
        <f t="shared" si="49"/>
        <v>10.58487035536869</v>
      </c>
      <c r="EM52" s="22">
        <f t="shared" si="25"/>
        <v>78.886641061379422</v>
      </c>
      <c r="EN52" s="62">
        <f t="shared" si="26"/>
        <v>313.11180506096986</v>
      </c>
      <c r="EO52" s="62">
        <f ca="1">AVERAGE(OFFSET($EN$3,0,0,'Données projet'!$E$15+1,1))-AVERAGE(OFFSET($H$3,0,0,'Données projet'!$E$15+1,1))</f>
        <v>238.59014604384171</v>
      </c>
      <c r="EP52" s="62">
        <f t="shared" si="27"/>
        <v>90.841373219575217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projet'!$B$15,Paramètres!$A$1:$I$88,7,0))</f>
        <v>0</v>
      </c>
      <c r="ET52" s="17">
        <f>IF(ISNA(VLOOKUP(A52,'Données projet'!$A$191:$I$211,6,0)),0%,VLOOKUP(A52,'Données projet'!$A$191:$I$211,6,0)*VLOOKUP('Données projet'!$B$15,Paramètres!$A$1:$I$88,7,0))</f>
        <v>0</v>
      </c>
      <c r="EU52" s="17">
        <f>IF(ISNA(VLOOKUP(A52,'Données projet'!$A$191:$I$211,7,0)),0%,VLOOKUP(A52,'Données projet'!$A$191:$I$211,7,0))</f>
        <v>0</v>
      </c>
      <c r="EV52" s="23">
        <f>EXP(-LN(2)/35)*EV51+(1-EXP(-LN(2)/35))/(LN(2)/35)*ER52*ES52*VLOOKUP('Données projet'!$B$9,Paramètres!$A$1:$I$88,3,0)*0.475*44/12</f>
        <v>0</v>
      </c>
      <c r="EW52" s="23">
        <f>EXP(-LN(2)/25)*EW51+(1-EXP(-LN(2)/25))/(LN(2)/25)*Calculateur!ER52*Calculateur!ET52*VLOOKUP('Données projet'!$B$9,Paramètres!$A$1:$I$88,3,0)*0.475*44/12</f>
        <v>0</v>
      </c>
      <c r="EX52" s="23">
        <f>EXP(-LN(2)/2)*EX51+(1-EXP(-LN(2)/2))/(LN(2)/2)*ER52*EU52*VLOOKUP('Données projet'!$B$9,Paramètres!$A$1:$I$88,3,0)*0.475*44/12</f>
        <v>0</v>
      </c>
      <c r="EY52" s="24">
        <f t="shared" si="28"/>
        <v>0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IF(A52&lt;'Données projet'!$A$218,$FB$205^A52,IF(A52='Données projet'!$A$218,'Données projet'!$B$218,FE51+FD52-FM51))</f>
        <v>0</v>
      </c>
      <c r="FF52" s="18" t="e">
        <f>FE52*VLOOKUP('Données projet'!$B$16,Paramètres!$A$1:$I$88,3,0)*VLOOKUP('Données projet'!$B$16,Paramètres!$A$1:$I$88,5,0)</f>
        <v>#N/A</v>
      </c>
      <c r="FG52" s="14" t="e">
        <f t="shared" si="50"/>
        <v>#N/A</v>
      </c>
      <c r="FH52" s="22" t="e">
        <f t="shared" si="29"/>
        <v>#N/A</v>
      </c>
      <c r="FI52" s="62" t="e">
        <f t="shared" si="30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31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projet'!$B$16,Paramètres!$A$1:$I$88,7,0))</f>
        <v>0</v>
      </c>
      <c r="FO52" s="17">
        <f>IF(ISNA(VLOOKUP(A52,'Données projet'!$A$217:$I$237,6,0)),0%,VLOOKUP(A52,'Données projet'!$A$217:$I$237,6,0)*VLOOKUP('Données projet'!$B$16,Paramètres!$A$1:$I$88,7,0))</f>
        <v>0</v>
      </c>
      <c r="FP52" s="17">
        <f>IF(ISNA(VLOOKUP(A52,'Données projet'!$A$217:$I$237,7,0)),0%,VLOOKUP(A52,'Données projet'!$A$217:$I$237,7,0))</f>
        <v>0</v>
      </c>
      <c r="FQ52" s="23">
        <f>EXP(-LN(2)/35)*FQ51+(1-EXP(-LN(2)/35))/(LN(2)/35)*FM52*FN52*VLOOKUP('Données projet'!$B$9,Paramètres!$A$1:$I$88,3,0)*0.475*44/12</f>
        <v>0</v>
      </c>
      <c r="FR52" s="23">
        <f>EXP(-LN(2)/25)*FR51+(1-EXP(-LN(2)/25))/(LN(2)/25)*Calculateur!FM52*Calculateur!FO52*VLOOKUP('Données projet'!$B$9,Paramètres!$A$1:$I$88,3,0)*0.475*44/12</f>
        <v>0</v>
      </c>
      <c r="FS52" s="23">
        <f>EXP(-LN(2)/2)*FS51+(1-EXP(-LN(2)/2))/(LN(2)/2)*FM52*FP52*VLOOKUP('Données projet'!$B$9,Paramètres!$A$1:$I$88,3,0)*0.475*44/12</f>
        <v>0</v>
      </c>
      <c r="FT52" s="24">
        <f t="shared" si="32"/>
        <v>0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IF(A52&lt;'Données projet'!$A$244,$FW$205^A52,IF(A52='Données projet'!$A$244,'Données projet'!$B$244,FZ51+FY52-GH51))</f>
        <v>0</v>
      </c>
      <c r="GA52" s="18" t="e">
        <f>FZ52*VLOOKUP('Données projet'!$B$17,Paramètres!$A$1:$I$88,3,0)*VLOOKUP('Données projet'!$B$17,Paramètres!$A$1:$I$88,5,0)</f>
        <v>#N/A</v>
      </c>
      <c r="GB52" s="14" t="e">
        <f t="shared" si="51"/>
        <v>#N/A</v>
      </c>
      <c r="GC52" s="22" t="e">
        <f t="shared" si="33"/>
        <v>#N/A</v>
      </c>
      <c r="GD52" s="62" t="e">
        <f t="shared" si="34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35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projet'!$B$17,Paramètres!$A$1:$I$88,7,0))</f>
        <v>0</v>
      </c>
      <c r="GJ52" s="17">
        <f>IF(ISNA(VLOOKUP(A52,'Données projet'!$A$243:$I$263,6,0)),0%,VLOOKUP(A52,'Données projet'!$A$243:$I$263,6,0)*VLOOKUP('Données projet'!$B$17,Paramètres!$A$1:$I$88,7,0))</f>
        <v>0</v>
      </c>
      <c r="GK52" s="17">
        <f>IF(ISNA(VLOOKUP(A52,'Données projet'!$A$243:$I$263,7,0)),0%,VLOOKUP(A52,'Données projet'!$A$243:$I$263,7,0))</f>
        <v>0</v>
      </c>
      <c r="GL52" s="23">
        <f>EXP(-LN(2)/35)*GL51+(1-EXP(-LN(2)/35))/(LN(2)/35)*GH52*GI52*VLOOKUP('Données projet'!$B$9,Paramètres!$A$1:$I$88,3,0)*0.475*44/12</f>
        <v>0</v>
      </c>
      <c r="GM52" s="23">
        <f>EXP(-LN(2)/25)*GM51+(1-EXP(-LN(2)/25))/(LN(2)/25)*Calculateur!GH52*Calculateur!GJ52*VLOOKUP('Données projet'!$B$9,Paramètres!$A$1:$I$88,3,0)*0.475*44/12</f>
        <v>0</v>
      </c>
      <c r="GN52" s="23">
        <f>EXP(-LN(2)/2)*GN51+(1-EXP(-LN(2)/2))/(LN(2)/2)*GH52*GK52*VLOOKUP('Données projet'!$B$9,Paramètres!$A$1:$I$88,3,0)*0.475*44/12</f>
        <v>0</v>
      </c>
      <c r="GO52" s="23">
        <f t="shared" si="36"/>
        <v>0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IF(A52&lt;'Données projet'!$A$270,$GR$205^A52,IF(A52='Données projet'!$A$270,'Données projet'!$B$270,GU51+GT52-HC51))</f>
        <v>0</v>
      </c>
      <c r="GV52" s="18" t="e">
        <f>GU52*VLOOKUP('Données projet'!$B$18,Paramètres!$A$1:$I$88,3,0)*VLOOKUP('Données projet'!$B$18,Paramètres!$A$1:$I$88,5,0)</f>
        <v>#N/A</v>
      </c>
      <c r="GW52" s="14" t="e">
        <f t="shared" si="52"/>
        <v>#N/A</v>
      </c>
      <c r="GX52" s="22" t="e">
        <f t="shared" si="37"/>
        <v>#N/A</v>
      </c>
      <c r="GY52" s="62" t="e">
        <f t="shared" si="38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39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projet'!$B$18,Paramètres!$A$1:$I$88,7,0))</f>
        <v>0</v>
      </c>
      <c r="HE52" s="17">
        <f>IF(ISNA(VLOOKUP(A52,'Données projet'!$A$269:$I$289,6,0)),0%,VLOOKUP(A52,'Données projet'!$A$269:$I$289,6,0)*VLOOKUP('Données projet'!$B$18,Paramètres!$A$1:$I$88,7,0))</f>
        <v>0</v>
      </c>
      <c r="HF52" s="17">
        <f>IF(ISNA(VLOOKUP(A52,'Données projet'!$A$269:$I$289,7,0)),0%,VLOOKUP(A52,'Données projet'!$A$269:$I$289,7,0))</f>
        <v>0</v>
      </c>
      <c r="HG52" s="23">
        <f>EXP(-LN(2)/35)*HG51+(1-EXP(-LN(2)/35))/(LN(2)/35)*HC52*HD52*VLOOKUP('Données projet'!$B$9,Paramètres!$A$1:$I$88,3,0)*0.475*44/12</f>
        <v>0</v>
      </c>
      <c r="HH52" s="23">
        <f>EXP(-LN(2)/25)*HH51+(1-EXP(-LN(2)/25))/(LN(2)/25)*Calculateur!HC52*Calculateur!HE52*VLOOKUP('Données projet'!$B$9,Paramètres!$A$1:$I$88,3,0)*0.475*44/12</f>
        <v>0</v>
      </c>
      <c r="HI52" s="23">
        <f>EXP(-LN(2)/2)*HI51+(1-EXP(-LN(2)/2))/(LN(2)/2)*HC52*HF52*VLOOKUP('Données projet'!$B$9,Paramètres!$A$1:$I$88,3,0)*0.475*44/12</f>
        <v>0</v>
      </c>
      <c r="HJ52" s="24">
        <f t="shared" si="40"/>
        <v>0</v>
      </c>
    </row>
    <row r="53" spans="1:218" s="5" customFormat="1" x14ac:dyDescent="0.25">
      <c r="A53" s="11">
        <f t="shared" si="4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3" s="12">
        <f t="shared" si="4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135.66666666666666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74.387500000000003</v>
      </c>
      <c r="L53" s="13">
        <f>VLOOKUP(A53,'Données projet'!$A$35:$I$55,9,0)</f>
        <v>1.8720833333333331</v>
      </c>
      <c r="M53" s="13">
        <f t="array" ref="M53">INDEX(L:L,MIN(IF(ISNUMBER(L53:L249),ROW(L53:L249),"")))</f>
        <v>1.8720833333333331</v>
      </c>
      <c r="N53" s="14">
        <f>IF(A53&lt;'Données projet'!$A$36,$K$205^A53,IF(A53='Données projet'!$A$36,'Données projet'!$B$36,N52+M53-V52))</f>
        <v>74.387500000000031</v>
      </c>
      <c r="O53" s="14">
        <f>N53*VLOOKUP('Données projet'!$B$9,Paramètres!$A$1:$I$88,3,0)*VLOOKUP('Données projet'!$B$9,Paramètres!$A$1:$I$88,5,0)</f>
        <v>85.694400000000016</v>
      </c>
      <c r="P53" s="14">
        <f t="shared" si="43"/>
        <v>23.523873913177109</v>
      </c>
      <c r="Q53" s="22">
        <f t="shared" si="53"/>
        <v>190.22182706545016</v>
      </c>
      <c r="R53" s="62">
        <f t="shared" si="0"/>
        <v>425.47238565691134</v>
      </c>
      <c r="S53" s="62">
        <f ca="1">AVERAGE(OFFSET($R$3,0,0,'Données projet'!$E$9+1,1))-AVERAGE(OFFSET($H$3,0,0,'Données projet'!$E$9+1,1))</f>
        <v>314.72063458462026</v>
      </c>
      <c r="T53" s="62">
        <f t="shared" si="3"/>
        <v>216.4380325968244</v>
      </c>
      <c r="U53" s="16">
        <f>IF(ISNA(VLOOKUP(A53,'Données projet'!$A$35:$I$55,3,0)),0,VLOOKUP(A53,'Données projet'!$A$35:$I$55,3,0))</f>
        <v>3</v>
      </c>
      <c r="V53" s="16">
        <f>IF(ISNA(VLOOKUP(A53,'Données projet'!$A$35:$I$55,4,0)),0,VLOOKUP(A53,'Données projet'!$A$35:$I$55,4,0))</f>
        <v>7.7500000000000009</v>
      </c>
      <c r="W53" s="17">
        <f>IF(ISNA(VLOOKUP(A53,'Données projet'!$A$35:$I$55,5,0)),0%,VLOOKUP(A53,'Données projet'!$A$35:$I$55,5,0)*VLOOKUP('Données projet'!$B$9,Paramètres!$A$1:$I$88,7,0))</f>
        <v>0</v>
      </c>
      <c r="X53" s="17">
        <f>IF(ISNA(VLOOKUP(A53,'Données projet'!$A$35:$I$55,6,0)),0%,VLOOKUP(A53,'Données projet'!$A$35:$I$55,6,0)*VLOOKUP('Données projet'!$B$9,Paramètres!$A$1:$I$88,7,0))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projet'!$B$9,Paramètres!$A$1:$I$88,3,0)*0.475*44/12</f>
        <v>0</v>
      </c>
      <c r="AA53" s="23">
        <f>EXP(-LN(2)/25)*AA52+(1-EXP(-LN(2)/25))/(LN(2)/25)*Calculateur!V53*Calculateur!X53*VLOOKUP('Données projet'!$B$9,Paramètres!$A$1:$I$88,3,0)*0.475*44/12</f>
        <v>0</v>
      </c>
      <c r="AB53" s="23">
        <f>EXP(-LN(2)/2)*AB52+(1-EXP(-LN(2)/2))/(LN(2)/2)*V53*Y53*VLOOKUP('Données projet'!$B$9,Paramètres!$A$1:$I$88,3,0)*0.475*44/12</f>
        <v>0</v>
      </c>
      <c r="AC53" s="24">
        <f t="shared" si="4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154</v>
      </c>
      <c r="AG53" s="13">
        <f>VLOOKUP(A53,'Données projet'!$A$61:$I$81,9,0)</f>
        <v>5.2</v>
      </c>
      <c r="AH53" s="13">
        <f t="array" ref="AH53">INDEX(AG:AG,MIN(IF(ISNUMBER(AG53:AG249),ROW(AG53:AG249),"")))</f>
        <v>5.2</v>
      </c>
      <c r="AI53" s="14">
        <f>IF(A53&lt;'Données projet'!$A$62,$AF$205^A53,IF(A53='Données projet'!$A$62,'Données projet'!$B$62,AI52+AH53-AQ52))</f>
        <v>153.99999999999994</v>
      </c>
      <c r="AJ53" s="14">
        <f>AI53*VLOOKUP('Données projet'!$B$10,Paramètres!$A$1:$I$88,3,0)*VLOOKUP('Données projet'!$B$10,Paramètres!$A$1:$I$88,5,0)</f>
        <v>160.96079999999995</v>
      </c>
      <c r="AK53" s="14">
        <f t="shared" si="44"/>
        <v>41.059150958736609</v>
      </c>
      <c r="AL53" s="22">
        <f t="shared" si="5"/>
        <v>351.85141458646621</v>
      </c>
      <c r="AM53" s="62">
        <f t="shared" si="6"/>
        <v>587.10197317792745</v>
      </c>
      <c r="AN53" s="62">
        <f ca="1">AVERAGE(OFFSET($AM$3,0,0,'Données projet'!$E$10+1,1))-AVERAGE(OFFSET($H$3,0,0,'Données projet'!$E$10+1,1))</f>
        <v>458.33072853676879</v>
      </c>
      <c r="AO53" s="62">
        <f t="shared" si="7"/>
        <v>254.1734169352687</v>
      </c>
      <c r="AP53" s="16">
        <f>IF(ISNA(VLOOKUP(A53,'Données projet'!$A$61:$I$81,3,0)),0,VLOOKUP(A53,'Données projet'!$A$61:$I$81,3,0))</f>
        <v>3</v>
      </c>
      <c r="AQ53" s="16">
        <f>IF(ISNA(VLOOKUP(A53,'Données projet'!$A$61:$I$81,4,0)),0,VLOOKUP(A53,'Données projet'!$A$61:$I$81,4,0))</f>
        <v>20</v>
      </c>
      <c r="AR53" s="17">
        <f>IF(ISNA(VLOOKUP(A53,'Données projet'!$A$61:$I$81,5,0)),0%,VLOOKUP(A53,'Données projet'!$A$61:$I$81,5,0)*VLOOKUP('Données projet'!$B$10,Paramètres!$A$1:$I$88,7,0))</f>
        <v>0</v>
      </c>
      <c r="AS53" s="17">
        <f>IF(ISNA(VLOOKUP(A53,'Données projet'!$A$61:$I$81,6,0)),0%,VLOOKUP(A53,'Données projet'!$A$61:$I$81,6,0)*VLOOKUP('Données projet'!$B$10,Paramètres!$A$1:$I$88,7,0))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projet'!$B$9,Paramètres!$A$1:$I$88,3,0)*0.475*44/12</f>
        <v>0</v>
      </c>
      <c r="AV53" s="23">
        <f>EXP(-LN(2)/25)*AV52+(1-EXP(-LN(2)/25))/(LN(2)/25)*Calculateur!AQ53*Calculateur!AS53*VLOOKUP('Données projet'!$B$9,Paramètres!$A$1:$I$88,3,0)*0.475*44/12</f>
        <v>0</v>
      </c>
      <c r="AW53" s="23">
        <f>EXP(-LN(2)/2)*AW52+(1-EXP(-LN(2)/2))/(LN(2)/2)*AQ53*AT53*VLOOKUP('Données projet'!$B$9,Paramètres!$A$1:$I$88,3,0)*0.475*44/12</f>
        <v>0</v>
      </c>
      <c r="AX53" s="23">
        <f t="shared" si="8"/>
        <v>0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154</v>
      </c>
      <c r="BB53" s="13">
        <f>VLOOKUP(A53,'Données projet'!$A$87:$I$107,9,0)</f>
        <v>5.2</v>
      </c>
      <c r="BC53" s="13">
        <f t="array" ref="BC53">INDEX(BB:BB,MIN(IF(ISNUMBER(BB53:BB249),ROW(BB53:BB249),"")))</f>
        <v>5.2</v>
      </c>
      <c r="BD53" s="13">
        <f>IF(A53&lt;'Données projet'!$A$88,$BA$205^A53,IF(A53='Données projet'!$A$88,'Données projet'!$B$88,BD52+BC53-BL52))</f>
        <v>153.99999999999994</v>
      </c>
      <c r="BE53" s="14">
        <f>BD53*VLOOKUP('Données projet'!$B$11,Paramètres!$A$1:$I$88,3,0)*VLOOKUP('Données projet'!$B$11,Paramètres!$A$1:$I$88,5,0)</f>
        <v>156.15599999999995</v>
      </c>
      <c r="BF53" s="14">
        <f t="shared" si="45"/>
        <v>39.974267176222085</v>
      </c>
      <c r="BG53" s="22">
        <f t="shared" si="9"/>
        <v>341.59354866525337</v>
      </c>
      <c r="BH53" s="62">
        <f t="shared" si="10"/>
        <v>576.84410725671455</v>
      </c>
      <c r="BI53" s="62">
        <f ca="1">AVERAGE(OFFSET($BH$3,0,0,'Données projet'!$E$11+1,1))-AVERAGE(OFFSET($H$3,0,0,'Données projet'!$E$11+1,1))</f>
        <v>447.82618173893104</v>
      </c>
      <c r="BJ53" s="62">
        <f t="shared" si="11"/>
        <v>248.96509970783379</v>
      </c>
      <c r="BK53" s="16">
        <f>IF(ISNA(VLOOKUP(A53,'Données projet'!$A$87:$I$107,3,0)),0,VLOOKUP(A53,'Données projet'!$A$87:$I$107,3,0))</f>
        <v>3</v>
      </c>
      <c r="BL53" s="16">
        <f>IF(ISNA(VLOOKUP(A53,'Données projet'!$A$87:$I$107,4,0)),0,VLOOKUP(A53,'Données projet'!$A$87:$I$107,4,0))</f>
        <v>20</v>
      </c>
      <c r="BM53" s="17">
        <f>IF(ISNA(VLOOKUP(A53,'Données projet'!$A$87:$I$107,5,0)),0%,VLOOKUP(A53,'Données projet'!$A$87:$I$107,5,0)*VLOOKUP('Données projet'!$B$11,Paramètres!$A$1:$I$88,7,0))</f>
        <v>0</v>
      </c>
      <c r="BN53" s="17">
        <f>IF(ISNA(VLOOKUP(A53,'Données projet'!$A$87:$I$107,6,0)),0%,VLOOKUP(A53,'Données projet'!$A$87:$I$107,6,0)*VLOOKUP('Données projet'!$B$11,Paramètres!$A$1:$I$88,7,0))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projet'!$B$9,Paramètres!$A$1:$I$88,3,0)*0.475*44/12</f>
        <v>0</v>
      </c>
      <c r="BQ53" s="23">
        <f>EXP(-LN(2)/25)*BQ52+(1-EXP(-LN(2)/25))/(LN(2)/25)*Calculateur!BL53*Calculateur!BN53*VLOOKUP('Données projet'!$B$9,Paramètres!$A$1:$I$88,3,0)*0.475*44/12</f>
        <v>0</v>
      </c>
      <c r="BR53" s="23">
        <f>EXP(-LN(2)/2)*BR52+(1-EXP(-LN(2)/2))/(LN(2)/2)*BL53*BO53*VLOOKUP('Données projet'!$B$9,Paramètres!$A$1:$I$88,3,0)*0.475*44/12</f>
        <v>0</v>
      </c>
      <c r="BS53" s="24">
        <f t="shared" si="12"/>
        <v>0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>
        <f>VLOOKUP(A53,'Données projet'!$A$113:$I$133,2,0)</f>
        <v>154</v>
      </c>
      <c r="BW53" s="13">
        <f>VLOOKUP(A53,'Données projet'!$A$113:$I$133,9,0)</f>
        <v>5.2</v>
      </c>
      <c r="BX53" s="13">
        <f t="array" ref="BX53">INDEX(BW:BW,MIN(IF(ISNUMBER(BW53:BW249),ROW(BW53:BW249),"")))</f>
        <v>5.2</v>
      </c>
      <c r="BY53" s="13">
        <f>IF(A53&lt;'Données projet'!$A$114,$BV$205^A53,IF(A53='Données projet'!$A$114,'Données projet'!$B$114,BY52+BX53-CG52))</f>
        <v>153.99999999999994</v>
      </c>
      <c r="BZ53" s="14">
        <f>BY53*VLOOKUP('Données projet'!$B$12,Paramètres!$A$1:$I$88,3,0)*VLOOKUP('Données projet'!$B$12,Paramètres!$A$1:$I$88,5,0)</f>
        <v>165.76559999999992</v>
      </c>
      <c r="CA53" s="14">
        <f t="shared" si="46"/>
        <v>42.140271125684265</v>
      </c>
      <c r="CB53" s="22">
        <f t="shared" si="13"/>
        <v>362.10272554389991</v>
      </c>
      <c r="CC53" s="62">
        <f t="shared" si="14"/>
        <v>597.35328413536104</v>
      </c>
      <c r="CD53" s="62">
        <f ca="1">AVERAGE(OFFSET($CC$3,0,0,'Données projet'!$E$12+1,1))-AVERAGE(OFFSET($H$3,0,0,'Données projet'!$E$12+1,1))</f>
        <v>468.82871618425406</v>
      </c>
      <c r="CE53" s="62">
        <f t="shared" si="15"/>
        <v>259.37818128554397</v>
      </c>
      <c r="CF53" s="16">
        <f>IF(ISNA(VLOOKUP(A53,'Données projet'!$A$113:$I$133,3,0)),0,VLOOKUP(A53,'Données projet'!$A$113:$I$133,3,0))</f>
        <v>3</v>
      </c>
      <c r="CG53" s="16">
        <f>IF(ISNA(VLOOKUP(A53,'Données projet'!$A$113:$I$133,4,0)),0,VLOOKUP(A53,'Données projet'!$A$113:$I$133,4,0))</f>
        <v>20</v>
      </c>
      <c r="CH53" s="17">
        <f>IF(ISNA(VLOOKUP(A53,'Données projet'!$A$113:$I$133,5,0)),0%,VLOOKUP(A53,'Données projet'!$A$113:$I$133,5,0)*VLOOKUP('Données projet'!$B$12,Paramètres!$A$1:$I$88,7,0))</f>
        <v>0</v>
      </c>
      <c r="CI53" s="17">
        <f>IF(ISNA(VLOOKUP(A53,'Données projet'!$A$113:$I$133,6,0)),0%,VLOOKUP(A53,'Données projet'!$A$113:$I$133,6,0)*VLOOKUP('Données projet'!$B$12,Paramètres!$A$1:$I$88,7,0))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projet'!$B$9,Paramètres!$A$1:$I$88,3,0)*0.475*44/12</f>
        <v>0</v>
      </c>
      <c r="CL53" s="23">
        <f>EXP(-LN(2)/25)*CL52+(1-EXP(-LN(2)/25))/(LN(2)/25)*Calculateur!CG53*Calculateur!CI53*VLOOKUP('Données projet'!$B$9,Paramètres!$A$1:$I$88,3,0)*0.475*44/12</f>
        <v>0</v>
      </c>
      <c r="CM53" s="23">
        <f>EXP(-LN(2)/2)*CM52+(1-EXP(-LN(2)/2))/(LN(2)/2)*CG53*CJ53*VLOOKUP('Données projet'!$B$9,Paramètres!$A$1:$I$88,3,0)*0.475*44/12</f>
        <v>0</v>
      </c>
      <c r="CN53" s="24">
        <f t="shared" si="16"/>
        <v>0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>
        <f>VLOOKUP(A53,'Données projet'!$A$139:$I$159,2,0)</f>
        <v>154</v>
      </c>
      <c r="CR53" s="13">
        <f>VLOOKUP(A53,'Données projet'!$A$139:$I$159,9,0)</f>
        <v>5.2</v>
      </c>
      <c r="CS53" s="13">
        <f t="array" ref="CS53">INDEX(CR:CR,MIN(IF(ISNUMBER(CR53:CR249),ROW(CR53:CR249),"")))</f>
        <v>5.2</v>
      </c>
      <c r="CT53" s="13">
        <f>IF(A53&lt;'Données projet'!$A$140,$CQ$205^A53,IF(A53='Données projet'!$A$140,'Données projet'!$B$140,CT52+CS53-DB52))</f>
        <v>153.99999999999994</v>
      </c>
      <c r="CU53" s="18">
        <f>CT53*VLOOKUP('Données projet'!$B$13,Paramètres!$A$1:$I$88,3,0)*VLOOKUP('Données projet'!$B$13,Paramètres!$A$1:$I$88,5,0)</f>
        <v>132.13199999999998</v>
      </c>
      <c r="CV53" s="14">
        <f t="shared" si="47"/>
        <v>34.488534562859115</v>
      </c>
      <c r="CW53" s="22">
        <f t="shared" si="17"/>
        <v>290.19743103031288</v>
      </c>
      <c r="CX53" s="62">
        <f t="shared" si="18"/>
        <v>525.44798962177401</v>
      </c>
      <c r="CY53" s="62">
        <f ca="1">AVERAGE(OFFSET($CX$3,0,0,'Données projet'!$E$13+1,1))-AVERAGE(OFFSET($H$3,0,0,'Données projet'!$E$13+1,1))</f>
        <v>395.19659151668884</v>
      </c>
      <c r="CZ53" s="62">
        <f t="shared" si="19"/>
        <v>222.86563304507339</v>
      </c>
      <c r="DA53" s="16">
        <f>IF(ISNA(VLOOKUP(A53,'Données projet'!$A$139:$I$159,3,0)),0,VLOOKUP(A53,'Données projet'!$A$139:$I$159,3,0))</f>
        <v>3</v>
      </c>
      <c r="DB53" s="16">
        <f>IF(ISNA(VLOOKUP(A53,'Données projet'!$A$139:$I$159,4,0)),0,VLOOKUP(A53,'Données projet'!$A$139:$I$159,4,0))</f>
        <v>20</v>
      </c>
      <c r="DC53" s="17">
        <f>IF(ISNA(VLOOKUP(A53,'Données projet'!$A$139:$I$159,5,0)),0%,VLOOKUP(A53,'Données projet'!$A$139:$I$159,5,0)*VLOOKUP('Données projet'!$B$13,Paramètres!$A$1:$I$88,7,0))</f>
        <v>0</v>
      </c>
      <c r="DD53" s="17">
        <f>IF(ISNA(VLOOKUP(A53,'Données projet'!$A$139:$I$159,6,0)),0%,VLOOKUP(A53,'Données projet'!$A$139:$I$159,6,0)*VLOOKUP('Données projet'!$B$13,Paramètres!$A$1:$I$88,7,0))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projet'!$B$9,Paramètres!$A$1:$I$88,3,0)*0.475*44/12</f>
        <v>0</v>
      </c>
      <c r="DG53" s="23">
        <f>EXP(-LN(2)/25)*DG52+(1-EXP(-LN(2)/25))/(LN(2)/25)*Calculateur!DB53*Calculateur!DD53*VLOOKUP('Données projet'!$B$9,Paramètres!$A$1:$I$88,3,0)*0.475*44/12</f>
        <v>0</v>
      </c>
      <c r="DH53" s="23">
        <f>EXP(-LN(2)/2)*DH52+(1-EXP(-LN(2)/2))/(LN(2)/2)*DB53*DE53*VLOOKUP('Données projet'!$B$9,Paramètres!$A$1:$I$88,3,0)*0.475*44/12</f>
        <v>0</v>
      </c>
      <c r="DI53" s="24">
        <f t="shared" si="20"/>
        <v>0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4.5999999999999996</v>
      </c>
      <c r="DO53" s="13">
        <f>IF(A53&lt;'Données projet'!$A$166,$DL$205^A53,IF(A53='Données projet'!$A$166,'Données projet'!$B$166,DO52+DN53-DW52))</f>
        <v>86.999999999999972</v>
      </c>
      <c r="DP53" s="18">
        <f>DO53*VLOOKUP('Données projet'!$B$14,Paramètres!$A$1:$I$88,3,0)*VLOOKUP('Données projet'!$B$14,Paramètres!$A$1:$I$88,5,0)</f>
        <v>50.894999999999989</v>
      </c>
      <c r="DQ53" s="14">
        <f t="shared" si="48"/>
        <v>14.8446581107152</v>
      </c>
      <c r="DR53" s="22">
        <f t="shared" si="21"/>
        <v>114.4965712094956</v>
      </c>
      <c r="DS53" s="62">
        <f t="shared" si="22"/>
        <v>349.74712980095677</v>
      </c>
      <c r="DT53" s="62">
        <f ca="1">AVERAGE(OFFSET($DS$3,0,0,'Données projet'!$E$14+1,1))-AVERAGE(OFFSET($H$3,0,0,'Données projet'!$E$14+1,1))</f>
        <v>155.18073137151848</v>
      </c>
      <c r="DU53" s="62">
        <f t="shared" si="23"/>
        <v>115.19459155667272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projet'!$B$14,Paramètres!$A$1:$I$88,7,0))</f>
        <v>0</v>
      </c>
      <c r="DY53" s="17">
        <f>IF(ISNA(VLOOKUP(A53,'Données projet'!$A$165:$I$185,6,0)),0%,VLOOKUP(A53,'Données projet'!$A$165:$I$185,6,0)*VLOOKUP('Données projet'!$B$14,Paramètres!$A$1:$I$88,7,0))</f>
        <v>0</v>
      </c>
      <c r="DZ53" s="17">
        <f>IF(ISNA(VLOOKUP(A53,'Données projet'!$A$165:$I$185,7,0)),0%,VLOOKUP(A53,'Données projet'!$A$165:$I$185,7,0))</f>
        <v>0</v>
      </c>
      <c r="EA53" s="23">
        <f>EXP(-LN(2)/35)*EA52+(1-EXP(-LN(2)/35))/(LN(2)/35)*DW53*DX53*VLOOKUP('Données projet'!$B$9,Paramètres!$A$1:$I$88,3,0)*0.475*44/12</f>
        <v>0</v>
      </c>
      <c r="EB53" s="23">
        <f>EXP(-LN(2)/25)*EB52+(1-EXP(-LN(2)/25))/(LN(2)/25)*Calculateur!DW53*Calculateur!DY53*VLOOKUP('Données projet'!$B$9,Paramètres!$A$1:$I$88,3,0)*0.475*44/12</f>
        <v>0</v>
      </c>
      <c r="EC53" s="23">
        <f>EXP(-LN(2)/2)*EC52+(1-EXP(-LN(2)/2))/(LN(2)/2)*DW53*DZ53*VLOOKUP('Données projet'!$B$9,Paramètres!$A$1:$I$88,3,0)*0.475*44/12</f>
        <v>0</v>
      </c>
      <c r="ED53" s="24">
        <f t="shared" si="24"/>
        <v>0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3.25</v>
      </c>
      <c r="EJ53" s="13">
        <f>IF(A53&lt;'Données projet'!$A$192,$EG$205^A53,IF(A53='Données projet'!$A$192,'Données projet'!$B$192,EJ52+EI53-ER52))</f>
        <v>80.97709191458172</v>
      </c>
      <c r="EK53" s="18">
        <f>EJ53*VLOOKUP('Données projet'!$B$15,Paramètres!$A$1:$I$88,3,0)*VLOOKUP('Données projet'!$B$15,Paramètres!$A$1:$I$88,5,0)</f>
        <v>37.897279016024243</v>
      </c>
      <c r="EL53" s="14">
        <f t="shared" si="49"/>
        <v>11.439581045528129</v>
      </c>
      <c r="EM53" s="22">
        <f t="shared" si="25"/>
        <v>85.928364607203719</v>
      </c>
      <c r="EN53" s="62">
        <f t="shared" si="26"/>
        <v>321.1789231986649</v>
      </c>
      <c r="EO53" s="62">
        <f ca="1">AVERAGE(OFFSET($EN$3,0,0,'Données projet'!$E$15+1,1))-AVERAGE(OFFSET($H$3,0,0,'Données projet'!$E$15+1,1))</f>
        <v>238.59014604384171</v>
      </c>
      <c r="EP53" s="62">
        <f t="shared" si="27"/>
        <v>90.841373219575217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projet'!$B$15,Paramètres!$A$1:$I$88,7,0))</f>
        <v>0</v>
      </c>
      <c r="ET53" s="17">
        <f>IF(ISNA(VLOOKUP(A53,'Données projet'!$A$191:$I$211,6,0)),0%,VLOOKUP(A53,'Données projet'!$A$191:$I$211,6,0)*VLOOKUP('Données projet'!$B$15,Paramètres!$A$1:$I$88,7,0))</f>
        <v>0</v>
      </c>
      <c r="EU53" s="17">
        <f>IF(ISNA(VLOOKUP(A53,'Données projet'!$A$191:$I$211,7,0)),0%,VLOOKUP(A53,'Données projet'!$A$191:$I$211,7,0))</f>
        <v>0</v>
      </c>
      <c r="EV53" s="23">
        <f>EXP(-LN(2)/35)*EV52+(1-EXP(-LN(2)/35))/(LN(2)/35)*ER53*ES53*VLOOKUP('Données projet'!$B$9,Paramètres!$A$1:$I$88,3,0)*0.475*44/12</f>
        <v>0</v>
      </c>
      <c r="EW53" s="23">
        <f>EXP(-LN(2)/25)*EW52+(1-EXP(-LN(2)/25))/(LN(2)/25)*Calculateur!ER53*Calculateur!ET53*VLOOKUP('Données projet'!$B$9,Paramètres!$A$1:$I$88,3,0)*0.475*44/12</f>
        <v>0</v>
      </c>
      <c r="EX53" s="23">
        <f>EXP(-LN(2)/2)*EX52+(1-EXP(-LN(2)/2))/(LN(2)/2)*ER53*EU53*VLOOKUP('Données projet'!$B$9,Paramètres!$A$1:$I$88,3,0)*0.475*44/12</f>
        <v>0</v>
      </c>
      <c r="EY53" s="24">
        <f t="shared" si="28"/>
        <v>0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IF(A53&lt;'Données projet'!$A$218,$FB$205^A53,IF(A53='Données projet'!$A$218,'Données projet'!$B$218,FE52+FD53-FM52))</f>
        <v>0</v>
      </c>
      <c r="FF53" s="18" t="e">
        <f>FE53*VLOOKUP('Données projet'!$B$16,Paramètres!$A$1:$I$88,3,0)*VLOOKUP('Données projet'!$B$16,Paramètres!$A$1:$I$88,5,0)</f>
        <v>#N/A</v>
      </c>
      <c r="FG53" s="14" t="e">
        <f t="shared" si="50"/>
        <v>#N/A</v>
      </c>
      <c r="FH53" s="22" t="e">
        <f t="shared" si="29"/>
        <v>#N/A</v>
      </c>
      <c r="FI53" s="62" t="e">
        <f t="shared" si="30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31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projet'!$B$16,Paramètres!$A$1:$I$88,7,0))</f>
        <v>0</v>
      </c>
      <c r="FO53" s="17">
        <f>IF(ISNA(VLOOKUP(A53,'Données projet'!$A$217:$I$237,6,0)),0%,VLOOKUP(A53,'Données projet'!$A$217:$I$237,6,0)*VLOOKUP('Données projet'!$B$16,Paramètres!$A$1:$I$88,7,0))</f>
        <v>0</v>
      </c>
      <c r="FP53" s="17">
        <f>IF(ISNA(VLOOKUP(A53,'Données projet'!$A$217:$I$237,7,0)),0%,VLOOKUP(A53,'Données projet'!$A$217:$I$237,7,0))</f>
        <v>0</v>
      </c>
      <c r="FQ53" s="23">
        <f>EXP(-LN(2)/35)*FQ52+(1-EXP(-LN(2)/35))/(LN(2)/35)*FM53*FN53*VLOOKUP('Données projet'!$B$9,Paramètres!$A$1:$I$88,3,0)*0.475*44/12</f>
        <v>0</v>
      </c>
      <c r="FR53" s="23">
        <f>EXP(-LN(2)/25)*FR52+(1-EXP(-LN(2)/25))/(LN(2)/25)*Calculateur!FM53*Calculateur!FO53*VLOOKUP('Données projet'!$B$9,Paramètres!$A$1:$I$88,3,0)*0.475*44/12</f>
        <v>0</v>
      </c>
      <c r="FS53" s="23">
        <f>EXP(-LN(2)/2)*FS52+(1-EXP(-LN(2)/2))/(LN(2)/2)*FM53*FP53*VLOOKUP('Données projet'!$B$9,Paramètres!$A$1:$I$88,3,0)*0.475*44/12</f>
        <v>0</v>
      </c>
      <c r="FT53" s="24">
        <f t="shared" si="32"/>
        <v>0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IF(A53&lt;'Données projet'!$A$244,$FW$205^A53,IF(A53='Données projet'!$A$244,'Données projet'!$B$244,FZ52+FY53-GH52))</f>
        <v>0</v>
      </c>
      <c r="GA53" s="18" t="e">
        <f>FZ53*VLOOKUP('Données projet'!$B$17,Paramètres!$A$1:$I$88,3,0)*VLOOKUP('Données projet'!$B$17,Paramètres!$A$1:$I$88,5,0)</f>
        <v>#N/A</v>
      </c>
      <c r="GB53" s="14" t="e">
        <f t="shared" si="51"/>
        <v>#N/A</v>
      </c>
      <c r="GC53" s="22" t="e">
        <f t="shared" si="33"/>
        <v>#N/A</v>
      </c>
      <c r="GD53" s="62" t="e">
        <f t="shared" si="34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35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projet'!$B$17,Paramètres!$A$1:$I$88,7,0))</f>
        <v>0</v>
      </c>
      <c r="GJ53" s="17">
        <f>IF(ISNA(VLOOKUP(A53,'Données projet'!$A$243:$I$263,6,0)),0%,VLOOKUP(A53,'Données projet'!$A$243:$I$263,6,0)*VLOOKUP('Données projet'!$B$17,Paramètres!$A$1:$I$88,7,0))</f>
        <v>0</v>
      </c>
      <c r="GK53" s="17">
        <f>IF(ISNA(VLOOKUP(A53,'Données projet'!$A$243:$I$263,7,0)),0%,VLOOKUP(A53,'Données projet'!$A$243:$I$263,7,0))</f>
        <v>0</v>
      </c>
      <c r="GL53" s="23">
        <f>EXP(-LN(2)/35)*GL52+(1-EXP(-LN(2)/35))/(LN(2)/35)*GH53*GI53*VLOOKUP('Données projet'!$B$9,Paramètres!$A$1:$I$88,3,0)*0.475*44/12</f>
        <v>0</v>
      </c>
      <c r="GM53" s="23">
        <f>EXP(-LN(2)/25)*GM52+(1-EXP(-LN(2)/25))/(LN(2)/25)*Calculateur!GH53*Calculateur!GJ53*VLOOKUP('Données projet'!$B$9,Paramètres!$A$1:$I$88,3,0)*0.475*44/12</f>
        <v>0</v>
      </c>
      <c r="GN53" s="23">
        <f>EXP(-LN(2)/2)*GN52+(1-EXP(-LN(2)/2))/(LN(2)/2)*GH53*GK53*VLOOKUP('Données projet'!$B$9,Paramètres!$A$1:$I$88,3,0)*0.475*44/12</f>
        <v>0</v>
      </c>
      <c r="GO53" s="23">
        <f t="shared" si="36"/>
        <v>0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IF(A53&lt;'Données projet'!$A$270,$GR$205^A53,IF(A53='Données projet'!$A$270,'Données projet'!$B$270,GU52+GT53-HC52))</f>
        <v>0</v>
      </c>
      <c r="GV53" s="18" t="e">
        <f>GU53*VLOOKUP('Données projet'!$B$18,Paramètres!$A$1:$I$88,3,0)*VLOOKUP('Données projet'!$B$18,Paramètres!$A$1:$I$88,5,0)</f>
        <v>#N/A</v>
      </c>
      <c r="GW53" s="14" t="e">
        <f t="shared" si="52"/>
        <v>#N/A</v>
      </c>
      <c r="GX53" s="22" t="e">
        <f t="shared" si="37"/>
        <v>#N/A</v>
      </c>
      <c r="GY53" s="62" t="e">
        <f t="shared" si="38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39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projet'!$B$18,Paramètres!$A$1:$I$88,7,0))</f>
        <v>0</v>
      </c>
      <c r="HE53" s="17">
        <f>IF(ISNA(VLOOKUP(A53,'Données projet'!$A$269:$I$289,6,0)),0%,VLOOKUP(A53,'Données projet'!$A$269:$I$289,6,0)*VLOOKUP('Données projet'!$B$18,Paramètres!$A$1:$I$88,7,0))</f>
        <v>0</v>
      </c>
      <c r="HF53" s="17">
        <f>IF(ISNA(VLOOKUP(A53,'Données projet'!$A$269:$I$289,7,0)),0%,VLOOKUP(A53,'Données projet'!$A$269:$I$289,7,0))</f>
        <v>0</v>
      </c>
      <c r="HG53" s="23">
        <f>EXP(-LN(2)/35)*HG52+(1-EXP(-LN(2)/35))/(LN(2)/35)*HC53*HD53*VLOOKUP('Données projet'!$B$9,Paramètres!$A$1:$I$88,3,0)*0.475*44/12</f>
        <v>0</v>
      </c>
      <c r="HH53" s="23">
        <f>EXP(-LN(2)/25)*HH52+(1-EXP(-LN(2)/25))/(LN(2)/25)*Calculateur!HC53*Calculateur!HE53*VLOOKUP('Données projet'!$B$9,Paramètres!$A$1:$I$88,3,0)*0.475*44/12</f>
        <v>0</v>
      </c>
      <c r="HI53" s="23">
        <f>EXP(-LN(2)/2)*HI52+(1-EXP(-LN(2)/2))/(LN(2)/2)*HC53*HF53*VLOOKUP('Données projet'!$B$9,Paramètres!$A$1:$I$88,3,0)*0.475*44/12</f>
        <v>0</v>
      </c>
      <c r="HJ53" s="24">
        <f t="shared" si="40"/>
        <v>0</v>
      </c>
    </row>
    <row r="54" spans="1:218" s="5" customFormat="1" x14ac:dyDescent="0.25">
      <c r="A54" s="11">
        <f t="shared" si="4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4" s="12">
        <f t="shared" si="4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135.66666666666666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1.7724999999999995</v>
      </c>
      <c r="N54" s="14">
        <f>IF(A54&lt;'Données projet'!$A$36,$K$205^A54,IF(A54='Données projet'!$A$36,'Données projet'!$B$36,N53+M54-V53))</f>
        <v>68.410000000000025</v>
      </c>
      <c r="O54" s="14">
        <f>N54*VLOOKUP('Données projet'!$B$9,Paramètres!$A$1:$I$88,3,0)*VLOOKUP('Données projet'!$B$9,Paramètres!$A$1:$I$88,5,0)</f>
        <v>78.808320000000023</v>
      </c>
      <c r="P54" s="14">
        <f t="shared" si="43"/>
        <v>21.845558157973084</v>
      </c>
      <c r="Q54" s="22">
        <f t="shared" si="53"/>
        <v>175.30550445846984</v>
      </c>
      <c r="R54" s="62">
        <f t="shared" si="0"/>
        <v>411.56366933807169</v>
      </c>
      <c r="S54" s="62">
        <f ca="1">AVERAGE(OFFSET($R$3,0,0,'Données projet'!$E$9+1,1))-AVERAGE(OFFSET($H$3,0,0,'Données projet'!$E$9+1,1))</f>
        <v>314.72063458462026</v>
      </c>
      <c r="T54" s="62">
        <f t="shared" si="3"/>
        <v>216.4380325968244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projet'!$B$9,Paramètres!$A$1:$I$88,7,0))</f>
        <v>0</v>
      </c>
      <c r="X54" s="17">
        <f>IF(ISNA(VLOOKUP(A54,'Données projet'!$A$35:$I$55,6,0)),0%,VLOOKUP(A54,'Données projet'!$A$35:$I$55,6,0)*VLOOKUP('Données projet'!$B$9,Paramètres!$A$1:$I$88,7,0))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projet'!$B$9,Paramètres!$A$1:$I$88,3,0)*0.475*44/12</f>
        <v>0</v>
      </c>
      <c r="AA54" s="23">
        <f>EXP(-LN(2)/25)*AA53+(1-EXP(-LN(2)/25))/(LN(2)/25)*Calculateur!V54*Calculateur!X54*VLOOKUP('Données projet'!$B$9,Paramètres!$A$1:$I$88,3,0)*0.475*44/12</f>
        <v>0</v>
      </c>
      <c r="AB54" s="23">
        <f>EXP(-LN(2)/2)*AB53+(1-EXP(-LN(2)/2))/(LN(2)/2)*V54*Y54*VLOOKUP('Données projet'!$B$9,Paramètres!$A$1:$I$88,3,0)*0.475*44/12</f>
        <v>0</v>
      </c>
      <c r="AC54" s="24">
        <f t="shared" si="4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4.8</v>
      </c>
      <c r="AI54" s="14">
        <f>IF(A54&lt;'Données projet'!$A$62,$AF$205^A54,IF(A54='Données projet'!$A$62,'Données projet'!$B$62,AI53+AH54-AQ53))</f>
        <v>138.79999999999995</v>
      </c>
      <c r="AJ54" s="14">
        <f>AI54*VLOOKUP('Données projet'!$B$10,Paramètres!$A$1:$I$88,3,0)*VLOOKUP('Données projet'!$B$10,Paramètres!$A$1:$I$88,5,0)</f>
        <v>145.07375999999996</v>
      </c>
      <c r="AK54" s="14">
        <f t="shared" si="44"/>
        <v>37.456913486189698</v>
      </c>
      <c r="AL54" s="22">
        <f t="shared" si="5"/>
        <v>317.90758965511367</v>
      </c>
      <c r="AM54" s="62">
        <f t="shared" si="6"/>
        <v>554.16575453471546</v>
      </c>
      <c r="AN54" s="62">
        <f ca="1">AVERAGE(OFFSET($AM$3,0,0,'Données projet'!$E$10+1,1))-AVERAGE(OFFSET($H$3,0,0,'Données projet'!$E$10+1,1))</f>
        <v>458.33072853676879</v>
      </c>
      <c r="AO54" s="62">
        <f t="shared" si="7"/>
        <v>254.1734169352687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projet'!$B$10,Paramètres!$A$1:$I$88,7,0))</f>
        <v>0</v>
      </c>
      <c r="AS54" s="17">
        <f>IF(ISNA(VLOOKUP(A54,'Données projet'!$A$61:$I$81,6,0)),0%,VLOOKUP(A54,'Données projet'!$A$61:$I$81,6,0)*VLOOKUP('Données projet'!$B$10,Paramètres!$A$1:$I$88,7,0))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projet'!$B$9,Paramètres!$A$1:$I$88,3,0)*0.475*44/12</f>
        <v>0</v>
      </c>
      <c r="AV54" s="23">
        <f>EXP(-LN(2)/25)*AV53+(1-EXP(-LN(2)/25))/(LN(2)/25)*Calculateur!AQ54*Calculateur!AS54*VLOOKUP('Données projet'!$B$9,Paramètres!$A$1:$I$88,3,0)*0.475*44/12</f>
        <v>0</v>
      </c>
      <c r="AW54" s="23">
        <f>EXP(-LN(2)/2)*AW53+(1-EXP(-LN(2)/2))/(LN(2)/2)*AQ54*AT54*VLOOKUP('Données projet'!$B$9,Paramètres!$A$1:$I$88,3,0)*0.475*44/12</f>
        <v>0</v>
      </c>
      <c r="AX54" s="23">
        <f t="shared" si="8"/>
        <v>0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4.8</v>
      </c>
      <c r="BD54" s="13">
        <f>IF(A54&lt;'Données projet'!$A$88,$BA$205^A54,IF(A54='Données projet'!$A$88,'Données projet'!$B$88,BD53+BC54-BL53))</f>
        <v>138.79999999999995</v>
      </c>
      <c r="BE54" s="14">
        <f>BD54*VLOOKUP('Données projet'!$B$11,Paramètres!$A$1:$I$88,3,0)*VLOOKUP('Données projet'!$B$11,Paramètres!$A$1:$I$88,5,0)</f>
        <v>140.74319999999994</v>
      </c>
      <c r="BF54" s="14">
        <f t="shared" si="45"/>
        <v>36.467209679964952</v>
      </c>
      <c r="BG54" s="22">
        <f t="shared" si="9"/>
        <v>308.64146352593883</v>
      </c>
      <c r="BH54" s="62">
        <f t="shared" si="10"/>
        <v>544.89962840554062</v>
      </c>
      <c r="BI54" s="62">
        <f ca="1">AVERAGE(OFFSET($BH$3,0,0,'Données projet'!$E$11+1,1))-AVERAGE(OFFSET($H$3,0,0,'Données projet'!$E$11+1,1))</f>
        <v>447.82618173893104</v>
      </c>
      <c r="BJ54" s="62">
        <f t="shared" si="11"/>
        <v>248.96509970783379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projet'!$B$11,Paramètres!$A$1:$I$88,7,0))</f>
        <v>0</v>
      </c>
      <c r="BN54" s="17">
        <f>IF(ISNA(VLOOKUP(A54,'Données projet'!$A$87:$I$107,6,0)),0%,VLOOKUP(A54,'Données projet'!$A$87:$I$107,6,0)*VLOOKUP('Données projet'!$B$11,Paramètres!$A$1:$I$88,7,0))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projet'!$B$9,Paramètres!$A$1:$I$88,3,0)*0.475*44/12</f>
        <v>0</v>
      </c>
      <c r="BQ54" s="23">
        <f>EXP(-LN(2)/25)*BQ53+(1-EXP(-LN(2)/25))/(LN(2)/25)*Calculateur!BL54*Calculateur!BN54*VLOOKUP('Données projet'!$B$9,Paramètres!$A$1:$I$88,3,0)*0.475*44/12</f>
        <v>0</v>
      </c>
      <c r="BR54" s="23">
        <f>EXP(-LN(2)/2)*BR53+(1-EXP(-LN(2)/2))/(LN(2)/2)*BL54*BO54*VLOOKUP('Données projet'!$B$9,Paramètres!$A$1:$I$88,3,0)*0.475*44/12</f>
        <v>0</v>
      </c>
      <c r="BS54" s="24">
        <f t="shared" si="12"/>
        <v>0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4.8</v>
      </c>
      <c r="BY54" s="13">
        <f>IF(A54&lt;'Données projet'!$A$114,$BV$205^A54,IF(A54='Données projet'!$A$114,'Données projet'!$B$114,BY53+BX54-CG53))</f>
        <v>138.79999999999995</v>
      </c>
      <c r="BZ54" s="14">
        <f>BY54*VLOOKUP('Données projet'!$B$12,Paramètres!$A$1:$I$88,3,0)*VLOOKUP('Données projet'!$B$12,Paramètres!$A$1:$I$88,5,0)</f>
        <v>149.40431999999996</v>
      </c>
      <c r="CA54" s="14">
        <f t="shared" si="46"/>
        <v>38.443183869672019</v>
      </c>
      <c r="CB54" s="22">
        <f t="shared" si="13"/>
        <v>327.16773590634534</v>
      </c>
      <c r="CC54" s="62">
        <f t="shared" si="14"/>
        <v>563.42590078594719</v>
      </c>
      <c r="CD54" s="62">
        <f ca="1">AVERAGE(OFFSET($CC$3,0,0,'Données projet'!$E$12+1,1))-AVERAGE(OFFSET($H$3,0,0,'Données projet'!$E$12+1,1))</f>
        <v>468.82871618425406</v>
      </c>
      <c r="CE54" s="62">
        <f t="shared" si="15"/>
        <v>259.37818128554397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projet'!$B$12,Paramètres!$A$1:$I$88,7,0))</f>
        <v>0</v>
      </c>
      <c r="CI54" s="17">
        <f>IF(ISNA(VLOOKUP(A54,'Données projet'!$A$113:$I$133,6,0)),0%,VLOOKUP(A54,'Données projet'!$A$113:$I$133,6,0)*VLOOKUP('Données projet'!$B$12,Paramètres!$A$1:$I$88,7,0))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projet'!$B$9,Paramètres!$A$1:$I$88,3,0)*0.475*44/12</f>
        <v>0</v>
      </c>
      <c r="CL54" s="23">
        <f>EXP(-LN(2)/25)*CL53+(1-EXP(-LN(2)/25))/(LN(2)/25)*Calculateur!CG54*Calculateur!CI54*VLOOKUP('Données projet'!$B$9,Paramètres!$A$1:$I$88,3,0)*0.475*44/12</f>
        <v>0</v>
      </c>
      <c r="CM54" s="23">
        <f>EXP(-LN(2)/2)*CM53+(1-EXP(-LN(2)/2))/(LN(2)/2)*CG54*CJ54*VLOOKUP('Données projet'!$B$9,Paramètres!$A$1:$I$88,3,0)*0.475*44/12</f>
        <v>0</v>
      </c>
      <c r="CN54" s="24">
        <f t="shared" si="16"/>
        <v>0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4.8</v>
      </c>
      <c r="CT54" s="13">
        <f>IF(A54&lt;'Données projet'!$A$140,$CQ$205^A54,IF(A54='Données projet'!$A$140,'Données projet'!$B$140,CT53+CS54-DB53))</f>
        <v>138.79999999999995</v>
      </c>
      <c r="CU54" s="18">
        <f>CT54*VLOOKUP('Données projet'!$B$13,Paramètres!$A$1:$I$88,3,0)*VLOOKUP('Données projet'!$B$13,Paramètres!$A$1:$I$88,5,0)</f>
        <v>119.09039999999996</v>
      </c>
      <c r="CV54" s="14">
        <f t="shared" si="47"/>
        <v>31.462756175468311</v>
      </c>
      <c r="CW54" s="22">
        <f t="shared" si="17"/>
        <v>262.21341367227387</v>
      </c>
      <c r="CX54" s="62">
        <f t="shared" si="18"/>
        <v>498.47157855187572</v>
      </c>
      <c r="CY54" s="62">
        <f ca="1">AVERAGE(OFFSET($CX$3,0,0,'Données projet'!$E$13+1,1))-AVERAGE(OFFSET($H$3,0,0,'Données projet'!$E$13+1,1))</f>
        <v>395.19659151668884</v>
      </c>
      <c r="CZ54" s="62">
        <f t="shared" si="19"/>
        <v>222.86563304507339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projet'!$B$13,Paramètres!$A$1:$I$88,7,0))</f>
        <v>0</v>
      </c>
      <c r="DD54" s="17">
        <f>IF(ISNA(VLOOKUP(A54,'Données projet'!$A$139:$I$159,6,0)),0%,VLOOKUP(A54,'Données projet'!$A$139:$I$159,6,0)*VLOOKUP('Données projet'!$B$13,Paramètres!$A$1:$I$88,7,0))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projet'!$B$9,Paramètres!$A$1:$I$88,3,0)*0.475*44/12</f>
        <v>0</v>
      </c>
      <c r="DG54" s="23">
        <f>EXP(-LN(2)/25)*DG53+(1-EXP(-LN(2)/25))/(LN(2)/25)*Calculateur!DB54*Calculateur!DD54*VLOOKUP('Données projet'!$B$9,Paramètres!$A$1:$I$88,3,0)*0.475*44/12</f>
        <v>0</v>
      </c>
      <c r="DH54" s="23">
        <f>EXP(-LN(2)/2)*DH53+(1-EXP(-LN(2)/2))/(LN(2)/2)*DB54*DE54*VLOOKUP('Données projet'!$B$9,Paramètres!$A$1:$I$88,3,0)*0.475*44/12</f>
        <v>0</v>
      </c>
      <c r="DI54" s="24">
        <f t="shared" si="20"/>
        <v>0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4.5999999999999996</v>
      </c>
      <c r="DO54" s="13">
        <f>IF(A54&lt;'Données projet'!$A$166,$DL$205^A54,IF(A54='Données projet'!$A$166,'Données projet'!$B$166,DO53+DN54-DW53))</f>
        <v>91.599999999999966</v>
      </c>
      <c r="DP54" s="18">
        <f>DO54*VLOOKUP('Données projet'!$B$14,Paramètres!$A$1:$I$88,3,0)*VLOOKUP('Données projet'!$B$14,Paramètres!$A$1:$I$88,5,0)</f>
        <v>53.585999999999984</v>
      </c>
      <c r="DQ54" s="14">
        <f t="shared" si="48"/>
        <v>15.53609358624073</v>
      </c>
      <c r="DR54" s="22">
        <f t="shared" si="21"/>
        <v>120.38764632936925</v>
      </c>
      <c r="DS54" s="62">
        <f t="shared" si="22"/>
        <v>356.64581120897105</v>
      </c>
      <c r="DT54" s="62">
        <f ca="1">AVERAGE(OFFSET($DS$3,0,0,'Données projet'!$E$14+1,1))-AVERAGE(OFFSET($H$3,0,0,'Données projet'!$E$14+1,1))</f>
        <v>155.18073137151848</v>
      </c>
      <c r="DU54" s="62">
        <f t="shared" si="23"/>
        <v>115.19459155667272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projet'!$B$14,Paramètres!$A$1:$I$88,7,0))</f>
        <v>0</v>
      </c>
      <c r="DY54" s="17">
        <f>IF(ISNA(VLOOKUP(A54,'Données projet'!$A$165:$I$185,6,0)),0%,VLOOKUP(A54,'Données projet'!$A$165:$I$185,6,0)*VLOOKUP('Données projet'!$B$14,Paramètres!$A$1:$I$88,7,0))</f>
        <v>0</v>
      </c>
      <c r="DZ54" s="17">
        <f>IF(ISNA(VLOOKUP(A54,'Données projet'!$A$165:$I$185,7,0)),0%,VLOOKUP(A54,'Données projet'!$A$165:$I$185,7,0))</f>
        <v>0</v>
      </c>
      <c r="EA54" s="23">
        <f>EXP(-LN(2)/35)*EA53+(1-EXP(-LN(2)/35))/(LN(2)/35)*DW54*DX54*VLOOKUP('Données projet'!$B$9,Paramètres!$A$1:$I$88,3,0)*0.475*44/12</f>
        <v>0</v>
      </c>
      <c r="EB54" s="23">
        <f>EXP(-LN(2)/25)*EB53+(1-EXP(-LN(2)/25))/(LN(2)/25)*Calculateur!DW54*Calculateur!DY54*VLOOKUP('Données projet'!$B$9,Paramètres!$A$1:$I$88,3,0)*0.475*44/12</f>
        <v>0</v>
      </c>
      <c r="EC54" s="23">
        <f>EXP(-LN(2)/2)*EC53+(1-EXP(-LN(2)/2))/(LN(2)/2)*DW54*DZ54*VLOOKUP('Données projet'!$B$9,Paramètres!$A$1:$I$88,3,0)*0.475*44/12</f>
        <v>0</v>
      </c>
      <c r="ED54" s="24">
        <f t="shared" si="24"/>
        <v>0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3.25</v>
      </c>
      <c r="EJ54" s="13">
        <f>IF(A54&lt;'Données projet'!$A$192,$EG$205^A54,IF(A54='Données projet'!$A$192,'Données projet'!$B$192,EJ53+EI54-ER53))</f>
        <v>88.415706109080517</v>
      </c>
      <c r="EK54" s="18">
        <f>EJ54*VLOOKUP('Données projet'!$B$15,Paramètres!$A$1:$I$88,3,0)*VLOOKUP('Données projet'!$B$15,Paramètres!$A$1:$I$88,5,0)</f>
        <v>41.378550459049684</v>
      </c>
      <c r="EL54" s="14">
        <f t="shared" si="49"/>
        <v>12.36330820347098</v>
      </c>
      <c r="EM54" s="22">
        <f t="shared" si="25"/>
        <v>93.600403837223482</v>
      </c>
      <c r="EN54" s="62">
        <f t="shared" si="26"/>
        <v>329.85856871682529</v>
      </c>
      <c r="EO54" s="62">
        <f ca="1">AVERAGE(OFFSET($EN$3,0,0,'Données projet'!$E$15+1,1))-AVERAGE(OFFSET($H$3,0,0,'Données projet'!$E$15+1,1))</f>
        <v>238.59014604384171</v>
      </c>
      <c r="EP54" s="62">
        <f t="shared" si="27"/>
        <v>90.841373219575217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projet'!$B$15,Paramètres!$A$1:$I$88,7,0))</f>
        <v>0</v>
      </c>
      <c r="ET54" s="17">
        <f>IF(ISNA(VLOOKUP(A54,'Données projet'!$A$191:$I$211,6,0)),0%,VLOOKUP(A54,'Données projet'!$A$191:$I$211,6,0)*VLOOKUP('Données projet'!$B$15,Paramètres!$A$1:$I$88,7,0))</f>
        <v>0</v>
      </c>
      <c r="EU54" s="17">
        <f>IF(ISNA(VLOOKUP(A54,'Données projet'!$A$191:$I$211,7,0)),0%,VLOOKUP(A54,'Données projet'!$A$191:$I$211,7,0))</f>
        <v>0</v>
      </c>
      <c r="EV54" s="23">
        <f>EXP(-LN(2)/35)*EV53+(1-EXP(-LN(2)/35))/(LN(2)/35)*ER54*ES54*VLOOKUP('Données projet'!$B$9,Paramètres!$A$1:$I$88,3,0)*0.475*44/12</f>
        <v>0</v>
      </c>
      <c r="EW54" s="23">
        <f>EXP(-LN(2)/25)*EW53+(1-EXP(-LN(2)/25))/(LN(2)/25)*Calculateur!ER54*Calculateur!ET54*VLOOKUP('Données projet'!$B$9,Paramètres!$A$1:$I$88,3,0)*0.475*44/12</f>
        <v>0</v>
      </c>
      <c r="EX54" s="23">
        <f>EXP(-LN(2)/2)*EX53+(1-EXP(-LN(2)/2))/(LN(2)/2)*ER54*EU54*VLOOKUP('Données projet'!$B$9,Paramètres!$A$1:$I$88,3,0)*0.475*44/12</f>
        <v>0</v>
      </c>
      <c r="EY54" s="24">
        <f t="shared" si="28"/>
        <v>0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IF(A54&lt;'Données projet'!$A$218,$FB$205^A54,IF(A54='Données projet'!$A$218,'Données projet'!$B$218,FE53+FD54-FM53))</f>
        <v>0</v>
      </c>
      <c r="FF54" s="18" t="e">
        <f>FE54*VLOOKUP('Données projet'!$B$16,Paramètres!$A$1:$I$88,3,0)*VLOOKUP('Données projet'!$B$16,Paramètres!$A$1:$I$88,5,0)</f>
        <v>#N/A</v>
      </c>
      <c r="FG54" s="14" t="e">
        <f t="shared" si="50"/>
        <v>#N/A</v>
      </c>
      <c r="FH54" s="22" t="e">
        <f t="shared" si="29"/>
        <v>#N/A</v>
      </c>
      <c r="FI54" s="62" t="e">
        <f t="shared" si="30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31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projet'!$B$16,Paramètres!$A$1:$I$88,7,0))</f>
        <v>0</v>
      </c>
      <c r="FO54" s="17">
        <f>IF(ISNA(VLOOKUP(A54,'Données projet'!$A$217:$I$237,6,0)),0%,VLOOKUP(A54,'Données projet'!$A$217:$I$237,6,0)*VLOOKUP('Données projet'!$B$16,Paramètres!$A$1:$I$88,7,0))</f>
        <v>0</v>
      </c>
      <c r="FP54" s="17">
        <f>IF(ISNA(VLOOKUP(A54,'Données projet'!$A$217:$I$237,7,0)),0%,VLOOKUP(A54,'Données projet'!$A$217:$I$237,7,0))</f>
        <v>0</v>
      </c>
      <c r="FQ54" s="23">
        <f>EXP(-LN(2)/35)*FQ53+(1-EXP(-LN(2)/35))/(LN(2)/35)*FM54*FN54*VLOOKUP('Données projet'!$B$9,Paramètres!$A$1:$I$88,3,0)*0.475*44/12</f>
        <v>0</v>
      </c>
      <c r="FR54" s="23">
        <f>EXP(-LN(2)/25)*FR53+(1-EXP(-LN(2)/25))/(LN(2)/25)*Calculateur!FM54*Calculateur!FO54*VLOOKUP('Données projet'!$B$9,Paramètres!$A$1:$I$88,3,0)*0.475*44/12</f>
        <v>0</v>
      </c>
      <c r="FS54" s="23">
        <f>EXP(-LN(2)/2)*FS53+(1-EXP(-LN(2)/2))/(LN(2)/2)*FM54*FP54*VLOOKUP('Données projet'!$B$9,Paramètres!$A$1:$I$88,3,0)*0.475*44/12</f>
        <v>0</v>
      </c>
      <c r="FT54" s="24">
        <f t="shared" si="32"/>
        <v>0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IF(A54&lt;'Données projet'!$A$244,$FW$205^A54,IF(A54='Données projet'!$A$244,'Données projet'!$B$244,FZ53+FY54-GH53))</f>
        <v>0</v>
      </c>
      <c r="GA54" s="18" t="e">
        <f>FZ54*VLOOKUP('Données projet'!$B$17,Paramètres!$A$1:$I$88,3,0)*VLOOKUP('Données projet'!$B$17,Paramètres!$A$1:$I$88,5,0)</f>
        <v>#N/A</v>
      </c>
      <c r="GB54" s="14" t="e">
        <f t="shared" si="51"/>
        <v>#N/A</v>
      </c>
      <c r="GC54" s="22" t="e">
        <f t="shared" si="33"/>
        <v>#N/A</v>
      </c>
      <c r="GD54" s="62" t="e">
        <f t="shared" si="34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35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projet'!$B$17,Paramètres!$A$1:$I$88,7,0))</f>
        <v>0</v>
      </c>
      <c r="GJ54" s="17">
        <f>IF(ISNA(VLOOKUP(A54,'Données projet'!$A$243:$I$263,6,0)),0%,VLOOKUP(A54,'Données projet'!$A$243:$I$263,6,0)*VLOOKUP('Données projet'!$B$17,Paramètres!$A$1:$I$88,7,0))</f>
        <v>0</v>
      </c>
      <c r="GK54" s="17">
        <f>IF(ISNA(VLOOKUP(A54,'Données projet'!$A$243:$I$263,7,0)),0%,VLOOKUP(A54,'Données projet'!$A$243:$I$263,7,0))</f>
        <v>0</v>
      </c>
      <c r="GL54" s="23">
        <f>EXP(-LN(2)/35)*GL53+(1-EXP(-LN(2)/35))/(LN(2)/35)*GH54*GI54*VLOOKUP('Données projet'!$B$9,Paramètres!$A$1:$I$88,3,0)*0.475*44/12</f>
        <v>0</v>
      </c>
      <c r="GM54" s="23">
        <f>EXP(-LN(2)/25)*GM53+(1-EXP(-LN(2)/25))/(LN(2)/25)*Calculateur!GH54*Calculateur!GJ54*VLOOKUP('Données projet'!$B$9,Paramètres!$A$1:$I$88,3,0)*0.475*44/12</f>
        <v>0</v>
      </c>
      <c r="GN54" s="23">
        <f>EXP(-LN(2)/2)*GN53+(1-EXP(-LN(2)/2))/(LN(2)/2)*GH54*GK54*VLOOKUP('Données projet'!$B$9,Paramètres!$A$1:$I$88,3,0)*0.475*44/12</f>
        <v>0</v>
      </c>
      <c r="GO54" s="23">
        <f t="shared" si="36"/>
        <v>0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IF(A54&lt;'Données projet'!$A$270,$GR$205^A54,IF(A54='Données projet'!$A$270,'Données projet'!$B$270,GU53+GT54-HC53))</f>
        <v>0</v>
      </c>
      <c r="GV54" s="18" t="e">
        <f>GU54*VLOOKUP('Données projet'!$B$18,Paramètres!$A$1:$I$88,3,0)*VLOOKUP('Données projet'!$B$18,Paramètres!$A$1:$I$88,5,0)</f>
        <v>#N/A</v>
      </c>
      <c r="GW54" s="14" t="e">
        <f t="shared" si="52"/>
        <v>#N/A</v>
      </c>
      <c r="GX54" s="22" t="e">
        <f t="shared" si="37"/>
        <v>#N/A</v>
      </c>
      <c r="GY54" s="62" t="e">
        <f t="shared" si="38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39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projet'!$B$18,Paramètres!$A$1:$I$88,7,0))</f>
        <v>0</v>
      </c>
      <c r="HE54" s="17">
        <f>IF(ISNA(VLOOKUP(A54,'Données projet'!$A$269:$I$289,6,0)),0%,VLOOKUP(A54,'Données projet'!$A$269:$I$289,6,0)*VLOOKUP('Données projet'!$B$18,Paramètres!$A$1:$I$88,7,0))</f>
        <v>0</v>
      </c>
      <c r="HF54" s="17">
        <f>IF(ISNA(VLOOKUP(A54,'Données projet'!$A$269:$I$289,7,0)),0%,VLOOKUP(A54,'Données projet'!$A$269:$I$289,7,0))</f>
        <v>0</v>
      </c>
      <c r="HG54" s="23">
        <f>EXP(-LN(2)/35)*HG53+(1-EXP(-LN(2)/35))/(LN(2)/35)*HC54*HD54*VLOOKUP('Données projet'!$B$9,Paramètres!$A$1:$I$88,3,0)*0.475*44/12</f>
        <v>0</v>
      </c>
      <c r="HH54" s="23">
        <f>EXP(-LN(2)/25)*HH53+(1-EXP(-LN(2)/25))/(LN(2)/25)*Calculateur!HC54*Calculateur!HE54*VLOOKUP('Données projet'!$B$9,Paramètres!$A$1:$I$88,3,0)*0.475*44/12</f>
        <v>0</v>
      </c>
      <c r="HI54" s="23">
        <f>EXP(-LN(2)/2)*HI53+(1-EXP(-LN(2)/2))/(LN(2)/2)*HC54*HF54*VLOOKUP('Données projet'!$B$9,Paramètres!$A$1:$I$88,3,0)*0.475*44/12</f>
        <v>0</v>
      </c>
      <c r="HJ54" s="24">
        <f t="shared" si="40"/>
        <v>0</v>
      </c>
    </row>
    <row r="55" spans="1:218" s="5" customFormat="1" x14ac:dyDescent="0.25">
      <c r="A55" s="11">
        <f t="shared" si="4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5" s="12">
        <f t="shared" si="4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135.66666666666666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1.7724999999999995</v>
      </c>
      <c r="N55" s="14">
        <f>IF(A55&lt;'Données projet'!$A$36,$K$205^A55,IF(A55='Données projet'!$A$36,'Données projet'!$B$36,N54+M55-V54))</f>
        <v>70.182500000000019</v>
      </c>
      <c r="O55" s="14">
        <f>N55*VLOOKUP('Données projet'!$B$9,Paramètres!$A$1:$I$88,3,0)*VLOOKUP('Données projet'!$B$9,Paramètres!$A$1:$I$88,5,0)</f>
        <v>80.850240000000028</v>
      </c>
      <c r="P55" s="14">
        <f t="shared" si="43"/>
        <v>22.344944145436859</v>
      </c>
      <c r="Q55" s="22">
        <f t="shared" si="53"/>
        <v>179.7316123866359</v>
      </c>
      <c r="R55" s="62">
        <f t="shared" si="0"/>
        <v>416.97990383794934</v>
      </c>
      <c r="S55" s="62">
        <f ca="1">AVERAGE(OFFSET($R$3,0,0,'Données projet'!$E$9+1,1))-AVERAGE(OFFSET($H$3,0,0,'Données projet'!$E$9+1,1))</f>
        <v>314.72063458462026</v>
      </c>
      <c r="T55" s="62">
        <f t="shared" si="3"/>
        <v>216.4380325968244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projet'!$B$9,Paramètres!$A$1:$I$88,7,0))</f>
        <v>0</v>
      </c>
      <c r="X55" s="17">
        <f>IF(ISNA(VLOOKUP(A55,'Données projet'!$A$35:$I$55,6,0)),0%,VLOOKUP(A55,'Données projet'!$A$35:$I$55,6,0)*VLOOKUP('Données projet'!$B$9,Paramètres!$A$1:$I$88,7,0))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projet'!$B$9,Paramètres!$A$1:$I$88,3,0)*0.475*44/12</f>
        <v>0</v>
      </c>
      <c r="AA55" s="23">
        <f>EXP(-LN(2)/25)*AA54+(1-EXP(-LN(2)/25))/(LN(2)/25)*Calculateur!V55*Calculateur!X55*VLOOKUP('Données projet'!$B$9,Paramètres!$A$1:$I$88,3,0)*0.475*44/12</f>
        <v>0</v>
      </c>
      <c r="AB55" s="23">
        <f>EXP(-LN(2)/2)*AB54+(1-EXP(-LN(2)/2))/(LN(2)/2)*V55*Y55*VLOOKUP('Données projet'!$B$9,Paramètres!$A$1:$I$88,3,0)*0.475*44/12</f>
        <v>0</v>
      </c>
      <c r="AC55" s="24">
        <f t="shared" si="4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4.8</v>
      </c>
      <c r="AI55" s="14">
        <f>IF(A55&lt;'Données projet'!$A$62,$AF$205^A55,IF(A55='Données projet'!$A$62,'Données projet'!$B$62,AI54+AH55-AQ54))</f>
        <v>143.59999999999997</v>
      </c>
      <c r="AJ55" s="14">
        <f>AI55*VLOOKUP('Données projet'!$B$10,Paramètres!$A$1:$I$88,3,0)*VLOOKUP('Données projet'!$B$10,Paramètres!$A$1:$I$88,5,0)</f>
        <v>150.09071999999998</v>
      </c>
      <c r="AK55" s="14">
        <f t="shared" si="44"/>
        <v>38.599201340867637</v>
      </c>
      <c r="AL55" s="22">
        <f t="shared" si="5"/>
        <v>328.63494633534441</v>
      </c>
      <c r="AM55" s="62">
        <f t="shared" si="6"/>
        <v>565.88323778665779</v>
      </c>
      <c r="AN55" s="62">
        <f ca="1">AVERAGE(OFFSET($AM$3,0,0,'Données projet'!$E$10+1,1))-AVERAGE(OFFSET($H$3,0,0,'Données projet'!$E$10+1,1))</f>
        <v>458.33072853676879</v>
      </c>
      <c r="AO55" s="62">
        <f t="shared" si="7"/>
        <v>254.1734169352687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projet'!$B$10,Paramètres!$A$1:$I$88,7,0))</f>
        <v>0</v>
      </c>
      <c r="AS55" s="17">
        <f>IF(ISNA(VLOOKUP(A55,'Données projet'!$A$61:$I$81,6,0)),0%,VLOOKUP(A55,'Données projet'!$A$61:$I$81,6,0)*VLOOKUP('Données projet'!$B$10,Paramètres!$A$1:$I$88,7,0))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projet'!$B$9,Paramètres!$A$1:$I$88,3,0)*0.475*44/12</f>
        <v>0</v>
      </c>
      <c r="AV55" s="23">
        <f>EXP(-LN(2)/25)*AV54+(1-EXP(-LN(2)/25))/(LN(2)/25)*Calculateur!AQ55*Calculateur!AS55*VLOOKUP('Données projet'!$B$9,Paramètres!$A$1:$I$88,3,0)*0.475*44/12</f>
        <v>0</v>
      </c>
      <c r="AW55" s="23">
        <f>EXP(-LN(2)/2)*AW54+(1-EXP(-LN(2)/2))/(LN(2)/2)*AQ55*AT55*VLOOKUP('Données projet'!$B$9,Paramètres!$A$1:$I$88,3,0)*0.475*44/12</f>
        <v>0</v>
      </c>
      <c r="AX55" s="23">
        <f t="shared" si="8"/>
        <v>0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4.8</v>
      </c>
      <c r="BD55" s="13">
        <f>IF(A55&lt;'Données projet'!$A$88,$BA$205^A55,IF(A55='Données projet'!$A$88,'Données projet'!$B$88,BD54+BC55-BL54))</f>
        <v>143.59999999999997</v>
      </c>
      <c r="BE55" s="14">
        <f>BD55*VLOOKUP('Données projet'!$B$11,Paramètres!$A$1:$I$88,3,0)*VLOOKUP('Données projet'!$B$11,Paramètres!$A$1:$I$88,5,0)</f>
        <v>145.61039999999997</v>
      </c>
      <c r="BF55" s="14">
        <f t="shared" si="45"/>
        <v>37.579315479252877</v>
      </c>
      <c r="BG55" s="22">
        <f t="shared" si="9"/>
        <v>319.05542112636539</v>
      </c>
      <c r="BH55" s="62">
        <f t="shared" si="10"/>
        <v>556.30371257767877</v>
      </c>
      <c r="BI55" s="62">
        <f ca="1">AVERAGE(OFFSET($BH$3,0,0,'Données projet'!$E$11+1,1))-AVERAGE(OFFSET($H$3,0,0,'Données projet'!$E$11+1,1))</f>
        <v>447.82618173893104</v>
      </c>
      <c r="BJ55" s="62">
        <f t="shared" si="11"/>
        <v>248.96509970783379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projet'!$B$11,Paramètres!$A$1:$I$88,7,0))</f>
        <v>0</v>
      </c>
      <c r="BN55" s="17">
        <f>IF(ISNA(VLOOKUP(A55,'Données projet'!$A$87:$I$107,6,0)),0%,VLOOKUP(A55,'Données projet'!$A$87:$I$107,6,0)*VLOOKUP('Données projet'!$B$11,Paramètres!$A$1:$I$88,7,0))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projet'!$B$9,Paramètres!$A$1:$I$88,3,0)*0.475*44/12</f>
        <v>0</v>
      </c>
      <c r="BQ55" s="23">
        <f>EXP(-LN(2)/25)*BQ54+(1-EXP(-LN(2)/25))/(LN(2)/25)*Calculateur!BL55*Calculateur!BN55*VLOOKUP('Données projet'!$B$9,Paramètres!$A$1:$I$88,3,0)*0.475*44/12</f>
        <v>0</v>
      </c>
      <c r="BR55" s="23">
        <f>EXP(-LN(2)/2)*BR54+(1-EXP(-LN(2)/2))/(LN(2)/2)*BL55*BO55*VLOOKUP('Données projet'!$B$9,Paramètres!$A$1:$I$88,3,0)*0.475*44/12</f>
        <v>0</v>
      </c>
      <c r="BS55" s="24">
        <f t="shared" si="12"/>
        <v>0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4.8</v>
      </c>
      <c r="BY55" s="13">
        <f>IF(A55&lt;'Données projet'!$A$114,$BV$205^A55,IF(A55='Données projet'!$A$114,'Données projet'!$B$114,BY54+BX55-CG54))</f>
        <v>143.59999999999997</v>
      </c>
      <c r="BZ55" s="14">
        <f>BY55*VLOOKUP('Données projet'!$B$12,Paramètres!$A$1:$I$88,3,0)*VLOOKUP('Données projet'!$B$12,Paramètres!$A$1:$I$88,5,0)</f>
        <v>154.57103999999995</v>
      </c>
      <c r="CA55" s="14">
        <f t="shared" si="46"/>
        <v>39.615549073913137</v>
      </c>
      <c r="CB55" s="22">
        <f t="shared" si="13"/>
        <v>338.20830930373194</v>
      </c>
      <c r="CC55" s="62">
        <f t="shared" si="14"/>
        <v>575.45660075504532</v>
      </c>
      <c r="CD55" s="62">
        <f ca="1">AVERAGE(OFFSET($CC$3,0,0,'Données projet'!$E$12+1,1))-AVERAGE(OFFSET($H$3,0,0,'Données projet'!$E$12+1,1))</f>
        <v>468.82871618425406</v>
      </c>
      <c r="CE55" s="62">
        <f t="shared" si="15"/>
        <v>259.37818128554397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projet'!$B$12,Paramètres!$A$1:$I$88,7,0))</f>
        <v>0</v>
      </c>
      <c r="CI55" s="17">
        <f>IF(ISNA(VLOOKUP(A55,'Données projet'!$A$113:$I$133,6,0)),0%,VLOOKUP(A55,'Données projet'!$A$113:$I$133,6,0)*VLOOKUP('Données projet'!$B$12,Paramètres!$A$1:$I$88,7,0))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projet'!$B$9,Paramètres!$A$1:$I$88,3,0)*0.475*44/12</f>
        <v>0</v>
      </c>
      <c r="CL55" s="23">
        <f>EXP(-LN(2)/25)*CL54+(1-EXP(-LN(2)/25))/(LN(2)/25)*Calculateur!CG55*Calculateur!CI55*VLOOKUP('Données projet'!$B$9,Paramètres!$A$1:$I$88,3,0)*0.475*44/12</f>
        <v>0</v>
      </c>
      <c r="CM55" s="23">
        <f>EXP(-LN(2)/2)*CM54+(1-EXP(-LN(2)/2))/(LN(2)/2)*CG55*CJ55*VLOOKUP('Données projet'!$B$9,Paramètres!$A$1:$I$88,3,0)*0.475*44/12</f>
        <v>0</v>
      </c>
      <c r="CN55" s="24">
        <f t="shared" si="16"/>
        <v>0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4.8</v>
      </c>
      <c r="CT55" s="13">
        <f>IF(A55&lt;'Données projet'!$A$140,$CQ$205^A55,IF(A55='Données projet'!$A$140,'Données projet'!$B$140,CT54+CS55-DB54))</f>
        <v>143.59999999999997</v>
      </c>
      <c r="CU55" s="18">
        <f>CT55*VLOOKUP('Données projet'!$B$13,Paramètres!$A$1:$I$88,3,0)*VLOOKUP('Données projet'!$B$13,Paramètres!$A$1:$I$88,5,0)</f>
        <v>123.20879999999998</v>
      </c>
      <c r="CV55" s="14">
        <f t="shared" si="47"/>
        <v>32.422245917386924</v>
      </c>
      <c r="CW55" s="22">
        <f t="shared" si="17"/>
        <v>271.05740497278219</v>
      </c>
      <c r="CX55" s="62">
        <f t="shared" si="18"/>
        <v>508.30569642409557</v>
      </c>
      <c r="CY55" s="62">
        <f ca="1">AVERAGE(OFFSET($CX$3,0,0,'Données projet'!$E$13+1,1))-AVERAGE(OFFSET($H$3,0,0,'Données projet'!$E$13+1,1))</f>
        <v>395.19659151668884</v>
      </c>
      <c r="CZ55" s="62">
        <f t="shared" si="19"/>
        <v>222.86563304507339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projet'!$B$13,Paramètres!$A$1:$I$88,7,0))</f>
        <v>0</v>
      </c>
      <c r="DD55" s="17">
        <f>IF(ISNA(VLOOKUP(A55,'Données projet'!$A$139:$I$159,6,0)),0%,VLOOKUP(A55,'Données projet'!$A$139:$I$159,6,0)*VLOOKUP('Données projet'!$B$13,Paramètres!$A$1:$I$88,7,0))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projet'!$B$9,Paramètres!$A$1:$I$88,3,0)*0.475*44/12</f>
        <v>0</v>
      </c>
      <c r="DG55" s="23">
        <f>EXP(-LN(2)/25)*DG54+(1-EXP(-LN(2)/25))/(LN(2)/25)*Calculateur!DB55*Calculateur!DD55*VLOOKUP('Données projet'!$B$9,Paramètres!$A$1:$I$88,3,0)*0.475*44/12</f>
        <v>0</v>
      </c>
      <c r="DH55" s="23">
        <f>EXP(-LN(2)/2)*DH54+(1-EXP(-LN(2)/2))/(LN(2)/2)*DB55*DE55*VLOOKUP('Données projet'!$B$9,Paramètres!$A$1:$I$88,3,0)*0.475*44/12</f>
        <v>0</v>
      </c>
      <c r="DI55" s="24">
        <f t="shared" si="20"/>
        <v>0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4.5999999999999996</v>
      </c>
      <c r="DO55" s="13">
        <f>IF(A55&lt;'Données projet'!$A$166,$DL$205^A55,IF(A55='Données projet'!$A$166,'Données projet'!$B$166,DO54+DN55-DW54))</f>
        <v>96.19999999999996</v>
      </c>
      <c r="DP55" s="18">
        <f>DO55*VLOOKUP('Données projet'!$B$14,Paramètres!$A$1:$I$88,3,0)*VLOOKUP('Données projet'!$B$14,Paramètres!$A$1:$I$88,5,0)</f>
        <v>56.27699999999998</v>
      </c>
      <c r="DQ55" s="14">
        <f t="shared" si="48"/>
        <v>16.223497335301595</v>
      </c>
      <c r="DR55" s="22">
        <f t="shared" si="21"/>
        <v>126.27169952565022</v>
      </c>
      <c r="DS55" s="62">
        <f t="shared" si="22"/>
        <v>363.51999097696364</v>
      </c>
      <c r="DT55" s="62">
        <f ca="1">AVERAGE(OFFSET($DS$3,0,0,'Données projet'!$E$14+1,1))-AVERAGE(OFFSET($H$3,0,0,'Données projet'!$E$14+1,1))</f>
        <v>155.18073137151848</v>
      </c>
      <c r="DU55" s="62">
        <f t="shared" si="23"/>
        <v>115.19459155667272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projet'!$B$14,Paramètres!$A$1:$I$88,7,0))</f>
        <v>0</v>
      </c>
      <c r="DY55" s="17">
        <f>IF(ISNA(VLOOKUP(A55,'Données projet'!$A$165:$I$185,6,0)),0%,VLOOKUP(A55,'Données projet'!$A$165:$I$185,6,0)*VLOOKUP('Données projet'!$B$14,Paramètres!$A$1:$I$88,7,0))</f>
        <v>0</v>
      </c>
      <c r="DZ55" s="17">
        <f>IF(ISNA(VLOOKUP(A55,'Données projet'!$A$165:$I$185,7,0)),0%,VLOOKUP(A55,'Données projet'!$A$165:$I$185,7,0))</f>
        <v>0</v>
      </c>
      <c r="EA55" s="23">
        <f>EXP(-LN(2)/35)*EA54+(1-EXP(-LN(2)/35))/(LN(2)/35)*DW55*DX55*VLOOKUP('Données projet'!$B$9,Paramètres!$A$1:$I$88,3,0)*0.475*44/12</f>
        <v>0</v>
      </c>
      <c r="EB55" s="23">
        <f>EXP(-LN(2)/25)*EB54+(1-EXP(-LN(2)/25))/(LN(2)/25)*Calculateur!DW55*Calculateur!DY55*VLOOKUP('Données projet'!$B$9,Paramètres!$A$1:$I$88,3,0)*0.475*44/12</f>
        <v>0</v>
      </c>
      <c r="EC55" s="23">
        <f>EXP(-LN(2)/2)*EC54+(1-EXP(-LN(2)/2))/(LN(2)/2)*DW55*DZ55*VLOOKUP('Données projet'!$B$9,Paramètres!$A$1:$I$88,3,0)*0.475*44/12</f>
        <v>0</v>
      </c>
      <c r="ED55" s="24">
        <f t="shared" si="24"/>
        <v>0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3.25</v>
      </c>
      <c r="EJ55" s="13">
        <f>IF(A55&lt;'Données projet'!$A$192,$EG$205^A55,IF(A55='Données projet'!$A$192,'Données projet'!$B$192,EJ54+EI55-ER54))</f>
        <v>96.537636780206626</v>
      </c>
      <c r="EK55" s="18">
        <f>EJ55*VLOOKUP('Données projet'!$B$15,Paramètres!$A$1:$I$88,3,0)*VLOOKUP('Données projet'!$B$15,Paramètres!$A$1:$I$88,5,0)</f>
        <v>45.1796140131367</v>
      </c>
      <c r="EL55" s="14">
        <f t="shared" si="49"/>
        <v>13.361624794272009</v>
      </c>
      <c r="EM55" s="22">
        <f t="shared" si="25"/>
        <v>101.95932425623683</v>
      </c>
      <c r="EN55" s="62">
        <f t="shared" si="26"/>
        <v>339.20761570755025</v>
      </c>
      <c r="EO55" s="62">
        <f ca="1">AVERAGE(OFFSET($EN$3,0,0,'Données projet'!$E$15+1,1))-AVERAGE(OFFSET($H$3,0,0,'Données projet'!$E$15+1,1))</f>
        <v>238.59014604384171</v>
      </c>
      <c r="EP55" s="62">
        <f t="shared" si="27"/>
        <v>90.841373219575217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projet'!$B$15,Paramètres!$A$1:$I$88,7,0))</f>
        <v>0</v>
      </c>
      <c r="ET55" s="17">
        <f>IF(ISNA(VLOOKUP(A55,'Données projet'!$A$191:$I$211,6,0)),0%,VLOOKUP(A55,'Données projet'!$A$191:$I$211,6,0)*VLOOKUP('Données projet'!$B$15,Paramètres!$A$1:$I$88,7,0))</f>
        <v>0</v>
      </c>
      <c r="EU55" s="17">
        <f>IF(ISNA(VLOOKUP(A55,'Données projet'!$A$191:$I$211,7,0)),0%,VLOOKUP(A55,'Données projet'!$A$191:$I$211,7,0))</f>
        <v>0</v>
      </c>
      <c r="EV55" s="23">
        <f>EXP(-LN(2)/35)*EV54+(1-EXP(-LN(2)/35))/(LN(2)/35)*ER55*ES55*VLOOKUP('Données projet'!$B$9,Paramètres!$A$1:$I$88,3,0)*0.475*44/12</f>
        <v>0</v>
      </c>
      <c r="EW55" s="23">
        <f>EXP(-LN(2)/25)*EW54+(1-EXP(-LN(2)/25))/(LN(2)/25)*Calculateur!ER55*Calculateur!ET55*VLOOKUP('Données projet'!$B$9,Paramètres!$A$1:$I$88,3,0)*0.475*44/12</f>
        <v>0</v>
      </c>
      <c r="EX55" s="23">
        <f>EXP(-LN(2)/2)*EX54+(1-EXP(-LN(2)/2))/(LN(2)/2)*ER55*EU55*VLOOKUP('Données projet'!$B$9,Paramètres!$A$1:$I$88,3,0)*0.475*44/12</f>
        <v>0</v>
      </c>
      <c r="EY55" s="24">
        <f t="shared" si="28"/>
        <v>0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IF(A55&lt;'Données projet'!$A$218,$FB$205^A55,IF(A55='Données projet'!$A$218,'Données projet'!$B$218,FE54+FD55-FM54))</f>
        <v>0</v>
      </c>
      <c r="FF55" s="18" t="e">
        <f>FE55*VLOOKUP('Données projet'!$B$16,Paramètres!$A$1:$I$88,3,0)*VLOOKUP('Données projet'!$B$16,Paramètres!$A$1:$I$88,5,0)</f>
        <v>#N/A</v>
      </c>
      <c r="FG55" s="14" t="e">
        <f t="shared" si="50"/>
        <v>#N/A</v>
      </c>
      <c r="FH55" s="22" t="e">
        <f t="shared" si="29"/>
        <v>#N/A</v>
      </c>
      <c r="FI55" s="62" t="e">
        <f t="shared" si="30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31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projet'!$B$16,Paramètres!$A$1:$I$88,7,0))</f>
        <v>0</v>
      </c>
      <c r="FO55" s="17">
        <f>IF(ISNA(VLOOKUP(A55,'Données projet'!$A$217:$I$237,6,0)),0%,VLOOKUP(A55,'Données projet'!$A$217:$I$237,6,0)*VLOOKUP('Données projet'!$B$16,Paramètres!$A$1:$I$88,7,0))</f>
        <v>0</v>
      </c>
      <c r="FP55" s="17">
        <f>IF(ISNA(VLOOKUP(A55,'Données projet'!$A$217:$I$237,7,0)),0%,VLOOKUP(A55,'Données projet'!$A$217:$I$237,7,0))</f>
        <v>0</v>
      </c>
      <c r="FQ55" s="23">
        <f>EXP(-LN(2)/35)*FQ54+(1-EXP(-LN(2)/35))/(LN(2)/35)*FM55*FN55*VLOOKUP('Données projet'!$B$9,Paramètres!$A$1:$I$88,3,0)*0.475*44/12</f>
        <v>0</v>
      </c>
      <c r="FR55" s="23">
        <f>EXP(-LN(2)/25)*FR54+(1-EXP(-LN(2)/25))/(LN(2)/25)*Calculateur!FM55*Calculateur!FO55*VLOOKUP('Données projet'!$B$9,Paramètres!$A$1:$I$88,3,0)*0.475*44/12</f>
        <v>0</v>
      </c>
      <c r="FS55" s="23">
        <f>EXP(-LN(2)/2)*FS54+(1-EXP(-LN(2)/2))/(LN(2)/2)*FM55*FP55*VLOOKUP('Données projet'!$B$9,Paramètres!$A$1:$I$88,3,0)*0.475*44/12</f>
        <v>0</v>
      </c>
      <c r="FT55" s="24">
        <f t="shared" si="32"/>
        <v>0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IF(A55&lt;'Données projet'!$A$244,$FW$205^A55,IF(A55='Données projet'!$A$244,'Données projet'!$B$244,FZ54+FY55-GH54))</f>
        <v>0</v>
      </c>
      <c r="GA55" s="18" t="e">
        <f>FZ55*VLOOKUP('Données projet'!$B$17,Paramètres!$A$1:$I$88,3,0)*VLOOKUP('Données projet'!$B$17,Paramètres!$A$1:$I$88,5,0)</f>
        <v>#N/A</v>
      </c>
      <c r="GB55" s="14" t="e">
        <f t="shared" si="51"/>
        <v>#N/A</v>
      </c>
      <c r="GC55" s="22" t="e">
        <f t="shared" si="33"/>
        <v>#N/A</v>
      </c>
      <c r="GD55" s="62" t="e">
        <f t="shared" si="34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35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projet'!$B$17,Paramètres!$A$1:$I$88,7,0))</f>
        <v>0</v>
      </c>
      <c r="GJ55" s="17">
        <f>IF(ISNA(VLOOKUP(A55,'Données projet'!$A$243:$I$263,6,0)),0%,VLOOKUP(A55,'Données projet'!$A$243:$I$263,6,0)*VLOOKUP('Données projet'!$B$17,Paramètres!$A$1:$I$88,7,0))</f>
        <v>0</v>
      </c>
      <c r="GK55" s="17">
        <f>IF(ISNA(VLOOKUP(A55,'Données projet'!$A$243:$I$263,7,0)),0%,VLOOKUP(A55,'Données projet'!$A$243:$I$263,7,0))</f>
        <v>0</v>
      </c>
      <c r="GL55" s="23">
        <f>EXP(-LN(2)/35)*GL54+(1-EXP(-LN(2)/35))/(LN(2)/35)*GH55*GI55*VLOOKUP('Données projet'!$B$9,Paramètres!$A$1:$I$88,3,0)*0.475*44/12</f>
        <v>0</v>
      </c>
      <c r="GM55" s="23">
        <f>EXP(-LN(2)/25)*GM54+(1-EXP(-LN(2)/25))/(LN(2)/25)*Calculateur!GH55*Calculateur!GJ55*VLOOKUP('Données projet'!$B$9,Paramètres!$A$1:$I$88,3,0)*0.475*44/12</f>
        <v>0</v>
      </c>
      <c r="GN55" s="23">
        <f>EXP(-LN(2)/2)*GN54+(1-EXP(-LN(2)/2))/(LN(2)/2)*GH55*GK55*VLOOKUP('Données projet'!$B$9,Paramètres!$A$1:$I$88,3,0)*0.475*44/12</f>
        <v>0</v>
      </c>
      <c r="GO55" s="23">
        <f t="shared" si="36"/>
        <v>0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IF(A55&lt;'Données projet'!$A$270,$GR$205^A55,IF(A55='Données projet'!$A$270,'Données projet'!$B$270,GU54+GT55-HC54))</f>
        <v>0</v>
      </c>
      <c r="GV55" s="18" t="e">
        <f>GU55*VLOOKUP('Données projet'!$B$18,Paramètres!$A$1:$I$88,3,0)*VLOOKUP('Données projet'!$B$18,Paramètres!$A$1:$I$88,5,0)</f>
        <v>#N/A</v>
      </c>
      <c r="GW55" s="14" t="e">
        <f t="shared" si="52"/>
        <v>#N/A</v>
      </c>
      <c r="GX55" s="22" t="e">
        <f t="shared" si="37"/>
        <v>#N/A</v>
      </c>
      <c r="GY55" s="62" t="e">
        <f t="shared" si="38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39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projet'!$B$18,Paramètres!$A$1:$I$88,7,0))</f>
        <v>0</v>
      </c>
      <c r="HE55" s="17">
        <f>IF(ISNA(VLOOKUP(A55,'Données projet'!$A$269:$I$289,6,0)),0%,VLOOKUP(A55,'Données projet'!$A$269:$I$289,6,0)*VLOOKUP('Données projet'!$B$18,Paramètres!$A$1:$I$88,7,0))</f>
        <v>0</v>
      </c>
      <c r="HF55" s="17">
        <f>IF(ISNA(VLOOKUP(A55,'Données projet'!$A$269:$I$289,7,0)),0%,VLOOKUP(A55,'Données projet'!$A$269:$I$289,7,0))</f>
        <v>0</v>
      </c>
      <c r="HG55" s="23">
        <f>EXP(-LN(2)/35)*HG54+(1-EXP(-LN(2)/35))/(LN(2)/35)*HC55*HD55*VLOOKUP('Données projet'!$B$9,Paramètres!$A$1:$I$88,3,0)*0.475*44/12</f>
        <v>0</v>
      </c>
      <c r="HH55" s="23">
        <f>EXP(-LN(2)/25)*HH54+(1-EXP(-LN(2)/25))/(LN(2)/25)*Calculateur!HC55*Calculateur!HE55*VLOOKUP('Données projet'!$B$9,Paramètres!$A$1:$I$88,3,0)*0.475*44/12</f>
        <v>0</v>
      </c>
      <c r="HI55" s="23">
        <f>EXP(-LN(2)/2)*HI54+(1-EXP(-LN(2)/2))/(LN(2)/2)*HC55*HF55*VLOOKUP('Données projet'!$B$9,Paramètres!$A$1:$I$88,3,0)*0.475*44/12</f>
        <v>0</v>
      </c>
      <c r="HJ55" s="24">
        <f t="shared" si="40"/>
        <v>0</v>
      </c>
    </row>
    <row r="56" spans="1:218" s="5" customFormat="1" x14ac:dyDescent="0.25">
      <c r="A56" s="11">
        <f t="shared" si="4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6" s="12">
        <f t="shared" si="4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135.66666666666666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1.7724999999999995</v>
      </c>
      <c r="N56" s="14">
        <f>IF(A56&lt;'Données projet'!$A$36,$K$205^A56,IF(A56='Données projet'!$A$36,'Données projet'!$B$36,N55+M56-V55))</f>
        <v>71.955000000000013</v>
      </c>
      <c r="O56" s="14">
        <f>N56*VLOOKUP('Données projet'!$B$9,Paramètres!$A$1:$I$88,3,0)*VLOOKUP('Données projet'!$B$9,Paramètres!$A$1:$I$88,5,0)</f>
        <v>82.892160000000004</v>
      </c>
      <c r="P56" s="14">
        <f t="shared" si="43"/>
        <v>22.842864054032365</v>
      </c>
      <c r="Q56" s="22">
        <f t="shared" si="53"/>
        <v>184.15516689410637</v>
      </c>
      <c r="R56" s="62">
        <f t="shared" si="0"/>
        <v>422.37640843470354</v>
      </c>
      <c r="S56" s="62">
        <f ca="1">AVERAGE(OFFSET($R$3,0,0,'Données projet'!$E$9+1,1))-AVERAGE(OFFSET($H$3,0,0,'Données projet'!$E$9+1,1))</f>
        <v>314.72063458462026</v>
      </c>
      <c r="T56" s="62">
        <f t="shared" si="3"/>
        <v>216.4380325968244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projet'!$B$9,Paramètres!$A$1:$I$88,7,0))</f>
        <v>0</v>
      </c>
      <c r="X56" s="17">
        <f>IF(ISNA(VLOOKUP(A56,'Données projet'!$A$35:$I$55,6,0)),0%,VLOOKUP(A56,'Données projet'!$A$35:$I$55,6,0)*VLOOKUP('Données projet'!$B$9,Paramètres!$A$1:$I$88,7,0))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projet'!$B$9,Paramètres!$A$1:$I$88,3,0)*0.475*44/12</f>
        <v>0</v>
      </c>
      <c r="AA56" s="23">
        <f>EXP(-LN(2)/25)*AA55+(1-EXP(-LN(2)/25))/(LN(2)/25)*Calculateur!V56*Calculateur!X56*VLOOKUP('Données projet'!$B$9,Paramètres!$A$1:$I$88,3,0)*0.475*44/12</f>
        <v>0</v>
      </c>
      <c r="AB56" s="23">
        <f>EXP(-LN(2)/2)*AB55+(1-EXP(-LN(2)/2))/(LN(2)/2)*V56*Y56*VLOOKUP('Données projet'!$B$9,Paramètres!$A$1:$I$88,3,0)*0.475*44/12</f>
        <v>0</v>
      </c>
      <c r="AC56" s="24">
        <f t="shared" si="4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4.8</v>
      </c>
      <c r="AI56" s="14">
        <f>IF(A56&lt;'Données projet'!$A$62,$AF$205^A56,IF(A56='Données projet'!$A$62,'Données projet'!$B$62,AI55+AH56-AQ55))</f>
        <v>148.39999999999998</v>
      </c>
      <c r="AJ56" s="14">
        <f>AI56*VLOOKUP('Données projet'!$B$10,Paramètres!$A$1:$I$88,3,0)*VLOOKUP('Données projet'!$B$10,Paramètres!$A$1:$I$88,5,0)</f>
        <v>155.10767999999999</v>
      </c>
      <c r="AK56" s="14">
        <f t="shared" si="44"/>
        <v>39.737052535237453</v>
      </c>
      <c r="AL56" s="22">
        <f t="shared" si="5"/>
        <v>339.35457583220517</v>
      </c>
      <c r="AM56" s="62">
        <f t="shared" si="6"/>
        <v>577.57581737280236</v>
      </c>
      <c r="AN56" s="62">
        <f ca="1">AVERAGE(OFFSET($AM$3,0,0,'Données projet'!$E$10+1,1))-AVERAGE(OFFSET($H$3,0,0,'Données projet'!$E$10+1,1))</f>
        <v>458.33072853676879</v>
      </c>
      <c r="AO56" s="62">
        <f t="shared" si="7"/>
        <v>254.1734169352687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projet'!$B$10,Paramètres!$A$1:$I$88,7,0))</f>
        <v>0</v>
      </c>
      <c r="AS56" s="17">
        <f>IF(ISNA(VLOOKUP(A56,'Données projet'!$A$61:$I$81,6,0)),0%,VLOOKUP(A56,'Données projet'!$A$61:$I$81,6,0)*VLOOKUP('Données projet'!$B$10,Paramètres!$A$1:$I$88,7,0))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projet'!$B$9,Paramètres!$A$1:$I$88,3,0)*0.475*44/12</f>
        <v>0</v>
      </c>
      <c r="AV56" s="23">
        <f>EXP(-LN(2)/25)*AV55+(1-EXP(-LN(2)/25))/(LN(2)/25)*Calculateur!AQ56*Calculateur!AS56*VLOOKUP('Données projet'!$B$9,Paramètres!$A$1:$I$88,3,0)*0.475*44/12</f>
        <v>0</v>
      </c>
      <c r="AW56" s="23">
        <f>EXP(-LN(2)/2)*AW55+(1-EXP(-LN(2)/2))/(LN(2)/2)*AQ56*AT56*VLOOKUP('Données projet'!$B$9,Paramètres!$A$1:$I$88,3,0)*0.475*44/12</f>
        <v>0</v>
      </c>
      <c r="AX56" s="23">
        <f t="shared" si="8"/>
        <v>0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4.8</v>
      </c>
      <c r="BD56" s="13">
        <f>IF(A56&lt;'Données projet'!$A$88,$BA$205^A56,IF(A56='Données projet'!$A$88,'Données projet'!$B$88,BD55+BC56-BL55))</f>
        <v>148.39999999999998</v>
      </c>
      <c r="BE56" s="14">
        <f>BD56*VLOOKUP('Données projet'!$B$11,Paramètres!$A$1:$I$88,3,0)*VLOOKUP('Données projet'!$B$11,Paramètres!$A$1:$I$88,5,0)</f>
        <v>150.4776</v>
      </c>
      <c r="BF56" s="14">
        <f t="shared" si="45"/>
        <v>38.68710184571318</v>
      </c>
      <c r="BG56" s="22">
        <f t="shared" si="9"/>
        <v>329.46185571461712</v>
      </c>
      <c r="BH56" s="62">
        <f t="shared" si="10"/>
        <v>567.68309725521431</v>
      </c>
      <c r="BI56" s="62">
        <f ca="1">AVERAGE(OFFSET($BH$3,0,0,'Données projet'!$E$11+1,1))-AVERAGE(OFFSET($H$3,0,0,'Données projet'!$E$11+1,1))</f>
        <v>447.82618173893104</v>
      </c>
      <c r="BJ56" s="62">
        <f t="shared" si="11"/>
        <v>248.96509970783379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projet'!$B$11,Paramètres!$A$1:$I$88,7,0))</f>
        <v>0</v>
      </c>
      <c r="BN56" s="17">
        <f>IF(ISNA(VLOOKUP(A56,'Données projet'!$A$87:$I$107,6,0)),0%,VLOOKUP(A56,'Données projet'!$A$87:$I$107,6,0)*VLOOKUP('Données projet'!$B$11,Paramètres!$A$1:$I$88,7,0))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projet'!$B$9,Paramètres!$A$1:$I$88,3,0)*0.475*44/12</f>
        <v>0</v>
      </c>
      <c r="BQ56" s="23">
        <f>EXP(-LN(2)/25)*BQ55+(1-EXP(-LN(2)/25))/(LN(2)/25)*Calculateur!BL56*Calculateur!BN56*VLOOKUP('Données projet'!$B$9,Paramètres!$A$1:$I$88,3,0)*0.475*44/12</f>
        <v>0</v>
      </c>
      <c r="BR56" s="23">
        <f>EXP(-LN(2)/2)*BR55+(1-EXP(-LN(2)/2))/(LN(2)/2)*BL56*BO56*VLOOKUP('Données projet'!$B$9,Paramètres!$A$1:$I$88,3,0)*0.475*44/12</f>
        <v>0</v>
      </c>
      <c r="BS56" s="24">
        <f t="shared" si="12"/>
        <v>0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4.8</v>
      </c>
      <c r="BY56" s="13">
        <f>IF(A56&lt;'Données projet'!$A$114,$BV$205^A56,IF(A56='Données projet'!$A$114,'Données projet'!$B$114,BY55+BX56-CG55))</f>
        <v>148.39999999999998</v>
      </c>
      <c r="BZ56" s="14">
        <f>BY56*VLOOKUP('Données projet'!$B$12,Paramètres!$A$1:$I$88,3,0)*VLOOKUP('Données projet'!$B$12,Paramètres!$A$1:$I$88,5,0)</f>
        <v>159.73775999999995</v>
      </c>
      <c r="CA56" s="14">
        <f t="shared" si="46"/>
        <v>40.783360797044331</v>
      </c>
      <c r="CB56" s="22">
        <f t="shared" si="13"/>
        <v>349.24095205485213</v>
      </c>
      <c r="CC56" s="62">
        <f t="shared" si="14"/>
        <v>587.46219359544932</v>
      </c>
      <c r="CD56" s="62">
        <f ca="1">AVERAGE(OFFSET($CC$3,0,0,'Données projet'!$E$12+1,1))-AVERAGE(OFFSET($H$3,0,0,'Données projet'!$E$12+1,1))</f>
        <v>468.82871618425406</v>
      </c>
      <c r="CE56" s="62">
        <f t="shared" si="15"/>
        <v>259.37818128554397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projet'!$B$12,Paramètres!$A$1:$I$88,7,0))</f>
        <v>0</v>
      </c>
      <c r="CI56" s="17">
        <f>IF(ISNA(VLOOKUP(A56,'Données projet'!$A$113:$I$133,6,0)),0%,VLOOKUP(A56,'Données projet'!$A$113:$I$133,6,0)*VLOOKUP('Données projet'!$B$12,Paramètres!$A$1:$I$88,7,0))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projet'!$B$9,Paramètres!$A$1:$I$88,3,0)*0.475*44/12</f>
        <v>0</v>
      </c>
      <c r="CL56" s="23">
        <f>EXP(-LN(2)/25)*CL55+(1-EXP(-LN(2)/25))/(LN(2)/25)*Calculateur!CG56*Calculateur!CI56*VLOOKUP('Données projet'!$B$9,Paramètres!$A$1:$I$88,3,0)*0.475*44/12</f>
        <v>0</v>
      </c>
      <c r="CM56" s="23">
        <f>EXP(-LN(2)/2)*CM55+(1-EXP(-LN(2)/2))/(LN(2)/2)*CG56*CJ56*VLOOKUP('Données projet'!$B$9,Paramètres!$A$1:$I$88,3,0)*0.475*44/12</f>
        <v>0</v>
      </c>
      <c r="CN56" s="24">
        <f t="shared" si="16"/>
        <v>0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4.8</v>
      </c>
      <c r="CT56" s="13">
        <f>IF(A56&lt;'Données projet'!$A$140,$CQ$205^A56,IF(A56='Données projet'!$A$140,'Données projet'!$B$140,CT55+CS56-DB55))</f>
        <v>148.39999999999998</v>
      </c>
      <c r="CU56" s="18">
        <f>CT56*VLOOKUP('Données projet'!$B$13,Paramètres!$A$1:$I$88,3,0)*VLOOKUP('Données projet'!$B$13,Paramètres!$A$1:$I$88,5,0)</f>
        <v>127.32719999999999</v>
      </c>
      <c r="CV56" s="14">
        <f t="shared" si="47"/>
        <v>33.378008989152626</v>
      </c>
      <c r="CW56" s="22">
        <f t="shared" si="17"/>
        <v>279.89490565610748</v>
      </c>
      <c r="CX56" s="62">
        <f t="shared" si="18"/>
        <v>518.11614719670467</v>
      </c>
      <c r="CY56" s="62">
        <f ca="1">AVERAGE(OFFSET($CX$3,0,0,'Données projet'!$E$13+1,1))-AVERAGE(OFFSET($H$3,0,0,'Données projet'!$E$13+1,1))</f>
        <v>395.19659151668884</v>
      </c>
      <c r="CZ56" s="62">
        <f t="shared" si="19"/>
        <v>222.86563304507339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projet'!$B$13,Paramètres!$A$1:$I$88,7,0))</f>
        <v>0</v>
      </c>
      <c r="DD56" s="17">
        <f>IF(ISNA(VLOOKUP(A56,'Données projet'!$A$139:$I$159,6,0)),0%,VLOOKUP(A56,'Données projet'!$A$139:$I$159,6,0)*VLOOKUP('Données projet'!$B$13,Paramètres!$A$1:$I$88,7,0))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projet'!$B$9,Paramètres!$A$1:$I$88,3,0)*0.475*44/12</f>
        <v>0</v>
      </c>
      <c r="DG56" s="23">
        <f>EXP(-LN(2)/25)*DG55+(1-EXP(-LN(2)/25))/(LN(2)/25)*Calculateur!DB56*Calculateur!DD56*VLOOKUP('Données projet'!$B$9,Paramètres!$A$1:$I$88,3,0)*0.475*44/12</f>
        <v>0</v>
      </c>
      <c r="DH56" s="23">
        <f>EXP(-LN(2)/2)*DH55+(1-EXP(-LN(2)/2))/(LN(2)/2)*DB56*DE56*VLOOKUP('Données projet'!$B$9,Paramètres!$A$1:$I$88,3,0)*0.475*44/12</f>
        <v>0</v>
      </c>
      <c r="DI56" s="24">
        <f t="shared" si="20"/>
        <v>0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4.5999999999999996</v>
      </c>
      <c r="DO56" s="13">
        <f>IF(A56&lt;'Données projet'!$A$166,$DL$205^A56,IF(A56='Données projet'!$A$166,'Données projet'!$B$166,DO55+DN56-DW55))</f>
        <v>100.79999999999995</v>
      </c>
      <c r="DP56" s="18">
        <f>DO56*VLOOKUP('Données projet'!$B$14,Paramètres!$A$1:$I$88,3,0)*VLOOKUP('Données projet'!$B$14,Paramètres!$A$1:$I$88,5,0)</f>
        <v>58.967999999999975</v>
      </c>
      <c r="DQ56" s="14">
        <f t="shared" si="48"/>
        <v>16.90708415297112</v>
      </c>
      <c r="DR56" s="22">
        <f t="shared" si="21"/>
        <v>132.14910489975799</v>
      </c>
      <c r="DS56" s="62">
        <f t="shared" si="22"/>
        <v>370.37034644035515</v>
      </c>
      <c r="DT56" s="62">
        <f ca="1">AVERAGE(OFFSET($DS$3,0,0,'Données projet'!$E$14+1,1))-AVERAGE(OFFSET($H$3,0,0,'Données projet'!$E$14+1,1))</f>
        <v>155.18073137151848</v>
      </c>
      <c r="DU56" s="62">
        <f t="shared" si="23"/>
        <v>115.19459155667272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projet'!$B$14,Paramètres!$A$1:$I$88,7,0))</f>
        <v>0</v>
      </c>
      <c r="DY56" s="17">
        <f>IF(ISNA(VLOOKUP(A56,'Données projet'!$A$165:$I$185,6,0)),0%,VLOOKUP(A56,'Données projet'!$A$165:$I$185,6,0)*VLOOKUP('Données projet'!$B$14,Paramètres!$A$1:$I$88,7,0))</f>
        <v>0</v>
      </c>
      <c r="DZ56" s="17">
        <f>IF(ISNA(VLOOKUP(A56,'Données projet'!$A$165:$I$185,7,0)),0%,VLOOKUP(A56,'Données projet'!$A$165:$I$185,7,0))</f>
        <v>0</v>
      </c>
      <c r="EA56" s="23">
        <f>EXP(-LN(2)/35)*EA55+(1-EXP(-LN(2)/35))/(LN(2)/35)*DW56*DX56*VLOOKUP('Données projet'!$B$9,Paramètres!$A$1:$I$88,3,0)*0.475*44/12</f>
        <v>0</v>
      </c>
      <c r="EB56" s="23">
        <f>EXP(-LN(2)/25)*EB55+(1-EXP(-LN(2)/25))/(LN(2)/25)*Calculateur!DW56*Calculateur!DY56*VLOOKUP('Données projet'!$B$9,Paramètres!$A$1:$I$88,3,0)*0.475*44/12</f>
        <v>0</v>
      </c>
      <c r="EC56" s="23">
        <f>EXP(-LN(2)/2)*EC55+(1-EXP(-LN(2)/2))/(LN(2)/2)*DW56*DZ56*VLOOKUP('Données projet'!$B$9,Paramètres!$A$1:$I$88,3,0)*0.475*44/12</f>
        <v>0</v>
      </c>
      <c r="ED56" s="24">
        <f t="shared" si="24"/>
        <v>0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3.25</v>
      </c>
      <c r="EJ56" s="13">
        <f>IF(A56&lt;'Données projet'!$A$192,$EG$205^A56,IF(A56='Données projet'!$A$192,'Données projet'!$B$192,EJ55+EI56-ER55))</f>
        <v>105.40565387341249</v>
      </c>
      <c r="EK56" s="18">
        <f>EJ56*VLOOKUP('Données projet'!$B$15,Paramètres!$A$1:$I$88,3,0)*VLOOKUP('Données projet'!$B$15,Paramètres!$A$1:$I$88,5,0)</f>
        <v>49.329846012757038</v>
      </c>
      <c r="EL56" s="14">
        <f t="shared" si="49"/>
        <v>14.440553790674056</v>
      </c>
      <c r="EM56" s="22">
        <f t="shared" si="25"/>
        <v>111.06677965764248</v>
      </c>
      <c r="EN56" s="62">
        <f t="shared" si="26"/>
        <v>349.28802119823968</v>
      </c>
      <c r="EO56" s="62">
        <f ca="1">AVERAGE(OFFSET($EN$3,0,0,'Données projet'!$E$15+1,1))-AVERAGE(OFFSET($H$3,0,0,'Données projet'!$E$15+1,1))</f>
        <v>238.59014604384171</v>
      </c>
      <c r="EP56" s="62">
        <f t="shared" si="27"/>
        <v>90.841373219575217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projet'!$B$15,Paramètres!$A$1:$I$88,7,0))</f>
        <v>0</v>
      </c>
      <c r="ET56" s="17">
        <f>IF(ISNA(VLOOKUP(A56,'Données projet'!$A$191:$I$211,6,0)),0%,VLOOKUP(A56,'Données projet'!$A$191:$I$211,6,0)*VLOOKUP('Données projet'!$B$15,Paramètres!$A$1:$I$88,7,0))</f>
        <v>0</v>
      </c>
      <c r="EU56" s="17">
        <f>IF(ISNA(VLOOKUP(A56,'Données projet'!$A$191:$I$211,7,0)),0%,VLOOKUP(A56,'Données projet'!$A$191:$I$211,7,0))</f>
        <v>0</v>
      </c>
      <c r="EV56" s="23">
        <f>EXP(-LN(2)/35)*EV55+(1-EXP(-LN(2)/35))/(LN(2)/35)*ER56*ES56*VLOOKUP('Données projet'!$B$9,Paramètres!$A$1:$I$88,3,0)*0.475*44/12</f>
        <v>0</v>
      </c>
      <c r="EW56" s="23">
        <f>EXP(-LN(2)/25)*EW55+(1-EXP(-LN(2)/25))/(LN(2)/25)*Calculateur!ER56*Calculateur!ET56*VLOOKUP('Données projet'!$B$9,Paramètres!$A$1:$I$88,3,0)*0.475*44/12</f>
        <v>0</v>
      </c>
      <c r="EX56" s="23">
        <f>EXP(-LN(2)/2)*EX55+(1-EXP(-LN(2)/2))/(LN(2)/2)*ER56*EU56*VLOOKUP('Données projet'!$B$9,Paramètres!$A$1:$I$88,3,0)*0.475*44/12</f>
        <v>0</v>
      </c>
      <c r="EY56" s="24">
        <f t="shared" si="28"/>
        <v>0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IF(A56&lt;'Données projet'!$A$218,$FB$205^A56,IF(A56='Données projet'!$A$218,'Données projet'!$B$218,FE55+FD56-FM55))</f>
        <v>0</v>
      </c>
      <c r="FF56" s="18" t="e">
        <f>FE56*VLOOKUP('Données projet'!$B$16,Paramètres!$A$1:$I$88,3,0)*VLOOKUP('Données projet'!$B$16,Paramètres!$A$1:$I$88,5,0)</f>
        <v>#N/A</v>
      </c>
      <c r="FG56" s="14" t="e">
        <f t="shared" si="50"/>
        <v>#N/A</v>
      </c>
      <c r="FH56" s="22" t="e">
        <f t="shared" si="29"/>
        <v>#N/A</v>
      </c>
      <c r="FI56" s="62" t="e">
        <f t="shared" si="30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31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projet'!$B$16,Paramètres!$A$1:$I$88,7,0))</f>
        <v>0</v>
      </c>
      <c r="FO56" s="17">
        <f>IF(ISNA(VLOOKUP(A56,'Données projet'!$A$217:$I$237,6,0)),0%,VLOOKUP(A56,'Données projet'!$A$217:$I$237,6,0)*VLOOKUP('Données projet'!$B$16,Paramètres!$A$1:$I$88,7,0))</f>
        <v>0</v>
      </c>
      <c r="FP56" s="17">
        <f>IF(ISNA(VLOOKUP(A56,'Données projet'!$A$217:$I$237,7,0)),0%,VLOOKUP(A56,'Données projet'!$A$217:$I$237,7,0))</f>
        <v>0</v>
      </c>
      <c r="FQ56" s="23">
        <f>EXP(-LN(2)/35)*FQ55+(1-EXP(-LN(2)/35))/(LN(2)/35)*FM56*FN56*VLOOKUP('Données projet'!$B$9,Paramètres!$A$1:$I$88,3,0)*0.475*44/12</f>
        <v>0</v>
      </c>
      <c r="FR56" s="23">
        <f>EXP(-LN(2)/25)*FR55+(1-EXP(-LN(2)/25))/(LN(2)/25)*Calculateur!FM56*Calculateur!FO56*VLOOKUP('Données projet'!$B$9,Paramètres!$A$1:$I$88,3,0)*0.475*44/12</f>
        <v>0</v>
      </c>
      <c r="FS56" s="23">
        <f>EXP(-LN(2)/2)*FS55+(1-EXP(-LN(2)/2))/(LN(2)/2)*FM56*FP56*VLOOKUP('Données projet'!$B$9,Paramètres!$A$1:$I$88,3,0)*0.475*44/12</f>
        <v>0</v>
      </c>
      <c r="FT56" s="24">
        <f t="shared" si="32"/>
        <v>0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IF(A56&lt;'Données projet'!$A$244,$FW$205^A56,IF(A56='Données projet'!$A$244,'Données projet'!$B$244,FZ55+FY56-GH55))</f>
        <v>0</v>
      </c>
      <c r="GA56" s="18" t="e">
        <f>FZ56*VLOOKUP('Données projet'!$B$17,Paramètres!$A$1:$I$88,3,0)*VLOOKUP('Données projet'!$B$17,Paramètres!$A$1:$I$88,5,0)</f>
        <v>#N/A</v>
      </c>
      <c r="GB56" s="14" t="e">
        <f t="shared" si="51"/>
        <v>#N/A</v>
      </c>
      <c r="GC56" s="22" t="e">
        <f t="shared" si="33"/>
        <v>#N/A</v>
      </c>
      <c r="GD56" s="62" t="e">
        <f t="shared" si="34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35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projet'!$B$17,Paramètres!$A$1:$I$88,7,0))</f>
        <v>0</v>
      </c>
      <c r="GJ56" s="17">
        <f>IF(ISNA(VLOOKUP(A56,'Données projet'!$A$243:$I$263,6,0)),0%,VLOOKUP(A56,'Données projet'!$A$243:$I$263,6,0)*VLOOKUP('Données projet'!$B$17,Paramètres!$A$1:$I$88,7,0))</f>
        <v>0</v>
      </c>
      <c r="GK56" s="17">
        <f>IF(ISNA(VLOOKUP(A56,'Données projet'!$A$243:$I$263,7,0)),0%,VLOOKUP(A56,'Données projet'!$A$243:$I$263,7,0))</f>
        <v>0</v>
      </c>
      <c r="GL56" s="23">
        <f>EXP(-LN(2)/35)*GL55+(1-EXP(-LN(2)/35))/(LN(2)/35)*GH56*GI56*VLOOKUP('Données projet'!$B$9,Paramètres!$A$1:$I$88,3,0)*0.475*44/12</f>
        <v>0</v>
      </c>
      <c r="GM56" s="23">
        <f>EXP(-LN(2)/25)*GM55+(1-EXP(-LN(2)/25))/(LN(2)/25)*Calculateur!GH56*Calculateur!GJ56*VLOOKUP('Données projet'!$B$9,Paramètres!$A$1:$I$88,3,0)*0.475*44/12</f>
        <v>0</v>
      </c>
      <c r="GN56" s="23">
        <f>EXP(-LN(2)/2)*GN55+(1-EXP(-LN(2)/2))/(LN(2)/2)*GH56*GK56*VLOOKUP('Données projet'!$B$9,Paramètres!$A$1:$I$88,3,0)*0.475*44/12</f>
        <v>0</v>
      </c>
      <c r="GO56" s="23">
        <f t="shared" si="36"/>
        <v>0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IF(A56&lt;'Données projet'!$A$270,$GR$205^A56,IF(A56='Données projet'!$A$270,'Données projet'!$B$270,GU55+GT56-HC55))</f>
        <v>0</v>
      </c>
      <c r="GV56" s="18" t="e">
        <f>GU56*VLOOKUP('Données projet'!$B$18,Paramètres!$A$1:$I$88,3,0)*VLOOKUP('Données projet'!$B$18,Paramètres!$A$1:$I$88,5,0)</f>
        <v>#N/A</v>
      </c>
      <c r="GW56" s="14" t="e">
        <f t="shared" si="52"/>
        <v>#N/A</v>
      </c>
      <c r="GX56" s="22" t="e">
        <f t="shared" si="37"/>
        <v>#N/A</v>
      </c>
      <c r="GY56" s="62" t="e">
        <f t="shared" si="38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39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projet'!$B$18,Paramètres!$A$1:$I$88,7,0))</f>
        <v>0</v>
      </c>
      <c r="HE56" s="17">
        <f>IF(ISNA(VLOOKUP(A56,'Données projet'!$A$269:$I$289,6,0)),0%,VLOOKUP(A56,'Données projet'!$A$269:$I$289,6,0)*VLOOKUP('Données projet'!$B$18,Paramètres!$A$1:$I$88,7,0))</f>
        <v>0</v>
      </c>
      <c r="HF56" s="17">
        <f>IF(ISNA(VLOOKUP(A56,'Données projet'!$A$269:$I$289,7,0)),0%,VLOOKUP(A56,'Données projet'!$A$269:$I$289,7,0))</f>
        <v>0</v>
      </c>
      <c r="HG56" s="23">
        <f>EXP(-LN(2)/35)*HG55+(1-EXP(-LN(2)/35))/(LN(2)/35)*HC56*HD56*VLOOKUP('Données projet'!$B$9,Paramètres!$A$1:$I$88,3,0)*0.475*44/12</f>
        <v>0</v>
      </c>
      <c r="HH56" s="23">
        <f>EXP(-LN(2)/25)*HH55+(1-EXP(-LN(2)/25))/(LN(2)/25)*Calculateur!HC56*Calculateur!HE56*VLOOKUP('Données projet'!$B$9,Paramètres!$A$1:$I$88,3,0)*0.475*44/12</f>
        <v>0</v>
      </c>
      <c r="HI56" s="23">
        <f>EXP(-LN(2)/2)*HI55+(1-EXP(-LN(2)/2))/(LN(2)/2)*HC56*HF56*VLOOKUP('Données projet'!$B$9,Paramètres!$A$1:$I$88,3,0)*0.475*44/12</f>
        <v>0</v>
      </c>
      <c r="HJ56" s="24">
        <f t="shared" si="40"/>
        <v>0</v>
      </c>
    </row>
    <row r="57" spans="1:218" s="5" customFormat="1" x14ac:dyDescent="0.25">
      <c r="A57" s="11">
        <f t="shared" si="4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7" s="12">
        <f t="shared" si="4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135.66666666666666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1.7724999999999995</v>
      </c>
      <c r="N57" s="14">
        <f>IF(A57&lt;'Données projet'!$A$36,$K$205^A57,IF(A57='Données projet'!$A$36,'Données projet'!$B$36,N56+M57-V56))</f>
        <v>73.727500000000006</v>
      </c>
      <c r="O57" s="14">
        <f>N57*VLOOKUP('Données projet'!$B$9,Paramètres!$A$1:$I$88,3,0)*VLOOKUP('Données projet'!$B$9,Paramètres!$A$1:$I$88,5,0)</f>
        <v>84.934080000000009</v>
      </c>
      <c r="P57" s="14">
        <f t="shared" si="43"/>
        <v>23.339358152569286</v>
      </c>
      <c r="Q57" s="22">
        <f t="shared" si="53"/>
        <v>188.57623811572486</v>
      </c>
      <c r="R57" s="62">
        <f t="shared" si="0"/>
        <v>427.75355123674728</v>
      </c>
      <c r="S57" s="62">
        <f ca="1">AVERAGE(OFFSET($R$3,0,0,'Données projet'!$E$9+1,1))-AVERAGE(OFFSET($H$3,0,0,'Données projet'!$E$9+1,1))</f>
        <v>314.72063458462026</v>
      </c>
      <c r="T57" s="62">
        <f t="shared" si="3"/>
        <v>216.4380325968244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projet'!$B$9,Paramètres!$A$1:$I$88,7,0))</f>
        <v>0</v>
      </c>
      <c r="X57" s="17">
        <f>IF(ISNA(VLOOKUP(A57,'Données projet'!$A$35:$I$55,6,0)),0%,VLOOKUP(A57,'Données projet'!$A$35:$I$55,6,0)*VLOOKUP('Données projet'!$B$9,Paramètres!$A$1:$I$88,7,0))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projet'!$B$9,Paramètres!$A$1:$I$88,3,0)*0.475*44/12</f>
        <v>0</v>
      </c>
      <c r="AA57" s="23">
        <f>EXP(-LN(2)/25)*AA56+(1-EXP(-LN(2)/25))/(LN(2)/25)*Calculateur!V57*Calculateur!X57*VLOOKUP('Données projet'!$B$9,Paramètres!$A$1:$I$88,3,0)*0.475*44/12</f>
        <v>0</v>
      </c>
      <c r="AB57" s="23">
        <f>EXP(-LN(2)/2)*AB56+(1-EXP(-LN(2)/2))/(LN(2)/2)*V57*Y57*VLOOKUP('Données projet'!$B$9,Paramètres!$A$1:$I$88,3,0)*0.475*44/12</f>
        <v>0</v>
      </c>
      <c r="AC57" s="24">
        <f t="shared" si="4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4.8</v>
      </c>
      <c r="AI57" s="14">
        <f>IF(A57&lt;'Données projet'!$A$62,$AF$205^A57,IF(A57='Données projet'!$A$62,'Données projet'!$B$62,AI56+AH57-AQ56))</f>
        <v>153.19999999999999</v>
      </c>
      <c r="AJ57" s="14">
        <f>AI57*VLOOKUP('Données projet'!$B$10,Paramètres!$A$1:$I$88,3,0)*VLOOKUP('Données projet'!$B$10,Paramètres!$A$1:$I$88,5,0)</f>
        <v>160.12464000000003</v>
      </c>
      <c r="AK57" s="14">
        <f t="shared" si="44"/>
        <v>40.870627032399959</v>
      </c>
      <c r="AL57" s="22">
        <f t="shared" si="5"/>
        <v>350.06675674809662</v>
      </c>
      <c r="AM57" s="62">
        <f t="shared" si="6"/>
        <v>589.24406986911902</v>
      </c>
      <c r="AN57" s="62">
        <f ca="1">AVERAGE(OFFSET($AM$3,0,0,'Données projet'!$E$10+1,1))-AVERAGE(OFFSET($H$3,0,0,'Données projet'!$E$10+1,1))</f>
        <v>458.33072853676879</v>
      </c>
      <c r="AO57" s="62">
        <f t="shared" si="7"/>
        <v>254.1734169352687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projet'!$B$10,Paramètres!$A$1:$I$88,7,0))</f>
        <v>0</v>
      </c>
      <c r="AS57" s="17">
        <f>IF(ISNA(VLOOKUP(A57,'Données projet'!$A$61:$I$81,6,0)),0%,VLOOKUP(A57,'Données projet'!$A$61:$I$81,6,0)*VLOOKUP('Données projet'!$B$10,Paramètres!$A$1:$I$88,7,0))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projet'!$B$9,Paramètres!$A$1:$I$88,3,0)*0.475*44/12</f>
        <v>0</v>
      </c>
      <c r="AV57" s="23">
        <f>EXP(-LN(2)/25)*AV56+(1-EXP(-LN(2)/25))/(LN(2)/25)*Calculateur!AQ57*Calculateur!AS57*VLOOKUP('Données projet'!$B$9,Paramètres!$A$1:$I$88,3,0)*0.475*44/12</f>
        <v>0</v>
      </c>
      <c r="AW57" s="23">
        <f>EXP(-LN(2)/2)*AW56+(1-EXP(-LN(2)/2))/(LN(2)/2)*AQ57*AT57*VLOOKUP('Données projet'!$B$9,Paramètres!$A$1:$I$88,3,0)*0.475*44/12</f>
        <v>0</v>
      </c>
      <c r="AX57" s="23">
        <f t="shared" si="8"/>
        <v>0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4.8</v>
      </c>
      <c r="BD57" s="13">
        <f>IF(A57&lt;'Données projet'!$A$88,$BA$205^A57,IF(A57='Données projet'!$A$88,'Données projet'!$B$88,BD56+BC57-BL56))</f>
        <v>153.19999999999999</v>
      </c>
      <c r="BE57" s="14">
        <f>BD57*VLOOKUP('Données projet'!$B$11,Paramètres!$A$1:$I$88,3,0)*VLOOKUP('Données projet'!$B$11,Paramètres!$A$1:$I$88,5,0)</f>
        <v>155.34479999999999</v>
      </c>
      <c r="BF57" s="14">
        <f t="shared" si="45"/>
        <v>39.790724515827932</v>
      </c>
      <c r="BG57" s="22">
        <f t="shared" si="9"/>
        <v>339.86103853173358</v>
      </c>
      <c r="BH57" s="62">
        <f t="shared" si="10"/>
        <v>579.03835165275598</v>
      </c>
      <c r="BI57" s="62">
        <f ca="1">AVERAGE(OFFSET($BH$3,0,0,'Données projet'!$E$11+1,1))-AVERAGE(OFFSET($H$3,0,0,'Données projet'!$E$11+1,1))</f>
        <v>447.82618173893104</v>
      </c>
      <c r="BJ57" s="62">
        <f t="shared" si="11"/>
        <v>248.96509970783379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projet'!$B$11,Paramètres!$A$1:$I$88,7,0))</f>
        <v>0</v>
      </c>
      <c r="BN57" s="17">
        <f>IF(ISNA(VLOOKUP(A57,'Données projet'!$A$87:$I$107,6,0)),0%,VLOOKUP(A57,'Données projet'!$A$87:$I$107,6,0)*VLOOKUP('Données projet'!$B$11,Paramètres!$A$1:$I$88,7,0))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projet'!$B$9,Paramètres!$A$1:$I$88,3,0)*0.475*44/12</f>
        <v>0</v>
      </c>
      <c r="BQ57" s="23">
        <f>EXP(-LN(2)/25)*BQ56+(1-EXP(-LN(2)/25))/(LN(2)/25)*Calculateur!BL57*Calculateur!BN57*VLOOKUP('Données projet'!$B$9,Paramètres!$A$1:$I$88,3,0)*0.475*44/12</f>
        <v>0</v>
      </c>
      <c r="BR57" s="23">
        <f>EXP(-LN(2)/2)*BR56+(1-EXP(-LN(2)/2))/(LN(2)/2)*BL57*BO57*VLOOKUP('Données projet'!$B$9,Paramètres!$A$1:$I$88,3,0)*0.475*44/12</f>
        <v>0</v>
      </c>
      <c r="BS57" s="24">
        <f t="shared" si="12"/>
        <v>0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4.8</v>
      </c>
      <c r="BY57" s="13">
        <f>IF(A57&lt;'Données projet'!$A$114,$BV$205^A57,IF(A57='Données projet'!$A$114,'Données projet'!$B$114,BY56+BX57-CG56))</f>
        <v>153.19999999999999</v>
      </c>
      <c r="BZ57" s="14">
        <f>BY57*VLOOKUP('Données projet'!$B$12,Paramètres!$A$1:$I$88,3,0)*VLOOKUP('Données projet'!$B$12,Paramètres!$A$1:$I$88,5,0)</f>
        <v>164.90447999999998</v>
      </c>
      <c r="CA57" s="14">
        <f t="shared" si="46"/>
        <v>41.946783214122462</v>
      </c>
      <c r="CB57" s="22">
        <f t="shared" si="13"/>
        <v>360.26595009792987</v>
      </c>
      <c r="CC57" s="62">
        <f t="shared" si="14"/>
        <v>599.44326321895232</v>
      </c>
      <c r="CD57" s="62">
        <f ca="1">AVERAGE(OFFSET($CC$3,0,0,'Données projet'!$E$12+1,1))-AVERAGE(OFFSET($H$3,0,0,'Données projet'!$E$12+1,1))</f>
        <v>468.82871618425406</v>
      </c>
      <c r="CE57" s="62">
        <f t="shared" si="15"/>
        <v>259.37818128554397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projet'!$B$12,Paramètres!$A$1:$I$88,7,0))</f>
        <v>0</v>
      </c>
      <c r="CI57" s="17">
        <f>IF(ISNA(VLOOKUP(A57,'Données projet'!$A$113:$I$133,6,0)),0%,VLOOKUP(A57,'Données projet'!$A$113:$I$133,6,0)*VLOOKUP('Données projet'!$B$12,Paramètres!$A$1:$I$88,7,0))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projet'!$B$9,Paramètres!$A$1:$I$88,3,0)*0.475*44/12</f>
        <v>0</v>
      </c>
      <c r="CL57" s="23">
        <f>EXP(-LN(2)/25)*CL56+(1-EXP(-LN(2)/25))/(LN(2)/25)*Calculateur!CG57*Calculateur!CI57*VLOOKUP('Données projet'!$B$9,Paramètres!$A$1:$I$88,3,0)*0.475*44/12</f>
        <v>0</v>
      </c>
      <c r="CM57" s="23">
        <f>EXP(-LN(2)/2)*CM56+(1-EXP(-LN(2)/2))/(LN(2)/2)*CG57*CJ57*VLOOKUP('Données projet'!$B$9,Paramètres!$A$1:$I$88,3,0)*0.475*44/12</f>
        <v>0</v>
      </c>
      <c r="CN57" s="24">
        <f t="shared" si="16"/>
        <v>0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4.8</v>
      </c>
      <c r="CT57" s="13">
        <f>IF(A57&lt;'Données projet'!$A$140,$CQ$205^A57,IF(A57='Données projet'!$A$140,'Données projet'!$B$140,CT56+CS57-DB56))</f>
        <v>153.19999999999999</v>
      </c>
      <c r="CU57" s="18">
        <f>CT57*VLOOKUP('Données projet'!$B$13,Paramètres!$A$1:$I$88,3,0)*VLOOKUP('Données projet'!$B$13,Paramètres!$A$1:$I$88,5,0)</f>
        <v>131.44560000000001</v>
      </c>
      <c r="CV57" s="14">
        <f t="shared" si="47"/>
        <v>34.330179755281065</v>
      </c>
      <c r="CW57" s="22">
        <f t="shared" si="17"/>
        <v>288.72614974044785</v>
      </c>
      <c r="CX57" s="62">
        <f t="shared" si="18"/>
        <v>527.90346286147019</v>
      </c>
      <c r="CY57" s="62">
        <f ca="1">AVERAGE(OFFSET($CX$3,0,0,'Données projet'!$E$13+1,1))-AVERAGE(OFFSET($H$3,0,0,'Données projet'!$E$13+1,1))</f>
        <v>395.19659151668884</v>
      </c>
      <c r="CZ57" s="62">
        <f t="shared" si="19"/>
        <v>222.86563304507339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projet'!$B$13,Paramètres!$A$1:$I$88,7,0))</f>
        <v>0</v>
      </c>
      <c r="DD57" s="17">
        <f>IF(ISNA(VLOOKUP(A57,'Données projet'!$A$139:$I$159,6,0)),0%,VLOOKUP(A57,'Données projet'!$A$139:$I$159,6,0)*VLOOKUP('Données projet'!$B$13,Paramètres!$A$1:$I$88,7,0))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projet'!$B$9,Paramètres!$A$1:$I$88,3,0)*0.475*44/12</f>
        <v>0</v>
      </c>
      <c r="DG57" s="23">
        <f>EXP(-LN(2)/25)*DG56+(1-EXP(-LN(2)/25))/(LN(2)/25)*Calculateur!DB57*Calculateur!DD57*VLOOKUP('Données projet'!$B$9,Paramètres!$A$1:$I$88,3,0)*0.475*44/12</f>
        <v>0</v>
      </c>
      <c r="DH57" s="23">
        <f>EXP(-LN(2)/2)*DH56+(1-EXP(-LN(2)/2))/(LN(2)/2)*DB57*DE57*VLOOKUP('Données projet'!$B$9,Paramètres!$A$1:$I$88,3,0)*0.475*44/12</f>
        <v>0</v>
      </c>
      <c r="DI57" s="24">
        <f t="shared" si="20"/>
        <v>0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4.5999999999999996</v>
      </c>
      <c r="DO57" s="13">
        <f>IF(A57&lt;'Données projet'!$A$166,$DL$205^A57,IF(A57='Données projet'!$A$166,'Données projet'!$B$166,DO56+DN57-DW56))</f>
        <v>105.39999999999995</v>
      </c>
      <c r="DP57" s="18">
        <f>DO57*VLOOKUP('Données projet'!$B$14,Paramètres!$A$1:$I$88,3,0)*VLOOKUP('Données projet'!$B$14,Paramètres!$A$1:$I$88,5,0)</f>
        <v>61.65899999999997</v>
      </c>
      <c r="DQ57" s="14">
        <f t="shared" si="48"/>
        <v>17.587048121889616</v>
      </c>
      <c r="DR57" s="22">
        <f t="shared" si="21"/>
        <v>138.02020047895769</v>
      </c>
      <c r="DS57" s="62">
        <f t="shared" si="22"/>
        <v>377.19751359998008</v>
      </c>
      <c r="DT57" s="62">
        <f ca="1">AVERAGE(OFFSET($DS$3,0,0,'Données projet'!$E$14+1,1))-AVERAGE(OFFSET($H$3,0,0,'Données projet'!$E$14+1,1))</f>
        <v>155.18073137151848</v>
      </c>
      <c r="DU57" s="62">
        <f t="shared" si="23"/>
        <v>115.19459155667272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projet'!$B$14,Paramètres!$A$1:$I$88,7,0))</f>
        <v>0</v>
      </c>
      <c r="DY57" s="17">
        <f>IF(ISNA(VLOOKUP(A57,'Données projet'!$A$165:$I$185,6,0)),0%,VLOOKUP(A57,'Données projet'!$A$165:$I$185,6,0)*VLOOKUP('Données projet'!$B$14,Paramètres!$A$1:$I$88,7,0))</f>
        <v>0</v>
      </c>
      <c r="DZ57" s="17">
        <f>IF(ISNA(VLOOKUP(A57,'Données projet'!$A$165:$I$185,7,0)),0%,VLOOKUP(A57,'Données projet'!$A$165:$I$185,7,0))</f>
        <v>0</v>
      </c>
      <c r="EA57" s="23">
        <f>EXP(-LN(2)/35)*EA56+(1-EXP(-LN(2)/35))/(LN(2)/35)*DW57*DX57*VLOOKUP('Données projet'!$B$9,Paramètres!$A$1:$I$88,3,0)*0.475*44/12</f>
        <v>0</v>
      </c>
      <c r="EB57" s="23">
        <f>EXP(-LN(2)/25)*EB56+(1-EXP(-LN(2)/25))/(LN(2)/25)*Calculateur!DW57*Calculateur!DY57*VLOOKUP('Données projet'!$B$9,Paramètres!$A$1:$I$88,3,0)*0.475*44/12</f>
        <v>0</v>
      </c>
      <c r="EC57" s="23">
        <f>EXP(-LN(2)/2)*EC56+(1-EXP(-LN(2)/2))/(LN(2)/2)*DW57*DZ57*VLOOKUP('Données projet'!$B$9,Paramètres!$A$1:$I$88,3,0)*0.475*44/12</f>
        <v>0</v>
      </c>
      <c r="ED57" s="24">
        <f t="shared" si="24"/>
        <v>0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3.25</v>
      </c>
      <c r="EJ57" s="13">
        <f>IF(A57&lt;'Données projet'!$A$192,$EG$205^A57,IF(A57='Données projet'!$A$192,'Données projet'!$B$192,EJ56+EI57-ER56))</f>
        <v>115.08829342671069</v>
      </c>
      <c r="EK57" s="18">
        <f>EJ57*VLOOKUP('Données projet'!$B$15,Paramètres!$A$1:$I$88,3,0)*VLOOKUP('Données projet'!$B$15,Paramètres!$A$1:$I$88,5,0)</f>
        <v>53.861321323700601</v>
      </c>
      <c r="EL57" s="14">
        <f t="shared" si="49"/>
        <v>15.606604510459334</v>
      </c>
      <c r="EM57" s="22">
        <f t="shared" si="25"/>
        <v>120.98997082782853</v>
      </c>
      <c r="EN57" s="62">
        <f t="shared" si="26"/>
        <v>360.16728394885092</v>
      </c>
      <c r="EO57" s="62">
        <f ca="1">AVERAGE(OFFSET($EN$3,0,0,'Données projet'!$E$15+1,1))-AVERAGE(OFFSET($H$3,0,0,'Données projet'!$E$15+1,1))</f>
        <v>238.59014604384171</v>
      </c>
      <c r="EP57" s="62">
        <f t="shared" si="27"/>
        <v>90.841373219575217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projet'!$B$15,Paramètres!$A$1:$I$88,7,0))</f>
        <v>0</v>
      </c>
      <c r="ET57" s="17">
        <f>IF(ISNA(VLOOKUP(A57,'Données projet'!$A$191:$I$211,6,0)),0%,VLOOKUP(A57,'Données projet'!$A$191:$I$211,6,0)*VLOOKUP('Données projet'!$B$15,Paramètres!$A$1:$I$88,7,0))</f>
        <v>0</v>
      </c>
      <c r="EU57" s="17">
        <f>IF(ISNA(VLOOKUP(A57,'Données projet'!$A$191:$I$211,7,0)),0%,VLOOKUP(A57,'Données projet'!$A$191:$I$211,7,0))</f>
        <v>0</v>
      </c>
      <c r="EV57" s="23">
        <f>EXP(-LN(2)/35)*EV56+(1-EXP(-LN(2)/35))/(LN(2)/35)*ER57*ES57*VLOOKUP('Données projet'!$B$9,Paramètres!$A$1:$I$88,3,0)*0.475*44/12</f>
        <v>0</v>
      </c>
      <c r="EW57" s="23">
        <f>EXP(-LN(2)/25)*EW56+(1-EXP(-LN(2)/25))/(LN(2)/25)*Calculateur!ER57*Calculateur!ET57*VLOOKUP('Données projet'!$B$9,Paramètres!$A$1:$I$88,3,0)*0.475*44/12</f>
        <v>0</v>
      </c>
      <c r="EX57" s="23">
        <f>EXP(-LN(2)/2)*EX56+(1-EXP(-LN(2)/2))/(LN(2)/2)*ER57*EU57*VLOOKUP('Données projet'!$B$9,Paramètres!$A$1:$I$88,3,0)*0.475*44/12</f>
        <v>0</v>
      </c>
      <c r="EY57" s="24">
        <f t="shared" si="28"/>
        <v>0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IF(A57&lt;'Données projet'!$A$218,$FB$205^A57,IF(A57='Données projet'!$A$218,'Données projet'!$B$218,FE56+FD57-FM56))</f>
        <v>0</v>
      </c>
      <c r="FF57" s="18" t="e">
        <f>FE57*VLOOKUP('Données projet'!$B$16,Paramètres!$A$1:$I$88,3,0)*VLOOKUP('Données projet'!$B$16,Paramètres!$A$1:$I$88,5,0)</f>
        <v>#N/A</v>
      </c>
      <c r="FG57" s="14" t="e">
        <f t="shared" si="50"/>
        <v>#N/A</v>
      </c>
      <c r="FH57" s="22" t="e">
        <f t="shared" si="29"/>
        <v>#N/A</v>
      </c>
      <c r="FI57" s="62" t="e">
        <f t="shared" si="30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31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projet'!$B$16,Paramètres!$A$1:$I$88,7,0))</f>
        <v>0</v>
      </c>
      <c r="FO57" s="17">
        <f>IF(ISNA(VLOOKUP(A57,'Données projet'!$A$217:$I$237,6,0)),0%,VLOOKUP(A57,'Données projet'!$A$217:$I$237,6,0)*VLOOKUP('Données projet'!$B$16,Paramètres!$A$1:$I$88,7,0))</f>
        <v>0</v>
      </c>
      <c r="FP57" s="17">
        <f>IF(ISNA(VLOOKUP(A57,'Données projet'!$A$217:$I$237,7,0)),0%,VLOOKUP(A57,'Données projet'!$A$217:$I$237,7,0))</f>
        <v>0</v>
      </c>
      <c r="FQ57" s="23">
        <f>EXP(-LN(2)/35)*FQ56+(1-EXP(-LN(2)/35))/(LN(2)/35)*FM57*FN57*VLOOKUP('Données projet'!$B$9,Paramètres!$A$1:$I$88,3,0)*0.475*44/12</f>
        <v>0</v>
      </c>
      <c r="FR57" s="23">
        <f>EXP(-LN(2)/25)*FR56+(1-EXP(-LN(2)/25))/(LN(2)/25)*Calculateur!FM57*Calculateur!FO57*VLOOKUP('Données projet'!$B$9,Paramètres!$A$1:$I$88,3,0)*0.475*44/12</f>
        <v>0</v>
      </c>
      <c r="FS57" s="23">
        <f>EXP(-LN(2)/2)*FS56+(1-EXP(-LN(2)/2))/(LN(2)/2)*FM57*FP57*VLOOKUP('Données projet'!$B$9,Paramètres!$A$1:$I$88,3,0)*0.475*44/12</f>
        <v>0</v>
      </c>
      <c r="FT57" s="24">
        <f t="shared" si="32"/>
        <v>0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IF(A57&lt;'Données projet'!$A$244,$FW$205^A57,IF(A57='Données projet'!$A$244,'Données projet'!$B$244,FZ56+FY57-GH56))</f>
        <v>0</v>
      </c>
      <c r="GA57" s="18" t="e">
        <f>FZ57*VLOOKUP('Données projet'!$B$17,Paramètres!$A$1:$I$88,3,0)*VLOOKUP('Données projet'!$B$17,Paramètres!$A$1:$I$88,5,0)</f>
        <v>#N/A</v>
      </c>
      <c r="GB57" s="14" t="e">
        <f t="shared" si="51"/>
        <v>#N/A</v>
      </c>
      <c r="GC57" s="22" t="e">
        <f t="shared" si="33"/>
        <v>#N/A</v>
      </c>
      <c r="GD57" s="62" t="e">
        <f t="shared" si="34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35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projet'!$B$17,Paramètres!$A$1:$I$88,7,0))</f>
        <v>0</v>
      </c>
      <c r="GJ57" s="17">
        <f>IF(ISNA(VLOOKUP(A57,'Données projet'!$A$243:$I$263,6,0)),0%,VLOOKUP(A57,'Données projet'!$A$243:$I$263,6,0)*VLOOKUP('Données projet'!$B$17,Paramètres!$A$1:$I$88,7,0))</f>
        <v>0</v>
      </c>
      <c r="GK57" s="17">
        <f>IF(ISNA(VLOOKUP(A57,'Données projet'!$A$243:$I$263,7,0)),0%,VLOOKUP(A57,'Données projet'!$A$243:$I$263,7,0))</f>
        <v>0</v>
      </c>
      <c r="GL57" s="23">
        <f>EXP(-LN(2)/35)*GL56+(1-EXP(-LN(2)/35))/(LN(2)/35)*GH57*GI57*VLOOKUP('Données projet'!$B$9,Paramètres!$A$1:$I$88,3,0)*0.475*44/12</f>
        <v>0</v>
      </c>
      <c r="GM57" s="23">
        <f>EXP(-LN(2)/25)*GM56+(1-EXP(-LN(2)/25))/(LN(2)/25)*Calculateur!GH57*Calculateur!GJ57*VLOOKUP('Données projet'!$B$9,Paramètres!$A$1:$I$88,3,0)*0.475*44/12</f>
        <v>0</v>
      </c>
      <c r="GN57" s="23">
        <f>EXP(-LN(2)/2)*GN56+(1-EXP(-LN(2)/2))/(LN(2)/2)*GH57*GK57*VLOOKUP('Données projet'!$B$9,Paramètres!$A$1:$I$88,3,0)*0.475*44/12</f>
        <v>0</v>
      </c>
      <c r="GO57" s="23">
        <f t="shared" si="36"/>
        <v>0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IF(A57&lt;'Données projet'!$A$270,$GR$205^A57,IF(A57='Données projet'!$A$270,'Données projet'!$B$270,GU56+GT57-HC56))</f>
        <v>0</v>
      </c>
      <c r="GV57" s="18" t="e">
        <f>GU57*VLOOKUP('Données projet'!$B$18,Paramètres!$A$1:$I$88,3,0)*VLOOKUP('Données projet'!$B$18,Paramètres!$A$1:$I$88,5,0)</f>
        <v>#N/A</v>
      </c>
      <c r="GW57" s="14" t="e">
        <f t="shared" si="52"/>
        <v>#N/A</v>
      </c>
      <c r="GX57" s="22" t="e">
        <f t="shared" si="37"/>
        <v>#N/A</v>
      </c>
      <c r="GY57" s="62" t="e">
        <f t="shared" si="38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39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projet'!$B$18,Paramètres!$A$1:$I$88,7,0))</f>
        <v>0</v>
      </c>
      <c r="HE57" s="17">
        <f>IF(ISNA(VLOOKUP(A57,'Données projet'!$A$269:$I$289,6,0)),0%,VLOOKUP(A57,'Données projet'!$A$269:$I$289,6,0)*VLOOKUP('Données projet'!$B$18,Paramètres!$A$1:$I$88,7,0))</f>
        <v>0</v>
      </c>
      <c r="HF57" s="17">
        <f>IF(ISNA(VLOOKUP(A57,'Données projet'!$A$269:$I$289,7,0)),0%,VLOOKUP(A57,'Données projet'!$A$269:$I$289,7,0))</f>
        <v>0</v>
      </c>
      <c r="HG57" s="23">
        <f>EXP(-LN(2)/35)*HG56+(1-EXP(-LN(2)/35))/(LN(2)/35)*HC57*HD57*VLOOKUP('Données projet'!$B$9,Paramètres!$A$1:$I$88,3,0)*0.475*44/12</f>
        <v>0</v>
      </c>
      <c r="HH57" s="23">
        <f>EXP(-LN(2)/25)*HH56+(1-EXP(-LN(2)/25))/(LN(2)/25)*Calculateur!HC57*Calculateur!HE57*VLOOKUP('Données projet'!$B$9,Paramètres!$A$1:$I$88,3,0)*0.475*44/12</f>
        <v>0</v>
      </c>
      <c r="HI57" s="23">
        <f>EXP(-LN(2)/2)*HI56+(1-EXP(-LN(2)/2))/(LN(2)/2)*HC57*HF57*VLOOKUP('Données projet'!$B$9,Paramètres!$A$1:$I$88,3,0)*0.475*44/12</f>
        <v>0</v>
      </c>
      <c r="HJ57" s="24">
        <f t="shared" si="40"/>
        <v>0</v>
      </c>
    </row>
    <row r="58" spans="1:218" s="5" customFormat="1" x14ac:dyDescent="0.25">
      <c r="A58" s="11">
        <f t="shared" si="4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8" s="12">
        <f t="shared" si="4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135.66666666666666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1.7724999999999995</v>
      </c>
      <c r="N58" s="14">
        <f>IF(A58&lt;'Données projet'!$A$36,$K$205^A58,IF(A58='Données projet'!$A$36,'Données projet'!$B$36,N57+M58-V57))</f>
        <v>75.5</v>
      </c>
      <c r="O58" s="14">
        <f>N58*VLOOKUP('Données projet'!$B$9,Paramètres!$A$1:$I$88,3,0)*VLOOKUP('Données projet'!$B$9,Paramètres!$A$1:$I$88,5,0)</f>
        <v>86.975999999999999</v>
      </c>
      <c r="P58" s="14">
        <f t="shared" si="43"/>
        <v>23.834464663215773</v>
      </c>
      <c r="Q58" s="22">
        <f t="shared" si="53"/>
        <v>192.99489262176746</v>
      </c>
      <c r="R58" s="62">
        <f t="shared" si="0"/>
        <v>433.11169161875057</v>
      </c>
      <c r="S58" s="62">
        <f ca="1">AVERAGE(OFFSET($R$3,0,0,'Données projet'!$E$9+1,1))-AVERAGE(OFFSET($H$3,0,0,'Données projet'!$E$9+1,1))</f>
        <v>314.72063458462026</v>
      </c>
      <c r="T58" s="62">
        <f t="shared" si="3"/>
        <v>216.4380325968244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projet'!$B$9,Paramètres!$A$1:$I$88,7,0))</f>
        <v>0</v>
      </c>
      <c r="X58" s="17">
        <f>IF(ISNA(VLOOKUP(A58,'Données projet'!$A$35:$I$55,6,0)),0%,VLOOKUP(A58,'Données projet'!$A$35:$I$55,6,0)*VLOOKUP('Données projet'!$B$9,Paramètres!$A$1:$I$88,7,0))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projet'!$B$9,Paramètres!$A$1:$I$88,3,0)*0.475*44/12</f>
        <v>0</v>
      </c>
      <c r="AA58" s="23">
        <f>EXP(-LN(2)/25)*AA57+(1-EXP(-LN(2)/25))/(LN(2)/25)*Calculateur!V58*Calculateur!X58*VLOOKUP('Données projet'!$B$9,Paramètres!$A$1:$I$88,3,0)*0.475*44/12</f>
        <v>0</v>
      </c>
      <c r="AB58" s="23">
        <f>EXP(-LN(2)/2)*AB57+(1-EXP(-LN(2)/2))/(LN(2)/2)*V58*Y58*VLOOKUP('Données projet'!$B$9,Paramètres!$A$1:$I$88,3,0)*0.475*44/12</f>
        <v>0</v>
      </c>
      <c r="AC58" s="24">
        <f t="shared" si="4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158</v>
      </c>
      <c r="AG58" s="13">
        <f>VLOOKUP(A58,'Données projet'!$A$61:$I$81,9,0)</f>
        <v>4.8</v>
      </c>
      <c r="AH58" s="13">
        <f t="array" ref="AH58">INDEX(AG:AG,MIN(IF(ISNUMBER(AG58:AG254),ROW(AG58:AG254),"")))</f>
        <v>4.8</v>
      </c>
      <c r="AI58" s="14">
        <f>IF(A58&lt;'Données projet'!$A$62,$AF$205^A58,IF(A58='Données projet'!$A$62,'Données projet'!$B$62,AI57+AH58-AQ57))</f>
        <v>158</v>
      </c>
      <c r="AJ58" s="14">
        <f>AI58*VLOOKUP('Données projet'!$B$10,Paramètres!$A$1:$I$88,3,0)*VLOOKUP('Données projet'!$B$10,Paramètres!$A$1:$I$88,5,0)</f>
        <v>165.14160000000001</v>
      </c>
      <c r="AK58" s="14">
        <f t="shared" si="44"/>
        <v>42.000074202332975</v>
      </c>
      <c r="AL58" s="22">
        <f t="shared" si="5"/>
        <v>360.77174923572994</v>
      </c>
      <c r="AM58" s="62">
        <f t="shared" si="6"/>
        <v>600.88854823271311</v>
      </c>
      <c r="AN58" s="62">
        <f ca="1">AVERAGE(OFFSET($AM$3,0,0,'Données projet'!$E$10+1,1))-AVERAGE(OFFSET($H$3,0,0,'Données projet'!$E$10+1,1))</f>
        <v>458.33072853676879</v>
      </c>
      <c r="AO58" s="62">
        <f t="shared" si="7"/>
        <v>254.1734169352687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projet'!$B$10,Paramètres!$A$1:$I$88,7,0))</f>
        <v>0</v>
      </c>
      <c r="AS58" s="17">
        <f>IF(ISNA(VLOOKUP(A58,'Données projet'!$A$61:$I$81,6,0)),0%,VLOOKUP(A58,'Données projet'!$A$61:$I$81,6,0)*VLOOKUP('Données projet'!$B$10,Paramètres!$A$1:$I$88,7,0))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projet'!$B$9,Paramètres!$A$1:$I$88,3,0)*0.475*44/12</f>
        <v>0</v>
      </c>
      <c r="AV58" s="23">
        <f>EXP(-LN(2)/25)*AV57+(1-EXP(-LN(2)/25))/(LN(2)/25)*Calculateur!AQ58*Calculateur!AS58*VLOOKUP('Données projet'!$B$9,Paramètres!$A$1:$I$88,3,0)*0.475*44/12</f>
        <v>0</v>
      </c>
      <c r="AW58" s="23">
        <f>EXP(-LN(2)/2)*AW57+(1-EXP(-LN(2)/2))/(LN(2)/2)*AQ58*AT58*VLOOKUP('Données projet'!$B$9,Paramètres!$A$1:$I$88,3,0)*0.475*44/12</f>
        <v>0</v>
      </c>
      <c r="AX58" s="23">
        <f t="shared" si="8"/>
        <v>0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>
        <f>VLOOKUP(A58,'Données projet'!$A$87:$I$107,2,0)</f>
        <v>158</v>
      </c>
      <c r="BB58" s="13">
        <f>VLOOKUP(A58,'Données projet'!$A$87:$I$107,9,0)</f>
        <v>4.8</v>
      </c>
      <c r="BC58" s="13">
        <f t="array" ref="BC58">INDEX(BB:BB,MIN(IF(ISNUMBER(BB58:BB254),ROW(BB58:BB254),"")))</f>
        <v>4.8</v>
      </c>
      <c r="BD58" s="13">
        <f>IF(A58&lt;'Données projet'!$A$88,$BA$205^A58,IF(A58='Données projet'!$A$88,'Données projet'!$B$88,BD57+BC58-BL57))</f>
        <v>158</v>
      </c>
      <c r="BE58" s="14">
        <f>BD58*VLOOKUP('Données projet'!$B$11,Paramètres!$A$1:$I$88,3,0)*VLOOKUP('Données projet'!$B$11,Paramètres!$A$1:$I$88,5,0)</f>
        <v>160.21200000000002</v>
      </c>
      <c r="BF58" s="14">
        <f t="shared" si="45"/>
        <v>40.890328912852695</v>
      </c>
      <c r="BG58" s="22">
        <f t="shared" si="9"/>
        <v>350.25322285655176</v>
      </c>
      <c r="BH58" s="62">
        <f t="shared" si="10"/>
        <v>590.37002185353492</v>
      </c>
      <c r="BI58" s="62">
        <f ca="1">AVERAGE(OFFSET($BH$3,0,0,'Données projet'!$E$11+1,1))-AVERAGE(OFFSET($H$3,0,0,'Données projet'!$E$11+1,1))</f>
        <v>447.82618173893104</v>
      </c>
      <c r="BJ58" s="62">
        <f t="shared" si="11"/>
        <v>248.96509970783379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projet'!$B$11,Paramètres!$A$1:$I$88,7,0))</f>
        <v>0</v>
      </c>
      <c r="BN58" s="17">
        <f>IF(ISNA(VLOOKUP(A58,'Données projet'!$A$87:$I$107,6,0)),0%,VLOOKUP(A58,'Données projet'!$A$87:$I$107,6,0)*VLOOKUP('Données projet'!$B$11,Paramètres!$A$1:$I$88,7,0))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projet'!$B$9,Paramètres!$A$1:$I$88,3,0)*0.475*44/12</f>
        <v>0</v>
      </c>
      <c r="BQ58" s="23">
        <f>EXP(-LN(2)/25)*BQ57+(1-EXP(-LN(2)/25))/(LN(2)/25)*Calculateur!BL58*Calculateur!BN58*VLOOKUP('Données projet'!$B$9,Paramètres!$A$1:$I$88,3,0)*0.475*44/12</f>
        <v>0</v>
      </c>
      <c r="BR58" s="23">
        <f>EXP(-LN(2)/2)*BR57+(1-EXP(-LN(2)/2))/(LN(2)/2)*BL58*BO58*VLOOKUP('Données projet'!$B$9,Paramètres!$A$1:$I$88,3,0)*0.475*44/12</f>
        <v>0</v>
      </c>
      <c r="BS58" s="24">
        <f t="shared" si="12"/>
        <v>0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>
        <f>VLOOKUP(A58,'Données projet'!$A$113:$I$133,2,0)</f>
        <v>158</v>
      </c>
      <c r="BW58" s="13">
        <f>VLOOKUP(A58,'Données projet'!$A$113:$I$133,9,0)</f>
        <v>4.8</v>
      </c>
      <c r="BX58" s="13">
        <f t="array" ref="BX58">INDEX(BW:BW,MIN(IF(ISNUMBER(BW58:BW254),ROW(BW58:BW254),"")))</f>
        <v>4.8</v>
      </c>
      <c r="BY58" s="13">
        <f>IF(A58&lt;'Données projet'!$A$114,$BV$205^A58,IF(A58='Données projet'!$A$114,'Données projet'!$B$114,BY57+BX58-CG57))</f>
        <v>158</v>
      </c>
      <c r="BZ58" s="14">
        <f>BY58*VLOOKUP('Données projet'!$B$12,Paramètres!$A$1:$I$88,3,0)*VLOOKUP('Données projet'!$B$12,Paramètres!$A$1:$I$88,5,0)</f>
        <v>170.0712</v>
      </c>
      <c r="CA58" s="14">
        <f t="shared" si="46"/>
        <v>43.10596962815594</v>
      </c>
      <c r="CB58" s="22">
        <f t="shared" si="13"/>
        <v>371.28357043570492</v>
      </c>
      <c r="CC58" s="62">
        <f t="shared" si="14"/>
        <v>611.40036943268808</v>
      </c>
      <c r="CD58" s="62">
        <f ca="1">AVERAGE(OFFSET($CC$3,0,0,'Données projet'!$E$12+1,1))-AVERAGE(OFFSET($H$3,0,0,'Données projet'!$E$12+1,1))</f>
        <v>468.82871618425406</v>
      </c>
      <c r="CE58" s="62">
        <f t="shared" si="15"/>
        <v>259.37818128554397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projet'!$B$12,Paramètres!$A$1:$I$88,7,0))</f>
        <v>0</v>
      </c>
      <c r="CI58" s="17">
        <f>IF(ISNA(VLOOKUP(A58,'Données projet'!$A$113:$I$133,6,0)),0%,VLOOKUP(A58,'Données projet'!$A$113:$I$133,6,0)*VLOOKUP('Données projet'!$B$12,Paramètres!$A$1:$I$88,7,0))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projet'!$B$9,Paramètres!$A$1:$I$88,3,0)*0.475*44/12</f>
        <v>0</v>
      </c>
      <c r="CL58" s="23">
        <f>EXP(-LN(2)/25)*CL57+(1-EXP(-LN(2)/25))/(LN(2)/25)*Calculateur!CG58*Calculateur!CI58*VLOOKUP('Données projet'!$B$9,Paramètres!$A$1:$I$88,3,0)*0.475*44/12</f>
        <v>0</v>
      </c>
      <c r="CM58" s="23">
        <f>EXP(-LN(2)/2)*CM57+(1-EXP(-LN(2)/2))/(LN(2)/2)*CG58*CJ58*VLOOKUP('Données projet'!$B$9,Paramètres!$A$1:$I$88,3,0)*0.475*44/12</f>
        <v>0</v>
      </c>
      <c r="CN58" s="24">
        <f t="shared" si="16"/>
        <v>0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>
        <f>VLOOKUP(A58,'Données projet'!$A$139:$I$159,2,0)</f>
        <v>158</v>
      </c>
      <c r="CR58" s="13">
        <f>VLOOKUP(A58,'Données projet'!$A$139:$I$159,9,0)</f>
        <v>4.8</v>
      </c>
      <c r="CS58" s="13">
        <f t="array" ref="CS58">INDEX(CR:CR,MIN(IF(ISNUMBER(CR58:CR254),ROW(CR58:CR254),"")))</f>
        <v>4.8</v>
      </c>
      <c r="CT58" s="13">
        <f>IF(A58&lt;'Données projet'!$A$140,$CQ$205^A58,IF(A58='Données projet'!$A$140,'Données projet'!$B$140,CT57+CS58-DB57))</f>
        <v>158</v>
      </c>
      <c r="CU58" s="18">
        <f>CT58*VLOOKUP('Données projet'!$B$13,Paramètres!$A$1:$I$88,3,0)*VLOOKUP('Données projet'!$B$13,Paramètres!$A$1:$I$88,5,0)</f>
        <v>135.56400000000002</v>
      </c>
      <c r="CV58" s="14">
        <f t="shared" si="47"/>
        <v>35.278883682361965</v>
      </c>
      <c r="CW58" s="22">
        <f t="shared" si="17"/>
        <v>297.55135574678042</v>
      </c>
      <c r="CX58" s="62">
        <f t="shared" si="18"/>
        <v>537.66815474376358</v>
      </c>
      <c r="CY58" s="62">
        <f ca="1">AVERAGE(OFFSET($CX$3,0,0,'Données projet'!$E$13+1,1))-AVERAGE(OFFSET($H$3,0,0,'Données projet'!$E$13+1,1))</f>
        <v>395.19659151668884</v>
      </c>
      <c r="CZ58" s="62">
        <f t="shared" si="19"/>
        <v>222.86563304507339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projet'!$B$13,Paramètres!$A$1:$I$88,7,0))</f>
        <v>0</v>
      </c>
      <c r="DD58" s="17">
        <f>IF(ISNA(VLOOKUP(A58,'Données projet'!$A$139:$I$159,6,0)),0%,VLOOKUP(A58,'Données projet'!$A$139:$I$159,6,0)*VLOOKUP('Données projet'!$B$13,Paramètres!$A$1:$I$88,7,0))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projet'!$B$9,Paramètres!$A$1:$I$88,3,0)*0.475*44/12</f>
        <v>0</v>
      </c>
      <c r="DG58" s="23">
        <f>EXP(-LN(2)/25)*DG57+(1-EXP(-LN(2)/25))/(LN(2)/25)*Calculateur!DB58*Calculateur!DD58*VLOOKUP('Données projet'!$B$9,Paramètres!$A$1:$I$88,3,0)*0.475*44/12</f>
        <v>0</v>
      </c>
      <c r="DH58" s="23">
        <f>EXP(-LN(2)/2)*DH57+(1-EXP(-LN(2)/2))/(LN(2)/2)*DB58*DE58*VLOOKUP('Données projet'!$B$9,Paramètres!$A$1:$I$88,3,0)*0.475*44/12</f>
        <v>0</v>
      </c>
      <c r="DI58" s="24">
        <f t="shared" si="20"/>
        <v>0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>
        <f>VLOOKUP(A58,'Données projet'!$A$165:$I$185,2,0)</f>
        <v>110</v>
      </c>
      <c r="DM58" s="13">
        <f>VLOOKUP(A58,'Données projet'!$A$165:$I$185,9,0)</f>
        <v>4.5999999999999996</v>
      </c>
      <c r="DN58" s="13">
        <f t="array" ref="DN58">INDEX(DM:DM,MIN(IF(ISNUMBER(DM58:DM254),ROW(DM58:DM254),"")))</f>
        <v>4.5999999999999996</v>
      </c>
      <c r="DO58" s="13">
        <f>IF(A58&lt;'Données projet'!$A$166,$DL$205^A58,IF(A58='Données projet'!$A$166,'Données projet'!$B$166,DO57+DN58-DW57))</f>
        <v>109.99999999999994</v>
      </c>
      <c r="DP58" s="18">
        <f>DO58*VLOOKUP('Données projet'!$B$14,Paramètres!$A$1:$I$88,3,0)*VLOOKUP('Données projet'!$B$14,Paramètres!$A$1:$I$88,5,0)</f>
        <v>64.34999999999998</v>
      </c>
      <c r="DQ58" s="14">
        <f t="shared" si="48"/>
        <v>18.263565425931397</v>
      </c>
      <c r="DR58" s="22">
        <f t="shared" si="21"/>
        <v>143.88529311683047</v>
      </c>
      <c r="DS58" s="62">
        <f t="shared" si="22"/>
        <v>384.0020921138136</v>
      </c>
      <c r="DT58" s="62">
        <f ca="1">AVERAGE(OFFSET($DS$3,0,0,'Données projet'!$E$14+1,1))-AVERAGE(OFFSET($H$3,0,0,'Données projet'!$E$14+1,1))</f>
        <v>155.18073137151848</v>
      </c>
      <c r="DU58" s="62">
        <f t="shared" si="23"/>
        <v>115.19459155667272</v>
      </c>
      <c r="DV58" s="16">
        <f>IF(ISNA(VLOOKUP(A58,'Données projet'!$A$165:$I$185,3,0)),0,VLOOKUP(A58,'Données projet'!$A$165:$I$185,3,0))</f>
        <v>2</v>
      </c>
      <c r="DW58" s="16">
        <f>IF(ISNA(VLOOKUP(A58,'Données projet'!$A$165:$I$185,4,0)),0,VLOOKUP(A58,'Données projet'!$A$165:$I$185,4,0))</f>
        <v>63</v>
      </c>
      <c r="DX58" s="17">
        <f>IF(ISNA(VLOOKUP(A58,'Données projet'!$A$165:$I$185,5,0)),0%,VLOOKUP(A58,'Données projet'!$A$165:$I$185,5,0)*VLOOKUP('Données projet'!$B$14,Paramètres!$A$1:$I$88,7,0))</f>
        <v>0</v>
      </c>
      <c r="DY58" s="17">
        <f>IF(ISNA(VLOOKUP(A58,'Données projet'!$A$165:$I$185,6,0)),0%,VLOOKUP(A58,'Données projet'!$A$165:$I$185,6,0)*VLOOKUP('Données projet'!$B$14,Paramètres!$A$1:$I$88,7,0))</f>
        <v>0</v>
      </c>
      <c r="DZ58" s="17">
        <f>IF(ISNA(VLOOKUP(A58,'Données projet'!$A$165:$I$185,7,0)),0%,VLOOKUP(A58,'Données projet'!$A$165:$I$185,7,0))</f>
        <v>0</v>
      </c>
      <c r="EA58" s="23">
        <f>EXP(-LN(2)/35)*EA57+(1-EXP(-LN(2)/35))/(LN(2)/35)*DW58*DX58*VLOOKUP('Données projet'!$B$9,Paramètres!$A$1:$I$88,3,0)*0.475*44/12</f>
        <v>0</v>
      </c>
      <c r="EB58" s="23">
        <f>EXP(-LN(2)/25)*EB57+(1-EXP(-LN(2)/25))/(LN(2)/25)*Calculateur!DW58*Calculateur!DY58*VLOOKUP('Données projet'!$B$9,Paramètres!$A$1:$I$88,3,0)*0.475*44/12</f>
        <v>0</v>
      </c>
      <c r="EC58" s="23">
        <f>EXP(-LN(2)/2)*EC57+(1-EXP(-LN(2)/2))/(LN(2)/2)*DW58*DZ58*VLOOKUP('Données projet'!$B$9,Paramètres!$A$1:$I$88,3,0)*0.475*44/12</f>
        <v>0</v>
      </c>
      <c r="ED58" s="24">
        <f t="shared" si="24"/>
        <v>0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3.25</v>
      </c>
      <c r="EJ58" s="13">
        <f>IF(A58&lt;'Données projet'!$A$192,$EG$205^A58,IF(A58='Données projet'!$A$192,'Données projet'!$B$192,EJ57+EI58-ER57))</f>
        <v>125.6603872481043</v>
      </c>
      <c r="EK58" s="18">
        <f>EJ58*VLOOKUP('Données projet'!$B$15,Paramètres!$A$1:$I$88,3,0)*VLOOKUP('Données projet'!$B$15,Paramètres!$A$1:$I$88,5,0)</f>
        <v>58.809061232112818</v>
      </c>
      <c r="EL58" s="14">
        <f t="shared" si="49"/>
        <v>16.86681188800312</v>
      </c>
      <c r="EM58" s="22">
        <f t="shared" si="25"/>
        <v>131.80214568420192</v>
      </c>
      <c r="EN58" s="62">
        <f t="shared" si="26"/>
        <v>371.91894468118505</v>
      </c>
      <c r="EO58" s="62">
        <f ca="1">AVERAGE(OFFSET($EN$3,0,0,'Données projet'!$E$15+1,1))-AVERAGE(OFFSET($H$3,0,0,'Données projet'!$E$15+1,1))</f>
        <v>238.59014604384171</v>
      </c>
      <c r="EP58" s="62">
        <f t="shared" si="27"/>
        <v>90.841373219575217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projet'!$B$15,Paramètres!$A$1:$I$88,7,0))</f>
        <v>0</v>
      </c>
      <c r="ET58" s="17">
        <f>IF(ISNA(VLOOKUP(A58,'Données projet'!$A$191:$I$211,6,0)),0%,VLOOKUP(A58,'Données projet'!$A$191:$I$211,6,0)*VLOOKUP('Données projet'!$B$15,Paramètres!$A$1:$I$88,7,0))</f>
        <v>0</v>
      </c>
      <c r="EU58" s="17">
        <f>IF(ISNA(VLOOKUP(A58,'Données projet'!$A$191:$I$211,7,0)),0%,VLOOKUP(A58,'Données projet'!$A$191:$I$211,7,0))</f>
        <v>0</v>
      </c>
      <c r="EV58" s="23">
        <f>EXP(-LN(2)/35)*EV57+(1-EXP(-LN(2)/35))/(LN(2)/35)*ER58*ES58*VLOOKUP('Données projet'!$B$9,Paramètres!$A$1:$I$88,3,0)*0.475*44/12</f>
        <v>0</v>
      </c>
      <c r="EW58" s="23">
        <f>EXP(-LN(2)/25)*EW57+(1-EXP(-LN(2)/25))/(LN(2)/25)*Calculateur!ER58*Calculateur!ET58*VLOOKUP('Données projet'!$B$9,Paramètres!$A$1:$I$88,3,0)*0.475*44/12</f>
        <v>0</v>
      </c>
      <c r="EX58" s="23">
        <f>EXP(-LN(2)/2)*EX57+(1-EXP(-LN(2)/2))/(LN(2)/2)*ER58*EU58*VLOOKUP('Données projet'!$B$9,Paramètres!$A$1:$I$88,3,0)*0.475*44/12</f>
        <v>0</v>
      </c>
      <c r="EY58" s="24">
        <f t="shared" si="28"/>
        <v>0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IF(A58&lt;'Données projet'!$A$218,$FB$205^A58,IF(A58='Données projet'!$A$218,'Données projet'!$B$218,FE57+FD58-FM57))</f>
        <v>0</v>
      </c>
      <c r="FF58" s="18" t="e">
        <f>FE58*VLOOKUP('Données projet'!$B$16,Paramètres!$A$1:$I$88,3,0)*VLOOKUP('Données projet'!$B$16,Paramètres!$A$1:$I$88,5,0)</f>
        <v>#N/A</v>
      </c>
      <c r="FG58" s="14" t="e">
        <f t="shared" si="50"/>
        <v>#N/A</v>
      </c>
      <c r="FH58" s="22" t="e">
        <f t="shared" si="29"/>
        <v>#N/A</v>
      </c>
      <c r="FI58" s="62" t="e">
        <f t="shared" si="30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31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projet'!$B$16,Paramètres!$A$1:$I$88,7,0))</f>
        <v>0</v>
      </c>
      <c r="FO58" s="17">
        <f>IF(ISNA(VLOOKUP(A58,'Données projet'!$A$217:$I$237,6,0)),0%,VLOOKUP(A58,'Données projet'!$A$217:$I$237,6,0)*VLOOKUP('Données projet'!$B$16,Paramètres!$A$1:$I$88,7,0))</f>
        <v>0</v>
      </c>
      <c r="FP58" s="17">
        <f>IF(ISNA(VLOOKUP(A58,'Données projet'!$A$217:$I$237,7,0)),0%,VLOOKUP(A58,'Données projet'!$A$217:$I$237,7,0))</f>
        <v>0</v>
      </c>
      <c r="FQ58" s="23">
        <f>EXP(-LN(2)/35)*FQ57+(1-EXP(-LN(2)/35))/(LN(2)/35)*FM58*FN58*VLOOKUP('Données projet'!$B$9,Paramètres!$A$1:$I$88,3,0)*0.475*44/12</f>
        <v>0</v>
      </c>
      <c r="FR58" s="23">
        <f>EXP(-LN(2)/25)*FR57+(1-EXP(-LN(2)/25))/(LN(2)/25)*Calculateur!FM58*Calculateur!FO58*VLOOKUP('Données projet'!$B$9,Paramètres!$A$1:$I$88,3,0)*0.475*44/12</f>
        <v>0</v>
      </c>
      <c r="FS58" s="23">
        <f>EXP(-LN(2)/2)*FS57+(1-EXP(-LN(2)/2))/(LN(2)/2)*FM58*FP58*VLOOKUP('Données projet'!$B$9,Paramètres!$A$1:$I$88,3,0)*0.475*44/12</f>
        <v>0</v>
      </c>
      <c r="FT58" s="24">
        <f t="shared" si="32"/>
        <v>0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IF(A58&lt;'Données projet'!$A$244,$FW$205^A58,IF(A58='Données projet'!$A$244,'Données projet'!$B$244,FZ57+FY58-GH57))</f>
        <v>0</v>
      </c>
      <c r="GA58" s="18" t="e">
        <f>FZ58*VLOOKUP('Données projet'!$B$17,Paramètres!$A$1:$I$88,3,0)*VLOOKUP('Données projet'!$B$17,Paramètres!$A$1:$I$88,5,0)</f>
        <v>#N/A</v>
      </c>
      <c r="GB58" s="14" t="e">
        <f t="shared" si="51"/>
        <v>#N/A</v>
      </c>
      <c r="GC58" s="22" t="e">
        <f t="shared" si="33"/>
        <v>#N/A</v>
      </c>
      <c r="GD58" s="62" t="e">
        <f t="shared" si="34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35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projet'!$B$17,Paramètres!$A$1:$I$88,7,0))</f>
        <v>0</v>
      </c>
      <c r="GJ58" s="17">
        <f>IF(ISNA(VLOOKUP(A58,'Données projet'!$A$243:$I$263,6,0)),0%,VLOOKUP(A58,'Données projet'!$A$243:$I$263,6,0)*VLOOKUP('Données projet'!$B$17,Paramètres!$A$1:$I$88,7,0))</f>
        <v>0</v>
      </c>
      <c r="GK58" s="17">
        <f>IF(ISNA(VLOOKUP(A58,'Données projet'!$A$243:$I$263,7,0)),0%,VLOOKUP(A58,'Données projet'!$A$243:$I$263,7,0))</f>
        <v>0</v>
      </c>
      <c r="GL58" s="23">
        <f>EXP(-LN(2)/35)*GL57+(1-EXP(-LN(2)/35))/(LN(2)/35)*GH58*GI58*VLOOKUP('Données projet'!$B$9,Paramètres!$A$1:$I$88,3,0)*0.475*44/12</f>
        <v>0</v>
      </c>
      <c r="GM58" s="23">
        <f>EXP(-LN(2)/25)*GM57+(1-EXP(-LN(2)/25))/(LN(2)/25)*Calculateur!GH58*Calculateur!GJ58*VLOOKUP('Données projet'!$B$9,Paramètres!$A$1:$I$88,3,0)*0.475*44/12</f>
        <v>0</v>
      </c>
      <c r="GN58" s="23">
        <f>EXP(-LN(2)/2)*GN57+(1-EXP(-LN(2)/2))/(LN(2)/2)*GH58*GK58*VLOOKUP('Données projet'!$B$9,Paramètres!$A$1:$I$88,3,0)*0.475*44/12</f>
        <v>0</v>
      </c>
      <c r="GO58" s="23">
        <f t="shared" si="36"/>
        <v>0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IF(A58&lt;'Données projet'!$A$270,$GR$205^A58,IF(A58='Données projet'!$A$270,'Données projet'!$B$270,GU57+GT58-HC57))</f>
        <v>0</v>
      </c>
      <c r="GV58" s="18" t="e">
        <f>GU58*VLOOKUP('Données projet'!$B$18,Paramètres!$A$1:$I$88,3,0)*VLOOKUP('Données projet'!$B$18,Paramètres!$A$1:$I$88,5,0)</f>
        <v>#N/A</v>
      </c>
      <c r="GW58" s="14" t="e">
        <f t="shared" si="52"/>
        <v>#N/A</v>
      </c>
      <c r="GX58" s="22" t="e">
        <f t="shared" si="37"/>
        <v>#N/A</v>
      </c>
      <c r="GY58" s="62" t="e">
        <f t="shared" si="38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39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projet'!$B$18,Paramètres!$A$1:$I$88,7,0))</f>
        <v>0</v>
      </c>
      <c r="HE58" s="17">
        <f>IF(ISNA(VLOOKUP(A58,'Données projet'!$A$269:$I$289,6,0)),0%,VLOOKUP(A58,'Données projet'!$A$269:$I$289,6,0)*VLOOKUP('Données projet'!$B$18,Paramètres!$A$1:$I$88,7,0))</f>
        <v>0</v>
      </c>
      <c r="HF58" s="17">
        <f>IF(ISNA(VLOOKUP(A58,'Données projet'!$A$269:$I$289,7,0)),0%,VLOOKUP(A58,'Données projet'!$A$269:$I$289,7,0))</f>
        <v>0</v>
      </c>
      <c r="HG58" s="23">
        <f>EXP(-LN(2)/35)*HG57+(1-EXP(-LN(2)/35))/(LN(2)/35)*HC58*HD58*VLOOKUP('Données projet'!$B$9,Paramètres!$A$1:$I$88,3,0)*0.475*44/12</f>
        <v>0</v>
      </c>
      <c r="HH58" s="23">
        <f>EXP(-LN(2)/25)*HH57+(1-EXP(-LN(2)/25))/(LN(2)/25)*Calculateur!HC58*Calculateur!HE58*VLOOKUP('Données projet'!$B$9,Paramètres!$A$1:$I$88,3,0)*0.475*44/12</f>
        <v>0</v>
      </c>
      <c r="HI58" s="23">
        <f>EXP(-LN(2)/2)*HI57+(1-EXP(-LN(2)/2))/(LN(2)/2)*HC58*HF58*VLOOKUP('Données projet'!$B$9,Paramètres!$A$1:$I$88,3,0)*0.475*44/12</f>
        <v>0</v>
      </c>
      <c r="HJ58" s="24">
        <f t="shared" si="40"/>
        <v>0</v>
      </c>
    </row>
    <row r="59" spans="1:218" s="5" customFormat="1" x14ac:dyDescent="0.25">
      <c r="A59" s="11">
        <f t="shared" si="4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59" s="12">
        <f t="shared" si="4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135.66666666666666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1.7724999999999995</v>
      </c>
      <c r="N59" s="14">
        <f>IF(A59&lt;'Données projet'!$A$36,$K$205^A59,IF(A59='Données projet'!$A$36,'Données projet'!$B$36,N58+M59-V58))</f>
        <v>77.272499999999994</v>
      </c>
      <c r="O59" s="14">
        <f>N59*VLOOKUP('Données projet'!$B$9,Paramètres!$A$1:$I$88,3,0)*VLOOKUP('Données projet'!$B$9,Paramètres!$A$1:$I$88,5,0)</f>
        <v>89.017919999999989</v>
      </c>
      <c r="P59" s="14">
        <f t="shared" si="43"/>
        <v>24.328219911088187</v>
      </c>
      <c r="Q59" s="22">
        <f t="shared" si="53"/>
        <v>197.41119367847855</v>
      </c>
      <c r="R59" s="62">
        <f t="shared" si="0"/>
        <v>438.45118057185016</v>
      </c>
      <c r="S59" s="62">
        <f ca="1">AVERAGE(OFFSET($R$3,0,0,'Données projet'!$E$9+1,1))-AVERAGE(OFFSET($H$3,0,0,'Données projet'!$E$9+1,1))</f>
        <v>314.72063458462026</v>
      </c>
      <c r="T59" s="62">
        <f t="shared" si="3"/>
        <v>216.4380325968244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projet'!$B$9,Paramètres!$A$1:$I$88,7,0))</f>
        <v>0</v>
      </c>
      <c r="X59" s="17">
        <f>IF(ISNA(VLOOKUP(A59,'Données projet'!$A$35:$I$55,6,0)),0%,VLOOKUP(A59,'Données projet'!$A$35:$I$55,6,0)*VLOOKUP('Données projet'!$B$9,Paramètres!$A$1:$I$88,7,0))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projet'!$B$9,Paramètres!$A$1:$I$88,3,0)*0.475*44/12</f>
        <v>0</v>
      </c>
      <c r="AA59" s="23">
        <f>EXP(-LN(2)/25)*AA58+(1-EXP(-LN(2)/25))/(LN(2)/25)*Calculateur!V59*Calculateur!X59*VLOOKUP('Données projet'!$B$9,Paramètres!$A$1:$I$88,3,0)*0.475*44/12</f>
        <v>0</v>
      </c>
      <c r="AB59" s="23">
        <f>EXP(-LN(2)/2)*AB58+(1-EXP(-LN(2)/2))/(LN(2)/2)*V59*Y59*VLOOKUP('Données projet'!$B$9,Paramètres!$A$1:$I$88,3,0)*0.475*44/12</f>
        <v>0</v>
      </c>
      <c r="AC59" s="24">
        <f t="shared" si="4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4.8</v>
      </c>
      <c r="AI59" s="14">
        <f>IF(A59&lt;'Données projet'!$A$62,$AF$205^A59,IF(A59='Données projet'!$A$62,'Données projet'!$B$62,AI58+AH59-AQ58))</f>
        <v>162.80000000000001</v>
      </c>
      <c r="AJ59" s="14">
        <f>AI59*VLOOKUP('Données projet'!$B$10,Paramètres!$A$1:$I$88,3,0)*VLOOKUP('Données projet'!$B$10,Paramètres!$A$1:$I$88,5,0)</f>
        <v>170.15856000000002</v>
      </c>
      <c r="AK59" s="14">
        <f t="shared" si="44"/>
        <v>43.125533823655893</v>
      </c>
      <c r="AL59" s="22">
        <f t="shared" si="5"/>
        <v>371.46979674286735</v>
      </c>
      <c r="AM59" s="62">
        <f t="shared" si="6"/>
        <v>612.50978363623904</v>
      </c>
      <c r="AN59" s="62">
        <f ca="1">AVERAGE(OFFSET($AM$3,0,0,'Données projet'!$E$10+1,1))-AVERAGE(OFFSET($H$3,0,0,'Données projet'!$E$10+1,1))</f>
        <v>458.33072853676879</v>
      </c>
      <c r="AO59" s="62">
        <f t="shared" si="7"/>
        <v>254.1734169352687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projet'!$B$10,Paramètres!$A$1:$I$88,7,0))</f>
        <v>0</v>
      </c>
      <c r="AS59" s="17">
        <f>IF(ISNA(VLOOKUP(A59,'Données projet'!$A$61:$I$81,6,0)),0%,VLOOKUP(A59,'Données projet'!$A$61:$I$81,6,0)*VLOOKUP('Données projet'!$B$10,Paramètres!$A$1:$I$88,7,0))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projet'!$B$9,Paramètres!$A$1:$I$88,3,0)*0.475*44/12</f>
        <v>0</v>
      </c>
      <c r="AV59" s="23">
        <f>EXP(-LN(2)/25)*AV58+(1-EXP(-LN(2)/25))/(LN(2)/25)*Calculateur!AQ59*Calculateur!AS59*VLOOKUP('Données projet'!$B$9,Paramètres!$A$1:$I$88,3,0)*0.475*44/12</f>
        <v>0</v>
      </c>
      <c r="AW59" s="23">
        <f>EXP(-LN(2)/2)*AW58+(1-EXP(-LN(2)/2))/(LN(2)/2)*AQ59*AT59*VLOOKUP('Données projet'!$B$9,Paramètres!$A$1:$I$88,3,0)*0.475*44/12</f>
        <v>0</v>
      </c>
      <c r="AX59" s="23">
        <f t="shared" si="8"/>
        <v>0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4.8</v>
      </c>
      <c r="BD59" s="13">
        <f>IF(A59&lt;'Données projet'!$A$88,$BA$205^A59,IF(A59='Données projet'!$A$88,'Données projet'!$B$88,BD58+BC59-BL58))</f>
        <v>162.80000000000001</v>
      </c>
      <c r="BE59" s="14">
        <f>BD59*VLOOKUP('Données projet'!$B$11,Paramètres!$A$1:$I$88,3,0)*VLOOKUP('Données projet'!$B$11,Paramètres!$A$1:$I$88,5,0)</f>
        <v>165.07920000000001</v>
      </c>
      <c r="BF59" s="14">
        <f t="shared" si="45"/>
        <v>41.986051122111817</v>
      </c>
      <c r="BG59" s="22">
        <f t="shared" si="9"/>
        <v>360.63864570434475</v>
      </c>
      <c r="BH59" s="62">
        <f t="shared" si="10"/>
        <v>601.67863259771639</v>
      </c>
      <c r="BI59" s="62">
        <f ca="1">AVERAGE(OFFSET($BH$3,0,0,'Données projet'!$E$11+1,1))-AVERAGE(OFFSET($H$3,0,0,'Données projet'!$E$11+1,1))</f>
        <v>447.82618173893104</v>
      </c>
      <c r="BJ59" s="62">
        <f t="shared" si="11"/>
        <v>248.96509970783379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projet'!$B$11,Paramètres!$A$1:$I$88,7,0))</f>
        <v>0</v>
      </c>
      <c r="BN59" s="17">
        <f>IF(ISNA(VLOOKUP(A59,'Données projet'!$A$87:$I$107,6,0)),0%,VLOOKUP(A59,'Données projet'!$A$87:$I$107,6,0)*VLOOKUP('Données projet'!$B$11,Paramètres!$A$1:$I$88,7,0))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projet'!$B$9,Paramètres!$A$1:$I$88,3,0)*0.475*44/12</f>
        <v>0</v>
      </c>
      <c r="BQ59" s="23">
        <f>EXP(-LN(2)/25)*BQ58+(1-EXP(-LN(2)/25))/(LN(2)/25)*Calculateur!BL59*Calculateur!BN59*VLOOKUP('Données projet'!$B$9,Paramètres!$A$1:$I$88,3,0)*0.475*44/12</f>
        <v>0</v>
      </c>
      <c r="BR59" s="23">
        <f>EXP(-LN(2)/2)*BR58+(1-EXP(-LN(2)/2))/(LN(2)/2)*BL59*BO59*VLOOKUP('Données projet'!$B$9,Paramètres!$A$1:$I$88,3,0)*0.475*44/12</f>
        <v>0</v>
      </c>
      <c r="BS59" s="24">
        <f t="shared" si="12"/>
        <v>0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4.8</v>
      </c>
      <c r="BY59" s="13">
        <f>IF(A59&lt;'Données projet'!$A$114,$BV$205^A59,IF(A59='Données projet'!$A$114,'Données projet'!$B$114,BY58+BX59-CG58))</f>
        <v>162.80000000000001</v>
      </c>
      <c r="BZ59" s="14">
        <f>BY59*VLOOKUP('Données projet'!$B$12,Paramètres!$A$1:$I$88,3,0)*VLOOKUP('Données projet'!$B$12,Paramètres!$A$1:$I$88,5,0)</f>
        <v>175.23792</v>
      </c>
      <c r="CA59" s="14">
        <f t="shared" si="46"/>
        <v>44.261063498246379</v>
      </c>
      <c r="CB59" s="22">
        <f t="shared" si="13"/>
        <v>382.29406292611247</v>
      </c>
      <c r="CC59" s="62">
        <f t="shared" si="14"/>
        <v>623.33404981948411</v>
      </c>
      <c r="CD59" s="62">
        <f ca="1">AVERAGE(OFFSET($CC$3,0,0,'Données projet'!$E$12+1,1))-AVERAGE(OFFSET($H$3,0,0,'Données projet'!$E$12+1,1))</f>
        <v>468.82871618425406</v>
      </c>
      <c r="CE59" s="62">
        <f t="shared" si="15"/>
        <v>259.37818128554397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projet'!$B$12,Paramètres!$A$1:$I$88,7,0))</f>
        <v>0</v>
      </c>
      <c r="CI59" s="17">
        <f>IF(ISNA(VLOOKUP(A59,'Données projet'!$A$113:$I$133,6,0)),0%,VLOOKUP(A59,'Données projet'!$A$113:$I$133,6,0)*VLOOKUP('Données projet'!$B$12,Paramètres!$A$1:$I$88,7,0))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projet'!$B$9,Paramètres!$A$1:$I$88,3,0)*0.475*44/12</f>
        <v>0</v>
      </c>
      <c r="CL59" s="23">
        <f>EXP(-LN(2)/25)*CL58+(1-EXP(-LN(2)/25))/(LN(2)/25)*Calculateur!CG59*Calculateur!CI59*VLOOKUP('Données projet'!$B$9,Paramètres!$A$1:$I$88,3,0)*0.475*44/12</f>
        <v>0</v>
      </c>
      <c r="CM59" s="23">
        <f>EXP(-LN(2)/2)*CM58+(1-EXP(-LN(2)/2))/(LN(2)/2)*CG59*CJ59*VLOOKUP('Données projet'!$B$9,Paramètres!$A$1:$I$88,3,0)*0.475*44/12</f>
        <v>0</v>
      </c>
      <c r="CN59" s="24">
        <f t="shared" si="16"/>
        <v>0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4.8</v>
      </c>
      <c r="CT59" s="13">
        <f>IF(A59&lt;'Données projet'!$A$140,$CQ$205^A59,IF(A59='Données projet'!$A$140,'Données projet'!$B$140,CT58+CS59-DB58))</f>
        <v>162.80000000000001</v>
      </c>
      <c r="CU59" s="18">
        <f>CT59*VLOOKUP('Données projet'!$B$13,Paramètres!$A$1:$I$88,3,0)*VLOOKUP('Données projet'!$B$13,Paramètres!$A$1:$I$88,5,0)</f>
        <v>139.68240000000003</v>
      </c>
      <c r="CV59" s="14">
        <f t="shared" si="47"/>
        <v>36.224238180512785</v>
      </c>
      <c r="CW59" s="22">
        <f t="shared" si="17"/>
        <v>306.37072816439314</v>
      </c>
      <c r="CX59" s="62">
        <f t="shared" si="18"/>
        <v>547.41071505776472</v>
      </c>
      <c r="CY59" s="62">
        <f ca="1">AVERAGE(OFFSET($CX$3,0,0,'Données projet'!$E$13+1,1))-AVERAGE(OFFSET($H$3,0,0,'Données projet'!$E$13+1,1))</f>
        <v>395.19659151668884</v>
      </c>
      <c r="CZ59" s="62">
        <f t="shared" si="19"/>
        <v>222.86563304507339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projet'!$B$13,Paramètres!$A$1:$I$88,7,0))</f>
        <v>0</v>
      </c>
      <c r="DD59" s="17">
        <f>IF(ISNA(VLOOKUP(A59,'Données projet'!$A$139:$I$159,6,0)),0%,VLOOKUP(A59,'Données projet'!$A$139:$I$159,6,0)*VLOOKUP('Données projet'!$B$13,Paramètres!$A$1:$I$88,7,0))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projet'!$B$9,Paramètres!$A$1:$I$88,3,0)*0.475*44/12</f>
        <v>0</v>
      </c>
      <c r="DG59" s="23">
        <f>EXP(-LN(2)/25)*DG58+(1-EXP(-LN(2)/25))/(LN(2)/25)*Calculateur!DB59*Calculateur!DD59*VLOOKUP('Données projet'!$B$9,Paramètres!$A$1:$I$88,3,0)*0.475*44/12</f>
        <v>0</v>
      </c>
      <c r="DH59" s="23">
        <f>EXP(-LN(2)/2)*DH58+(1-EXP(-LN(2)/2))/(LN(2)/2)*DB59*DE59*VLOOKUP('Données projet'!$B$9,Paramètres!$A$1:$I$88,3,0)*0.475*44/12</f>
        <v>0</v>
      </c>
      <c r="DI59" s="24">
        <f t="shared" si="20"/>
        <v>0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4.666666666666667</v>
      </c>
      <c r="DO59" s="13">
        <f>IF(A59&lt;'Données projet'!$A$166,$DL$205^A59,IF(A59='Données projet'!$A$166,'Données projet'!$B$166,DO58+DN59-DW58))</f>
        <v>51.666666666666615</v>
      </c>
      <c r="DP59" s="18">
        <f>DO59*VLOOKUP('Données projet'!$B$14,Paramètres!$A$1:$I$88,3,0)*VLOOKUP('Données projet'!$B$14,Paramètres!$A$1:$I$88,5,0)</f>
        <v>30.224999999999973</v>
      </c>
      <c r="DQ59" s="14">
        <f t="shared" si="48"/>
        <v>9.3670693584065088</v>
      </c>
      <c r="DR59" s="22">
        <f t="shared" si="21"/>
        <v>68.95618746589129</v>
      </c>
      <c r="DS59" s="62">
        <f t="shared" si="22"/>
        <v>309.99617435926291</v>
      </c>
      <c r="DT59" s="62">
        <f ca="1">AVERAGE(OFFSET($DS$3,0,0,'Données projet'!$E$14+1,1))-AVERAGE(OFFSET($H$3,0,0,'Données projet'!$E$14+1,1))</f>
        <v>155.18073137151848</v>
      </c>
      <c r="DU59" s="62">
        <f t="shared" si="23"/>
        <v>115.19459155667272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projet'!$B$14,Paramètres!$A$1:$I$88,7,0))</f>
        <v>0</v>
      </c>
      <c r="DY59" s="17">
        <f>IF(ISNA(VLOOKUP(A59,'Données projet'!$A$165:$I$185,6,0)),0%,VLOOKUP(A59,'Données projet'!$A$165:$I$185,6,0)*VLOOKUP('Données projet'!$B$14,Paramètres!$A$1:$I$88,7,0))</f>
        <v>0</v>
      </c>
      <c r="DZ59" s="17">
        <f>IF(ISNA(VLOOKUP(A59,'Données projet'!$A$165:$I$185,7,0)),0%,VLOOKUP(A59,'Données projet'!$A$165:$I$185,7,0))</f>
        <v>0</v>
      </c>
      <c r="EA59" s="23">
        <f>EXP(-LN(2)/35)*EA58+(1-EXP(-LN(2)/35))/(LN(2)/35)*DW59*DX59*VLOOKUP('Données projet'!$B$9,Paramètres!$A$1:$I$88,3,0)*0.475*44/12</f>
        <v>0</v>
      </c>
      <c r="EB59" s="23">
        <f>EXP(-LN(2)/25)*EB58+(1-EXP(-LN(2)/25))/(LN(2)/25)*Calculateur!DW59*Calculateur!DY59*VLOOKUP('Données projet'!$B$9,Paramètres!$A$1:$I$88,3,0)*0.475*44/12</f>
        <v>0</v>
      </c>
      <c r="EC59" s="23">
        <f>EXP(-LN(2)/2)*EC58+(1-EXP(-LN(2)/2))/(LN(2)/2)*DW59*DZ59*VLOOKUP('Données projet'!$B$9,Paramètres!$A$1:$I$88,3,0)*0.475*44/12</f>
        <v>0</v>
      </c>
      <c r="ED59" s="24">
        <f t="shared" si="24"/>
        <v>0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3.25</v>
      </c>
      <c r="EJ59" s="13">
        <f>IF(A59&lt;'Données projet'!$A$192,$EG$205^A59,IF(A59='Données projet'!$A$192,'Données projet'!$B$192,EJ58+EI59-ER58))</f>
        <v>137.2036412495689</v>
      </c>
      <c r="EK59" s="18">
        <f>EJ59*VLOOKUP('Données projet'!$B$15,Paramètres!$A$1:$I$88,3,0)*VLOOKUP('Données projet'!$B$15,Paramètres!$A$1:$I$88,5,0)</f>
        <v>64.211304104798245</v>
      </c>
      <c r="EL59" s="14">
        <f t="shared" si="49"/>
        <v>18.228778916940104</v>
      </c>
      <c r="EM59" s="22">
        <f t="shared" si="25"/>
        <v>143.58314459619427</v>
      </c>
      <c r="EN59" s="62">
        <f t="shared" si="26"/>
        <v>384.62313148956594</v>
      </c>
      <c r="EO59" s="62">
        <f ca="1">AVERAGE(OFFSET($EN$3,0,0,'Données projet'!$E$15+1,1))-AVERAGE(OFFSET($H$3,0,0,'Données projet'!$E$15+1,1))</f>
        <v>238.59014604384171</v>
      </c>
      <c r="EP59" s="62">
        <f t="shared" si="27"/>
        <v>90.841373219575217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projet'!$B$15,Paramètres!$A$1:$I$88,7,0))</f>
        <v>0</v>
      </c>
      <c r="ET59" s="17">
        <f>IF(ISNA(VLOOKUP(A59,'Données projet'!$A$191:$I$211,6,0)),0%,VLOOKUP(A59,'Données projet'!$A$191:$I$211,6,0)*VLOOKUP('Données projet'!$B$15,Paramètres!$A$1:$I$88,7,0))</f>
        <v>0</v>
      </c>
      <c r="EU59" s="17">
        <f>IF(ISNA(VLOOKUP(A59,'Données projet'!$A$191:$I$211,7,0)),0%,VLOOKUP(A59,'Données projet'!$A$191:$I$211,7,0))</f>
        <v>0</v>
      </c>
      <c r="EV59" s="23">
        <f>EXP(-LN(2)/35)*EV58+(1-EXP(-LN(2)/35))/(LN(2)/35)*ER59*ES59*VLOOKUP('Données projet'!$B$9,Paramètres!$A$1:$I$88,3,0)*0.475*44/12</f>
        <v>0</v>
      </c>
      <c r="EW59" s="23">
        <f>EXP(-LN(2)/25)*EW58+(1-EXP(-LN(2)/25))/(LN(2)/25)*Calculateur!ER59*Calculateur!ET59*VLOOKUP('Données projet'!$B$9,Paramètres!$A$1:$I$88,3,0)*0.475*44/12</f>
        <v>0</v>
      </c>
      <c r="EX59" s="23">
        <f>EXP(-LN(2)/2)*EX58+(1-EXP(-LN(2)/2))/(LN(2)/2)*ER59*EU59*VLOOKUP('Données projet'!$B$9,Paramètres!$A$1:$I$88,3,0)*0.475*44/12</f>
        <v>0</v>
      </c>
      <c r="EY59" s="24">
        <f t="shared" si="28"/>
        <v>0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IF(A59&lt;'Données projet'!$A$218,$FB$205^A59,IF(A59='Données projet'!$A$218,'Données projet'!$B$218,FE58+FD59-FM58))</f>
        <v>0</v>
      </c>
      <c r="FF59" s="18" t="e">
        <f>FE59*VLOOKUP('Données projet'!$B$16,Paramètres!$A$1:$I$88,3,0)*VLOOKUP('Données projet'!$B$16,Paramètres!$A$1:$I$88,5,0)</f>
        <v>#N/A</v>
      </c>
      <c r="FG59" s="14" t="e">
        <f t="shared" si="50"/>
        <v>#N/A</v>
      </c>
      <c r="FH59" s="22" t="e">
        <f t="shared" si="29"/>
        <v>#N/A</v>
      </c>
      <c r="FI59" s="62" t="e">
        <f t="shared" si="30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31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projet'!$B$16,Paramètres!$A$1:$I$88,7,0))</f>
        <v>0</v>
      </c>
      <c r="FO59" s="17">
        <f>IF(ISNA(VLOOKUP(A59,'Données projet'!$A$217:$I$237,6,0)),0%,VLOOKUP(A59,'Données projet'!$A$217:$I$237,6,0)*VLOOKUP('Données projet'!$B$16,Paramètres!$A$1:$I$88,7,0))</f>
        <v>0</v>
      </c>
      <c r="FP59" s="17">
        <f>IF(ISNA(VLOOKUP(A59,'Données projet'!$A$217:$I$237,7,0)),0%,VLOOKUP(A59,'Données projet'!$A$217:$I$237,7,0))</f>
        <v>0</v>
      </c>
      <c r="FQ59" s="23">
        <f>EXP(-LN(2)/35)*FQ58+(1-EXP(-LN(2)/35))/(LN(2)/35)*FM59*FN59*VLOOKUP('Données projet'!$B$9,Paramètres!$A$1:$I$88,3,0)*0.475*44/12</f>
        <v>0</v>
      </c>
      <c r="FR59" s="23">
        <f>EXP(-LN(2)/25)*FR58+(1-EXP(-LN(2)/25))/(LN(2)/25)*Calculateur!FM59*Calculateur!FO59*VLOOKUP('Données projet'!$B$9,Paramètres!$A$1:$I$88,3,0)*0.475*44/12</f>
        <v>0</v>
      </c>
      <c r="FS59" s="23">
        <f>EXP(-LN(2)/2)*FS58+(1-EXP(-LN(2)/2))/(LN(2)/2)*FM59*FP59*VLOOKUP('Données projet'!$B$9,Paramètres!$A$1:$I$88,3,0)*0.475*44/12</f>
        <v>0</v>
      </c>
      <c r="FT59" s="24">
        <f t="shared" si="32"/>
        <v>0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IF(A59&lt;'Données projet'!$A$244,$FW$205^A59,IF(A59='Données projet'!$A$244,'Données projet'!$B$244,FZ58+FY59-GH58))</f>
        <v>0</v>
      </c>
      <c r="GA59" s="18" t="e">
        <f>FZ59*VLOOKUP('Données projet'!$B$17,Paramètres!$A$1:$I$88,3,0)*VLOOKUP('Données projet'!$B$17,Paramètres!$A$1:$I$88,5,0)</f>
        <v>#N/A</v>
      </c>
      <c r="GB59" s="14" t="e">
        <f t="shared" si="51"/>
        <v>#N/A</v>
      </c>
      <c r="GC59" s="22" t="e">
        <f t="shared" si="33"/>
        <v>#N/A</v>
      </c>
      <c r="GD59" s="62" t="e">
        <f t="shared" si="34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35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projet'!$B$17,Paramètres!$A$1:$I$88,7,0))</f>
        <v>0</v>
      </c>
      <c r="GJ59" s="17">
        <f>IF(ISNA(VLOOKUP(A59,'Données projet'!$A$243:$I$263,6,0)),0%,VLOOKUP(A59,'Données projet'!$A$243:$I$263,6,0)*VLOOKUP('Données projet'!$B$17,Paramètres!$A$1:$I$88,7,0))</f>
        <v>0</v>
      </c>
      <c r="GK59" s="17">
        <f>IF(ISNA(VLOOKUP(A59,'Données projet'!$A$243:$I$263,7,0)),0%,VLOOKUP(A59,'Données projet'!$A$243:$I$263,7,0))</f>
        <v>0</v>
      </c>
      <c r="GL59" s="23">
        <f>EXP(-LN(2)/35)*GL58+(1-EXP(-LN(2)/35))/(LN(2)/35)*GH59*GI59*VLOOKUP('Données projet'!$B$9,Paramètres!$A$1:$I$88,3,0)*0.475*44/12</f>
        <v>0</v>
      </c>
      <c r="GM59" s="23">
        <f>EXP(-LN(2)/25)*GM58+(1-EXP(-LN(2)/25))/(LN(2)/25)*Calculateur!GH59*Calculateur!GJ59*VLOOKUP('Données projet'!$B$9,Paramètres!$A$1:$I$88,3,0)*0.475*44/12</f>
        <v>0</v>
      </c>
      <c r="GN59" s="23">
        <f>EXP(-LN(2)/2)*GN58+(1-EXP(-LN(2)/2))/(LN(2)/2)*GH59*GK59*VLOOKUP('Données projet'!$B$9,Paramètres!$A$1:$I$88,3,0)*0.475*44/12</f>
        <v>0</v>
      </c>
      <c r="GO59" s="23">
        <f t="shared" si="36"/>
        <v>0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IF(A59&lt;'Données projet'!$A$270,$GR$205^A59,IF(A59='Données projet'!$A$270,'Données projet'!$B$270,GU58+GT59-HC58))</f>
        <v>0</v>
      </c>
      <c r="GV59" s="18" t="e">
        <f>GU59*VLOOKUP('Données projet'!$B$18,Paramètres!$A$1:$I$88,3,0)*VLOOKUP('Données projet'!$B$18,Paramètres!$A$1:$I$88,5,0)</f>
        <v>#N/A</v>
      </c>
      <c r="GW59" s="14" t="e">
        <f t="shared" si="52"/>
        <v>#N/A</v>
      </c>
      <c r="GX59" s="22" t="e">
        <f t="shared" si="37"/>
        <v>#N/A</v>
      </c>
      <c r="GY59" s="62" t="e">
        <f t="shared" si="38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39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projet'!$B$18,Paramètres!$A$1:$I$88,7,0))</f>
        <v>0</v>
      </c>
      <c r="HE59" s="17">
        <f>IF(ISNA(VLOOKUP(A59,'Données projet'!$A$269:$I$289,6,0)),0%,VLOOKUP(A59,'Données projet'!$A$269:$I$289,6,0)*VLOOKUP('Données projet'!$B$18,Paramètres!$A$1:$I$88,7,0))</f>
        <v>0</v>
      </c>
      <c r="HF59" s="17">
        <f>IF(ISNA(VLOOKUP(A59,'Données projet'!$A$269:$I$289,7,0)),0%,VLOOKUP(A59,'Données projet'!$A$269:$I$289,7,0))</f>
        <v>0</v>
      </c>
      <c r="HG59" s="23">
        <f>EXP(-LN(2)/35)*HG58+(1-EXP(-LN(2)/35))/(LN(2)/35)*HC59*HD59*VLOOKUP('Données projet'!$B$9,Paramètres!$A$1:$I$88,3,0)*0.475*44/12</f>
        <v>0</v>
      </c>
      <c r="HH59" s="23">
        <f>EXP(-LN(2)/25)*HH58+(1-EXP(-LN(2)/25))/(LN(2)/25)*Calculateur!HC59*Calculateur!HE59*VLOOKUP('Données projet'!$B$9,Paramètres!$A$1:$I$88,3,0)*0.475*44/12</f>
        <v>0</v>
      </c>
      <c r="HI59" s="23">
        <f>EXP(-LN(2)/2)*HI58+(1-EXP(-LN(2)/2))/(LN(2)/2)*HC59*HF59*VLOOKUP('Données projet'!$B$9,Paramètres!$A$1:$I$88,3,0)*0.475*44/12</f>
        <v>0</v>
      </c>
      <c r="HJ59" s="24">
        <f t="shared" si="40"/>
        <v>0</v>
      </c>
    </row>
    <row r="60" spans="1:218" s="5" customFormat="1" x14ac:dyDescent="0.25">
      <c r="A60" s="11">
        <f t="shared" si="4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0" s="12">
        <f t="shared" si="4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135.66666666666666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1.7724999999999995</v>
      </c>
      <c r="N60" s="14">
        <f>IF(A60&lt;'Données projet'!$A$36,$K$205^A60,IF(A60='Données projet'!$A$36,'Données projet'!$B$36,N59+M60-V59))</f>
        <v>79.044999999999987</v>
      </c>
      <c r="O60" s="14">
        <f>N60*VLOOKUP('Données projet'!$B$9,Paramètres!$A$1:$I$88,3,0)*VLOOKUP('Données projet'!$B$9,Paramètres!$A$1:$I$88,5,0)</f>
        <v>91.05983999999998</v>
      </c>
      <c r="P60" s="14">
        <f t="shared" si="43"/>
        <v>24.820658459728463</v>
      </c>
      <c r="Q60" s="22">
        <f t="shared" si="53"/>
        <v>201.82520148402705</v>
      </c>
      <c r="R60" s="62">
        <f t="shared" si="0"/>
        <v>443.77236102772383</v>
      </c>
      <c r="S60" s="62">
        <f ca="1">AVERAGE(OFFSET($R$3,0,0,'Données projet'!$E$9+1,1))-AVERAGE(OFFSET($H$3,0,0,'Données projet'!$E$9+1,1))</f>
        <v>314.72063458462026</v>
      </c>
      <c r="T60" s="62">
        <f t="shared" si="3"/>
        <v>216.4380325968244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projet'!$B$9,Paramètres!$A$1:$I$88,7,0))</f>
        <v>0</v>
      </c>
      <c r="X60" s="17">
        <f>IF(ISNA(VLOOKUP(A60,'Données projet'!$A$35:$I$55,6,0)),0%,VLOOKUP(A60,'Données projet'!$A$35:$I$55,6,0)*VLOOKUP('Données projet'!$B$9,Paramètres!$A$1:$I$88,7,0))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projet'!$B$9,Paramètres!$A$1:$I$88,3,0)*0.475*44/12</f>
        <v>0</v>
      </c>
      <c r="AA60" s="23">
        <f>EXP(-LN(2)/25)*AA59+(1-EXP(-LN(2)/25))/(LN(2)/25)*Calculateur!V60*Calculateur!X60*VLOOKUP('Données projet'!$B$9,Paramètres!$A$1:$I$88,3,0)*0.475*44/12</f>
        <v>0</v>
      </c>
      <c r="AB60" s="23">
        <f>EXP(-LN(2)/2)*AB59+(1-EXP(-LN(2)/2))/(LN(2)/2)*V60*Y60*VLOOKUP('Données projet'!$B$9,Paramètres!$A$1:$I$88,3,0)*0.475*44/12</f>
        <v>0</v>
      </c>
      <c r="AC60" s="24">
        <f t="shared" si="4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4.8</v>
      </c>
      <c r="AI60" s="14">
        <f>IF(A60&lt;'Données projet'!$A$62,$AF$205^A60,IF(A60='Données projet'!$A$62,'Données projet'!$B$62,AI59+AH60-AQ59))</f>
        <v>167.60000000000002</v>
      </c>
      <c r="AJ60" s="14">
        <f>AI60*VLOOKUP('Données projet'!$B$10,Paramètres!$A$1:$I$88,3,0)*VLOOKUP('Données projet'!$B$10,Paramètres!$A$1:$I$88,5,0)</f>
        <v>175.17552000000003</v>
      </c>
      <c r="AK60" s="14">
        <f t="shared" si="44"/>
        <v>44.247136963929592</v>
      </c>
      <c r="AL60" s="22">
        <f t="shared" si="5"/>
        <v>382.16112754551074</v>
      </c>
      <c r="AM60" s="62">
        <f t="shared" si="6"/>
        <v>624.10828708920758</v>
      </c>
      <c r="AN60" s="62">
        <f ca="1">AVERAGE(OFFSET($AM$3,0,0,'Données projet'!$E$10+1,1))-AVERAGE(OFFSET($H$3,0,0,'Données projet'!$E$10+1,1))</f>
        <v>458.33072853676879</v>
      </c>
      <c r="AO60" s="62">
        <f t="shared" si="7"/>
        <v>254.1734169352687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projet'!$B$10,Paramètres!$A$1:$I$88,7,0))</f>
        <v>0</v>
      </c>
      <c r="AS60" s="17">
        <f>IF(ISNA(VLOOKUP(A60,'Données projet'!$A$61:$I$81,6,0)),0%,VLOOKUP(A60,'Données projet'!$A$61:$I$81,6,0)*VLOOKUP('Données projet'!$B$10,Paramètres!$A$1:$I$88,7,0))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projet'!$B$9,Paramètres!$A$1:$I$88,3,0)*0.475*44/12</f>
        <v>0</v>
      </c>
      <c r="AV60" s="23">
        <f>EXP(-LN(2)/25)*AV59+(1-EXP(-LN(2)/25))/(LN(2)/25)*Calculateur!AQ60*Calculateur!AS60*VLOOKUP('Données projet'!$B$9,Paramètres!$A$1:$I$88,3,0)*0.475*44/12</f>
        <v>0</v>
      </c>
      <c r="AW60" s="23">
        <f>EXP(-LN(2)/2)*AW59+(1-EXP(-LN(2)/2))/(LN(2)/2)*AQ60*AT60*VLOOKUP('Données projet'!$B$9,Paramètres!$A$1:$I$88,3,0)*0.475*44/12</f>
        <v>0</v>
      </c>
      <c r="AX60" s="23">
        <f t="shared" si="8"/>
        <v>0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4.8</v>
      </c>
      <c r="BD60" s="13">
        <f>IF(A60&lt;'Données projet'!$A$88,$BA$205^A60,IF(A60='Données projet'!$A$88,'Données projet'!$B$88,BD59+BC60-BL59))</f>
        <v>167.60000000000002</v>
      </c>
      <c r="BE60" s="14">
        <f>BD60*VLOOKUP('Données projet'!$B$11,Paramètres!$A$1:$I$88,3,0)*VLOOKUP('Données projet'!$B$11,Paramètres!$A$1:$I$88,5,0)</f>
        <v>169.94640000000001</v>
      </c>
      <c r="BF60" s="14">
        <f t="shared" si="45"/>
        <v>43.078018748038829</v>
      </c>
      <c r="BG60" s="22">
        <f t="shared" si="9"/>
        <v>371.01752931950097</v>
      </c>
      <c r="BH60" s="62">
        <f t="shared" si="10"/>
        <v>612.96468886319781</v>
      </c>
      <c r="BI60" s="62">
        <f ca="1">AVERAGE(OFFSET($BH$3,0,0,'Données projet'!$E$11+1,1))-AVERAGE(OFFSET($H$3,0,0,'Données projet'!$E$11+1,1))</f>
        <v>447.82618173893104</v>
      </c>
      <c r="BJ60" s="62">
        <f t="shared" si="11"/>
        <v>248.96509970783379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projet'!$B$11,Paramètres!$A$1:$I$88,7,0))</f>
        <v>0</v>
      </c>
      <c r="BN60" s="17">
        <f>IF(ISNA(VLOOKUP(A60,'Données projet'!$A$87:$I$107,6,0)),0%,VLOOKUP(A60,'Données projet'!$A$87:$I$107,6,0)*VLOOKUP('Données projet'!$B$11,Paramètres!$A$1:$I$88,7,0))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projet'!$B$9,Paramètres!$A$1:$I$88,3,0)*0.475*44/12</f>
        <v>0</v>
      </c>
      <c r="BQ60" s="23">
        <f>EXP(-LN(2)/25)*BQ59+(1-EXP(-LN(2)/25))/(LN(2)/25)*Calculateur!BL60*Calculateur!BN60*VLOOKUP('Données projet'!$B$9,Paramètres!$A$1:$I$88,3,0)*0.475*44/12</f>
        <v>0</v>
      </c>
      <c r="BR60" s="23">
        <f>EXP(-LN(2)/2)*BR59+(1-EXP(-LN(2)/2))/(LN(2)/2)*BL60*BO60*VLOOKUP('Données projet'!$B$9,Paramètres!$A$1:$I$88,3,0)*0.475*44/12</f>
        <v>0</v>
      </c>
      <c r="BS60" s="24">
        <f t="shared" si="12"/>
        <v>0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4.8</v>
      </c>
      <c r="BY60" s="13">
        <f>IF(A60&lt;'Données projet'!$A$114,$BV$205^A60,IF(A60='Données projet'!$A$114,'Données projet'!$B$114,BY59+BX60-CG59))</f>
        <v>167.60000000000002</v>
      </c>
      <c r="BZ60" s="14">
        <f>BY60*VLOOKUP('Données projet'!$B$12,Paramètres!$A$1:$I$88,3,0)*VLOOKUP('Données projet'!$B$12,Paramètres!$A$1:$I$88,5,0)</f>
        <v>180.40464</v>
      </c>
      <c r="CA60" s="14">
        <f t="shared" si="46"/>
        <v>45.412199343068217</v>
      </c>
      <c r="CB60" s="22">
        <f t="shared" si="13"/>
        <v>393.29766185584373</v>
      </c>
      <c r="CC60" s="62">
        <f t="shared" si="14"/>
        <v>635.24482139954057</v>
      </c>
      <c r="CD60" s="62">
        <f ca="1">AVERAGE(OFFSET($CC$3,0,0,'Données projet'!$E$12+1,1))-AVERAGE(OFFSET($H$3,0,0,'Données projet'!$E$12+1,1))</f>
        <v>468.82871618425406</v>
      </c>
      <c r="CE60" s="62">
        <f t="shared" si="15"/>
        <v>259.37818128554397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projet'!$B$12,Paramètres!$A$1:$I$88,7,0))</f>
        <v>0</v>
      </c>
      <c r="CI60" s="17">
        <f>IF(ISNA(VLOOKUP(A60,'Données projet'!$A$113:$I$133,6,0)),0%,VLOOKUP(A60,'Données projet'!$A$113:$I$133,6,0)*VLOOKUP('Données projet'!$B$12,Paramètres!$A$1:$I$88,7,0))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projet'!$B$9,Paramètres!$A$1:$I$88,3,0)*0.475*44/12</f>
        <v>0</v>
      </c>
      <c r="CL60" s="23">
        <f>EXP(-LN(2)/25)*CL59+(1-EXP(-LN(2)/25))/(LN(2)/25)*Calculateur!CG60*Calculateur!CI60*VLOOKUP('Données projet'!$B$9,Paramètres!$A$1:$I$88,3,0)*0.475*44/12</f>
        <v>0</v>
      </c>
      <c r="CM60" s="23">
        <f>EXP(-LN(2)/2)*CM59+(1-EXP(-LN(2)/2))/(LN(2)/2)*CG60*CJ60*VLOOKUP('Données projet'!$B$9,Paramètres!$A$1:$I$88,3,0)*0.475*44/12</f>
        <v>0</v>
      </c>
      <c r="CN60" s="24">
        <f t="shared" si="16"/>
        <v>0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4.8</v>
      </c>
      <c r="CT60" s="13">
        <f>IF(A60&lt;'Données projet'!$A$140,$CQ$205^A60,IF(A60='Données projet'!$A$140,'Données projet'!$B$140,CT59+CS60-DB59))</f>
        <v>167.60000000000002</v>
      </c>
      <c r="CU60" s="18">
        <f>CT60*VLOOKUP('Données projet'!$B$13,Paramètres!$A$1:$I$88,3,0)*VLOOKUP('Données projet'!$B$13,Paramètres!$A$1:$I$88,5,0)</f>
        <v>143.80080000000004</v>
      </c>
      <c r="CV60" s="14">
        <f t="shared" si="47"/>
        <v>37.166353342806708</v>
      </c>
      <c r="CW60" s="22">
        <f t="shared" si="17"/>
        <v>315.18445873872173</v>
      </c>
      <c r="CX60" s="62">
        <f t="shared" si="18"/>
        <v>557.13161828241846</v>
      </c>
      <c r="CY60" s="62">
        <f ca="1">AVERAGE(OFFSET($CX$3,0,0,'Données projet'!$E$13+1,1))-AVERAGE(OFFSET($H$3,0,0,'Données projet'!$E$13+1,1))</f>
        <v>395.19659151668884</v>
      </c>
      <c r="CZ60" s="62">
        <f t="shared" si="19"/>
        <v>222.86563304507339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projet'!$B$13,Paramètres!$A$1:$I$88,7,0))</f>
        <v>0</v>
      </c>
      <c r="DD60" s="17">
        <f>IF(ISNA(VLOOKUP(A60,'Données projet'!$A$139:$I$159,6,0)),0%,VLOOKUP(A60,'Données projet'!$A$139:$I$159,6,0)*VLOOKUP('Données projet'!$B$13,Paramètres!$A$1:$I$88,7,0))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projet'!$B$9,Paramètres!$A$1:$I$88,3,0)*0.475*44/12</f>
        <v>0</v>
      </c>
      <c r="DG60" s="23">
        <f>EXP(-LN(2)/25)*DG59+(1-EXP(-LN(2)/25))/(LN(2)/25)*Calculateur!DB60*Calculateur!DD60*VLOOKUP('Données projet'!$B$9,Paramètres!$A$1:$I$88,3,0)*0.475*44/12</f>
        <v>0</v>
      </c>
      <c r="DH60" s="23">
        <f>EXP(-LN(2)/2)*DH59+(1-EXP(-LN(2)/2))/(LN(2)/2)*DB60*DE60*VLOOKUP('Données projet'!$B$9,Paramètres!$A$1:$I$88,3,0)*0.475*44/12</f>
        <v>0</v>
      </c>
      <c r="DI60" s="24">
        <f t="shared" si="20"/>
        <v>0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4.666666666666667</v>
      </c>
      <c r="DO60" s="13">
        <f>IF(A60&lt;'Données projet'!$A$166,$DL$205^A60,IF(A60='Données projet'!$A$166,'Données projet'!$B$166,DO59+DN60-DW59))</f>
        <v>56.333333333333279</v>
      </c>
      <c r="DP60" s="18">
        <f>DO60*VLOOKUP('Données projet'!$B$14,Paramètres!$A$1:$I$88,3,0)*VLOOKUP('Données projet'!$B$14,Paramètres!$A$1:$I$88,5,0)</f>
        <v>32.95499999999997</v>
      </c>
      <c r="DQ60" s="14">
        <f t="shared" si="48"/>
        <v>10.110842369071191</v>
      </c>
      <c r="DR60" s="22">
        <f t="shared" si="21"/>
        <v>75.006342126132282</v>
      </c>
      <c r="DS60" s="62">
        <f t="shared" si="22"/>
        <v>316.95350166982905</v>
      </c>
      <c r="DT60" s="62">
        <f ca="1">AVERAGE(OFFSET($DS$3,0,0,'Données projet'!$E$14+1,1))-AVERAGE(OFFSET($H$3,0,0,'Données projet'!$E$14+1,1))</f>
        <v>155.18073137151848</v>
      </c>
      <c r="DU60" s="62">
        <f t="shared" si="23"/>
        <v>115.19459155667272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projet'!$B$14,Paramètres!$A$1:$I$88,7,0))</f>
        <v>0</v>
      </c>
      <c r="DY60" s="17">
        <f>IF(ISNA(VLOOKUP(A60,'Données projet'!$A$165:$I$185,6,0)),0%,VLOOKUP(A60,'Données projet'!$A$165:$I$185,6,0)*VLOOKUP('Données projet'!$B$14,Paramètres!$A$1:$I$88,7,0))</f>
        <v>0</v>
      </c>
      <c r="DZ60" s="17">
        <f>IF(ISNA(VLOOKUP(A60,'Données projet'!$A$165:$I$185,7,0)),0%,VLOOKUP(A60,'Données projet'!$A$165:$I$185,7,0))</f>
        <v>0</v>
      </c>
      <c r="EA60" s="23">
        <f>EXP(-LN(2)/35)*EA59+(1-EXP(-LN(2)/35))/(LN(2)/35)*DW60*DX60*VLOOKUP('Données projet'!$B$9,Paramètres!$A$1:$I$88,3,0)*0.475*44/12</f>
        <v>0</v>
      </c>
      <c r="EB60" s="23">
        <f>EXP(-LN(2)/25)*EB59+(1-EXP(-LN(2)/25))/(LN(2)/25)*Calculateur!DW60*Calculateur!DY60*VLOOKUP('Données projet'!$B$9,Paramètres!$A$1:$I$88,3,0)*0.475*44/12</f>
        <v>0</v>
      </c>
      <c r="EC60" s="23">
        <f>EXP(-LN(2)/2)*EC59+(1-EXP(-LN(2)/2))/(LN(2)/2)*DW60*DZ60*VLOOKUP('Données projet'!$B$9,Paramètres!$A$1:$I$88,3,0)*0.475*44/12</f>
        <v>0</v>
      </c>
      <c r="ED60" s="24">
        <f t="shared" si="24"/>
        <v>0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3.25</v>
      </c>
      <c r="EJ60" s="13">
        <f>IF(A60&lt;'Données projet'!$A$192,$EG$205^A60,IF(A60='Données projet'!$A$192,'Données projet'!$B$192,EJ59+EI60-ER59))</f>
        <v>149.80726690721221</v>
      </c>
      <c r="EK60" s="18">
        <f>EJ60*VLOOKUP('Données projet'!$B$15,Paramètres!$A$1:$I$88,3,0)*VLOOKUP('Données projet'!$B$15,Paramètres!$A$1:$I$88,5,0)</f>
        <v>70.109800912575309</v>
      </c>
      <c r="EL60" s="14">
        <f t="shared" si="49"/>
        <v>19.700722520005524</v>
      </c>
      <c r="EM60" s="22">
        <f t="shared" si="25"/>
        <v>156.41999497841161</v>
      </c>
      <c r="EN60" s="62">
        <f t="shared" si="26"/>
        <v>398.36715452210842</v>
      </c>
      <c r="EO60" s="62">
        <f ca="1">AVERAGE(OFFSET($EN$3,0,0,'Données projet'!$E$15+1,1))-AVERAGE(OFFSET($H$3,0,0,'Données projet'!$E$15+1,1))</f>
        <v>238.59014604384171</v>
      </c>
      <c r="EP60" s="62">
        <f t="shared" si="27"/>
        <v>90.841373219575217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projet'!$B$15,Paramètres!$A$1:$I$88,7,0))</f>
        <v>0</v>
      </c>
      <c r="ET60" s="17">
        <f>IF(ISNA(VLOOKUP(A60,'Données projet'!$A$191:$I$211,6,0)),0%,VLOOKUP(A60,'Données projet'!$A$191:$I$211,6,0)*VLOOKUP('Données projet'!$B$15,Paramètres!$A$1:$I$88,7,0))</f>
        <v>0</v>
      </c>
      <c r="EU60" s="17">
        <f>IF(ISNA(VLOOKUP(A60,'Données projet'!$A$191:$I$211,7,0)),0%,VLOOKUP(A60,'Données projet'!$A$191:$I$211,7,0))</f>
        <v>0</v>
      </c>
      <c r="EV60" s="23">
        <f>EXP(-LN(2)/35)*EV59+(1-EXP(-LN(2)/35))/(LN(2)/35)*ER60*ES60*VLOOKUP('Données projet'!$B$9,Paramètres!$A$1:$I$88,3,0)*0.475*44/12</f>
        <v>0</v>
      </c>
      <c r="EW60" s="23">
        <f>EXP(-LN(2)/25)*EW59+(1-EXP(-LN(2)/25))/(LN(2)/25)*Calculateur!ER60*Calculateur!ET60*VLOOKUP('Données projet'!$B$9,Paramètres!$A$1:$I$88,3,0)*0.475*44/12</f>
        <v>0</v>
      </c>
      <c r="EX60" s="23">
        <f>EXP(-LN(2)/2)*EX59+(1-EXP(-LN(2)/2))/(LN(2)/2)*ER60*EU60*VLOOKUP('Données projet'!$B$9,Paramètres!$A$1:$I$88,3,0)*0.475*44/12</f>
        <v>0</v>
      </c>
      <c r="EY60" s="24">
        <f t="shared" si="28"/>
        <v>0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IF(A60&lt;'Données projet'!$A$218,$FB$205^A60,IF(A60='Données projet'!$A$218,'Données projet'!$B$218,FE59+FD60-FM59))</f>
        <v>0</v>
      </c>
      <c r="FF60" s="18" t="e">
        <f>FE60*VLOOKUP('Données projet'!$B$16,Paramètres!$A$1:$I$88,3,0)*VLOOKUP('Données projet'!$B$16,Paramètres!$A$1:$I$88,5,0)</f>
        <v>#N/A</v>
      </c>
      <c r="FG60" s="14" t="e">
        <f t="shared" si="50"/>
        <v>#N/A</v>
      </c>
      <c r="FH60" s="22" t="e">
        <f t="shared" si="29"/>
        <v>#N/A</v>
      </c>
      <c r="FI60" s="62" t="e">
        <f t="shared" si="30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31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projet'!$B$16,Paramètres!$A$1:$I$88,7,0))</f>
        <v>0</v>
      </c>
      <c r="FO60" s="17">
        <f>IF(ISNA(VLOOKUP(A60,'Données projet'!$A$217:$I$237,6,0)),0%,VLOOKUP(A60,'Données projet'!$A$217:$I$237,6,0)*VLOOKUP('Données projet'!$B$16,Paramètres!$A$1:$I$88,7,0))</f>
        <v>0</v>
      </c>
      <c r="FP60" s="17">
        <f>IF(ISNA(VLOOKUP(A60,'Données projet'!$A$217:$I$237,7,0)),0%,VLOOKUP(A60,'Données projet'!$A$217:$I$237,7,0))</f>
        <v>0</v>
      </c>
      <c r="FQ60" s="23">
        <f>EXP(-LN(2)/35)*FQ59+(1-EXP(-LN(2)/35))/(LN(2)/35)*FM60*FN60*VLOOKUP('Données projet'!$B$9,Paramètres!$A$1:$I$88,3,0)*0.475*44/12</f>
        <v>0</v>
      </c>
      <c r="FR60" s="23">
        <f>EXP(-LN(2)/25)*FR59+(1-EXP(-LN(2)/25))/(LN(2)/25)*Calculateur!FM60*Calculateur!FO60*VLOOKUP('Données projet'!$B$9,Paramètres!$A$1:$I$88,3,0)*0.475*44/12</f>
        <v>0</v>
      </c>
      <c r="FS60" s="23">
        <f>EXP(-LN(2)/2)*FS59+(1-EXP(-LN(2)/2))/(LN(2)/2)*FM60*FP60*VLOOKUP('Données projet'!$B$9,Paramètres!$A$1:$I$88,3,0)*0.475*44/12</f>
        <v>0</v>
      </c>
      <c r="FT60" s="24">
        <f t="shared" si="32"/>
        <v>0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IF(A60&lt;'Données projet'!$A$244,$FW$205^A60,IF(A60='Données projet'!$A$244,'Données projet'!$B$244,FZ59+FY60-GH59))</f>
        <v>0</v>
      </c>
      <c r="GA60" s="18" t="e">
        <f>FZ60*VLOOKUP('Données projet'!$B$17,Paramètres!$A$1:$I$88,3,0)*VLOOKUP('Données projet'!$B$17,Paramètres!$A$1:$I$88,5,0)</f>
        <v>#N/A</v>
      </c>
      <c r="GB60" s="14" t="e">
        <f t="shared" si="51"/>
        <v>#N/A</v>
      </c>
      <c r="GC60" s="22" t="e">
        <f t="shared" si="33"/>
        <v>#N/A</v>
      </c>
      <c r="GD60" s="62" t="e">
        <f t="shared" si="34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35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projet'!$B$17,Paramètres!$A$1:$I$88,7,0))</f>
        <v>0</v>
      </c>
      <c r="GJ60" s="17">
        <f>IF(ISNA(VLOOKUP(A60,'Données projet'!$A$243:$I$263,6,0)),0%,VLOOKUP(A60,'Données projet'!$A$243:$I$263,6,0)*VLOOKUP('Données projet'!$B$17,Paramètres!$A$1:$I$88,7,0))</f>
        <v>0</v>
      </c>
      <c r="GK60" s="17">
        <f>IF(ISNA(VLOOKUP(A60,'Données projet'!$A$243:$I$263,7,0)),0%,VLOOKUP(A60,'Données projet'!$A$243:$I$263,7,0))</f>
        <v>0</v>
      </c>
      <c r="GL60" s="23">
        <f>EXP(-LN(2)/35)*GL59+(1-EXP(-LN(2)/35))/(LN(2)/35)*GH60*GI60*VLOOKUP('Données projet'!$B$9,Paramètres!$A$1:$I$88,3,0)*0.475*44/12</f>
        <v>0</v>
      </c>
      <c r="GM60" s="23">
        <f>EXP(-LN(2)/25)*GM59+(1-EXP(-LN(2)/25))/(LN(2)/25)*Calculateur!GH60*Calculateur!GJ60*VLOOKUP('Données projet'!$B$9,Paramètres!$A$1:$I$88,3,0)*0.475*44/12</f>
        <v>0</v>
      </c>
      <c r="GN60" s="23">
        <f>EXP(-LN(2)/2)*GN59+(1-EXP(-LN(2)/2))/(LN(2)/2)*GH60*GK60*VLOOKUP('Données projet'!$B$9,Paramètres!$A$1:$I$88,3,0)*0.475*44/12</f>
        <v>0</v>
      </c>
      <c r="GO60" s="23">
        <f t="shared" si="36"/>
        <v>0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IF(A60&lt;'Données projet'!$A$270,$GR$205^A60,IF(A60='Données projet'!$A$270,'Données projet'!$B$270,GU59+GT60-HC59))</f>
        <v>0</v>
      </c>
      <c r="GV60" s="18" t="e">
        <f>GU60*VLOOKUP('Données projet'!$B$18,Paramètres!$A$1:$I$88,3,0)*VLOOKUP('Données projet'!$B$18,Paramètres!$A$1:$I$88,5,0)</f>
        <v>#N/A</v>
      </c>
      <c r="GW60" s="14" t="e">
        <f t="shared" si="52"/>
        <v>#N/A</v>
      </c>
      <c r="GX60" s="22" t="e">
        <f t="shared" si="37"/>
        <v>#N/A</v>
      </c>
      <c r="GY60" s="62" t="e">
        <f t="shared" si="38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39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projet'!$B$18,Paramètres!$A$1:$I$88,7,0))</f>
        <v>0</v>
      </c>
      <c r="HE60" s="17">
        <f>IF(ISNA(VLOOKUP(A60,'Données projet'!$A$269:$I$289,6,0)),0%,VLOOKUP(A60,'Données projet'!$A$269:$I$289,6,0)*VLOOKUP('Données projet'!$B$18,Paramètres!$A$1:$I$88,7,0))</f>
        <v>0</v>
      </c>
      <c r="HF60" s="17">
        <f>IF(ISNA(VLOOKUP(A60,'Données projet'!$A$269:$I$289,7,0)),0%,VLOOKUP(A60,'Données projet'!$A$269:$I$289,7,0))</f>
        <v>0</v>
      </c>
      <c r="HG60" s="23">
        <f>EXP(-LN(2)/35)*HG59+(1-EXP(-LN(2)/35))/(LN(2)/35)*HC60*HD60*VLOOKUP('Données projet'!$B$9,Paramètres!$A$1:$I$88,3,0)*0.475*44/12</f>
        <v>0</v>
      </c>
      <c r="HH60" s="23">
        <f>EXP(-LN(2)/25)*HH59+(1-EXP(-LN(2)/25))/(LN(2)/25)*Calculateur!HC60*Calculateur!HE60*VLOOKUP('Données projet'!$B$9,Paramètres!$A$1:$I$88,3,0)*0.475*44/12</f>
        <v>0</v>
      </c>
      <c r="HI60" s="23">
        <f>EXP(-LN(2)/2)*HI59+(1-EXP(-LN(2)/2))/(LN(2)/2)*HC60*HF60*VLOOKUP('Données projet'!$B$9,Paramètres!$A$1:$I$88,3,0)*0.475*44/12</f>
        <v>0</v>
      </c>
      <c r="HJ60" s="24">
        <f t="shared" si="40"/>
        <v>0</v>
      </c>
    </row>
    <row r="61" spans="1:218" s="5" customFormat="1" x14ac:dyDescent="0.25">
      <c r="A61" s="11">
        <f t="shared" si="4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1" s="12">
        <f t="shared" si="4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135.66666666666666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1.7724999999999995</v>
      </c>
      <c r="N61" s="14">
        <f>IF(A61&lt;'Données projet'!$A$36,$K$205^A61,IF(A61='Données projet'!$A$36,'Données projet'!$B$36,N60+M61-V60))</f>
        <v>80.817499999999981</v>
      </c>
      <c r="O61" s="14">
        <f>N61*VLOOKUP('Données projet'!$B$9,Paramètres!$A$1:$I$88,3,0)*VLOOKUP('Données projet'!$B$9,Paramètres!$A$1:$I$88,5,0)</f>
        <v>93.10175999999997</v>
      </c>
      <c r="P61" s="14">
        <f t="shared" si="43"/>
        <v>25.311813234087357</v>
      </c>
      <c r="Q61" s="22">
        <f t="shared" si="53"/>
        <v>206.23697338270208</v>
      </c>
      <c r="R61" s="62">
        <f t="shared" si="0"/>
        <v>449.07556815937511</v>
      </c>
      <c r="S61" s="62">
        <f ca="1">AVERAGE(OFFSET($R$3,0,0,'Données projet'!$E$9+1,1))-AVERAGE(OFFSET($H$3,0,0,'Données projet'!$E$9+1,1))</f>
        <v>314.72063458462026</v>
      </c>
      <c r="T61" s="62">
        <f t="shared" si="3"/>
        <v>216.4380325968244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projet'!$B$9,Paramètres!$A$1:$I$88,7,0))</f>
        <v>0</v>
      </c>
      <c r="X61" s="17">
        <f>IF(ISNA(VLOOKUP(A61,'Données projet'!$A$35:$I$55,6,0)),0%,VLOOKUP(A61,'Données projet'!$A$35:$I$55,6,0)*VLOOKUP('Données projet'!$B$9,Paramètres!$A$1:$I$88,7,0))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projet'!$B$9,Paramètres!$A$1:$I$88,3,0)*0.475*44/12</f>
        <v>0</v>
      </c>
      <c r="AA61" s="23">
        <f>EXP(-LN(2)/25)*AA60+(1-EXP(-LN(2)/25))/(LN(2)/25)*Calculateur!V61*Calculateur!X61*VLOOKUP('Données projet'!$B$9,Paramètres!$A$1:$I$88,3,0)*0.475*44/12</f>
        <v>0</v>
      </c>
      <c r="AB61" s="23">
        <f>EXP(-LN(2)/2)*AB60+(1-EXP(-LN(2)/2))/(LN(2)/2)*V61*Y61*VLOOKUP('Données projet'!$B$9,Paramètres!$A$1:$I$88,3,0)*0.475*44/12</f>
        <v>0</v>
      </c>
      <c r="AC61" s="24">
        <f t="shared" si="4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4.8</v>
      </c>
      <c r="AI61" s="14">
        <f>IF(A61&lt;'Données projet'!$A$62,$AF$205^A61,IF(A61='Données projet'!$A$62,'Données projet'!$B$62,AI60+AH61-AQ60))</f>
        <v>172.40000000000003</v>
      </c>
      <c r="AJ61" s="14">
        <f>AI61*VLOOKUP('Données projet'!$B$10,Paramètres!$A$1:$I$88,3,0)*VLOOKUP('Données projet'!$B$10,Paramètres!$A$1:$I$88,5,0)</f>
        <v>180.19248000000005</v>
      </c>
      <c r="AK61" s="14">
        <f t="shared" si="44"/>
        <v>45.365006756276635</v>
      </c>
      <c r="AL61" s="22">
        <f t="shared" si="5"/>
        <v>392.8459561005152</v>
      </c>
      <c r="AM61" s="62">
        <f t="shared" si="6"/>
        <v>635.68455087718826</v>
      </c>
      <c r="AN61" s="62">
        <f ca="1">AVERAGE(OFFSET($AM$3,0,0,'Données projet'!$E$10+1,1))-AVERAGE(OFFSET($H$3,0,0,'Données projet'!$E$10+1,1))</f>
        <v>458.33072853676879</v>
      </c>
      <c r="AO61" s="62">
        <f t="shared" si="7"/>
        <v>254.1734169352687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projet'!$B$10,Paramètres!$A$1:$I$88,7,0))</f>
        <v>0</v>
      </c>
      <c r="AS61" s="17">
        <f>IF(ISNA(VLOOKUP(A61,'Données projet'!$A$61:$I$81,6,0)),0%,VLOOKUP(A61,'Données projet'!$A$61:$I$81,6,0)*VLOOKUP('Données projet'!$B$10,Paramètres!$A$1:$I$88,7,0))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projet'!$B$9,Paramètres!$A$1:$I$88,3,0)*0.475*44/12</f>
        <v>0</v>
      </c>
      <c r="AV61" s="23">
        <f>EXP(-LN(2)/25)*AV60+(1-EXP(-LN(2)/25))/(LN(2)/25)*Calculateur!AQ61*Calculateur!AS61*VLOOKUP('Données projet'!$B$9,Paramètres!$A$1:$I$88,3,0)*0.475*44/12</f>
        <v>0</v>
      </c>
      <c r="AW61" s="23">
        <f>EXP(-LN(2)/2)*AW60+(1-EXP(-LN(2)/2))/(LN(2)/2)*AQ61*AT61*VLOOKUP('Données projet'!$B$9,Paramètres!$A$1:$I$88,3,0)*0.475*44/12</f>
        <v>0</v>
      </c>
      <c r="AX61" s="23">
        <f t="shared" si="8"/>
        <v>0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4.8</v>
      </c>
      <c r="BD61" s="13">
        <f>IF(A61&lt;'Données projet'!$A$88,$BA$205^A61,IF(A61='Données projet'!$A$88,'Données projet'!$B$88,BD60+BC61-BL60))</f>
        <v>172.40000000000003</v>
      </c>
      <c r="BE61" s="14">
        <f>BD61*VLOOKUP('Données projet'!$B$11,Paramètres!$A$1:$I$88,3,0)*VLOOKUP('Données projet'!$B$11,Paramètres!$A$1:$I$88,5,0)</f>
        <v>174.81360000000006</v>
      </c>
      <c r="BF61" s="14">
        <f t="shared" si="45"/>
        <v>44.166351670276271</v>
      </c>
      <c r="BG61" s="22">
        <f t="shared" si="9"/>
        <v>381.39008249239788</v>
      </c>
      <c r="BH61" s="62">
        <f t="shared" si="10"/>
        <v>624.22867726907089</v>
      </c>
      <c r="BI61" s="62">
        <f ca="1">AVERAGE(OFFSET($BH$3,0,0,'Données projet'!$E$11+1,1))-AVERAGE(OFFSET($H$3,0,0,'Données projet'!$E$11+1,1))</f>
        <v>447.82618173893104</v>
      </c>
      <c r="BJ61" s="62">
        <f t="shared" si="11"/>
        <v>248.96509970783379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projet'!$B$11,Paramètres!$A$1:$I$88,7,0))</f>
        <v>0</v>
      </c>
      <c r="BN61" s="17">
        <f>IF(ISNA(VLOOKUP(A61,'Données projet'!$A$87:$I$107,6,0)),0%,VLOOKUP(A61,'Données projet'!$A$87:$I$107,6,0)*VLOOKUP('Données projet'!$B$11,Paramètres!$A$1:$I$88,7,0))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projet'!$B$9,Paramètres!$A$1:$I$88,3,0)*0.475*44/12</f>
        <v>0</v>
      </c>
      <c r="BQ61" s="23">
        <f>EXP(-LN(2)/25)*BQ60+(1-EXP(-LN(2)/25))/(LN(2)/25)*Calculateur!BL61*Calculateur!BN61*VLOOKUP('Données projet'!$B$9,Paramètres!$A$1:$I$88,3,0)*0.475*44/12</f>
        <v>0</v>
      </c>
      <c r="BR61" s="23">
        <f>EXP(-LN(2)/2)*BR60+(1-EXP(-LN(2)/2))/(LN(2)/2)*BL61*BO61*VLOOKUP('Données projet'!$B$9,Paramètres!$A$1:$I$88,3,0)*0.475*44/12</f>
        <v>0</v>
      </c>
      <c r="BS61" s="24">
        <f t="shared" si="12"/>
        <v>0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4.8</v>
      </c>
      <c r="BY61" s="13">
        <f>IF(A61&lt;'Données projet'!$A$114,$BV$205^A61,IF(A61='Données projet'!$A$114,'Données projet'!$B$114,BY60+BX61-CG60))</f>
        <v>172.40000000000003</v>
      </c>
      <c r="BZ61" s="14">
        <f>BY61*VLOOKUP('Données projet'!$B$12,Paramètres!$A$1:$I$88,3,0)*VLOOKUP('Données projet'!$B$12,Paramètres!$A$1:$I$88,5,0)</f>
        <v>185.57136000000003</v>
      </c>
      <c r="CA61" s="14">
        <f t="shared" si="46"/>
        <v>46.559503537937182</v>
      </c>
      <c r="CB61" s="22">
        <f t="shared" si="13"/>
        <v>404.29458732857393</v>
      </c>
      <c r="CC61" s="62">
        <f t="shared" si="14"/>
        <v>647.13318210524699</v>
      </c>
      <c r="CD61" s="62">
        <f ca="1">AVERAGE(OFFSET($CC$3,0,0,'Données projet'!$E$12+1,1))-AVERAGE(OFFSET($H$3,0,0,'Données projet'!$E$12+1,1))</f>
        <v>468.82871618425406</v>
      </c>
      <c r="CE61" s="62">
        <f t="shared" si="15"/>
        <v>259.37818128554397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projet'!$B$12,Paramètres!$A$1:$I$88,7,0))</f>
        <v>0</v>
      </c>
      <c r="CI61" s="17">
        <f>IF(ISNA(VLOOKUP(A61,'Données projet'!$A$113:$I$133,6,0)),0%,VLOOKUP(A61,'Données projet'!$A$113:$I$133,6,0)*VLOOKUP('Données projet'!$B$12,Paramètres!$A$1:$I$88,7,0))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projet'!$B$9,Paramètres!$A$1:$I$88,3,0)*0.475*44/12</f>
        <v>0</v>
      </c>
      <c r="CL61" s="23">
        <f>EXP(-LN(2)/25)*CL60+(1-EXP(-LN(2)/25))/(LN(2)/25)*Calculateur!CG61*Calculateur!CI61*VLOOKUP('Données projet'!$B$9,Paramètres!$A$1:$I$88,3,0)*0.475*44/12</f>
        <v>0</v>
      </c>
      <c r="CM61" s="23">
        <f>EXP(-LN(2)/2)*CM60+(1-EXP(-LN(2)/2))/(LN(2)/2)*CG61*CJ61*VLOOKUP('Données projet'!$B$9,Paramètres!$A$1:$I$88,3,0)*0.475*44/12</f>
        <v>0</v>
      </c>
      <c r="CN61" s="24">
        <f t="shared" si="16"/>
        <v>0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4.8</v>
      </c>
      <c r="CT61" s="13">
        <f>IF(A61&lt;'Données projet'!$A$140,$CQ$205^A61,IF(A61='Données projet'!$A$140,'Données projet'!$B$140,CT60+CS61-DB60))</f>
        <v>172.40000000000003</v>
      </c>
      <c r="CU61" s="18">
        <f>CT61*VLOOKUP('Données projet'!$B$13,Paramètres!$A$1:$I$88,3,0)*VLOOKUP('Données projet'!$B$13,Paramètres!$A$1:$I$88,5,0)</f>
        <v>147.91920000000005</v>
      </c>
      <c r="CV61" s="14">
        <f t="shared" si="47"/>
        <v>38.105332597611131</v>
      </c>
      <c r="CW61" s="22">
        <f t="shared" si="17"/>
        <v>323.99272760750608</v>
      </c>
      <c r="CX61" s="62">
        <f t="shared" si="18"/>
        <v>566.83132238417909</v>
      </c>
      <c r="CY61" s="62">
        <f ca="1">AVERAGE(OFFSET($CX$3,0,0,'Données projet'!$E$13+1,1))-AVERAGE(OFFSET($H$3,0,0,'Données projet'!$E$13+1,1))</f>
        <v>395.19659151668884</v>
      </c>
      <c r="CZ61" s="62">
        <f t="shared" si="19"/>
        <v>222.86563304507339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projet'!$B$13,Paramètres!$A$1:$I$88,7,0))</f>
        <v>0</v>
      </c>
      <c r="DD61" s="17">
        <f>IF(ISNA(VLOOKUP(A61,'Données projet'!$A$139:$I$159,6,0)),0%,VLOOKUP(A61,'Données projet'!$A$139:$I$159,6,0)*VLOOKUP('Données projet'!$B$13,Paramètres!$A$1:$I$88,7,0))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projet'!$B$9,Paramètres!$A$1:$I$88,3,0)*0.475*44/12</f>
        <v>0</v>
      </c>
      <c r="DG61" s="23">
        <f>EXP(-LN(2)/25)*DG60+(1-EXP(-LN(2)/25))/(LN(2)/25)*Calculateur!DB61*Calculateur!DD61*VLOOKUP('Données projet'!$B$9,Paramètres!$A$1:$I$88,3,0)*0.475*44/12</f>
        <v>0</v>
      </c>
      <c r="DH61" s="23">
        <f>EXP(-LN(2)/2)*DH60+(1-EXP(-LN(2)/2))/(LN(2)/2)*DB61*DE61*VLOOKUP('Données projet'!$B$9,Paramètres!$A$1:$I$88,3,0)*0.475*44/12</f>
        <v>0</v>
      </c>
      <c r="DI61" s="24">
        <f t="shared" si="20"/>
        <v>0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4.666666666666667</v>
      </c>
      <c r="DO61" s="13">
        <f>IF(A61&lt;'Données projet'!$A$166,$DL$205^A61,IF(A61='Données projet'!$A$166,'Données projet'!$B$166,DO60+DN61-DW60))</f>
        <v>60.999999999999943</v>
      </c>
      <c r="DP61" s="18">
        <f>DO61*VLOOKUP('Données projet'!$B$14,Paramètres!$A$1:$I$88,3,0)*VLOOKUP('Données projet'!$B$14,Paramètres!$A$1:$I$88,5,0)</f>
        <v>35.684999999999967</v>
      </c>
      <c r="DQ61" s="14">
        <f t="shared" si="48"/>
        <v>10.847469316789926</v>
      </c>
      <c r="DR61" s="22">
        <f t="shared" si="21"/>
        <v>81.044050726742398</v>
      </c>
      <c r="DS61" s="62">
        <f t="shared" si="22"/>
        <v>323.88264550341546</v>
      </c>
      <c r="DT61" s="62">
        <f ca="1">AVERAGE(OFFSET($DS$3,0,0,'Données projet'!$E$14+1,1))-AVERAGE(OFFSET($H$3,0,0,'Données projet'!$E$14+1,1))</f>
        <v>155.18073137151848</v>
      </c>
      <c r="DU61" s="62">
        <f t="shared" si="23"/>
        <v>115.19459155667272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projet'!$B$14,Paramètres!$A$1:$I$88,7,0))</f>
        <v>0</v>
      </c>
      <c r="DY61" s="17">
        <f>IF(ISNA(VLOOKUP(A61,'Données projet'!$A$165:$I$185,6,0)),0%,VLOOKUP(A61,'Données projet'!$A$165:$I$185,6,0)*VLOOKUP('Données projet'!$B$14,Paramètres!$A$1:$I$88,7,0))</f>
        <v>0</v>
      </c>
      <c r="DZ61" s="17">
        <f>IF(ISNA(VLOOKUP(A61,'Données projet'!$A$165:$I$185,7,0)),0%,VLOOKUP(A61,'Données projet'!$A$165:$I$185,7,0))</f>
        <v>0</v>
      </c>
      <c r="EA61" s="23">
        <f>EXP(-LN(2)/35)*EA60+(1-EXP(-LN(2)/35))/(LN(2)/35)*DW61*DX61*VLOOKUP('Données projet'!$B$9,Paramètres!$A$1:$I$88,3,0)*0.475*44/12</f>
        <v>0</v>
      </c>
      <c r="EB61" s="23">
        <f>EXP(-LN(2)/25)*EB60+(1-EXP(-LN(2)/25))/(LN(2)/25)*Calculateur!DW61*Calculateur!DY61*VLOOKUP('Données projet'!$B$9,Paramètres!$A$1:$I$88,3,0)*0.475*44/12</f>
        <v>0</v>
      </c>
      <c r="EC61" s="23">
        <f>EXP(-LN(2)/2)*EC60+(1-EXP(-LN(2)/2))/(LN(2)/2)*DW61*DZ61*VLOOKUP('Données projet'!$B$9,Paramètres!$A$1:$I$88,3,0)*0.475*44/12</f>
        <v>0</v>
      </c>
      <c r="ED61" s="24">
        <f t="shared" si="24"/>
        <v>0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3.25</v>
      </c>
      <c r="EJ61" s="13">
        <f>IF(A61&lt;'Données projet'!$A$192,$EG$205^A61,IF(A61='Données projet'!$A$192,'Données projet'!$B$192,EJ60+EI61-ER60))</f>
        <v>163.56867072782029</v>
      </c>
      <c r="EK61" s="18">
        <f>EJ61*VLOOKUP('Données projet'!$B$15,Paramètres!$A$1:$I$88,3,0)*VLOOKUP('Données projet'!$B$15,Paramètres!$A$1:$I$88,5,0)</f>
        <v>76.550137900619887</v>
      </c>
      <c r="EL61" s="14">
        <f t="shared" si="49"/>
        <v>21.291523122789751</v>
      </c>
      <c r="EM61" s="22">
        <f t="shared" si="25"/>
        <v>170.40755961577179</v>
      </c>
      <c r="EN61" s="62">
        <f t="shared" si="26"/>
        <v>413.24615439244485</v>
      </c>
      <c r="EO61" s="62">
        <f ca="1">AVERAGE(OFFSET($EN$3,0,0,'Données projet'!$E$15+1,1))-AVERAGE(OFFSET($H$3,0,0,'Données projet'!$E$15+1,1))</f>
        <v>238.59014604384171</v>
      </c>
      <c r="EP61" s="62">
        <f t="shared" si="27"/>
        <v>90.841373219575217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projet'!$B$15,Paramètres!$A$1:$I$88,7,0))</f>
        <v>0</v>
      </c>
      <c r="ET61" s="17">
        <f>IF(ISNA(VLOOKUP(A61,'Données projet'!$A$191:$I$211,6,0)),0%,VLOOKUP(A61,'Données projet'!$A$191:$I$211,6,0)*VLOOKUP('Données projet'!$B$15,Paramètres!$A$1:$I$88,7,0))</f>
        <v>0</v>
      </c>
      <c r="EU61" s="17">
        <f>IF(ISNA(VLOOKUP(A61,'Données projet'!$A$191:$I$211,7,0)),0%,VLOOKUP(A61,'Données projet'!$A$191:$I$211,7,0))</f>
        <v>0</v>
      </c>
      <c r="EV61" s="23">
        <f>EXP(-LN(2)/35)*EV60+(1-EXP(-LN(2)/35))/(LN(2)/35)*ER61*ES61*VLOOKUP('Données projet'!$B$9,Paramètres!$A$1:$I$88,3,0)*0.475*44/12</f>
        <v>0</v>
      </c>
      <c r="EW61" s="23">
        <f>EXP(-LN(2)/25)*EW60+(1-EXP(-LN(2)/25))/(LN(2)/25)*Calculateur!ER61*Calculateur!ET61*VLOOKUP('Données projet'!$B$9,Paramètres!$A$1:$I$88,3,0)*0.475*44/12</f>
        <v>0</v>
      </c>
      <c r="EX61" s="23">
        <f>EXP(-LN(2)/2)*EX60+(1-EXP(-LN(2)/2))/(LN(2)/2)*ER61*EU61*VLOOKUP('Données projet'!$B$9,Paramètres!$A$1:$I$88,3,0)*0.475*44/12</f>
        <v>0</v>
      </c>
      <c r="EY61" s="24">
        <f t="shared" si="28"/>
        <v>0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IF(A61&lt;'Données projet'!$A$218,$FB$205^A61,IF(A61='Données projet'!$A$218,'Données projet'!$B$218,FE60+FD61-FM60))</f>
        <v>0</v>
      </c>
      <c r="FF61" s="18" t="e">
        <f>FE61*VLOOKUP('Données projet'!$B$16,Paramètres!$A$1:$I$88,3,0)*VLOOKUP('Données projet'!$B$16,Paramètres!$A$1:$I$88,5,0)</f>
        <v>#N/A</v>
      </c>
      <c r="FG61" s="14" t="e">
        <f t="shared" si="50"/>
        <v>#N/A</v>
      </c>
      <c r="FH61" s="22" t="e">
        <f t="shared" si="29"/>
        <v>#N/A</v>
      </c>
      <c r="FI61" s="62" t="e">
        <f t="shared" si="30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31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projet'!$B$16,Paramètres!$A$1:$I$88,7,0))</f>
        <v>0</v>
      </c>
      <c r="FO61" s="17">
        <f>IF(ISNA(VLOOKUP(A61,'Données projet'!$A$217:$I$237,6,0)),0%,VLOOKUP(A61,'Données projet'!$A$217:$I$237,6,0)*VLOOKUP('Données projet'!$B$16,Paramètres!$A$1:$I$88,7,0))</f>
        <v>0</v>
      </c>
      <c r="FP61" s="17">
        <f>IF(ISNA(VLOOKUP(A61,'Données projet'!$A$217:$I$237,7,0)),0%,VLOOKUP(A61,'Données projet'!$A$217:$I$237,7,0))</f>
        <v>0</v>
      </c>
      <c r="FQ61" s="23">
        <f>EXP(-LN(2)/35)*FQ60+(1-EXP(-LN(2)/35))/(LN(2)/35)*FM61*FN61*VLOOKUP('Données projet'!$B$9,Paramètres!$A$1:$I$88,3,0)*0.475*44/12</f>
        <v>0</v>
      </c>
      <c r="FR61" s="23">
        <f>EXP(-LN(2)/25)*FR60+(1-EXP(-LN(2)/25))/(LN(2)/25)*Calculateur!FM61*Calculateur!FO61*VLOOKUP('Données projet'!$B$9,Paramètres!$A$1:$I$88,3,0)*0.475*44/12</f>
        <v>0</v>
      </c>
      <c r="FS61" s="23">
        <f>EXP(-LN(2)/2)*FS60+(1-EXP(-LN(2)/2))/(LN(2)/2)*FM61*FP61*VLOOKUP('Données projet'!$B$9,Paramètres!$A$1:$I$88,3,0)*0.475*44/12</f>
        <v>0</v>
      </c>
      <c r="FT61" s="24">
        <f t="shared" si="32"/>
        <v>0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IF(A61&lt;'Données projet'!$A$244,$FW$205^A61,IF(A61='Données projet'!$A$244,'Données projet'!$B$244,FZ60+FY61-GH60))</f>
        <v>0</v>
      </c>
      <c r="GA61" s="18" t="e">
        <f>FZ61*VLOOKUP('Données projet'!$B$17,Paramètres!$A$1:$I$88,3,0)*VLOOKUP('Données projet'!$B$17,Paramètres!$A$1:$I$88,5,0)</f>
        <v>#N/A</v>
      </c>
      <c r="GB61" s="14" t="e">
        <f t="shared" si="51"/>
        <v>#N/A</v>
      </c>
      <c r="GC61" s="22" t="e">
        <f t="shared" si="33"/>
        <v>#N/A</v>
      </c>
      <c r="GD61" s="62" t="e">
        <f t="shared" si="34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35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projet'!$B$17,Paramètres!$A$1:$I$88,7,0))</f>
        <v>0</v>
      </c>
      <c r="GJ61" s="17">
        <f>IF(ISNA(VLOOKUP(A61,'Données projet'!$A$243:$I$263,6,0)),0%,VLOOKUP(A61,'Données projet'!$A$243:$I$263,6,0)*VLOOKUP('Données projet'!$B$17,Paramètres!$A$1:$I$88,7,0))</f>
        <v>0</v>
      </c>
      <c r="GK61" s="17">
        <f>IF(ISNA(VLOOKUP(A61,'Données projet'!$A$243:$I$263,7,0)),0%,VLOOKUP(A61,'Données projet'!$A$243:$I$263,7,0))</f>
        <v>0</v>
      </c>
      <c r="GL61" s="23">
        <f>EXP(-LN(2)/35)*GL60+(1-EXP(-LN(2)/35))/(LN(2)/35)*GH61*GI61*VLOOKUP('Données projet'!$B$9,Paramètres!$A$1:$I$88,3,0)*0.475*44/12</f>
        <v>0</v>
      </c>
      <c r="GM61" s="23">
        <f>EXP(-LN(2)/25)*GM60+(1-EXP(-LN(2)/25))/(LN(2)/25)*Calculateur!GH61*Calculateur!GJ61*VLOOKUP('Données projet'!$B$9,Paramètres!$A$1:$I$88,3,0)*0.475*44/12</f>
        <v>0</v>
      </c>
      <c r="GN61" s="23">
        <f>EXP(-LN(2)/2)*GN60+(1-EXP(-LN(2)/2))/(LN(2)/2)*GH61*GK61*VLOOKUP('Données projet'!$B$9,Paramètres!$A$1:$I$88,3,0)*0.475*44/12</f>
        <v>0</v>
      </c>
      <c r="GO61" s="23">
        <f t="shared" si="36"/>
        <v>0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IF(A61&lt;'Données projet'!$A$270,$GR$205^A61,IF(A61='Données projet'!$A$270,'Données projet'!$B$270,GU60+GT61-HC60))</f>
        <v>0</v>
      </c>
      <c r="GV61" s="18" t="e">
        <f>GU61*VLOOKUP('Données projet'!$B$18,Paramètres!$A$1:$I$88,3,0)*VLOOKUP('Données projet'!$B$18,Paramètres!$A$1:$I$88,5,0)</f>
        <v>#N/A</v>
      </c>
      <c r="GW61" s="14" t="e">
        <f t="shared" si="52"/>
        <v>#N/A</v>
      </c>
      <c r="GX61" s="22" t="e">
        <f t="shared" si="37"/>
        <v>#N/A</v>
      </c>
      <c r="GY61" s="62" t="e">
        <f t="shared" si="38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39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projet'!$B$18,Paramètres!$A$1:$I$88,7,0))</f>
        <v>0</v>
      </c>
      <c r="HE61" s="17">
        <f>IF(ISNA(VLOOKUP(A61,'Données projet'!$A$269:$I$289,6,0)),0%,VLOOKUP(A61,'Données projet'!$A$269:$I$289,6,0)*VLOOKUP('Données projet'!$B$18,Paramètres!$A$1:$I$88,7,0))</f>
        <v>0</v>
      </c>
      <c r="HF61" s="17">
        <f>IF(ISNA(VLOOKUP(A61,'Données projet'!$A$269:$I$289,7,0)),0%,VLOOKUP(A61,'Données projet'!$A$269:$I$289,7,0))</f>
        <v>0</v>
      </c>
      <c r="HG61" s="23">
        <f>EXP(-LN(2)/35)*HG60+(1-EXP(-LN(2)/35))/(LN(2)/35)*HC61*HD61*VLOOKUP('Données projet'!$B$9,Paramètres!$A$1:$I$88,3,0)*0.475*44/12</f>
        <v>0</v>
      </c>
      <c r="HH61" s="23">
        <f>EXP(-LN(2)/25)*HH60+(1-EXP(-LN(2)/25))/(LN(2)/25)*Calculateur!HC61*Calculateur!HE61*VLOOKUP('Données projet'!$B$9,Paramètres!$A$1:$I$88,3,0)*0.475*44/12</f>
        <v>0</v>
      </c>
      <c r="HI61" s="23">
        <f>EXP(-LN(2)/2)*HI60+(1-EXP(-LN(2)/2))/(LN(2)/2)*HC61*HF61*VLOOKUP('Données projet'!$B$9,Paramètres!$A$1:$I$88,3,0)*0.475*44/12</f>
        <v>0</v>
      </c>
      <c r="HJ61" s="24">
        <f t="shared" si="40"/>
        <v>0</v>
      </c>
    </row>
    <row r="62" spans="1:218" s="5" customFormat="1" x14ac:dyDescent="0.25">
      <c r="A62" s="11">
        <f t="shared" si="4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2" s="12">
        <f t="shared" si="4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135.66666666666666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1.7724999999999995</v>
      </c>
      <c r="N62" s="14">
        <f>IF(A62&lt;'Données projet'!$A$36,$K$205^A62,IF(A62='Données projet'!$A$36,'Données projet'!$B$36,N61+M62-V61))</f>
        <v>82.589999999999975</v>
      </c>
      <c r="O62" s="14">
        <f>N62*VLOOKUP('Données projet'!$B$9,Paramètres!$A$1:$I$88,3,0)*VLOOKUP('Données projet'!$B$9,Paramètres!$A$1:$I$88,5,0)</f>
        <v>95.143679999999961</v>
      </c>
      <c r="P62" s="14">
        <f t="shared" si="43"/>
        <v>25.801715632414158</v>
      </c>
      <c r="Q62" s="22">
        <f t="shared" si="53"/>
        <v>210.64656405978792</v>
      </c>
      <c r="R62" s="62">
        <f t="shared" si="0"/>
        <v>454.36112966109556</v>
      </c>
      <c r="S62" s="62">
        <f ca="1">AVERAGE(OFFSET($R$3,0,0,'Données projet'!$E$9+1,1))-AVERAGE(OFFSET($H$3,0,0,'Données projet'!$E$9+1,1))</f>
        <v>314.72063458462026</v>
      </c>
      <c r="T62" s="62">
        <f t="shared" si="3"/>
        <v>216.4380325968244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projet'!$B$9,Paramètres!$A$1:$I$88,7,0))</f>
        <v>0</v>
      </c>
      <c r="X62" s="17">
        <f>IF(ISNA(VLOOKUP(A62,'Données projet'!$A$35:$I$55,6,0)),0%,VLOOKUP(A62,'Données projet'!$A$35:$I$55,6,0)*VLOOKUP('Données projet'!$B$9,Paramètres!$A$1:$I$88,7,0))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projet'!$B$9,Paramètres!$A$1:$I$88,3,0)*0.475*44/12</f>
        <v>0</v>
      </c>
      <c r="AA62" s="23">
        <f>EXP(-LN(2)/25)*AA61+(1-EXP(-LN(2)/25))/(LN(2)/25)*Calculateur!V62*Calculateur!X62*VLOOKUP('Données projet'!$B$9,Paramètres!$A$1:$I$88,3,0)*0.475*44/12</f>
        <v>0</v>
      </c>
      <c r="AB62" s="23">
        <f>EXP(-LN(2)/2)*AB61+(1-EXP(-LN(2)/2))/(LN(2)/2)*V62*Y62*VLOOKUP('Données projet'!$B$9,Paramètres!$A$1:$I$88,3,0)*0.475*44/12</f>
        <v>0</v>
      </c>
      <c r="AC62" s="24">
        <f t="shared" si="4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4.8</v>
      </c>
      <c r="AI62" s="14">
        <f>IF(A62&lt;'Données projet'!$A$62,$AF$205^A62,IF(A62='Données projet'!$A$62,'Données projet'!$B$62,AI61+AH62-AQ61))</f>
        <v>177.20000000000005</v>
      </c>
      <c r="AJ62" s="14">
        <f>AI62*VLOOKUP('Données projet'!$B$10,Paramètres!$A$1:$I$88,3,0)*VLOOKUP('Données projet'!$B$10,Paramètres!$A$1:$I$88,5,0)</f>
        <v>185.20944000000006</v>
      </c>
      <c r="AK62" s="14">
        <f t="shared" si="44"/>
        <v>46.479259087078397</v>
      </c>
      <c r="AL62" s="22">
        <f t="shared" si="5"/>
        <v>403.52448424332829</v>
      </c>
      <c r="AM62" s="62">
        <f t="shared" si="6"/>
        <v>647.23904984463593</v>
      </c>
      <c r="AN62" s="62">
        <f ca="1">AVERAGE(OFFSET($AM$3,0,0,'Données projet'!$E$10+1,1))-AVERAGE(OFFSET($H$3,0,0,'Données projet'!$E$10+1,1))</f>
        <v>458.33072853676879</v>
      </c>
      <c r="AO62" s="62">
        <f t="shared" si="7"/>
        <v>254.1734169352687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projet'!$B$10,Paramètres!$A$1:$I$88,7,0))</f>
        <v>0</v>
      </c>
      <c r="AS62" s="17">
        <f>IF(ISNA(VLOOKUP(A62,'Données projet'!$A$61:$I$81,6,0)),0%,VLOOKUP(A62,'Données projet'!$A$61:$I$81,6,0)*VLOOKUP('Données projet'!$B$10,Paramètres!$A$1:$I$88,7,0))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projet'!$B$9,Paramètres!$A$1:$I$88,3,0)*0.475*44/12</f>
        <v>0</v>
      </c>
      <c r="AV62" s="23">
        <f>EXP(-LN(2)/25)*AV61+(1-EXP(-LN(2)/25))/(LN(2)/25)*Calculateur!AQ62*Calculateur!AS62*VLOOKUP('Données projet'!$B$9,Paramètres!$A$1:$I$88,3,0)*0.475*44/12</f>
        <v>0</v>
      </c>
      <c r="AW62" s="23">
        <f>EXP(-LN(2)/2)*AW61+(1-EXP(-LN(2)/2))/(LN(2)/2)*AQ62*AT62*VLOOKUP('Données projet'!$B$9,Paramètres!$A$1:$I$88,3,0)*0.475*44/12</f>
        <v>0</v>
      </c>
      <c r="AX62" s="23">
        <f t="shared" si="8"/>
        <v>0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4.8</v>
      </c>
      <c r="BD62" s="13">
        <f>IF(A62&lt;'Données projet'!$A$88,$BA$205^A62,IF(A62='Données projet'!$A$88,'Données projet'!$B$88,BD61+BC62-BL61))</f>
        <v>177.20000000000005</v>
      </c>
      <c r="BE62" s="14">
        <f>BD62*VLOOKUP('Données projet'!$B$11,Paramètres!$A$1:$I$88,3,0)*VLOOKUP('Données projet'!$B$11,Paramètres!$A$1:$I$88,5,0)</f>
        <v>179.68080000000006</v>
      </c>
      <c r="BF62" s="14">
        <f t="shared" si="45"/>
        <v>45.251162713202106</v>
      </c>
      <c r="BG62" s="22">
        <f t="shared" si="9"/>
        <v>391.75650172549376</v>
      </c>
      <c r="BH62" s="62">
        <f t="shared" si="10"/>
        <v>635.4710673268014</v>
      </c>
      <c r="BI62" s="62">
        <f ca="1">AVERAGE(OFFSET($BH$3,0,0,'Données projet'!$E$11+1,1))-AVERAGE(OFFSET($H$3,0,0,'Données projet'!$E$11+1,1))</f>
        <v>447.82618173893104</v>
      </c>
      <c r="BJ62" s="62">
        <f t="shared" si="11"/>
        <v>248.96509970783379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projet'!$B$11,Paramètres!$A$1:$I$88,7,0))</f>
        <v>0</v>
      </c>
      <c r="BN62" s="17">
        <f>IF(ISNA(VLOOKUP(A62,'Données projet'!$A$87:$I$107,6,0)),0%,VLOOKUP(A62,'Données projet'!$A$87:$I$107,6,0)*VLOOKUP('Données projet'!$B$11,Paramètres!$A$1:$I$88,7,0))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projet'!$B$9,Paramètres!$A$1:$I$88,3,0)*0.475*44/12</f>
        <v>0</v>
      </c>
      <c r="BQ62" s="23">
        <f>EXP(-LN(2)/25)*BQ61+(1-EXP(-LN(2)/25))/(LN(2)/25)*Calculateur!BL62*Calculateur!BN62*VLOOKUP('Données projet'!$B$9,Paramètres!$A$1:$I$88,3,0)*0.475*44/12</f>
        <v>0</v>
      </c>
      <c r="BR62" s="23">
        <f>EXP(-LN(2)/2)*BR61+(1-EXP(-LN(2)/2))/(LN(2)/2)*BL62*BO62*VLOOKUP('Données projet'!$B$9,Paramètres!$A$1:$I$88,3,0)*0.475*44/12</f>
        <v>0</v>
      </c>
      <c r="BS62" s="24">
        <f t="shared" si="12"/>
        <v>0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4.8</v>
      </c>
      <c r="BY62" s="13">
        <f>IF(A62&lt;'Données projet'!$A$114,$BV$205^A62,IF(A62='Données projet'!$A$114,'Données projet'!$B$114,BY61+BX62-CG61))</f>
        <v>177.20000000000005</v>
      </c>
      <c r="BZ62" s="14">
        <f>BY62*VLOOKUP('Données projet'!$B$12,Paramètres!$A$1:$I$88,3,0)*VLOOKUP('Données projet'!$B$12,Paramètres!$A$1:$I$88,5,0)</f>
        <v>190.73808000000002</v>
      </c>
      <c r="CA62" s="14">
        <f t="shared" si="46"/>
        <v>47.703095020615436</v>
      </c>
      <c r="CB62" s="22">
        <f t="shared" si="13"/>
        <v>415.28504649423854</v>
      </c>
      <c r="CC62" s="62">
        <f t="shared" si="14"/>
        <v>658.99961209554624</v>
      </c>
      <c r="CD62" s="62">
        <f ca="1">AVERAGE(OFFSET($CC$3,0,0,'Données projet'!$E$12+1,1))-AVERAGE(OFFSET($H$3,0,0,'Données projet'!$E$12+1,1))</f>
        <v>468.82871618425406</v>
      </c>
      <c r="CE62" s="62">
        <f t="shared" si="15"/>
        <v>259.37818128554397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projet'!$B$12,Paramètres!$A$1:$I$88,7,0))</f>
        <v>0</v>
      </c>
      <c r="CI62" s="17">
        <f>IF(ISNA(VLOOKUP(A62,'Données projet'!$A$113:$I$133,6,0)),0%,VLOOKUP(A62,'Données projet'!$A$113:$I$133,6,0)*VLOOKUP('Données projet'!$B$12,Paramètres!$A$1:$I$88,7,0))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projet'!$B$9,Paramètres!$A$1:$I$88,3,0)*0.475*44/12</f>
        <v>0</v>
      </c>
      <c r="CL62" s="23">
        <f>EXP(-LN(2)/25)*CL61+(1-EXP(-LN(2)/25))/(LN(2)/25)*Calculateur!CG62*Calculateur!CI62*VLOOKUP('Données projet'!$B$9,Paramètres!$A$1:$I$88,3,0)*0.475*44/12</f>
        <v>0</v>
      </c>
      <c r="CM62" s="23">
        <f>EXP(-LN(2)/2)*CM61+(1-EXP(-LN(2)/2))/(LN(2)/2)*CG62*CJ62*VLOOKUP('Données projet'!$B$9,Paramètres!$A$1:$I$88,3,0)*0.475*44/12</f>
        <v>0</v>
      </c>
      <c r="CN62" s="24">
        <f t="shared" si="16"/>
        <v>0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4.8</v>
      </c>
      <c r="CT62" s="13">
        <f>IF(A62&lt;'Données projet'!$A$140,$CQ$205^A62,IF(A62='Données projet'!$A$140,'Données projet'!$B$140,CT61+CS62-DB61))</f>
        <v>177.20000000000005</v>
      </c>
      <c r="CU62" s="18">
        <f>CT62*VLOOKUP('Données projet'!$B$13,Paramètres!$A$1:$I$88,3,0)*VLOOKUP('Données projet'!$B$13,Paramètres!$A$1:$I$88,5,0)</f>
        <v>152.03760000000005</v>
      </c>
      <c r="CV62" s="14">
        <f t="shared" si="47"/>
        <v>39.041273286234315</v>
      </c>
      <c r="CW62" s="22">
        <f t="shared" si="17"/>
        <v>332.79570430685817</v>
      </c>
      <c r="CX62" s="62">
        <f t="shared" si="18"/>
        <v>576.51026990816581</v>
      </c>
      <c r="CY62" s="62">
        <f ca="1">AVERAGE(OFFSET($CX$3,0,0,'Données projet'!$E$13+1,1))-AVERAGE(OFFSET($H$3,0,0,'Données projet'!$E$13+1,1))</f>
        <v>395.19659151668884</v>
      </c>
      <c r="CZ62" s="62">
        <f t="shared" si="19"/>
        <v>222.86563304507339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projet'!$B$13,Paramètres!$A$1:$I$88,7,0))</f>
        <v>0</v>
      </c>
      <c r="DD62" s="17">
        <f>IF(ISNA(VLOOKUP(A62,'Données projet'!$A$139:$I$159,6,0)),0%,VLOOKUP(A62,'Données projet'!$A$139:$I$159,6,0)*VLOOKUP('Données projet'!$B$13,Paramètres!$A$1:$I$88,7,0))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projet'!$B$9,Paramètres!$A$1:$I$88,3,0)*0.475*44/12</f>
        <v>0</v>
      </c>
      <c r="DG62" s="23">
        <f>EXP(-LN(2)/25)*DG61+(1-EXP(-LN(2)/25))/(LN(2)/25)*Calculateur!DB62*Calculateur!DD62*VLOOKUP('Données projet'!$B$9,Paramètres!$A$1:$I$88,3,0)*0.475*44/12</f>
        <v>0</v>
      </c>
      <c r="DH62" s="23">
        <f>EXP(-LN(2)/2)*DH61+(1-EXP(-LN(2)/2))/(LN(2)/2)*DB62*DE62*VLOOKUP('Données projet'!$B$9,Paramètres!$A$1:$I$88,3,0)*0.475*44/12</f>
        <v>0</v>
      </c>
      <c r="DI62" s="24">
        <f t="shared" si="20"/>
        <v>0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4.666666666666667</v>
      </c>
      <c r="DO62" s="13">
        <f>IF(A62&lt;'Données projet'!$A$166,$DL$205^A62,IF(A62='Données projet'!$A$166,'Données projet'!$B$166,DO61+DN62-DW61))</f>
        <v>65.666666666666615</v>
      </c>
      <c r="DP62" s="18">
        <f>DO62*VLOOKUP('Données projet'!$B$14,Paramètres!$A$1:$I$88,3,0)*VLOOKUP('Données projet'!$B$14,Paramètres!$A$1:$I$88,5,0)</f>
        <v>38.414999999999971</v>
      </c>
      <c r="DQ62" s="14">
        <f t="shared" si="48"/>
        <v>11.577559054412843</v>
      </c>
      <c r="DR62" s="22">
        <f t="shared" si="21"/>
        <v>87.070373686435644</v>
      </c>
      <c r="DS62" s="62">
        <f t="shared" si="22"/>
        <v>330.78493928774333</v>
      </c>
      <c r="DT62" s="62">
        <f ca="1">AVERAGE(OFFSET($DS$3,0,0,'Données projet'!$E$14+1,1))-AVERAGE(OFFSET($H$3,0,0,'Données projet'!$E$14+1,1))</f>
        <v>155.18073137151848</v>
      </c>
      <c r="DU62" s="62">
        <f t="shared" si="23"/>
        <v>115.19459155667272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projet'!$B$14,Paramètres!$A$1:$I$88,7,0))</f>
        <v>0</v>
      </c>
      <c r="DY62" s="17">
        <f>IF(ISNA(VLOOKUP(A62,'Données projet'!$A$165:$I$185,6,0)),0%,VLOOKUP(A62,'Données projet'!$A$165:$I$185,6,0)*VLOOKUP('Données projet'!$B$14,Paramètres!$A$1:$I$88,7,0))</f>
        <v>0</v>
      </c>
      <c r="DZ62" s="17">
        <f>IF(ISNA(VLOOKUP(A62,'Données projet'!$A$165:$I$185,7,0)),0%,VLOOKUP(A62,'Données projet'!$A$165:$I$185,7,0))</f>
        <v>0</v>
      </c>
      <c r="EA62" s="23">
        <f>EXP(-LN(2)/35)*EA61+(1-EXP(-LN(2)/35))/(LN(2)/35)*DW62*DX62*VLOOKUP('Données projet'!$B$9,Paramètres!$A$1:$I$88,3,0)*0.475*44/12</f>
        <v>0</v>
      </c>
      <c r="EB62" s="23">
        <f>EXP(-LN(2)/25)*EB61+(1-EXP(-LN(2)/25))/(LN(2)/25)*Calculateur!DW62*Calculateur!DY62*VLOOKUP('Données projet'!$B$9,Paramètres!$A$1:$I$88,3,0)*0.475*44/12</f>
        <v>0</v>
      </c>
      <c r="EC62" s="23">
        <f>EXP(-LN(2)/2)*EC61+(1-EXP(-LN(2)/2))/(LN(2)/2)*DW62*DZ62*VLOOKUP('Données projet'!$B$9,Paramètres!$A$1:$I$88,3,0)*0.475*44/12</f>
        <v>0</v>
      </c>
      <c r="ED62" s="24">
        <f t="shared" si="24"/>
        <v>0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3.25</v>
      </c>
      <c r="EJ62" s="13">
        <f>IF(A62&lt;'Données projet'!$A$192,$EG$205^A62,IF(A62='Données projet'!$A$192,'Données projet'!$B$192,EJ61+EI62-ER61))</f>
        <v>178.59420705029925</v>
      </c>
      <c r="EK62" s="18">
        <f>EJ62*VLOOKUP('Données projet'!$B$15,Paramètres!$A$1:$I$88,3,0)*VLOOKUP('Données projet'!$B$15,Paramètres!$A$1:$I$88,5,0)</f>
        <v>83.582088899540054</v>
      </c>
      <c r="EL62" s="14">
        <f t="shared" si="49"/>
        <v>23.010778230491223</v>
      </c>
      <c r="EM62" s="22">
        <f t="shared" si="25"/>
        <v>185.64924358480448</v>
      </c>
      <c r="EN62" s="62">
        <f t="shared" si="26"/>
        <v>429.36380918611212</v>
      </c>
      <c r="EO62" s="62">
        <f ca="1">AVERAGE(OFFSET($EN$3,0,0,'Données projet'!$E$15+1,1))-AVERAGE(OFFSET($H$3,0,0,'Données projet'!$E$15+1,1))</f>
        <v>238.59014604384171</v>
      </c>
      <c r="EP62" s="62">
        <f t="shared" si="27"/>
        <v>90.841373219575217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projet'!$B$15,Paramètres!$A$1:$I$88,7,0))</f>
        <v>0</v>
      </c>
      <c r="ET62" s="17">
        <f>IF(ISNA(VLOOKUP(A62,'Données projet'!$A$191:$I$211,6,0)),0%,VLOOKUP(A62,'Données projet'!$A$191:$I$211,6,0)*VLOOKUP('Données projet'!$B$15,Paramètres!$A$1:$I$88,7,0))</f>
        <v>0</v>
      </c>
      <c r="EU62" s="17">
        <f>IF(ISNA(VLOOKUP(A62,'Données projet'!$A$191:$I$211,7,0)),0%,VLOOKUP(A62,'Données projet'!$A$191:$I$211,7,0))</f>
        <v>0</v>
      </c>
      <c r="EV62" s="23">
        <f>EXP(-LN(2)/35)*EV61+(1-EXP(-LN(2)/35))/(LN(2)/35)*ER62*ES62*VLOOKUP('Données projet'!$B$9,Paramètres!$A$1:$I$88,3,0)*0.475*44/12</f>
        <v>0</v>
      </c>
      <c r="EW62" s="23">
        <f>EXP(-LN(2)/25)*EW61+(1-EXP(-LN(2)/25))/(LN(2)/25)*Calculateur!ER62*Calculateur!ET62*VLOOKUP('Données projet'!$B$9,Paramètres!$A$1:$I$88,3,0)*0.475*44/12</f>
        <v>0</v>
      </c>
      <c r="EX62" s="23">
        <f>EXP(-LN(2)/2)*EX61+(1-EXP(-LN(2)/2))/(LN(2)/2)*ER62*EU62*VLOOKUP('Données projet'!$B$9,Paramètres!$A$1:$I$88,3,0)*0.475*44/12</f>
        <v>0</v>
      </c>
      <c r="EY62" s="24">
        <f t="shared" si="28"/>
        <v>0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IF(A62&lt;'Données projet'!$A$218,$FB$205^A62,IF(A62='Données projet'!$A$218,'Données projet'!$B$218,FE61+FD62-FM61))</f>
        <v>0</v>
      </c>
      <c r="FF62" s="18" t="e">
        <f>FE62*VLOOKUP('Données projet'!$B$16,Paramètres!$A$1:$I$88,3,0)*VLOOKUP('Données projet'!$B$16,Paramètres!$A$1:$I$88,5,0)</f>
        <v>#N/A</v>
      </c>
      <c r="FG62" s="14" t="e">
        <f t="shared" si="50"/>
        <v>#N/A</v>
      </c>
      <c r="FH62" s="22" t="e">
        <f t="shared" si="29"/>
        <v>#N/A</v>
      </c>
      <c r="FI62" s="62" t="e">
        <f t="shared" si="30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31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projet'!$B$16,Paramètres!$A$1:$I$88,7,0))</f>
        <v>0</v>
      </c>
      <c r="FO62" s="17">
        <f>IF(ISNA(VLOOKUP(A62,'Données projet'!$A$217:$I$237,6,0)),0%,VLOOKUP(A62,'Données projet'!$A$217:$I$237,6,0)*VLOOKUP('Données projet'!$B$16,Paramètres!$A$1:$I$88,7,0))</f>
        <v>0</v>
      </c>
      <c r="FP62" s="17">
        <f>IF(ISNA(VLOOKUP(A62,'Données projet'!$A$217:$I$237,7,0)),0%,VLOOKUP(A62,'Données projet'!$A$217:$I$237,7,0))</f>
        <v>0</v>
      </c>
      <c r="FQ62" s="23">
        <f>EXP(-LN(2)/35)*FQ61+(1-EXP(-LN(2)/35))/(LN(2)/35)*FM62*FN62*VLOOKUP('Données projet'!$B$9,Paramètres!$A$1:$I$88,3,0)*0.475*44/12</f>
        <v>0</v>
      </c>
      <c r="FR62" s="23">
        <f>EXP(-LN(2)/25)*FR61+(1-EXP(-LN(2)/25))/(LN(2)/25)*Calculateur!FM62*Calculateur!FO62*VLOOKUP('Données projet'!$B$9,Paramètres!$A$1:$I$88,3,0)*0.475*44/12</f>
        <v>0</v>
      </c>
      <c r="FS62" s="23">
        <f>EXP(-LN(2)/2)*FS61+(1-EXP(-LN(2)/2))/(LN(2)/2)*FM62*FP62*VLOOKUP('Données projet'!$B$9,Paramètres!$A$1:$I$88,3,0)*0.475*44/12</f>
        <v>0</v>
      </c>
      <c r="FT62" s="24">
        <f t="shared" si="32"/>
        <v>0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IF(A62&lt;'Données projet'!$A$244,$FW$205^A62,IF(A62='Données projet'!$A$244,'Données projet'!$B$244,FZ61+FY62-GH61))</f>
        <v>0</v>
      </c>
      <c r="GA62" s="18" t="e">
        <f>FZ62*VLOOKUP('Données projet'!$B$17,Paramètres!$A$1:$I$88,3,0)*VLOOKUP('Données projet'!$B$17,Paramètres!$A$1:$I$88,5,0)</f>
        <v>#N/A</v>
      </c>
      <c r="GB62" s="14" t="e">
        <f t="shared" si="51"/>
        <v>#N/A</v>
      </c>
      <c r="GC62" s="22" t="e">
        <f t="shared" si="33"/>
        <v>#N/A</v>
      </c>
      <c r="GD62" s="62" t="e">
        <f t="shared" si="34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35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projet'!$B$17,Paramètres!$A$1:$I$88,7,0))</f>
        <v>0</v>
      </c>
      <c r="GJ62" s="17">
        <f>IF(ISNA(VLOOKUP(A62,'Données projet'!$A$243:$I$263,6,0)),0%,VLOOKUP(A62,'Données projet'!$A$243:$I$263,6,0)*VLOOKUP('Données projet'!$B$17,Paramètres!$A$1:$I$88,7,0))</f>
        <v>0</v>
      </c>
      <c r="GK62" s="17">
        <f>IF(ISNA(VLOOKUP(A62,'Données projet'!$A$243:$I$263,7,0)),0%,VLOOKUP(A62,'Données projet'!$A$243:$I$263,7,0))</f>
        <v>0</v>
      </c>
      <c r="GL62" s="23">
        <f>EXP(-LN(2)/35)*GL61+(1-EXP(-LN(2)/35))/(LN(2)/35)*GH62*GI62*VLOOKUP('Données projet'!$B$9,Paramètres!$A$1:$I$88,3,0)*0.475*44/12</f>
        <v>0</v>
      </c>
      <c r="GM62" s="23">
        <f>EXP(-LN(2)/25)*GM61+(1-EXP(-LN(2)/25))/(LN(2)/25)*Calculateur!GH62*Calculateur!GJ62*VLOOKUP('Données projet'!$B$9,Paramètres!$A$1:$I$88,3,0)*0.475*44/12</f>
        <v>0</v>
      </c>
      <c r="GN62" s="23">
        <f>EXP(-LN(2)/2)*GN61+(1-EXP(-LN(2)/2))/(LN(2)/2)*GH62*GK62*VLOOKUP('Données projet'!$B$9,Paramètres!$A$1:$I$88,3,0)*0.475*44/12</f>
        <v>0</v>
      </c>
      <c r="GO62" s="23">
        <f t="shared" si="36"/>
        <v>0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IF(A62&lt;'Données projet'!$A$270,$GR$205^A62,IF(A62='Données projet'!$A$270,'Données projet'!$B$270,GU61+GT62-HC61))</f>
        <v>0</v>
      </c>
      <c r="GV62" s="18" t="e">
        <f>GU62*VLOOKUP('Données projet'!$B$18,Paramètres!$A$1:$I$88,3,0)*VLOOKUP('Données projet'!$B$18,Paramètres!$A$1:$I$88,5,0)</f>
        <v>#N/A</v>
      </c>
      <c r="GW62" s="14" t="e">
        <f t="shared" si="52"/>
        <v>#N/A</v>
      </c>
      <c r="GX62" s="22" t="e">
        <f t="shared" si="37"/>
        <v>#N/A</v>
      </c>
      <c r="GY62" s="62" t="e">
        <f t="shared" si="38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39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projet'!$B$18,Paramètres!$A$1:$I$88,7,0))</f>
        <v>0</v>
      </c>
      <c r="HE62" s="17">
        <f>IF(ISNA(VLOOKUP(A62,'Données projet'!$A$269:$I$289,6,0)),0%,VLOOKUP(A62,'Données projet'!$A$269:$I$289,6,0)*VLOOKUP('Données projet'!$B$18,Paramètres!$A$1:$I$88,7,0))</f>
        <v>0</v>
      </c>
      <c r="HF62" s="17">
        <f>IF(ISNA(VLOOKUP(A62,'Données projet'!$A$269:$I$289,7,0)),0%,VLOOKUP(A62,'Données projet'!$A$269:$I$289,7,0))</f>
        <v>0</v>
      </c>
      <c r="HG62" s="23">
        <f>EXP(-LN(2)/35)*HG61+(1-EXP(-LN(2)/35))/(LN(2)/35)*HC62*HD62*VLOOKUP('Données projet'!$B$9,Paramètres!$A$1:$I$88,3,0)*0.475*44/12</f>
        <v>0</v>
      </c>
      <c r="HH62" s="23">
        <f>EXP(-LN(2)/25)*HH61+(1-EXP(-LN(2)/25))/(LN(2)/25)*Calculateur!HC62*Calculateur!HE62*VLOOKUP('Données projet'!$B$9,Paramètres!$A$1:$I$88,3,0)*0.475*44/12</f>
        <v>0</v>
      </c>
      <c r="HI62" s="23">
        <f>EXP(-LN(2)/2)*HI61+(1-EXP(-LN(2)/2))/(LN(2)/2)*HC62*HF62*VLOOKUP('Données projet'!$B$9,Paramètres!$A$1:$I$88,3,0)*0.475*44/12</f>
        <v>0</v>
      </c>
      <c r="HJ62" s="24">
        <f t="shared" si="40"/>
        <v>0</v>
      </c>
    </row>
    <row r="63" spans="1:218" s="5" customFormat="1" x14ac:dyDescent="0.25">
      <c r="A63" s="11">
        <f t="shared" si="4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3" s="12">
        <f t="shared" si="4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135.66666666666666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84.362499999999997</v>
      </c>
      <c r="L63" s="13">
        <f>VLOOKUP(A63,'Données projet'!$A$35:$I$55,9,0)</f>
        <v>1.7724999999999995</v>
      </c>
      <c r="M63" s="13">
        <f t="array" ref="M63">INDEX(L:L,MIN(IF(ISNUMBER(L63:L259),ROW(L63:L259),"")))</f>
        <v>1.7724999999999995</v>
      </c>
      <c r="N63" s="14">
        <f>IF(A63&lt;'Données projet'!$A$36,$K$205^A63,IF(A63='Données projet'!$A$36,'Données projet'!$B$36,N62+M63-V62))</f>
        <v>84.362499999999969</v>
      </c>
      <c r="O63" s="14">
        <f>N63*VLOOKUP('Données projet'!$B$9,Paramètres!$A$1:$I$88,3,0)*VLOOKUP('Données projet'!$B$9,Paramètres!$A$1:$I$88,5,0)</f>
        <v>97.185599999999965</v>
      </c>
      <c r="P63" s="14">
        <f t="shared" si="43"/>
        <v>26.290395628270069</v>
      </c>
      <c r="Q63" s="22">
        <f t="shared" si="53"/>
        <v>215.05402571923696</v>
      </c>
      <c r="R63" s="62">
        <f t="shared" si="0"/>
        <v>459.62936600974933</v>
      </c>
      <c r="S63" s="62">
        <f ca="1">AVERAGE(OFFSET($R$3,0,0,'Données projet'!$E$9+1,1))-AVERAGE(OFFSET($H$3,0,0,'Données projet'!$E$9+1,1))</f>
        <v>314.72063458462026</v>
      </c>
      <c r="T63" s="62">
        <f t="shared" si="3"/>
        <v>216.4380325968244</v>
      </c>
      <c r="U63" s="16">
        <f>IF(ISNA(VLOOKUP(A63,'Données projet'!$A$35:$I$55,3,0)),0,VLOOKUP(A63,'Données projet'!$A$35:$I$55,3,0))</f>
        <v>4</v>
      </c>
      <c r="V63" s="16">
        <f>IF(ISNA(VLOOKUP(A63,'Données projet'!$A$35:$I$55,4,0)),0,VLOOKUP(A63,'Données projet'!$A$35:$I$55,4,0))</f>
        <v>8.25</v>
      </c>
      <c r="W63" s="17">
        <f>IF(ISNA(VLOOKUP(A63,'Données projet'!$A$35:$I$55,5,0)),0%,VLOOKUP(A63,'Données projet'!$A$35:$I$55,5,0)*VLOOKUP('Données projet'!$B$9,Paramètres!$A$1:$I$88,7,0))</f>
        <v>0</v>
      </c>
      <c r="X63" s="17">
        <f>IF(ISNA(VLOOKUP(A63,'Données projet'!$A$35:$I$55,6,0)),0%,VLOOKUP(A63,'Données projet'!$A$35:$I$55,6,0)*VLOOKUP('Données projet'!$B$9,Paramètres!$A$1:$I$88,7,0))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projet'!$B$9,Paramètres!$A$1:$I$88,3,0)*0.475*44/12</f>
        <v>0</v>
      </c>
      <c r="AA63" s="23">
        <f>EXP(-LN(2)/25)*AA62+(1-EXP(-LN(2)/25))/(LN(2)/25)*Calculateur!V63*Calculateur!X63*VLOOKUP('Données projet'!$B$9,Paramètres!$A$1:$I$88,3,0)*0.475*44/12</f>
        <v>0</v>
      </c>
      <c r="AB63" s="23">
        <f>EXP(-LN(2)/2)*AB62+(1-EXP(-LN(2)/2))/(LN(2)/2)*V63*Y63*VLOOKUP('Données projet'!$B$9,Paramètres!$A$1:$I$88,3,0)*0.475*44/12</f>
        <v>0</v>
      </c>
      <c r="AC63" s="24">
        <f t="shared" si="4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182</v>
      </c>
      <c r="AG63" s="13">
        <f>VLOOKUP(A63,'Données projet'!$A$61:$I$81,9,0)</f>
        <v>4.8</v>
      </c>
      <c r="AH63" s="13">
        <f t="array" ref="AH63">INDEX(AG:AG,MIN(IF(ISNUMBER(AG63:AG259),ROW(AG63:AG259),"")))</f>
        <v>4.8</v>
      </c>
      <c r="AI63" s="14">
        <f>IF(A63&lt;'Données projet'!$A$62,$AF$205^A63,IF(A63='Données projet'!$A$62,'Données projet'!$B$62,AI62+AH63-AQ62))</f>
        <v>182.00000000000006</v>
      </c>
      <c r="AJ63" s="14">
        <f>AI63*VLOOKUP('Données projet'!$B$10,Paramètres!$A$1:$I$88,3,0)*VLOOKUP('Données projet'!$B$10,Paramètres!$A$1:$I$88,5,0)</f>
        <v>190.22640000000007</v>
      </c>
      <c r="AK63" s="14">
        <f t="shared" si="44"/>
        <v>47.590003207063162</v>
      </c>
      <c r="AL63" s="22">
        <f t="shared" si="5"/>
        <v>414.19690225230175</v>
      </c>
      <c r="AM63" s="62">
        <f t="shared" si="6"/>
        <v>658.77224254281418</v>
      </c>
      <c r="AN63" s="62">
        <f ca="1">AVERAGE(OFFSET($AM$3,0,0,'Données projet'!$E$10+1,1))-AVERAGE(OFFSET($H$3,0,0,'Données projet'!$E$10+1,1))</f>
        <v>458.33072853676879</v>
      </c>
      <c r="AO63" s="62">
        <f t="shared" si="7"/>
        <v>254.1734169352687</v>
      </c>
      <c r="AP63" s="16">
        <f>IF(ISNA(VLOOKUP(A63,'Données projet'!$A$61:$I$81,3,0)),0,VLOOKUP(A63,'Données projet'!$A$61:$I$81,3,0))</f>
        <v>4</v>
      </c>
      <c r="AQ63" s="16">
        <f>IF(ISNA(VLOOKUP(A63,'Données projet'!$A$61:$I$81,4,0)),0,VLOOKUP(A63,'Données projet'!$A$61:$I$81,4,0))</f>
        <v>22</v>
      </c>
      <c r="AR63" s="17">
        <f>IF(ISNA(VLOOKUP(A63,'Données projet'!$A$61:$I$81,5,0)),0%,VLOOKUP(A63,'Données projet'!$A$61:$I$81,5,0)*VLOOKUP('Données projet'!$B$10,Paramètres!$A$1:$I$88,7,0))</f>
        <v>0</v>
      </c>
      <c r="AS63" s="17">
        <f>IF(ISNA(VLOOKUP(A63,'Données projet'!$A$61:$I$81,6,0)),0%,VLOOKUP(A63,'Données projet'!$A$61:$I$81,6,0)*VLOOKUP('Données projet'!$B$10,Paramètres!$A$1:$I$88,7,0))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projet'!$B$9,Paramètres!$A$1:$I$88,3,0)*0.475*44/12</f>
        <v>0</v>
      </c>
      <c r="AV63" s="23">
        <f>EXP(-LN(2)/25)*AV62+(1-EXP(-LN(2)/25))/(LN(2)/25)*Calculateur!AQ63*Calculateur!AS63*VLOOKUP('Données projet'!$B$9,Paramètres!$A$1:$I$88,3,0)*0.475*44/12</f>
        <v>0</v>
      </c>
      <c r="AW63" s="23">
        <f>EXP(-LN(2)/2)*AW62+(1-EXP(-LN(2)/2))/(LN(2)/2)*AQ63*AT63*VLOOKUP('Données projet'!$B$9,Paramètres!$A$1:$I$88,3,0)*0.475*44/12</f>
        <v>0</v>
      </c>
      <c r="AX63" s="23">
        <f t="shared" si="8"/>
        <v>0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182</v>
      </c>
      <c r="BB63" s="13">
        <f>VLOOKUP(A63,'Données projet'!$A$87:$I$107,9,0)</f>
        <v>4.8</v>
      </c>
      <c r="BC63" s="13">
        <f t="array" ref="BC63">INDEX(BB:BB,MIN(IF(ISNUMBER(BB63:BB259),ROW(BB63:BB259),"")))</f>
        <v>4.8</v>
      </c>
      <c r="BD63" s="13">
        <f>IF(A63&lt;'Données projet'!$A$88,$BA$205^A63,IF(A63='Données projet'!$A$88,'Données projet'!$B$88,BD62+BC63-BL62))</f>
        <v>182.00000000000006</v>
      </c>
      <c r="BE63" s="14">
        <f>BD63*VLOOKUP('Données projet'!$B$11,Paramètres!$A$1:$I$88,3,0)*VLOOKUP('Données projet'!$B$11,Paramètres!$A$1:$I$88,5,0)</f>
        <v>184.54800000000006</v>
      </c>
      <c r="BF63" s="14">
        <f t="shared" si="45"/>
        <v>46.332558240871698</v>
      </c>
      <c r="BG63" s="22">
        <f t="shared" si="9"/>
        <v>402.11697226951833</v>
      </c>
      <c r="BH63" s="62">
        <f t="shared" si="10"/>
        <v>646.6923125600307</v>
      </c>
      <c r="BI63" s="62">
        <f ca="1">AVERAGE(OFFSET($BH$3,0,0,'Données projet'!$E$11+1,1))-AVERAGE(OFFSET($H$3,0,0,'Données projet'!$E$11+1,1))</f>
        <v>447.82618173893104</v>
      </c>
      <c r="BJ63" s="62">
        <f t="shared" si="11"/>
        <v>248.96509970783379</v>
      </c>
      <c r="BK63" s="16">
        <f>IF(ISNA(VLOOKUP(A63,'Données projet'!$A$87:$I$107,3,0)),0,VLOOKUP(A63,'Données projet'!$A$87:$I$107,3,0))</f>
        <v>4</v>
      </c>
      <c r="BL63" s="16">
        <f>IF(ISNA(VLOOKUP(A63,'Données projet'!$A$87:$I$107,4,0)),0,VLOOKUP(A63,'Données projet'!$A$87:$I$107,4,0))</f>
        <v>22</v>
      </c>
      <c r="BM63" s="17">
        <f>IF(ISNA(VLOOKUP(A63,'Données projet'!$A$87:$I$107,5,0)),0%,VLOOKUP(A63,'Données projet'!$A$87:$I$107,5,0)*VLOOKUP('Données projet'!$B$11,Paramètres!$A$1:$I$88,7,0))</f>
        <v>0</v>
      </c>
      <c r="BN63" s="17">
        <f>IF(ISNA(VLOOKUP(A63,'Données projet'!$A$87:$I$107,6,0)),0%,VLOOKUP(A63,'Données projet'!$A$87:$I$107,6,0)*VLOOKUP('Données projet'!$B$11,Paramètres!$A$1:$I$88,7,0))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projet'!$B$9,Paramètres!$A$1:$I$88,3,0)*0.475*44/12</f>
        <v>0</v>
      </c>
      <c r="BQ63" s="23">
        <f>EXP(-LN(2)/25)*BQ62+(1-EXP(-LN(2)/25))/(LN(2)/25)*Calculateur!BL63*Calculateur!BN63*VLOOKUP('Données projet'!$B$9,Paramètres!$A$1:$I$88,3,0)*0.475*44/12</f>
        <v>0</v>
      </c>
      <c r="BR63" s="23">
        <f>EXP(-LN(2)/2)*BR62+(1-EXP(-LN(2)/2))/(LN(2)/2)*BL63*BO63*VLOOKUP('Données projet'!$B$9,Paramètres!$A$1:$I$88,3,0)*0.475*44/12</f>
        <v>0</v>
      </c>
      <c r="BS63" s="24">
        <f t="shared" si="12"/>
        <v>0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182</v>
      </c>
      <c r="BW63" s="13">
        <f>VLOOKUP(A63,'Données projet'!$A$113:$I$133,9,0)</f>
        <v>4.8</v>
      </c>
      <c r="BX63" s="13">
        <f t="array" ref="BX63">INDEX(BW:BW,MIN(IF(ISNUMBER(BW63:BW259),ROW(BW63:BW259),"")))</f>
        <v>4.8</v>
      </c>
      <c r="BY63" s="13">
        <f>IF(A63&lt;'Données projet'!$A$114,$BV$205^A63,IF(A63='Données projet'!$A$114,'Données projet'!$B$114,BY62+BX63-CG62))</f>
        <v>182.00000000000006</v>
      </c>
      <c r="BZ63" s="14">
        <f>BY63*VLOOKUP('Données projet'!$B$12,Paramètres!$A$1:$I$88,3,0)*VLOOKUP('Données projet'!$B$12,Paramètres!$A$1:$I$88,5,0)</f>
        <v>195.90480000000005</v>
      </c>
      <c r="CA63" s="14">
        <f t="shared" si="46"/>
        <v>48.843085918490004</v>
      </c>
      <c r="CB63" s="22">
        <f t="shared" si="13"/>
        <v>426.26923464137013</v>
      </c>
      <c r="CC63" s="62">
        <f t="shared" si="14"/>
        <v>670.84457493188256</v>
      </c>
      <c r="CD63" s="62">
        <f ca="1">AVERAGE(OFFSET($CC$3,0,0,'Données projet'!$E$12+1,1))-AVERAGE(OFFSET($H$3,0,0,'Données projet'!$E$12+1,1))</f>
        <v>468.82871618425406</v>
      </c>
      <c r="CE63" s="62">
        <f t="shared" si="15"/>
        <v>259.37818128554397</v>
      </c>
      <c r="CF63" s="16">
        <f>IF(ISNA(VLOOKUP(A63,'Données projet'!$A$113:$I$133,3,0)),0,VLOOKUP(A63,'Données projet'!$A$113:$I$133,3,0))</f>
        <v>4</v>
      </c>
      <c r="CG63" s="16">
        <f>IF(ISNA(VLOOKUP(A63,'Données projet'!$A$113:$I$133,4,0)),0,VLOOKUP(A63,'Données projet'!$A$113:$I$133,4,0))</f>
        <v>22</v>
      </c>
      <c r="CH63" s="17">
        <f>IF(ISNA(VLOOKUP(A63,'Données projet'!$A$113:$I$133,5,0)),0%,VLOOKUP(A63,'Données projet'!$A$113:$I$133,5,0)*VLOOKUP('Données projet'!$B$12,Paramètres!$A$1:$I$88,7,0))</f>
        <v>0</v>
      </c>
      <c r="CI63" s="17">
        <f>IF(ISNA(VLOOKUP(A63,'Données projet'!$A$113:$I$133,6,0)),0%,VLOOKUP(A63,'Données projet'!$A$113:$I$133,6,0)*VLOOKUP('Données projet'!$B$12,Paramètres!$A$1:$I$88,7,0))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projet'!$B$9,Paramètres!$A$1:$I$88,3,0)*0.475*44/12</f>
        <v>0</v>
      </c>
      <c r="CL63" s="23">
        <f>EXP(-LN(2)/25)*CL62+(1-EXP(-LN(2)/25))/(LN(2)/25)*Calculateur!CG63*Calculateur!CI63*VLOOKUP('Données projet'!$B$9,Paramètres!$A$1:$I$88,3,0)*0.475*44/12</f>
        <v>0</v>
      </c>
      <c r="CM63" s="23">
        <f>EXP(-LN(2)/2)*CM62+(1-EXP(-LN(2)/2))/(LN(2)/2)*CG63*CJ63*VLOOKUP('Données projet'!$B$9,Paramètres!$A$1:$I$88,3,0)*0.475*44/12</f>
        <v>0</v>
      </c>
      <c r="CN63" s="24">
        <f t="shared" si="16"/>
        <v>0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182</v>
      </c>
      <c r="CR63" s="13">
        <f>VLOOKUP(A63,'Données projet'!$A$139:$I$159,9,0)</f>
        <v>4.8</v>
      </c>
      <c r="CS63" s="13">
        <f t="array" ref="CS63">INDEX(CR:CR,MIN(IF(ISNUMBER(CR63:CR259),ROW(CR63:CR259),"")))</f>
        <v>4.8</v>
      </c>
      <c r="CT63" s="13">
        <f>IF(A63&lt;'Données projet'!$A$140,$CQ$205^A63,IF(A63='Données projet'!$A$140,'Données projet'!$B$140,CT62+CS63-DB62))</f>
        <v>182.00000000000006</v>
      </c>
      <c r="CU63" s="18">
        <f>CT63*VLOOKUP('Données projet'!$B$13,Paramètres!$A$1:$I$88,3,0)*VLOOKUP('Données projet'!$B$13,Paramètres!$A$1:$I$88,5,0)</f>
        <v>156.15600000000006</v>
      </c>
      <c r="CV63" s="14">
        <f t="shared" si="47"/>
        <v>39.974267176222085</v>
      </c>
      <c r="CW63" s="22">
        <f t="shared" si="17"/>
        <v>341.59354866525359</v>
      </c>
      <c r="CX63" s="62">
        <f t="shared" si="18"/>
        <v>586.16888895576596</v>
      </c>
      <c r="CY63" s="62">
        <f ca="1">AVERAGE(OFFSET($CX$3,0,0,'Données projet'!$E$13+1,1))-AVERAGE(OFFSET($H$3,0,0,'Données projet'!$E$13+1,1))</f>
        <v>395.19659151668884</v>
      </c>
      <c r="CZ63" s="62">
        <f t="shared" si="19"/>
        <v>222.86563304507339</v>
      </c>
      <c r="DA63" s="16">
        <f>IF(ISNA(VLOOKUP(A63,'Données projet'!$A$139:$I$159,3,0)),0,VLOOKUP(A63,'Données projet'!$A$139:$I$159,3,0))</f>
        <v>4</v>
      </c>
      <c r="DB63" s="16">
        <f>IF(ISNA(VLOOKUP(A63,'Données projet'!$A$139:$I$159,4,0)),0,VLOOKUP(A63,'Données projet'!$A$139:$I$159,4,0))</f>
        <v>22</v>
      </c>
      <c r="DC63" s="17">
        <f>IF(ISNA(VLOOKUP(A63,'Données projet'!$A$139:$I$159,5,0)),0%,VLOOKUP(A63,'Données projet'!$A$139:$I$159,5,0)*VLOOKUP('Données projet'!$B$13,Paramètres!$A$1:$I$88,7,0))</f>
        <v>0</v>
      </c>
      <c r="DD63" s="17">
        <f>IF(ISNA(VLOOKUP(A63,'Données projet'!$A$139:$I$159,6,0)),0%,VLOOKUP(A63,'Données projet'!$A$139:$I$159,6,0)*VLOOKUP('Données projet'!$B$13,Paramètres!$A$1:$I$88,7,0))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projet'!$B$9,Paramètres!$A$1:$I$88,3,0)*0.475*44/12</f>
        <v>0</v>
      </c>
      <c r="DG63" s="23">
        <f>EXP(-LN(2)/25)*DG62+(1-EXP(-LN(2)/25))/(LN(2)/25)*Calculateur!DB63*Calculateur!DD63*VLOOKUP('Données projet'!$B$9,Paramètres!$A$1:$I$88,3,0)*0.475*44/12</f>
        <v>0</v>
      </c>
      <c r="DH63" s="23">
        <f>EXP(-LN(2)/2)*DH62+(1-EXP(-LN(2)/2))/(LN(2)/2)*DB63*DE63*VLOOKUP('Données projet'!$B$9,Paramètres!$A$1:$I$88,3,0)*0.475*44/12</f>
        <v>0</v>
      </c>
      <c r="DI63" s="24">
        <f t="shared" si="20"/>
        <v>0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4.666666666666667</v>
      </c>
      <c r="DO63" s="13">
        <f>IF(A63&lt;'Données projet'!$A$166,$DL$205^A63,IF(A63='Données projet'!$A$166,'Données projet'!$B$166,DO62+DN63-DW62))</f>
        <v>70.333333333333286</v>
      </c>
      <c r="DP63" s="18">
        <f>DO63*VLOOKUP('Données projet'!$B$14,Paramètres!$A$1:$I$88,3,0)*VLOOKUP('Données projet'!$B$14,Paramètres!$A$1:$I$88,5,0)</f>
        <v>41.144999999999975</v>
      </c>
      <c r="DQ63" s="14">
        <f t="shared" si="48"/>
        <v>12.301628994393822</v>
      </c>
      <c r="DR63" s="22">
        <f t="shared" si="21"/>
        <v>93.086212165235864</v>
      </c>
      <c r="DS63" s="62">
        <f t="shared" si="22"/>
        <v>337.66155245574822</v>
      </c>
      <c r="DT63" s="62">
        <f ca="1">AVERAGE(OFFSET($DS$3,0,0,'Données projet'!$E$14+1,1))-AVERAGE(OFFSET($H$3,0,0,'Données projet'!$E$14+1,1))</f>
        <v>155.18073137151848</v>
      </c>
      <c r="DU63" s="62">
        <f t="shared" si="23"/>
        <v>115.19459155667272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projet'!$B$14,Paramètres!$A$1:$I$88,7,0))</f>
        <v>0</v>
      </c>
      <c r="DY63" s="17">
        <f>IF(ISNA(VLOOKUP(A63,'Données projet'!$A$165:$I$185,6,0)),0%,VLOOKUP(A63,'Données projet'!$A$165:$I$185,6,0)*VLOOKUP('Données projet'!$B$14,Paramètres!$A$1:$I$88,7,0))</f>
        <v>0</v>
      </c>
      <c r="DZ63" s="17">
        <f>IF(ISNA(VLOOKUP(A63,'Données projet'!$A$165:$I$185,7,0)),0%,VLOOKUP(A63,'Données projet'!$A$165:$I$185,7,0))</f>
        <v>0</v>
      </c>
      <c r="EA63" s="23">
        <f>EXP(-LN(2)/35)*EA62+(1-EXP(-LN(2)/35))/(LN(2)/35)*DW63*DX63*VLOOKUP('Données projet'!$B$9,Paramètres!$A$1:$I$88,3,0)*0.475*44/12</f>
        <v>0</v>
      </c>
      <c r="EB63" s="23">
        <f>EXP(-LN(2)/25)*EB62+(1-EXP(-LN(2)/25))/(LN(2)/25)*Calculateur!DW63*Calculateur!DY63*VLOOKUP('Données projet'!$B$9,Paramètres!$A$1:$I$88,3,0)*0.475*44/12</f>
        <v>0</v>
      </c>
      <c r="EC63" s="23">
        <f>EXP(-LN(2)/2)*EC62+(1-EXP(-LN(2)/2))/(LN(2)/2)*DW63*DZ63*VLOOKUP('Données projet'!$B$9,Paramètres!$A$1:$I$88,3,0)*0.475*44/12</f>
        <v>0</v>
      </c>
      <c r="ED63" s="24">
        <f t="shared" si="24"/>
        <v>0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>
        <f>VLOOKUP(A63,'Données projet'!$A$191:$I$211,2,0)</f>
        <v>195</v>
      </c>
      <c r="EH63" s="13">
        <f>VLOOKUP(A63,'Données projet'!$A$191:$I$211,9,0)</f>
        <v>3.25</v>
      </c>
      <c r="EI63" s="13">
        <f t="array" ref="EI63">INDEX(EH:EH,MIN(IF(ISNUMBER(EH63:EH259),ROW(EH63:EH259),"")))</f>
        <v>3.25</v>
      </c>
      <c r="EJ63" s="13">
        <f>IF(A63&lt;'Données projet'!$A$192,$EG$205^A63,IF(A63='Données projet'!$A$192,'Données projet'!$B$192,EJ62+EI63-ER62))</f>
        <v>195</v>
      </c>
      <c r="EK63" s="18">
        <f>EJ63*VLOOKUP('Données projet'!$B$15,Paramètres!$A$1:$I$88,3,0)*VLOOKUP('Données projet'!$B$15,Paramètres!$A$1:$I$88,5,0)</f>
        <v>91.26</v>
      </c>
      <c r="EL63" s="14">
        <f t="shared" si="49"/>
        <v>24.868860330902777</v>
      </c>
      <c r="EM63" s="22">
        <f t="shared" si="25"/>
        <v>202.25776507632233</v>
      </c>
      <c r="EN63" s="62">
        <f t="shared" si="26"/>
        <v>446.83310536683473</v>
      </c>
      <c r="EO63" s="62">
        <f ca="1">AVERAGE(OFFSET($EN$3,0,0,'Données projet'!$E$15+1,1))-AVERAGE(OFFSET($H$3,0,0,'Données projet'!$E$15+1,1))</f>
        <v>238.59014604384171</v>
      </c>
      <c r="EP63" s="62">
        <f t="shared" si="27"/>
        <v>90.841373219575217</v>
      </c>
      <c r="EQ63" s="16">
        <f>IF(ISNA(VLOOKUP(A63,'Données projet'!$A$191:$I$211,3,0)),0,VLOOKUP(A63,'Données projet'!$A$191:$I$211,3,0))</f>
        <v>1</v>
      </c>
      <c r="ER63" s="16">
        <f>IF(ISNA(VLOOKUP(A63,'Données projet'!$A$191:$I$211,4,0)),0,VLOOKUP(A63,'Données projet'!$A$191:$I$211,4,0))</f>
        <v>66</v>
      </c>
      <c r="ES63" s="17">
        <f>IF(ISNA(VLOOKUP(A63,'Données projet'!$A$191:$I$211,5,0)),0%,VLOOKUP(A63,'Données projet'!$A$191:$I$211,5,0)*VLOOKUP('Données projet'!$B$15,Paramètres!$A$1:$I$88,7,0))</f>
        <v>0</v>
      </c>
      <c r="ET63" s="17">
        <f>IF(ISNA(VLOOKUP(A63,'Données projet'!$A$191:$I$211,6,0)),0%,VLOOKUP(A63,'Données projet'!$A$191:$I$211,6,0)*VLOOKUP('Données projet'!$B$15,Paramètres!$A$1:$I$88,7,0))</f>
        <v>0</v>
      </c>
      <c r="EU63" s="17">
        <f>IF(ISNA(VLOOKUP(A63,'Données projet'!$A$191:$I$211,7,0)),0%,VLOOKUP(A63,'Données projet'!$A$191:$I$211,7,0))</f>
        <v>0</v>
      </c>
      <c r="EV63" s="23">
        <f>EXP(-LN(2)/35)*EV62+(1-EXP(-LN(2)/35))/(LN(2)/35)*ER63*ES63*VLOOKUP('Données projet'!$B$9,Paramètres!$A$1:$I$88,3,0)*0.475*44/12</f>
        <v>0</v>
      </c>
      <c r="EW63" s="23">
        <f>EXP(-LN(2)/25)*EW62+(1-EXP(-LN(2)/25))/(LN(2)/25)*Calculateur!ER63*Calculateur!ET63*VLOOKUP('Données projet'!$B$9,Paramètres!$A$1:$I$88,3,0)*0.475*44/12</f>
        <v>0</v>
      </c>
      <c r="EX63" s="23">
        <f>EXP(-LN(2)/2)*EX62+(1-EXP(-LN(2)/2))/(LN(2)/2)*ER63*EU63*VLOOKUP('Données projet'!$B$9,Paramètres!$A$1:$I$88,3,0)*0.475*44/12</f>
        <v>0</v>
      </c>
      <c r="EY63" s="24">
        <f t="shared" si="28"/>
        <v>0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IF(A63&lt;'Données projet'!$A$218,$FB$205^A63,IF(A63='Données projet'!$A$218,'Données projet'!$B$218,FE62+FD63-FM62))</f>
        <v>0</v>
      </c>
      <c r="FF63" s="18" t="e">
        <f>FE63*VLOOKUP('Données projet'!$B$16,Paramètres!$A$1:$I$88,3,0)*VLOOKUP('Données projet'!$B$16,Paramètres!$A$1:$I$88,5,0)</f>
        <v>#N/A</v>
      </c>
      <c r="FG63" s="14" t="e">
        <f t="shared" si="50"/>
        <v>#N/A</v>
      </c>
      <c r="FH63" s="22" t="e">
        <f t="shared" si="29"/>
        <v>#N/A</v>
      </c>
      <c r="FI63" s="62" t="e">
        <f t="shared" si="30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31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projet'!$B$16,Paramètres!$A$1:$I$88,7,0))</f>
        <v>0</v>
      </c>
      <c r="FO63" s="17">
        <f>IF(ISNA(VLOOKUP(A63,'Données projet'!$A$217:$I$237,6,0)),0%,VLOOKUP(A63,'Données projet'!$A$217:$I$237,6,0)*VLOOKUP('Données projet'!$B$16,Paramètres!$A$1:$I$88,7,0))</f>
        <v>0</v>
      </c>
      <c r="FP63" s="17">
        <f>IF(ISNA(VLOOKUP(A63,'Données projet'!$A$217:$I$237,7,0)),0%,VLOOKUP(A63,'Données projet'!$A$217:$I$237,7,0))</f>
        <v>0</v>
      </c>
      <c r="FQ63" s="23">
        <f>EXP(-LN(2)/35)*FQ62+(1-EXP(-LN(2)/35))/(LN(2)/35)*FM63*FN63*VLOOKUP('Données projet'!$B$9,Paramètres!$A$1:$I$88,3,0)*0.475*44/12</f>
        <v>0</v>
      </c>
      <c r="FR63" s="23">
        <f>EXP(-LN(2)/25)*FR62+(1-EXP(-LN(2)/25))/(LN(2)/25)*Calculateur!FM63*Calculateur!FO63*VLOOKUP('Données projet'!$B$9,Paramètres!$A$1:$I$88,3,0)*0.475*44/12</f>
        <v>0</v>
      </c>
      <c r="FS63" s="23">
        <f>EXP(-LN(2)/2)*FS62+(1-EXP(-LN(2)/2))/(LN(2)/2)*FM63*FP63*VLOOKUP('Données projet'!$B$9,Paramètres!$A$1:$I$88,3,0)*0.475*44/12</f>
        <v>0</v>
      </c>
      <c r="FT63" s="24">
        <f t="shared" si="32"/>
        <v>0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IF(A63&lt;'Données projet'!$A$244,$FW$205^A63,IF(A63='Données projet'!$A$244,'Données projet'!$B$244,FZ62+FY63-GH62))</f>
        <v>0</v>
      </c>
      <c r="GA63" s="18" t="e">
        <f>FZ63*VLOOKUP('Données projet'!$B$17,Paramètres!$A$1:$I$88,3,0)*VLOOKUP('Données projet'!$B$17,Paramètres!$A$1:$I$88,5,0)</f>
        <v>#N/A</v>
      </c>
      <c r="GB63" s="14" t="e">
        <f t="shared" si="51"/>
        <v>#N/A</v>
      </c>
      <c r="GC63" s="22" t="e">
        <f t="shared" si="33"/>
        <v>#N/A</v>
      </c>
      <c r="GD63" s="62" t="e">
        <f t="shared" si="34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35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projet'!$B$17,Paramètres!$A$1:$I$88,7,0))</f>
        <v>0</v>
      </c>
      <c r="GJ63" s="17">
        <f>IF(ISNA(VLOOKUP(A63,'Données projet'!$A$243:$I$263,6,0)),0%,VLOOKUP(A63,'Données projet'!$A$243:$I$263,6,0)*VLOOKUP('Données projet'!$B$17,Paramètres!$A$1:$I$88,7,0))</f>
        <v>0</v>
      </c>
      <c r="GK63" s="17">
        <f>IF(ISNA(VLOOKUP(A63,'Données projet'!$A$243:$I$263,7,0)),0%,VLOOKUP(A63,'Données projet'!$A$243:$I$263,7,0))</f>
        <v>0</v>
      </c>
      <c r="GL63" s="23">
        <f>EXP(-LN(2)/35)*GL62+(1-EXP(-LN(2)/35))/(LN(2)/35)*GH63*GI63*VLOOKUP('Données projet'!$B$9,Paramètres!$A$1:$I$88,3,0)*0.475*44/12</f>
        <v>0</v>
      </c>
      <c r="GM63" s="23">
        <f>EXP(-LN(2)/25)*GM62+(1-EXP(-LN(2)/25))/(LN(2)/25)*Calculateur!GH63*Calculateur!GJ63*VLOOKUP('Données projet'!$B$9,Paramètres!$A$1:$I$88,3,0)*0.475*44/12</f>
        <v>0</v>
      </c>
      <c r="GN63" s="23">
        <f>EXP(-LN(2)/2)*GN62+(1-EXP(-LN(2)/2))/(LN(2)/2)*GH63*GK63*VLOOKUP('Données projet'!$B$9,Paramètres!$A$1:$I$88,3,0)*0.475*44/12</f>
        <v>0</v>
      </c>
      <c r="GO63" s="23">
        <f t="shared" si="36"/>
        <v>0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IF(A63&lt;'Données projet'!$A$270,$GR$205^A63,IF(A63='Données projet'!$A$270,'Données projet'!$B$270,GU62+GT63-HC62))</f>
        <v>0</v>
      </c>
      <c r="GV63" s="18" t="e">
        <f>GU63*VLOOKUP('Données projet'!$B$18,Paramètres!$A$1:$I$88,3,0)*VLOOKUP('Données projet'!$B$18,Paramètres!$A$1:$I$88,5,0)</f>
        <v>#N/A</v>
      </c>
      <c r="GW63" s="14" t="e">
        <f t="shared" si="52"/>
        <v>#N/A</v>
      </c>
      <c r="GX63" s="22" t="e">
        <f t="shared" si="37"/>
        <v>#N/A</v>
      </c>
      <c r="GY63" s="62" t="e">
        <f t="shared" si="38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39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projet'!$B$18,Paramètres!$A$1:$I$88,7,0))</f>
        <v>0</v>
      </c>
      <c r="HE63" s="17">
        <f>IF(ISNA(VLOOKUP(A63,'Données projet'!$A$269:$I$289,6,0)),0%,VLOOKUP(A63,'Données projet'!$A$269:$I$289,6,0)*VLOOKUP('Données projet'!$B$18,Paramètres!$A$1:$I$88,7,0))</f>
        <v>0</v>
      </c>
      <c r="HF63" s="17">
        <f>IF(ISNA(VLOOKUP(A63,'Données projet'!$A$269:$I$289,7,0)),0%,VLOOKUP(A63,'Données projet'!$A$269:$I$289,7,0))</f>
        <v>0</v>
      </c>
      <c r="HG63" s="23">
        <f>EXP(-LN(2)/35)*HG62+(1-EXP(-LN(2)/35))/(LN(2)/35)*HC63*HD63*VLOOKUP('Données projet'!$B$9,Paramètres!$A$1:$I$88,3,0)*0.475*44/12</f>
        <v>0</v>
      </c>
      <c r="HH63" s="23">
        <f>EXP(-LN(2)/25)*HH62+(1-EXP(-LN(2)/25))/(LN(2)/25)*Calculateur!HC63*Calculateur!HE63*VLOOKUP('Données projet'!$B$9,Paramètres!$A$1:$I$88,3,0)*0.475*44/12</f>
        <v>0</v>
      </c>
      <c r="HI63" s="23">
        <f>EXP(-LN(2)/2)*HI62+(1-EXP(-LN(2)/2))/(LN(2)/2)*HC63*HF63*VLOOKUP('Données projet'!$B$9,Paramètres!$A$1:$I$88,3,0)*0.475*44/12</f>
        <v>0</v>
      </c>
      <c r="HJ63" s="24">
        <f t="shared" si="40"/>
        <v>0</v>
      </c>
    </row>
    <row r="64" spans="1:218" s="5" customFormat="1" x14ac:dyDescent="0.25">
      <c r="A64" s="11">
        <f t="shared" si="4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4" s="12">
        <f t="shared" si="4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135.66666666666666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1.6750000000000014</v>
      </c>
      <c r="N64" s="14">
        <f>IF(A64&lt;'Données projet'!$A$36,$K$205^A64,IF(A64='Données projet'!$A$36,'Données projet'!$B$36,N63+M64-V63))</f>
        <v>77.787499999999966</v>
      </c>
      <c r="O64" s="14">
        <f>N64*VLOOKUP('Données projet'!$B$9,Paramètres!$A$1:$I$88,3,0)*VLOOKUP('Données projet'!$B$9,Paramètres!$A$1:$I$88,5,0)</f>
        <v>89.611199999999954</v>
      </c>
      <c r="P64" s="14">
        <f t="shared" si="43"/>
        <v>24.471432182378969</v>
      </c>
      <c r="Q64" s="22">
        <f t="shared" si="53"/>
        <v>198.6939177176433</v>
      </c>
      <c r="R64" s="62">
        <f t="shared" si="0"/>
        <v>444.11510018090655</v>
      </c>
      <c r="S64" s="62">
        <f ca="1">AVERAGE(OFFSET($R$3,0,0,'Données projet'!$E$9+1,1))-AVERAGE(OFFSET($H$3,0,0,'Données projet'!$E$9+1,1))</f>
        <v>314.72063458462026</v>
      </c>
      <c r="T64" s="62">
        <f t="shared" si="3"/>
        <v>216.4380325968244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projet'!$B$9,Paramètres!$A$1:$I$88,7,0))</f>
        <v>0</v>
      </c>
      <c r="X64" s="17">
        <f>IF(ISNA(VLOOKUP(A64,'Données projet'!$A$35:$I$55,6,0)),0%,VLOOKUP(A64,'Données projet'!$A$35:$I$55,6,0)*VLOOKUP('Données projet'!$B$9,Paramètres!$A$1:$I$88,7,0))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projet'!$B$9,Paramètres!$A$1:$I$88,3,0)*0.475*44/12</f>
        <v>0</v>
      </c>
      <c r="AA64" s="23">
        <f>EXP(-LN(2)/25)*AA63+(1-EXP(-LN(2)/25))/(LN(2)/25)*Calculateur!V64*Calculateur!X64*VLOOKUP('Données projet'!$B$9,Paramètres!$A$1:$I$88,3,0)*0.475*44/12</f>
        <v>0</v>
      </c>
      <c r="AB64" s="23">
        <f>EXP(-LN(2)/2)*AB63+(1-EXP(-LN(2)/2))/(LN(2)/2)*V64*Y64*VLOOKUP('Données projet'!$B$9,Paramètres!$A$1:$I$88,3,0)*0.475*44/12</f>
        <v>0</v>
      </c>
      <c r="AC64" s="24">
        <f t="shared" si="4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4.5999999999999996</v>
      </c>
      <c r="AI64" s="14">
        <f>IF(A64&lt;'Données projet'!$A$62,$AF$205^A64,IF(A64='Données projet'!$A$62,'Données projet'!$B$62,AI63+AH64-AQ63))</f>
        <v>164.60000000000005</v>
      </c>
      <c r="AJ64" s="14">
        <f>AI64*VLOOKUP('Données projet'!$B$10,Paramètres!$A$1:$I$88,3,0)*VLOOKUP('Données projet'!$B$10,Paramètres!$A$1:$I$88,5,0)</f>
        <v>172.03992000000008</v>
      </c>
      <c r="AK64" s="14">
        <f t="shared" si="44"/>
        <v>43.546580153407824</v>
      </c>
      <c r="AL64" s="22">
        <f t="shared" si="5"/>
        <v>375.47982110051879</v>
      </c>
      <c r="AM64" s="62">
        <f t="shared" si="6"/>
        <v>620.90100356378207</v>
      </c>
      <c r="AN64" s="62">
        <f ca="1">AVERAGE(OFFSET($AM$3,0,0,'Données projet'!$E$10+1,1))-AVERAGE(OFFSET($H$3,0,0,'Données projet'!$E$10+1,1))</f>
        <v>458.33072853676879</v>
      </c>
      <c r="AO64" s="62">
        <f t="shared" si="7"/>
        <v>254.1734169352687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projet'!$B$10,Paramètres!$A$1:$I$88,7,0))</f>
        <v>0</v>
      </c>
      <c r="AS64" s="17">
        <f>IF(ISNA(VLOOKUP(A64,'Données projet'!$A$61:$I$81,6,0)),0%,VLOOKUP(A64,'Données projet'!$A$61:$I$81,6,0)*VLOOKUP('Données projet'!$B$10,Paramètres!$A$1:$I$88,7,0))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projet'!$B$9,Paramètres!$A$1:$I$88,3,0)*0.475*44/12</f>
        <v>0</v>
      </c>
      <c r="AV64" s="23">
        <f>EXP(-LN(2)/25)*AV63+(1-EXP(-LN(2)/25))/(LN(2)/25)*Calculateur!AQ64*Calculateur!AS64*VLOOKUP('Données projet'!$B$9,Paramètres!$A$1:$I$88,3,0)*0.475*44/12</f>
        <v>0</v>
      </c>
      <c r="AW64" s="23">
        <f>EXP(-LN(2)/2)*AW63+(1-EXP(-LN(2)/2))/(LN(2)/2)*AQ64*AT64*VLOOKUP('Données projet'!$B$9,Paramètres!$A$1:$I$88,3,0)*0.475*44/12</f>
        <v>0</v>
      </c>
      <c r="AX64" s="23">
        <f t="shared" si="8"/>
        <v>0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4.5999999999999996</v>
      </c>
      <c r="BD64" s="13">
        <f>IF(A64&lt;'Données projet'!$A$88,$BA$205^A64,IF(A64='Données projet'!$A$88,'Données projet'!$B$88,BD63+BC64-BL63))</f>
        <v>164.60000000000005</v>
      </c>
      <c r="BE64" s="14">
        <f>BD64*VLOOKUP('Données projet'!$B$11,Paramètres!$A$1:$I$88,3,0)*VLOOKUP('Données projet'!$B$11,Paramètres!$A$1:$I$88,5,0)</f>
        <v>166.90440000000007</v>
      </c>
      <c r="BF64" s="14">
        <f t="shared" si="45"/>
        <v>42.395972371968817</v>
      </c>
      <c r="BG64" s="22">
        <f t="shared" si="9"/>
        <v>364.5314818811791</v>
      </c>
      <c r="BH64" s="62">
        <f t="shared" si="10"/>
        <v>609.95266434444238</v>
      </c>
      <c r="BI64" s="62">
        <f ca="1">AVERAGE(OFFSET($BH$3,0,0,'Données projet'!$E$11+1,1))-AVERAGE(OFFSET($H$3,0,0,'Données projet'!$E$11+1,1))</f>
        <v>447.82618173893104</v>
      </c>
      <c r="BJ64" s="62">
        <f t="shared" si="11"/>
        <v>248.96509970783379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projet'!$B$11,Paramètres!$A$1:$I$88,7,0))</f>
        <v>0</v>
      </c>
      <c r="BN64" s="17">
        <f>IF(ISNA(VLOOKUP(A64,'Données projet'!$A$87:$I$107,6,0)),0%,VLOOKUP(A64,'Données projet'!$A$87:$I$107,6,0)*VLOOKUP('Données projet'!$B$11,Paramètres!$A$1:$I$88,7,0))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projet'!$B$9,Paramètres!$A$1:$I$88,3,0)*0.475*44/12</f>
        <v>0</v>
      </c>
      <c r="BQ64" s="23">
        <f>EXP(-LN(2)/25)*BQ63+(1-EXP(-LN(2)/25))/(LN(2)/25)*Calculateur!BL64*Calculateur!BN64*VLOOKUP('Données projet'!$B$9,Paramètres!$A$1:$I$88,3,0)*0.475*44/12</f>
        <v>0</v>
      </c>
      <c r="BR64" s="23">
        <f>EXP(-LN(2)/2)*BR63+(1-EXP(-LN(2)/2))/(LN(2)/2)*BL64*BO64*VLOOKUP('Données projet'!$B$9,Paramètres!$A$1:$I$88,3,0)*0.475*44/12</f>
        <v>0</v>
      </c>
      <c r="BS64" s="24">
        <f t="shared" si="12"/>
        <v>0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4.5999999999999996</v>
      </c>
      <c r="BY64" s="13">
        <f>IF(A64&lt;'Données projet'!$A$114,$BV$205^A64,IF(A64='Données projet'!$A$114,'Données projet'!$B$114,BY63+BX64-CG63))</f>
        <v>164.60000000000005</v>
      </c>
      <c r="BZ64" s="14">
        <f>BY64*VLOOKUP('Données projet'!$B$12,Paramètres!$A$1:$I$88,3,0)*VLOOKUP('Données projet'!$B$12,Paramètres!$A$1:$I$88,5,0)</f>
        <v>177.17544000000004</v>
      </c>
      <c r="CA64" s="14">
        <f t="shared" si="46"/>
        <v>44.693196313414752</v>
      </c>
      <c r="CB64" s="22">
        <f t="shared" si="13"/>
        <v>386.42120824586408</v>
      </c>
      <c r="CC64" s="62">
        <f t="shared" si="14"/>
        <v>631.84239070912736</v>
      </c>
      <c r="CD64" s="62">
        <f ca="1">AVERAGE(OFFSET($CC$3,0,0,'Données projet'!$E$12+1,1))-AVERAGE(OFFSET($H$3,0,0,'Données projet'!$E$12+1,1))</f>
        <v>468.82871618425406</v>
      </c>
      <c r="CE64" s="62">
        <f t="shared" si="15"/>
        <v>259.37818128554397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projet'!$B$12,Paramètres!$A$1:$I$88,7,0))</f>
        <v>0</v>
      </c>
      <c r="CI64" s="17">
        <f>IF(ISNA(VLOOKUP(A64,'Données projet'!$A$113:$I$133,6,0)),0%,VLOOKUP(A64,'Données projet'!$A$113:$I$133,6,0)*VLOOKUP('Données projet'!$B$12,Paramètres!$A$1:$I$88,7,0))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projet'!$B$9,Paramètres!$A$1:$I$88,3,0)*0.475*44/12</f>
        <v>0</v>
      </c>
      <c r="CL64" s="23">
        <f>EXP(-LN(2)/25)*CL63+(1-EXP(-LN(2)/25))/(LN(2)/25)*Calculateur!CG64*Calculateur!CI64*VLOOKUP('Données projet'!$B$9,Paramètres!$A$1:$I$88,3,0)*0.475*44/12</f>
        <v>0</v>
      </c>
      <c r="CM64" s="23">
        <f>EXP(-LN(2)/2)*CM63+(1-EXP(-LN(2)/2))/(LN(2)/2)*CG64*CJ64*VLOOKUP('Données projet'!$B$9,Paramètres!$A$1:$I$88,3,0)*0.475*44/12</f>
        <v>0</v>
      </c>
      <c r="CN64" s="24">
        <f t="shared" si="16"/>
        <v>0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4.5999999999999996</v>
      </c>
      <c r="CT64" s="13">
        <f>IF(A64&lt;'Données projet'!$A$140,$CQ$205^A64,IF(A64='Données projet'!$A$140,'Données projet'!$B$140,CT63+CS64-DB63))</f>
        <v>164.60000000000005</v>
      </c>
      <c r="CU64" s="18">
        <f>CT64*VLOOKUP('Données projet'!$B$13,Paramètres!$A$1:$I$88,3,0)*VLOOKUP('Données projet'!$B$13,Paramètres!$A$1:$I$88,5,0)</f>
        <v>141.22680000000005</v>
      </c>
      <c r="CV64" s="14">
        <f t="shared" si="47"/>
        <v>36.577905281686142</v>
      </c>
      <c r="CW64" s="22">
        <f t="shared" si="17"/>
        <v>309.67652836560347</v>
      </c>
      <c r="CX64" s="62">
        <f t="shared" si="18"/>
        <v>555.09771082886664</v>
      </c>
      <c r="CY64" s="62">
        <f ca="1">AVERAGE(OFFSET($CX$3,0,0,'Données projet'!$E$13+1,1))-AVERAGE(OFFSET($H$3,0,0,'Données projet'!$E$13+1,1))</f>
        <v>395.19659151668884</v>
      </c>
      <c r="CZ64" s="62">
        <f t="shared" si="19"/>
        <v>222.86563304507339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projet'!$B$13,Paramètres!$A$1:$I$88,7,0))</f>
        <v>0</v>
      </c>
      <c r="DD64" s="17">
        <f>IF(ISNA(VLOOKUP(A64,'Données projet'!$A$139:$I$159,6,0)),0%,VLOOKUP(A64,'Données projet'!$A$139:$I$159,6,0)*VLOOKUP('Données projet'!$B$13,Paramètres!$A$1:$I$88,7,0))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projet'!$B$9,Paramètres!$A$1:$I$88,3,0)*0.475*44/12</f>
        <v>0</v>
      </c>
      <c r="DG64" s="23">
        <f>EXP(-LN(2)/25)*DG63+(1-EXP(-LN(2)/25))/(LN(2)/25)*Calculateur!DB64*Calculateur!DD64*VLOOKUP('Données projet'!$B$9,Paramètres!$A$1:$I$88,3,0)*0.475*44/12</f>
        <v>0</v>
      </c>
      <c r="DH64" s="23">
        <f>EXP(-LN(2)/2)*DH63+(1-EXP(-LN(2)/2))/(LN(2)/2)*DB64*DE64*VLOOKUP('Données projet'!$B$9,Paramètres!$A$1:$I$88,3,0)*0.475*44/12</f>
        <v>0</v>
      </c>
      <c r="DI64" s="24">
        <f t="shared" si="20"/>
        <v>0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4.666666666666667</v>
      </c>
      <c r="DO64" s="13">
        <f>IF(A64&lt;'Données projet'!$A$166,$DL$205^A64,IF(A64='Données projet'!$A$166,'Données projet'!$B$166,DO63+DN64-DW63))</f>
        <v>74.999999999999957</v>
      </c>
      <c r="DP64" s="18">
        <f>DO64*VLOOKUP('Données projet'!$B$14,Paramètres!$A$1:$I$88,3,0)*VLOOKUP('Données projet'!$B$14,Paramètres!$A$1:$I$88,5,0)</f>
        <v>43.874999999999972</v>
      </c>
      <c r="DQ64" s="14">
        <f t="shared" si="48"/>
        <v>13.02012400366568</v>
      </c>
      <c r="DR64" s="22">
        <f t="shared" si="21"/>
        <v>99.092340973051009</v>
      </c>
      <c r="DS64" s="62">
        <f t="shared" si="22"/>
        <v>344.51352343631424</v>
      </c>
      <c r="DT64" s="62">
        <f ca="1">AVERAGE(OFFSET($DS$3,0,0,'Données projet'!$E$14+1,1))-AVERAGE(OFFSET($H$3,0,0,'Données projet'!$E$14+1,1))</f>
        <v>155.18073137151848</v>
      </c>
      <c r="DU64" s="62">
        <f t="shared" si="23"/>
        <v>115.19459155667272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projet'!$B$14,Paramètres!$A$1:$I$88,7,0))</f>
        <v>0</v>
      </c>
      <c r="DY64" s="17">
        <f>IF(ISNA(VLOOKUP(A64,'Données projet'!$A$165:$I$185,6,0)),0%,VLOOKUP(A64,'Données projet'!$A$165:$I$185,6,0)*VLOOKUP('Données projet'!$B$14,Paramètres!$A$1:$I$88,7,0))</f>
        <v>0</v>
      </c>
      <c r="DZ64" s="17">
        <f>IF(ISNA(VLOOKUP(A64,'Données projet'!$A$165:$I$185,7,0)),0%,VLOOKUP(A64,'Données projet'!$A$165:$I$185,7,0))</f>
        <v>0</v>
      </c>
      <c r="EA64" s="23">
        <f>EXP(-LN(2)/35)*EA63+(1-EXP(-LN(2)/35))/(LN(2)/35)*DW64*DX64*VLOOKUP('Données projet'!$B$9,Paramètres!$A$1:$I$88,3,0)*0.475*44/12</f>
        <v>0</v>
      </c>
      <c r="EB64" s="23">
        <f>EXP(-LN(2)/25)*EB63+(1-EXP(-LN(2)/25))/(LN(2)/25)*Calculateur!DW64*Calculateur!DY64*VLOOKUP('Données projet'!$B$9,Paramètres!$A$1:$I$88,3,0)*0.475*44/12</f>
        <v>0</v>
      </c>
      <c r="EC64" s="23">
        <f>EXP(-LN(2)/2)*EC63+(1-EXP(-LN(2)/2))/(LN(2)/2)*DW64*DZ64*VLOOKUP('Données projet'!$B$9,Paramètres!$A$1:$I$88,3,0)*0.475*44/12</f>
        <v>0</v>
      </c>
      <c r="ED64" s="24">
        <f t="shared" si="24"/>
        <v>0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8.9333333333333336</v>
      </c>
      <c r="EJ64" s="13">
        <f>IF(A64&lt;'Données projet'!$A$192,$EG$205^A64,IF(A64='Données projet'!$A$192,'Données projet'!$B$192,EJ63+EI64-ER63))</f>
        <v>137.93333333333334</v>
      </c>
      <c r="EK64" s="18">
        <f>EJ64*VLOOKUP('Données projet'!$B$15,Paramètres!$A$1:$I$88,3,0)*VLOOKUP('Données projet'!$B$15,Paramètres!$A$1:$I$88,5,0)</f>
        <v>64.552800000000005</v>
      </c>
      <c r="EL64" s="14">
        <f t="shared" si="49"/>
        <v>18.31441427177408</v>
      </c>
      <c r="EM64" s="22">
        <f t="shared" si="25"/>
        <v>144.32706485667322</v>
      </c>
      <c r="EN64" s="62">
        <f t="shared" si="26"/>
        <v>389.74824731993647</v>
      </c>
      <c r="EO64" s="62">
        <f ca="1">AVERAGE(OFFSET($EN$3,0,0,'Données projet'!$E$15+1,1))-AVERAGE(OFFSET($H$3,0,0,'Données projet'!$E$15+1,1))</f>
        <v>238.59014604384171</v>
      </c>
      <c r="EP64" s="62">
        <f t="shared" si="27"/>
        <v>90.841373219575217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projet'!$B$15,Paramètres!$A$1:$I$88,7,0))</f>
        <v>0</v>
      </c>
      <c r="ET64" s="17">
        <f>IF(ISNA(VLOOKUP(A64,'Données projet'!$A$191:$I$211,6,0)),0%,VLOOKUP(A64,'Données projet'!$A$191:$I$211,6,0)*VLOOKUP('Données projet'!$B$15,Paramètres!$A$1:$I$88,7,0))</f>
        <v>0</v>
      </c>
      <c r="EU64" s="17">
        <f>IF(ISNA(VLOOKUP(A64,'Données projet'!$A$191:$I$211,7,0)),0%,VLOOKUP(A64,'Données projet'!$A$191:$I$211,7,0))</f>
        <v>0</v>
      </c>
      <c r="EV64" s="23">
        <f>EXP(-LN(2)/35)*EV63+(1-EXP(-LN(2)/35))/(LN(2)/35)*ER64*ES64*VLOOKUP('Données projet'!$B$9,Paramètres!$A$1:$I$88,3,0)*0.475*44/12</f>
        <v>0</v>
      </c>
      <c r="EW64" s="23">
        <f>EXP(-LN(2)/25)*EW63+(1-EXP(-LN(2)/25))/(LN(2)/25)*Calculateur!ER64*Calculateur!ET64*VLOOKUP('Données projet'!$B$9,Paramètres!$A$1:$I$88,3,0)*0.475*44/12</f>
        <v>0</v>
      </c>
      <c r="EX64" s="23">
        <f>EXP(-LN(2)/2)*EX63+(1-EXP(-LN(2)/2))/(LN(2)/2)*ER64*EU64*VLOOKUP('Données projet'!$B$9,Paramètres!$A$1:$I$88,3,0)*0.475*44/12</f>
        <v>0</v>
      </c>
      <c r="EY64" s="24">
        <f t="shared" si="28"/>
        <v>0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IF(A64&lt;'Données projet'!$A$218,$FB$205^A64,IF(A64='Données projet'!$A$218,'Données projet'!$B$218,FE63+FD64-FM63))</f>
        <v>0</v>
      </c>
      <c r="FF64" s="18" t="e">
        <f>FE64*VLOOKUP('Données projet'!$B$16,Paramètres!$A$1:$I$88,3,0)*VLOOKUP('Données projet'!$B$16,Paramètres!$A$1:$I$88,5,0)</f>
        <v>#N/A</v>
      </c>
      <c r="FG64" s="14" t="e">
        <f t="shared" si="50"/>
        <v>#N/A</v>
      </c>
      <c r="FH64" s="22" t="e">
        <f t="shared" si="29"/>
        <v>#N/A</v>
      </c>
      <c r="FI64" s="62" t="e">
        <f t="shared" si="30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31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projet'!$B$16,Paramètres!$A$1:$I$88,7,0))</f>
        <v>0</v>
      </c>
      <c r="FO64" s="17">
        <f>IF(ISNA(VLOOKUP(A64,'Données projet'!$A$217:$I$237,6,0)),0%,VLOOKUP(A64,'Données projet'!$A$217:$I$237,6,0)*VLOOKUP('Données projet'!$B$16,Paramètres!$A$1:$I$88,7,0))</f>
        <v>0</v>
      </c>
      <c r="FP64" s="17">
        <f>IF(ISNA(VLOOKUP(A64,'Données projet'!$A$217:$I$237,7,0)),0%,VLOOKUP(A64,'Données projet'!$A$217:$I$237,7,0))</f>
        <v>0</v>
      </c>
      <c r="FQ64" s="23">
        <f>EXP(-LN(2)/35)*FQ63+(1-EXP(-LN(2)/35))/(LN(2)/35)*FM64*FN64*VLOOKUP('Données projet'!$B$9,Paramètres!$A$1:$I$88,3,0)*0.475*44/12</f>
        <v>0</v>
      </c>
      <c r="FR64" s="23">
        <f>EXP(-LN(2)/25)*FR63+(1-EXP(-LN(2)/25))/(LN(2)/25)*Calculateur!FM64*Calculateur!FO64*VLOOKUP('Données projet'!$B$9,Paramètres!$A$1:$I$88,3,0)*0.475*44/12</f>
        <v>0</v>
      </c>
      <c r="FS64" s="23">
        <f>EXP(-LN(2)/2)*FS63+(1-EXP(-LN(2)/2))/(LN(2)/2)*FM64*FP64*VLOOKUP('Données projet'!$B$9,Paramètres!$A$1:$I$88,3,0)*0.475*44/12</f>
        <v>0</v>
      </c>
      <c r="FT64" s="24">
        <f t="shared" si="32"/>
        <v>0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IF(A64&lt;'Données projet'!$A$244,$FW$205^A64,IF(A64='Données projet'!$A$244,'Données projet'!$B$244,FZ63+FY64-GH63))</f>
        <v>0</v>
      </c>
      <c r="GA64" s="18" t="e">
        <f>FZ64*VLOOKUP('Données projet'!$B$17,Paramètres!$A$1:$I$88,3,0)*VLOOKUP('Données projet'!$B$17,Paramètres!$A$1:$I$88,5,0)</f>
        <v>#N/A</v>
      </c>
      <c r="GB64" s="14" t="e">
        <f t="shared" si="51"/>
        <v>#N/A</v>
      </c>
      <c r="GC64" s="22" t="e">
        <f t="shared" si="33"/>
        <v>#N/A</v>
      </c>
      <c r="GD64" s="62" t="e">
        <f t="shared" si="34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35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projet'!$B$17,Paramètres!$A$1:$I$88,7,0))</f>
        <v>0</v>
      </c>
      <c r="GJ64" s="17">
        <f>IF(ISNA(VLOOKUP(A64,'Données projet'!$A$243:$I$263,6,0)),0%,VLOOKUP(A64,'Données projet'!$A$243:$I$263,6,0)*VLOOKUP('Données projet'!$B$17,Paramètres!$A$1:$I$88,7,0))</f>
        <v>0</v>
      </c>
      <c r="GK64" s="17">
        <f>IF(ISNA(VLOOKUP(A64,'Données projet'!$A$243:$I$263,7,0)),0%,VLOOKUP(A64,'Données projet'!$A$243:$I$263,7,0))</f>
        <v>0</v>
      </c>
      <c r="GL64" s="23">
        <f>EXP(-LN(2)/35)*GL63+(1-EXP(-LN(2)/35))/(LN(2)/35)*GH64*GI64*VLOOKUP('Données projet'!$B$9,Paramètres!$A$1:$I$88,3,0)*0.475*44/12</f>
        <v>0</v>
      </c>
      <c r="GM64" s="23">
        <f>EXP(-LN(2)/25)*GM63+(1-EXP(-LN(2)/25))/(LN(2)/25)*Calculateur!GH64*Calculateur!GJ64*VLOOKUP('Données projet'!$B$9,Paramètres!$A$1:$I$88,3,0)*0.475*44/12</f>
        <v>0</v>
      </c>
      <c r="GN64" s="23">
        <f>EXP(-LN(2)/2)*GN63+(1-EXP(-LN(2)/2))/(LN(2)/2)*GH64*GK64*VLOOKUP('Données projet'!$B$9,Paramètres!$A$1:$I$88,3,0)*0.475*44/12</f>
        <v>0</v>
      </c>
      <c r="GO64" s="23">
        <f t="shared" si="36"/>
        <v>0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IF(A64&lt;'Données projet'!$A$270,$GR$205^A64,IF(A64='Données projet'!$A$270,'Données projet'!$B$270,GU63+GT64-HC63))</f>
        <v>0</v>
      </c>
      <c r="GV64" s="18" t="e">
        <f>GU64*VLOOKUP('Données projet'!$B$18,Paramètres!$A$1:$I$88,3,0)*VLOOKUP('Données projet'!$B$18,Paramètres!$A$1:$I$88,5,0)</f>
        <v>#N/A</v>
      </c>
      <c r="GW64" s="14" t="e">
        <f t="shared" si="52"/>
        <v>#N/A</v>
      </c>
      <c r="GX64" s="22" t="e">
        <f t="shared" si="37"/>
        <v>#N/A</v>
      </c>
      <c r="GY64" s="62" t="e">
        <f t="shared" si="38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39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projet'!$B$18,Paramètres!$A$1:$I$88,7,0))</f>
        <v>0</v>
      </c>
      <c r="HE64" s="17">
        <f>IF(ISNA(VLOOKUP(A64,'Données projet'!$A$269:$I$289,6,0)),0%,VLOOKUP(A64,'Données projet'!$A$269:$I$289,6,0)*VLOOKUP('Données projet'!$B$18,Paramètres!$A$1:$I$88,7,0))</f>
        <v>0</v>
      </c>
      <c r="HF64" s="17">
        <f>IF(ISNA(VLOOKUP(A64,'Données projet'!$A$269:$I$289,7,0)),0%,VLOOKUP(A64,'Données projet'!$A$269:$I$289,7,0))</f>
        <v>0</v>
      </c>
      <c r="HG64" s="23">
        <f>EXP(-LN(2)/35)*HG63+(1-EXP(-LN(2)/35))/(LN(2)/35)*HC64*HD64*VLOOKUP('Données projet'!$B$9,Paramètres!$A$1:$I$88,3,0)*0.475*44/12</f>
        <v>0</v>
      </c>
      <c r="HH64" s="23">
        <f>EXP(-LN(2)/25)*HH63+(1-EXP(-LN(2)/25))/(LN(2)/25)*Calculateur!HC64*Calculateur!HE64*VLOOKUP('Données projet'!$B$9,Paramètres!$A$1:$I$88,3,0)*0.475*44/12</f>
        <v>0</v>
      </c>
      <c r="HI64" s="23">
        <f>EXP(-LN(2)/2)*HI63+(1-EXP(-LN(2)/2))/(LN(2)/2)*HC64*HF64*VLOOKUP('Données projet'!$B$9,Paramètres!$A$1:$I$88,3,0)*0.475*44/12</f>
        <v>0</v>
      </c>
      <c r="HJ64" s="24">
        <f t="shared" si="40"/>
        <v>0</v>
      </c>
    </row>
    <row r="65" spans="1:218" s="5" customFormat="1" x14ac:dyDescent="0.25">
      <c r="A65" s="11">
        <f t="shared" si="4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5" s="12">
        <f t="shared" si="4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135.66666666666666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1.6750000000000014</v>
      </c>
      <c r="N65" s="14">
        <f>IF(A65&lt;'Données projet'!$A$36,$K$205^A65,IF(A65='Données projet'!$A$36,'Données projet'!$B$36,N64+M65-V64))</f>
        <v>79.462499999999963</v>
      </c>
      <c r="O65" s="14">
        <f>N65*VLOOKUP('Données projet'!$B$9,Paramètres!$A$1:$I$88,3,0)*VLOOKUP('Données projet'!$B$9,Paramètres!$A$1:$I$88,5,0)</f>
        <v>91.540799999999948</v>
      </c>
      <c r="P65" s="14">
        <f t="shared" si="43"/>
        <v>24.93646092914312</v>
      </c>
      <c r="Q65" s="22">
        <f t="shared" si="53"/>
        <v>202.86456278492415</v>
      </c>
      <c r="R65" s="62">
        <f t="shared" si="0"/>
        <v>449.11691395026082</v>
      </c>
      <c r="S65" s="62">
        <f ca="1">AVERAGE(OFFSET($R$3,0,0,'Données projet'!$E$9+1,1))-AVERAGE(OFFSET($H$3,0,0,'Données projet'!$E$9+1,1))</f>
        <v>314.72063458462026</v>
      </c>
      <c r="T65" s="62">
        <f t="shared" si="3"/>
        <v>216.4380325968244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projet'!$B$9,Paramètres!$A$1:$I$88,7,0))</f>
        <v>0</v>
      </c>
      <c r="X65" s="17">
        <f>IF(ISNA(VLOOKUP(A65,'Données projet'!$A$35:$I$55,6,0)),0%,VLOOKUP(A65,'Données projet'!$A$35:$I$55,6,0)*VLOOKUP('Données projet'!$B$9,Paramètres!$A$1:$I$88,7,0))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projet'!$B$9,Paramètres!$A$1:$I$88,3,0)*0.475*44/12</f>
        <v>0</v>
      </c>
      <c r="AA65" s="23">
        <f>EXP(-LN(2)/25)*AA64+(1-EXP(-LN(2)/25))/(LN(2)/25)*Calculateur!V65*Calculateur!X65*VLOOKUP('Données projet'!$B$9,Paramètres!$A$1:$I$88,3,0)*0.475*44/12</f>
        <v>0</v>
      </c>
      <c r="AB65" s="23">
        <f>EXP(-LN(2)/2)*AB64+(1-EXP(-LN(2)/2))/(LN(2)/2)*V65*Y65*VLOOKUP('Données projet'!$B$9,Paramètres!$A$1:$I$88,3,0)*0.475*44/12</f>
        <v>0</v>
      </c>
      <c r="AC65" s="24">
        <f t="shared" si="4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4.5999999999999996</v>
      </c>
      <c r="AI65" s="14">
        <f>IF(A65&lt;'Données projet'!$A$62,$AF$205^A65,IF(A65='Données projet'!$A$62,'Données projet'!$B$62,AI64+AH65-AQ64))</f>
        <v>169.20000000000005</v>
      </c>
      <c r="AJ65" s="14">
        <f>AI65*VLOOKUP('Données projet'!$B$10,Paramètres!$A$1:$I$88,3,0)*VLOOKUP('Données projet'!$B$10,Paramètres!$A$1:$I$88,5,0)</f>
        <v>176.84784000000005</v>
      </c>
      <c r="AK65" s="14">
        <f t="shared" si="44"/>
        <v>44.620169178759461</v>
      </c>
      <c r="AL65" s="22">
        <f t="shared" si="5"/>
        <v>385.72344931967274</v>
      </c>
      <c r="AM65" s="62">
        <f t="shared" si="6"/>
        <v>631.97580048500936</v>
      </c>
      <c r="AN65" s="62">
        <f ca="1">AVERAGE(OFFSET($AM$3,0,0,'Données projet'!$E$10+1,1))-AVERAGE(OFFSET($H$3,0,0,'Données projet'!$E$10+1,1))</f>
        <v>458.33072853676879</v>
      </c>
      <c r="AO65" s="62">
        <f t="shared" si="7"/>
        <v>254.1734169352687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projet'!$B$10,Paramètres!$A$1:$I$88,7,0))</f>
        <v>0</v>
      </c>
      <c r="AS65" s="17">
        <f>IF(ISNA(VLOOKUP(A65,'Données projet'!$A$61:$I$81,6,0)),0%,VLOOKUP(A65,'Données projet'!$A$61:$I$81,6,0)*VLOOKUP('Données projet'!$B$10,Paramètres!$A$1:$I$88,7,0))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projet'!$B$9,Paramètres!$A$1:$I$88,3,0)*0.475*44/12</f>
        <v>0</v>
      </c>
      <c r="AV65" s="23">
        <f>EXP(-LN(2)/25)*AV64+(1-EXP(-LN(2)/25))/(LN(2)/25)*Calculateur!AQ65*Calculateur!AS65*VLOOKUP('Données projet'!$B$9,Paramètres!$A$1:$I$88,3,0)*0.475*44/12</f>
        <v>0</v>
      </c>
      <c r="AW65" s="23">
        <f>EXP(-LN(2)/2)*AW64+(1-EXP(-LN(2)/2))/(LN(2)/2)*AQ65*AT65*VLOOKUP('Données projet'!$B$9,Paramètres!$A$1:$I$88,3,0)*0.475*44/12</f>
        <v>0</v>
      </c>
      <c r="AX65" s="23">
        <f t="shared" si="8"/>
        <v>0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4.5999999999999996</v>
      </c>
      <c r="BD65" s="13">
        <f>IF(A65&lt;'Données projet'!$A$88,$BA$205^A65,IF(A65='Données projet'!$A$88,'Données projet'!$B$88,BD64+BC65-BL64))</f>
        <v>169.20000000000005</v>
      </c>
      <c r="BE65" s="14">
        <f>BD65*VLOOKUP('Données projet'!$B$11,Paramètres!$A$1:$I$88,3,0)*VLOOKUP('Données projet'!$B$11,Paramètres!$A$1:$I$88,5,0)</f>
        <v>171.56880000000007</v>
      </c>
      <c r="BF65" s="14">
        <f t="shared" si="45"/>
        <v>43.441194534014848</v>
      </c>
      <c r="BG65" s="22">
        <f t="shared" si="9"/>
        <v>374.47574048007596</v>
      </c>
      <c r="BH65" s="62">
        <f t="shared" si="10"/>
        <v>620.72809164541263</v>
      </c>
      <c r="BI65" s="62">
        <f ca="1">AVERAGE(OFFSET($BH$3,0,0,'Données projet'!$E$11+1,1))-AVERAGE(OFFSET($H$3,0,0,'Données projet'!$E$11+1,1))</f>
        <v>447.82618173893104</v>
      </c>
      <c r="BJ65" s="62">
        <f t="shared" si="11"/>
        <v>248.96509970783379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projet'!$B$11,Paramètres!$A$1:$I$88,7,0))</f>
        <v>0</v>
      </c>
      <c r="BN65" s="17">
        <f>IF(ISNA(VLOOKUP(A65,'Données projet'!$A$87:$I$107,6,0)),0%,VLOOKUP(A65,'Données projet'!$A$87:$I$107,6,0)*VLOOKUP('Données projet'!$B$11,Paramètres!$A$1:$I$88,7,0))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projet'!$B$9,Paramètres!$A$1:$I$88,3,0)*0.475*44/12</f>
        <v>0</v>
      </c>
      <c r="BQ65" s="23">
        <f>EXP(-LN(2)/25)*BQ64+(1-EXP(-LN(2)/25))/(LN(2)/25)*Calculateur!BL65*Calculateur!BN65*VLOOKUP('Données projet'!$B$9,Paramètres!$A$1:$I$88,3,0)*0.475*44/12</f>
        <v>0</v>
      </c>
      <c r="BR65" s="23">
        <f>EXP(-LN(2)/2)*BR64+(1-EXP(-LN(2)/2))/(LN(2)/2)*BL65*BO65*VLOOKUP('Données projet'!$B$9,Paramètres!$A$1:$I$88,3,0)*0.475*44/12</f>
        <v>0</v>
      </c>
      <c r="BS65" s="24">
        <f t="shared" si="12"/>
        <v>0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4.5999999999999996</v>
      </c>
      <c r="BY65" s="13">
        <f>IF(A65&lt;'Données projet'!$A$114,$BV$205^A65,IF(A65='Données projet'!$A$114,'Données projet'!$B$114,BY64+BX65-CG64))</f>
        <v>169.20000000000005</v>
      </c>
      <c r="BZ65" s="14">
        <f>BY65*VLOOKUP('Données projet'!$B$12,Paramètres!$A$1:$I$88,3,0)*VLOOKUP('Données projet'!$B$12,Paramètres!$A$1:$I$88,5,0)</f>
        <v>182.12688000000003</v>
      </c>
      <c r="CA65" s="14">
        <f t="shared" si="46"/>
        <v>45.795053793403618</v>
      </c>
      <c r="CB65" s="22">
        <f t="shared" si="13"/>
        <v>396.96403469017793</v>
      </c>
      <c r="CC65" s="62">
        <f t="shared" si="14"/>
        <v>643.21638585551455</v>
      </c>
      <c r="CD65" s="62">
        <f ca="1">AVERAGE(OFFSET($CC$3,0,0,'Données projet'!$E$12+1,1))-AVERAGE(OFFSET($H$3,0,0,'Données projet'!$E$12+1,1))</f>
        <v>468.82871618425406</v>
      </c>
      <c r="CE65" s="62">
        <f t="shared" si="15"/>
        <v>259.37818128554397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projet'!$B$12,Paramètres!$A$1:$I$88,7,0))</f>
        <v>0</v>
      </c>
      <c r="CI65" s="17">
        <f>IF(ISNA(VLOOKUP(A65,'Données projet'!$A$113:$I$133,6,0)),0%,VLOOKUP(A65,'Données projet'!$A$113:$I$133,6,0)*VLOOKUP('Données projet'!$B$12,Paramètres!$A$1:$I$88,7,0))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projet'!$B$9,Paramètres!$A$1:$I$88,3,0)*0.475*44/12</f>
        <v>0</v>
      </c>
      <c r="CL65" s="23">
        <f>EXP(-LN(2)/25)*CL64+(1-EXP(-LN(2)/25))/(LN(2)/25)*Calculateur!CG65*Calculateur!CI65*VLOOKUP('Données projet'!$B$9,Paramètres!$A$1:$I$88,3,0)*0.475*44/12</f>
        <v>0</v>
      </c>
      <c r="CM65" s="23">
        <f>EXP(-LN(2)/2)*CM64+(1-EXP(-LN(2)/2))/(LN(2)/2)*CG65*CJ65*VLOOKUP('Données projet'!$B$9,Paramètres!$A$1:$I$88,3,0)*0.475*44/12</f>
        <v>0</v>
      </c>
      <c r="CN65" s="24">
        <f t="shared" si="16"/>
        <v>0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4.5999999999999996</v>
      </c>
      <c r="CT65" s="13">
        <f>IF(A65&lt;'Données projet'!$A$140,$CQ$205^A65,IF(A65='Données projet'!$A$140,'Données projet'!$B$140,CT64+CS65-DB64))</f>
        <v>169.20000000000005</v>
      </c>
      <c r="CU65" s="18">
        <f>CT65*VLOOKUP('Données projet'!$B$13,Paramètres!$A$1:$I$88,3,0)*VLOOKUP('Données projet'!$B$13,Paramètres!$A$1:$I$88,5,0)</f>
        <v>145.17360000000005</v>
      </c>
      <c r="CV65" s="14">
        <f t="shared" si="47"/>
        <v>37.479689934865092</v>
      </c>
      <c r="CW65" s="22">
        <f t="shared" si="17"/>
        <v>318.12114663655677</v>
      </c>
      <c r="CX65" s="62">
        <f t="shared" si="18"/>
        <v>564.37349780189345</v>
      </c>
      <c r="CY65" s="62">
        <f ca="1">AVERAGE(OFFSET($CX$3,0,0,'Données projet'!$E$13+1,1))-AVERAGE(OFFSET($H$3,0,0,'Données projet'!$E$13+1,1))</f>
        <v>395.19659151668884</v>
      </c>
      <c r="CZ65" s="62">
        <f t="shared" si="19"/>
        <v>222.86563304507339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projet'!$B$13,Paramètres!$A$1:$I$88,7,0))</f>
        <v>0</v>
      </c>
      <c r="DD65" s="17">
        <f>IF(ISNA(VLOOKUP(A65,'Données projet'!$A$139:$I$159,6,0)),0%,VLOOKUP(A65,'Données projet'!$A$139:$I$159,6,0)*VLOOKUP('Données projet'!$B$13,Paramètres!$A$1:$I$88,7,0))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projet'!$B$9,Paramètres!$A$1:$I$88,3,0)*0.475*44/12</f>
        <v>0</v>
      </c>
      <c r="DG65" s="23">
        <f>EXP(-LN(2)/25)*DG64+(1-EXP(-LN(2)/25))/(LN(2)/25)*Calculateur!DB65*Calculateur!DD65*VLOOKUP('Données projet'!$B$9,Paramètres!$A$1:$I$88,3,0)*0.475*44/12</f>
        <v>0</v>
      </c>
      <c r="DH65" s="23">
        <f>EXP(-LN(2)/2)*DH64+(1-EXP(-LN(2)/2))/(LN(2)/2)*DB65*DE65*VLOOKUP('Données projet'!$B$9,Paramètres!$A$1:$I$88,3,0)*0.475*44/12</f>
        <v>0</v>
      </c>
      <c r="DI65" s="24">
        <f t="shared" si="20"/>
        <v>0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4.666666666666667</v>
      </c>
      <c r="DO65" s="13">
        <f>IF(A65&lt;'Données projet'!$A$166,$DL$205^A65,IF(A65='Données projet'!$A$166,'Données projet'!$B$166,DO64+DN65-DW64))</f>
        <v>79.666666666666629</v>
      </c>
      <c r="DP65" s="18">
        <f>DO65*VLOOKUP('Données projet'!$B$14,Paramètres!$A$1:$I$88,3,0)*VLOOKUP('Données projet'!$B$14,Paramètres!$A$1:$I$88,5,0)</f>
        <v>46.604999999999983</v>
      </c>
      <c r="DQ65" s="14">
        <f t="shared" si="48"/>
        <v>13.733430459073455</v>
      </c>
      <c r="DR65" s="22">
        <f t="shared" si="21"/>
        <v>105.08943304955289</v>
      </c>
      <c r="DS65" s="62">
        <f t="shared" si="22"/>
        <v>351.34178421488957</v>
      </c>
      <c r="DT65" s="62">
        <f ca="1">AVERAGE(OFFSET($DS$3,0,0,'Données projet'!$E$14+1,1))-AVERAGE(OFFSET($H$3,0,0,'Données projet'!$E$14+1,1))</f>
        <v>155.18073137151848</v>
      </c>
      <c r="DU65" s="62">
        <f t="shared" si="23"/>
        <v>115.19459155667272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projet'!$B$14,Paramètres!$A$1:$I$88,7,0))</f>
        <v>0</v>
      </c>
      <c r="DY65" s="17">
        <f>IF(ISNA(VLOOKUP(A65,'Données projet'!$A$165:$I$185,6,0)),0%,VLOOKUP(A65,'Données projet'!$A$165:$I$185,6,0)*VLOOKUP('Données projet'!$B$14,Paramètres!$A$1:$I$88,7,0))</f>
        <v>0</v>
      </c>
      <c r="DZ65" s="17">
        <f>IF(ISNA(VLOOKUP(A65,'Données projet'!$A$165:$I$185,7,0)),0%,VLOOKUP(A65,'Données projet'!$A$165:$I$185,7,0))</f>
        <v>0</v>
      </c>
      <c r="EA65" s="23">
        <f>EXP(-LN(2)/35)*EA64+(1-EXP(-LN(2)/35))/(LN(2)/35)*DW65*DX65*VLOOKUP('Données projet'!$B$9,Paramètres!$A$1:$I$88,3,0)*0.475*44/12</f>
        <v>0</v>
      </c>
      <c r="EB65" s="23">
        <f>EXP(-LN(2)/25)*EB64+(1-EXP(-LN(2)/25))/(LN(2)/25)*Calculateur!DW65*Calculateur!DY65*VLOOKUP('Données projet'!$B$9,Paramètres!$A$1:$I$88,3,0)*0.475*44/12</f>
        <v>0</v>
      </c>
      <c r="EC65" s="23">
        <f>EXP(-LN(2)/2)*EC64+(1-EXP(-LN(2)/2))/(LN(2)/2)*DW65*DZ65*VLOOKUP('Données projet'!$B$9,Paramètres!$A$1:$I$88,3,0)*0.475*44/12</f>
        <v>0</v>
      </c>
      <c r="ED65" s="24">
        <f t="shared" si="24"/>
        <v>0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8.9333333333333336</v>
      </c>
      <c r="EJ65" s="13">
        <f>IF(A65&lt;'Données projet'!$A$192,$EG$205^A65,IF(A65='Données projet'!$A$192,'Données projet'!$B$192,EJ64+EI65-ER64))</f>
        <v>146.86666666666667</v>
      </c>
      <c r="EK65" s="18">
        <f>EJ65*VLOOKUP('Données projet'!$B$15,Paramètres!$A$1:$I$88,3,0)*VLOOKUP('Données projet'!$B$15,Paramètres!$A$1:$I$88,5,0)</f>
        <v>68.733599999999996</v>
      </c>
      <c r="EL65" s="14">
        <f t="shared" si="49"/>
        <v>19.358632431892339</v>
      </c>
      <c r="EM65" s="22">
        <f t="shared" si="25"/>
        <v>153.42730481887915</v>
      </c>
      <c r="EN65" s="62">
        <f t="shared" si="26"/>
        <v>399.67965598421586</v>
      </c>
      <c r="EO65" s="62">
        <f ca="1">AVERAGE(OFFSET($EN$3,0,0,'Données projet'!$E$15+1,1))-AVERAGE(OFFSET($H$3,0,0,'Données projet'!$E$15+1,1))</f>
        <v>238.59014604384171</v>
      </c>
      <c r="EP65" s="62">
        <f t="shared" si="27"/>
        <v>90.841373219575217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projet'!$B$15,Paramètres!$A$1:$I$88,7,0))</f>
        <v>0</v>
      </c>
      <c r="ET65" s="17">
        <f>IF(ISNA(VLOOKUP(A65,'Données projet'!$A$191:$I$211,6,0)),0%,VLOOKUP(A65,'Données projet'!$A$191:$I$211,6,0)*VLOOKUP('Données projet'!$B$15,Paramètres!$A$1:$I$88,7,0))</f>
        <v>0</v>
      </c>
      <c r="EU65" s="17">
        <f>IF(ISNA(VLOOKUP(A65,'Données projet'!$A$191:$I$211,7,0)),0%,VLOOKUP(A65,'Données projet'!$A$191:$I$211,7,0))</f>
        <v>0</v>
      </c>
      <c r="EV65" s="23">
        <f>EXP(-LN(2)/35)*EV64+(1-EXP(-LN(2)/35))/(LN(2)/35)*ER65*ES65*VLOOKUP('Données projet'!$B$9,Paramètres!$A$1:$I$88,3,0)*0.475*44/12</f>
        <v>0</v>
      </c>
      <c r="EW65" s="23">
        <f>EXP(-LN(2)/25)*EW64+(1-EXP(-LN(2)/25))/(LN(2)/25)*Calculateur!ER65*Calculateur!ET65*VLOOKUP('Données projet'!$B$9,Paramètres!$A$1:$I$88,3,0)*0.475*44/12</f>
        <v>0</v>
      </c>
      <c r="EX65" s="23">
        <f>EXP(-LN(2)/2)*EX64+(1-EXP(-LN(2)/2))/(LN(2)/2)*ER65*EU65*VLOOKUP('Données projet'!$B$9,Paramètres!$A$1:$I$88,3,0)*0.475*44/12</f>
        <v>0</v>
      </c>
      <c r="EY65" s="24">
        <f t="shared" si="28"/>
        <v>0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IF(A65&lt;'Données projet'!$A$218,$FB$205^A65,IF(A65='Données projet'!$A$218,'Données projet'!$B$218,FE64+FD65-FM64))</f>
        <v>0</v>
      </c>
      <c r="FF65" s="18" t="e">
        <f>FE65*VLOOKUP('Données projet'!$B$16,Paramètres!$A$1:$I$88,3,0)*VLOOKUP('Données projet'!$B$16,Paramètres!$A$1:$I$88,5,0)</f>
        <v>#N/A</v>
      </c>
      <c r="FG65" s="14" t="e">
        <f t="shared" si="50"/>
        <v>#N/A</v>
      </c>
      <c r="FH65" s="22" t="e">
        <f t="shared" si="29"/>
        <v>#N/A</v>
      </c>
      <c r="FI65" s="62" t="e">
        <f t="shared" si="30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31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projet'!$B$16,Paramètres!$A$1:$I$88,7,0))</f>
        <v>0</v>
      </c>
      <c r="FO65" s="17">
        <f>IF(ISNA(VLOOKUP(A65,'Données projet'!$A$217:$I$237,6,0)),0%,VLOOKUP(A65,'Données projet'!$A$217:$I$237,6,0)*VLOOKUP('Données projet'!$B$16,Paramètres!$A$1:$I$88,7,0))</f>
        <v>0</v>
      </c>
      <c r="FP65" s="17">
        <f>IF(ISNA(VLOOKUP(A65,'Données projet'!$A$217:$I$237,7,0)),0%,VLOOKUP(A65,'Données projet'!$A$217:$I$237,7,0))</f>
        <v>0</v>
      </c>
      <c r="FQ65" s="23">
        <f>EXP(-LN(2)/35)*FQ64+(1-EXP(-LN(2)/35))/(LN(2)/35)*FM65*FN65*VLOOKUP('Données projet'!$B$9,Paramètres!$A$1:$I$88,3,0)*0.475*44/12</f>
        <v>0</v>
      </c>
      <c r="FR65" s="23">
        <f>EXP(-LN(2)/25)*FR64+(1-EXP(-LN(2)/25))/(LN(2)/25)*Calculateur!FM65*Calculateur!FO65*VLOOKUP('Données projet'!$B$9,Paramètres!$A$1:$I$88,3,0)*0.475*44/12</f>
        <v>0</v>
      </c>
      <c r="FS65" s="23">
        <f>EXP(-LN(2)/2)*FS64+(1-EXP(-LN(2)/2))/(LN(2)/2)*FM65*FP65*VLOOKUP('Données projet'!$B$9,Paramètres!$A$1:$I$88,3,0)*0.475*44/12</f>
        <v>0</v>
      </c>
      <c r="FT65" s="24">
        <f t="shared" si="32"/>
        <v>0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IF(A65&lt;'Données projet'!$A$244,$FW$205^A65,IF(A65='Données projet'!$A$244,'Données projet'!$B$244,FZ64+FY65-GH64))</f>
        <v>0</v>
      </c>
      <c r="GA65" s="18" t="e">
        <f>FZ65*VLOOKUP('Données projet'!$B$17,Paramètres!$A$1:$I$88,3,0)*VLOOKUP('Données projet'!$B$17,Paramètres!$A$1:$I$88,5,0)</f>
        <v>#N/A</v>
      </c>
      <c r="GB65" s="14" t="e">
        <f t="shared" si="51"/>
        <v>#N/A</v>
      </c>
      <c r="GC65" s="22" t="e">
        <f t="shared" si="33"/>
        <v>#N/A</v>
      </c>
      <c r="GD65" s="62" t="e">
        <f t="shared" si="34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35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projet'!$B$17,Paramètres!$A$1:$I$88,7,0))</f>
        <v>0</v>
      </c>
      <c r="GJ65" s="17">
        <f>IF(ISNA(VLOOKUP(A65,'Données projet'!$A$243:$I$263,6,0)),0%,VLOOKUP(A65,'Données projet'!$A$243:$I$263,6,0)*VLOOKUP('Données projet'!$B$17,Paramètres!$A$1:$I$88,7,0))</f>
        <v>0</v>
      </c>
      <c r="GK65" s="17">
        <f>IF(ISNA(VLOOKUP(A65,'Données projet'!$A$243:$I$263,7,0)),0%,VLOOKUP(A65,'Données projet'!$A$243:$I$263,7,0))</f>
        <v>0</v>
      </c>
      <c r="GL65" s="23">
        <f>EXP(-LN(2)/35)*GL64+(1-EXP(-LN(2)/35))/(LN(2)/35)*GH65*GI65*VLOOKUP('Données projet'!$B$9,Paramètres!$A$1:$I$88,3,0)*0.475*44/12</f>
        <v>0</v>
      </c>
      <c r="GM65" s="23">
        <f>EXP(-LN(2)/25)*GM64+(1-EXP(-LN(2)/25))/(LN(2)/25)*Calculateur!GH65*Calculateur!GJ65*VLOOKUP('Données projet'!$B$9,Paramètres!$A$1:$I$88,3,0)*0.475*44/12</f>
        <v>0</v>
      </c>
      <c r="GN65" s="23">
        <f>EXP(-LN(2)/2)*GN64+(1-EXP(-LN(2)/2))/(LN(2)/2)*GH65*GK65*VLOOKUP('Données projet'!$B$9,Paramètres!$A$1:$I$88,3,0)*0.475*44/12</f>
        <v>0</v>
      </c>
      <c r="GO65" s="23">
        <f t="shared" si="36"/>
        <v>0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IF(A65&lt;'Données projet'!$A$270,$GR$205^A65,IF(A65='Données projet'!$A$270,'Données projet'!$B$270,GU64+GT65-HC64))</f>
        <v>0</v>
      </c>
      <c r="GV65" s="18" t="e">
        <f>GU65*VLOOKUP('Données projet'!$B$18,Paramètres!$A$1:$I$88,3,0)*VLOOKUP('Données projet'!$B$18,Paramètres!$A$1:$I$88,5,0)</f>
        <v>#N/A</v>
      </c>
      <c r="GW65" s="14" t="e">
        <f t="shared" si="52"/>
        <v>#N/A</v>
      </c>
      <c r="GX65" s="22" t="e">
        <f t="shared" si="37"/>
        <v>#N/A</v>
      </c>
      <c r="GY65" s="62" t="e">
        <f t="shared" si="38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39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projet'!$B$18,Paramètres!$A$1:$I$88,7,0))</f>
        <v>0</v>
      </c>
      <c r="HE65" s="17">
        <f>IF(ISNA(VLOOKUP(A65,'Données projet'!$A$269:$I$289,6,0)),0%,VLOOKUP(A65,'Données projet'!$A$269:$I$289,6,0)*VLOOKUP('Données projet'!$B$18,Paramètres!$A$1:$I$88,7,0))</f>
        <v>0</v>
      </c>
      <c r="HF65" s="17">
        <f>IF(ISNA(VLOOKUP(A65,'Données projet'!$A$269:$I$289,7,0)),0%,VLOOKUP(A65,'Données projet'!$A$269:$I$289,7,0))</f>
        <v>0</v>
      </c>
      <c r="HG65" s="23">
        <f>EXP(-LN(2)/35)*HG64+(1-EXP(-LN(2)/35))/(LN(2)/35)*HC65*HD65*VLOOKUP('Données projet'!$B$9,Paramètres!$A$1:$I$88,3,0)*0.475*44/12</f>
        <v>0</v>
      </c>
      <c r="HH65" s="23">
        <f>EXP(-LN(2)/25)*HH64+(1-EXP(-LN(2)/25))/(LN(2)/25)*Calculateur!HC65*Calculateur!HE65*VLOOKUP('Données projet'!$B$9,Paramètres!$A$1:$I$88,3,0)*0.475*44/12</f>
        <v>0</v>
      </c>
      <c r="HI65" s="23">
        <f>EXP(-LN(2)/2)*HI64+(1-EXP(-LN(2)/2))/(LN(2)/2)*HC65*HF65*VLOOKUP('Données projet'!$B$9,Paramètres!$A$1:$I$88,3,0)*0.475*44/12</f>
        <v>0</v>
      </c>
      <c r="HJ65" s="24">
        <f t="shared" si="40"/>
        <v>0</v>
      </c>
    </row>
    <row r="66" spans="1:218" s="5" customFormat="1" x14ac:dyDescent="0.25">
      <c r="A66" s="11">
        <f t="shared" si="4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6" s="12">
        <f t="shared" si="4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135.66666666666666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1.6750000000000014</v>
      </c>
      <c r="N66" s="14">
        <f>IF(A66&lt;'Données projet'!$A$36,$K$205^A66,IF(A66='Données projet'!$A$36,'Données projet'!$B$36,N65+M66-V65))</f>
        <v>81.13749999999996</v>
      </c>
      <c r="O66" s="14">
        <f>N66*VLOOKUP('Données projet'!$B$9,Paramètres!$A$1:$I$88,3,0)*VLOOKUP('Données projet'!$B$9,Paramètres!$A$1:$I$88,5,0)</f>
        <v>93.470399999999941</v>
      </c>
      <c r="P66" s="14">
        <f t="shared" si="43"/>
        <v>25.400349986061777</v>
      </c>
      <c r="Q66" s="22">
        <f t="shared" si="53"/>
        <v>207.03322289239085</v>
      </c>
      <c r="R66" s="62">
        <f t="shared" si="0"/>
        <v>454.10232384103483</v>
      </c>
      <c r="S66" s="62">
        <f ca="1">AVERAGE(OFFSET($R$3,0,0,'Données projet'!$E$9+1,1))-AVERAGE(OFFSET($H$3,0,0,'Données projet'!$E$9+1,1))</f>
        <v>314.72063458462026</v>
      </c>
      <c r="T66" s="62">
        <f t="shared" si="3"/>
        <v>216.4380325968244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projet'!$B$9,Paramètres!$A$1:$I$88,7,0))</f>
        <v>0</v>
      </c>
      <c r="X66" s="17">
        <f>IF(ISNA(VLOOKUP(A66,'Données projet'!$A$35:$I$55,6,0)),0%,VLOOKUP(A66,'Données projet'!$A$35:$I$55,6,0)*VLOOKUP('Données projet'!$B$9,Paramètres!$A$1:$I$88,7,0))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projet'!$B$9,Paramètres!$A$1:$I$88,3,0)*0.475*44/12</f>
        <v>0</v>
      </c>
      <c r="AA66" s="23">
        <f>EXP(-LN(2)/25)*AA65+(1-EXP(-LN(2)/25))/(LN(2)/25)*Calculateur!V66*Calculateur!X66*VLOOKUP('Données projet'!$B$9,Paramètres!$A$1:$I$88,3,0)*0.475*44/12</f>
        <v>0</v>
      </c>
      <c r="AB66" s="23">
        <f>EXP(-LN(2)/2)*AB65+(1-EXP(-LN(2)/2))/(LN(2)/2)*V66*Y66*VLOOKUP('Données projet'!$B$9,Paramètres!$A$1:$I$88,3,0)*0.475*44/12</f>
        <v>0</v>
      </c>
      <c r="AC66" s="24">
        <f t="shared" si="4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4.5999999999999996</v>
      </c>
      <c r="AI66" s="14">
        <f>IF(A66&lt;'Données projet'!$A$62,$AF$205^A66,IF(A66='Données projet'!$A$62,'Données projet'!$B$62,AI65+AH66-AQ65))</f>
        <v>173.80000000000004</v>
      </c>
      <c r="AJ66" s="14">
        <f>AI66*VLOOKUP('Données projet'!$B$10,Paramètres!$A$1:$I$88,3,0)*VLOOKUP('Données projet'!$B$10,Paramètres!$A$1:$I$88,5,0)</f>
        <v>181.65576000000007</v>
      </c>
      <c r="AK66" s="14">
        <f t="shared" si="44"/>
        <v>45.690365718110826</v>
      </c>
      <c r="AL66" s="22">
        <f t="shared" si="5"/>
        <v>395.96116895904311</v>
      </c>
      <c r="AM66" s="62">
        <f t="shared" si="6"/>
        <v>643.03026990768706</v>
      </c>
      <c r="AN66" s="62">
        <f ca="1">AVERAGE(OFFSET($AM$3,0,0,'Données projet'!$E$10+1,1))-AVERAGE(OFFSET($H$3,0,0,'Données projet'!$E$10+1,1))</f>
        <v>458.33072853676879</v>
      </c>
      <c r="AO66" s="62">
        <f t="shared" si="7"/>
        <v>254.1734169352687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projet'!$B$10,Paramètres!$A$1:$I$88,7,0))</f>
        <v>0</v>
      </c>
      <c r="AS66" s="17">
        <f>IF(ISNA(VLOOKUP(A66,'Données projet'!$A$61:$I$81,6,0)),0%,VLOOKUP(A66,'Données projet'!$A$61:$I$81,6,0)*VLOOKUP('Données projet'!$B$10,Paramètres!$A$1:$I$88,7,0))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projet'!$B$9,Paramètres!$A$1:$I$88,3,0)*0.475*44/12</f>
        <v>0</v>
      </c>
      <c r="AV66" s="23">
        <f>EXP(-LN(2)/25)*AV65+(1-EXP(-LN(2)/25))/(LN(2)/25)*Calculateur!AQ66*Calculateur!AS66*VLOOKUP('Données projet'!$B$9,Paramètres!$A$1:$I$88,3,0)*0.475*44/12</f>
        <v>0</v>
      </c>
      <c r="AW66" s="23">
        <f>EXP(-LN(2)/2)*AW65+(1-EXP(-LN(2)/2))/(LN(2)/2)*AQ66*AT66*VLOOKUP('Données projet'!$B$9,Paramètres!$A$1:$I$88,3,0)*0.475*44/12</f>
        <v>0</v>
      </c>
      <c r="AX66" s="23">
        <f t="shared" si="8"/>
        <v>0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4.5999999999999996</v>
      </c>
      <c r="BD66" s="13">
        <f>IF(A66&lt;'Données projet'!$A$88,$BA$205^A66,IF(A66='Données projet'!$A$88,'Données projet'!$B$88,BD65+BC66-BL65))</f>
        <v>173.80000000000004</v>
      </c>
      <c r="BE66" s="14">
        <f>BD66*VLOOKUP('Données projet'!$B$11,Paramètres!$A$1:$I$88,3,0)*VLOOKUP('Données projet'!$B$11,Paramètres!$A$1:$I$88,5,0)</f>
        <v>176.23320000000004</v>
      </c>
      <c r="BF66" s="14">
        <f t="shared" si="45"/>
        <v>44.483113847887033</v>
      </c>
      <c r="BG66" s="22">
        <f t="shared" si="9"/>
        <v>384.4142466184033</v>
      </c>
      <c r="BH66" s="62">
        <f t="shared" si="10"/>
        <v>631.4833475670473</v>
      </c>
      <c r="BI66" s="62">
        <f ca="1">AVERAGE(OFFSET($BH$3,0,0,'Données projet'!$E$11+1,1))-AVERAGE(OFFSET($H$3,0,0,'Données projet'!$E$11+1,1))</f>
        <v>447.82618173893104</v>
      </c>
      <c r="BJ66" s="62">
        <f t="shared" si="11"/>
        <v>248.96509970783379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projet'!$B$11,Paramètres!$A$1:$I$88,7,0))</f>
        <v>0</v>
      </c>
      <c r="BN66" s="17">
        <f>IF(ISNA(VLOOKUP(A66,'Données projet'!$A$87:$I$107,6,0)),0%,VLOOKUP(A66,'Données projet'!$A$87:$I$107,6,0)*VLOOKUP('Données projet'!$B$11,Paramètres!$A$1:$I$88,7,0))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projet'!$B$9,Paramètres!$A$1:$I$88,3,0)*0.475*44/12</f>
        <v>0</v>
      </c>
      <c r="BQ66" s="23">
        <f>EXP(-LN(2)/25)*BQ65+(1-EXP(-LN(2)/25))/(LN(2)/25)*Calculateur!BL66*Calculateur!BN66*VLOOKUP('Données projet'!$B$9,Paramètres!$A$1:$I$88,3,0)*0.475*44/12</f>
        <v>0</v>
      </c>
      <c r="BR66" s="23">
        <f>EXP(-LN(2)/2)*BR65+(1-EXP(-LN(2)/2))/(LN(2)/2)*BL66*BO66*VLOOKUP('Données projet'!$B$9,Paramètres!$A$1:$I$88,3,0)*0.475*44/12</f>
        <v>0</v>
      </c>
      <c r="BS66" s="24">
        <f t="shared" si="12"/>
        <v>0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4.5999999999999996</v>
      </c>
      <c r="BY66" s="13">
        <f>IF(A66&lt;'Données projet'!$A$114,$BV$205^A66,IF(A66='Données projet'!$A$114,'Données projet'!$B$114,BY65+BX66-CG65))</f>
        <v>173.80000000000004</v>
      </c>
      <c r="BZ66" s="14">
        <f>BY66*VLOOKUP('Données projet'!$B$12,Paramètres!$A$1:$I$88,3,0)*VLOOKUP('Données projet'!$B$12,Paramètres!$A$1:$I$88,5,0)</f>
        <v>187.07832000000002</v>
      </c>
      <c r="CA66" s="14">
        <f t="shared" si="46"/>
        <v>46.893429460532239</v>
      </c>
      <c r="CB66" s="22">
        <f t="shared" si="13"/>
        <v>407.50079697709367</v>
      </c>
      <c r="CC66" s="62">
        <f t="shared" si="14"/>
        <v>654.56989792573768</v>
      </c>
      <c r="CD66" s="62">
        <f ca="1">AVERAGE(OFFSET($CC$3,0,0,'Données projet'!$E$12+1,1))-AVERAGE(OFFSET($H$3,0,0,'Données projet'!$E$12+1,1))</f>
        <v>468.82871618425406</v>
      </c>
      <c r="CE66" s="62">
        <f t="shared" si="15"/>
        <v>259.37818128554397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projet'!$B$12,Paramètres!$A$1:$I$88,7,0))</f>
        <v>0</v>
      </c>
      <c r="CI66" s="17">
        <f>IF(ISNA(VLOOKUP(A66,'Données projet'!$A$113:$I$133,6,0)),0%,VLOOKUP(A66,'Données projet'!$A$113:$I$133,6,0)*VLOOKUP('Données projet'!$B$12,Paramètres!$A$1:$I$88,7,0))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projet'!$B$9,Paramètres!$A$1:$I$88,3,0)*0.475*44/12</f>
        <v>0</v>
      </c>
      <c r="CL66" s="23">
        <f>EXP(-LN(2)/25)*CL65+(1-EXP(-LN(2)/25))/(LN(2)/25)*Calculateur!CG66*Calculateur!CI66*VLOOKUP('Données projet'!$B$9,Paramètres!$A$1:$I$88,3,0)*0.475*44/12</f>
        <v>0</v>
      </c>
      <c r="CM66" s="23">
        <f>EXP(-LN(2)/2)*CM65+(1-EXP(-LN(2)/2))/(LN(2)/2)*CG66*CJ66*VLOOKUP('Données projet'!$B$9,Paramètres!$A$1:$I$88,3,0)*0.475*44/12</f>
        <v>0</v>
      </c>
      <c r="CN66" s="24">
        <f t="shared" si="16"/>
        <v>0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4.5999999999999996</v>
      </c>
      <c r="CT66" s="13">
        <f>IF(A66&lt;'Données projet'!$A$140,$CQ$205^A66,IF(A66='Données projet'!$A$140,'Données projet'!$B$140,CT65+CS66-DB65))</f>
        <v>173.80000000000004</v>
      </c>
      <c r="CU66" s="18">
        <f>CT66*VLOOKUP('Données projet'!$B$13,Paramètres!$A$1:$I$88,3,0)*VLOOKUP('Données projet'!$B$13,Paramètres!$A$1:$I$88,5,0)</f>
        <v>149.12040000000005</v>
      </c>
      <c r="CV66" s="14">
        <f t="shared" si="47"/>
        <v>38.378624995007101</v>
      </c>
      <c r="CW66" s="22">
        <f t="shared" si="17"/>
        <v>326.56080186630413</v>
      </c>
      <c r="CX66" s="62">
        <f t="shared" si="18"/>
        <v>573.62990281494808</v>
      </c>
      <c r="CY66" s="62">
        <f ca="1">AVERAGE(OFFSET($CX$3,0,0,'Données projet'!$E$13+1,1))-AVERAGE(OFFSET($H$3,0,0,'Données projet'!$E$13+1,1))</f>
        <v>395.19659151668884</v>
      </c>
      <c r="CZ66" s="62">
        <f t="shared" si="19"/>
        <v>222.86563304507339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projet'!$B$13,Paramètres!$A$1:$I$88,7,0))</f>
        <v>0</v>
      </c>
      <c r="DD66" s="17">
        <f>IF(ISNA(VLOOKUP(A66,'Données projet'!$A$139:$I$159,6,0)),0%,VLOOKUP(A66,'Données projet'!$A$139:$I$159,6,0)*VLOOKUP('Données projet'!$B$13,Paramètres!$A$1:$I$88,7,0))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projet'!$B$9,Paramètres!$A$1:$I$88,3,0)*0.475*44/12</f>
        <v>0</v>
      </c>
      <c r="DG66" s="23">
        <f>EXP(-LN(2)/25)*DG65+(1-EXP(-LN(2)/25))/(LN(2)/25)*Calculateur!DB66*Calculateur!DD66*VLOOKUP('Données projet'!$B$9,Paramètres!$A$1:$I$88,3,0)*0.475*44/12</f>
        <v>0</v>
      </c>
      <c r="DH66" s="23">
        <f>EXP(-LN(2)/2)*DH65+(1-EXP(-LN(2)/2))/(LN(2)/2)*DB66*DE66*VLOOKUP('Données projet'!$B$9,Paramètres!$A$1:$I$88,3,0)*0.475*44/12</f>
        <v>0</v>
      </c>
      <c r="DI66" s="24">
        <f t="shared" si="20"/>
        <v>0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4.666666666666667</v>
      </c>
      <c r="DO66" s="13">
        <f>IF(A66&lt;'Données projet'!$A$166,$DL$205^A66,IF(A66='Données projet'!$A$166,'Données projet'!$B$166,DO65+DN66-DW65))</f>
        <v>84.3333333333333</v>
      </c>
      <c r="DP66" s="18">
        <f>DO66*VLOOKUP('Données projet'!$B$14,Paramètres!$A$1:$I$88,3,0)*VLOOKUP('Données projet'!$B$14,Paramètres!$A$1:$I$88,5,0)</f>
        <v>49.334999999999987</v>
      </c>
      <c r="DQ66" s="14">
        <f t="shared" si="48"/>
        <v>14.441886914512995</v>
      </c>
      <c r="DR66" s="22">
        <f t="shared" si="21"/>
        <v>111.07807804277678</v>
      </c>
      <c r="DS66" s="62">
        <f t="shared" si="22"/>
        <v>358.14717899142079</v>
      </c>
      <c r="DT66" s="62">
        <f ca="1">AVERAGE(OFFSET($DS$3,0,0,'Données projet'!$E$14+1,1))-AVERAGE(OFFSET($H$3,0,0,'Données projet'!$E$14+1,1))</f>
        <v>155.18073137151848</v>
      </c>
      <c r="DU66" s="62">
        <f t="shared" si="23"/>
        <v>115.19459155667272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projet'!$B$14,Paramètres!$A$1:$I$88,7,0))</f>
        <v>0</v>
      </c>
      <c r="DY66" s="17">
        <f>IF(ISNA(VLOOKUP(A66,'Données projet'!$A$165:$I$185,6,0)),0%,VLOOKUP(A66,'Données projet'!$A$165:$I$185,6,0)*VLOOKUP('Données projet'!$B$14,Paramètres!$A$1:$I$88,7,0))</f>
        <v>0</v>
      </c>
      <c r="DZ66" s="17">
        <f>IF(ISNA(VLOOKUP(A66,'Données projet'!$A$165:$I$185,7,0)),0%,VLOOKUP(A66,'Données projet'!$A$165:$I$185,7,0))</f>
        <v>0</v>
      </c>
      <c r="EA66" s="23">
        <f>EXP(-LN(2)/35)*EA65+(1-EXP(-LN(2)/35))/(LN(2)/35)*DW66*DX66*VLOOKUP('Données projet'!$B$9,Paramètres!$A$1:$I$88,3,0)*0.475*44/12</f>
        <v>0</v>
      </c>
      <c r="EB66" s="23">
        <f>EXP(-LN(2)/25)*EB65+(1-EXP(-LN(2)/25))/(LN(2)/25)*Calculateur!DW66*Calculateur!DY66*VLOOKUP('Données projet'!$B$9,Paramètres!$A$1:$I$88,3,0)*0.475*44/12</f>
        <v>0</v>
      </c>
      <c r="EC66" s="23">
        <f>EXP(-LN(2)/2)*EC65+(1-EXP(-LN(2)/2))/(LN(2)/2)*DW66*DZ66*VLOOKUP('Données projet'!$B$9,Paramètres!$A$1:$I$88,3,0)*0.475*44/12</f>
        <v>0</v>
      </c>
      <c r="ED66" s="24">
        <f t="shared" si="24"/>
        <v>0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8.9333333333333336</v>
      </c>
      <c r="EJ66" s="13">
        <f>IF(A66&lt;'Données projet'!$A$192,$EG$205^A66,IF(A66='Données projet'!$A$192,'Données projet'!$B$192,EJ65+EI66-ER65))</f>
        <v>155.80000000000001</v>
      </c>
      <c r="EK66" s="18">
        <f>EJ66*VLOOKUP('Données projet'!$B$15,Paramètres!$A$1:$I$88,3,0)*VLOOKUP('Données projet'!$B$15,Paramètres!$A$1:$I$88,5,0)</f>
        <v>72.914400000000001</v>
      </c>
      <c r="EL66" s="14">
        <f t="shared" si="49"/>
        <v>20.395478670134668</v>
      </c>
      <c r="EM66" s="22">
        <f t="shared" si="25"/>
        <v>162.51470535048455</v>
      </c>
      <c r="EN66" s="62">
        <f t="shared" si="26"/>
        <v>409.58380629912853</v>
      </c>
      <c r="EO66" s="62">
        <f ca="1">AVERAGE(OFFSET($EN$3,0,0,'Données projet'!$E$15+1,1))-AVERAGE(OFFSET($H$3,0,0,'Données projet'!$E$15+1,1))</f>
        <v>238.59014604384171</v>
      </c>
      <c r="EP66" s="62">
        <f t="shared" si="27"/>
        <v>90.841373219575217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projet'!$B$15,Paramètres!$A$1:$I$88,7,0))</f>
        <v>0</v>
      </c>
      <c r="ET66" s="17">
        <f>IF(ISNA(VLOOKUP(A66,'Données projet'!$A$191:$I$211,6,0)),0%,VLOOKUP(A66,'Données projet'!$A$191:$I$211,6,0)*VLOOKUP('Données projet'!$B$15,Paramètres!$A$1:$I$88,7,0))</f>
        <v>0</v>
      </c>
      <c r="EU66" s="17">
        <f>IF(ISNA(VLOOKUP(A66,'Données projet'!$A$191:$I$211,7,0)),0%,VLOOKUP(A66,'Données projet'!$A$191:$I$211,7,0))</f>
        <v>0</v>
      </c>
      <c r="EV66" s="23">
        <f>EXP(-LN(2)/35)*EV65+(1-EXP(-LN(2)/35))/(LN(2)/35)*ER66*ES66*VLOOKUP('Données projet'!$B$9,Paramètres!$A$1:$I$88,3,0)*0.475*44/12</f>
        <v>0</v>
      </c>
      <c r="EW66" s="23">
        <f>EXP(-LN(2)/25)*EW65+(1-EXP(-LN(2)/25))/(LN(2)/25)*Calculateur!ER66*Calculateur!ET66*VLOOKUP('Données projet'!$B$9,Paramètres!$A$1:$I$88,3,0)*0.475*44/12</f>
        <v>0</v>
      </c>
      <c r="EX66" s="23">
        <f>EXP(-LN(2)/2)*EX65+(1-EXP(-LN(2)/2))/(LN(2)/2)*ER66*EU66*VLOOKUP('Données projet'!$B$9,Paramètres!$A$1:$I$88,3,0)*0.475*44/12</f>
        <v>0</v>
      </c>
      <c r="EY66" s="24">
        <f t="shared" si="28"/>
        <v>0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IF(A66&lt;'Données projet'!$A$218,$FB$205^A66,IF(A66='Données projet'!$A$218,'Données projet'!$B$218,FE65+FD66-FM65))</f>
        <v>0</v>
      </c>
      <c r="FF66" s="18" t="e">
        <f>FE66*VLOOKUP('Données projet'!$B$16,Paramètres!$A$1:$I$88,3,0)*VLOOKUP('Données projet'!$B$16,Paramètres!$A$1:$I$88,5,0)</f>
        <v>#N/A</v>
      </c>
      <c r="FG66" s="14" t="e">
        <f t="shared" si="50"/>
        <v>#N/A</v>
      </c>
      <c r="FH66" s="22" t="e">
        <f t="shared" si="29"/>
        <v>#N/A</v>
      </c>
      <c r="FI66" s="62" t="e">
        <f t="shared" si="30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31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projet'!$B$16,Paramètres!$A$1:$I$88,7,0))</f>
        <v>0</v>
      </c>
      <c r="FO66" s="17">
        <f>IF(ISNA(VLOOKUP(A66,'Données projet'!$A$217:$I$237,6,0)),0%,VLOOKUP(A66,'Données projet'!$A$217:$I$237,6,0)*VLOOKUP('Données projet'!$B$16,Paramètres!$A$1:$I$88,7,0))</f>
        <v>0</v>
      </c>
      <c r="FP66" s="17">
        <f>IF(ISNA(VLOOKUP(A66,'Données projet'!$A$217:$I$237,7,0)),0%,VLOOKUP(A66,'Données projet'!$A$217:$I$237,7,0))</f>
        <v>0</v>
      </c>
      <c r="FQ66" s="23">
        <f>EXP(-LN(2)/35)*FQ65+(1-EXP(-LN(2)/35))/(LN(2)/35)*FM66*FN66*VLOOKUP('Données projet'!$B$9,Paramètres!$A$1:$I$88,3,0)*0.475*44/12</f>
        <v>0</v>
      </c>
      <c r="FR66" s="23">
        <f>EXP(-LN(2)/25)*FR65+(1-EXP(-LN(2)/25))/(LN(2)/25)*Calculateur!FM66*Calculateur!FO66*VLOOKUP('Données projet'!$B$9,Paramètres!$A$1:$I$88,3,0)*0.475*44/12</f>
        <v>0</v>
      </c>
      <c r="FS66" s="23">
        <f>EXP(-LN(2)/2)*FS65+(1-EXP(-LN(2)/2))/(LN(2)/2)*FM66*FP66*VLOOKUP('Données projet'!$B$9,Paramètres!$A$1:$I$88,3,0)*0.475*44/12</f>
        <v>0</v>
      </c>
      <c r="FT66" s="24">
        <f t="shared" si="32"/>
        <v>0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IF(A66&lt;'Données projet'!$A$244,$FW$205^A66,IF(A66='Données projet'!$A$244,'Données projet'!$B$244,FZ65+FY66-GH65))</f>
        <v>0</v>
      </c>
      <c r="GA66" s="18" t="e">
        <f>FZ66*VLOOKUP('Données projet'!$B$17,Paramètres!$A$1:$I$88,3,0)*VLOOKUP('Données projet'!$B$17,Paramètres!$A$1:$I$88,5,0)</f>
        <v>#N/A</v>
      </c>
      <c r="GB66" s="14" t="e">
        <f t="shared" si="51"/>
        <v>#N/A</v>
      </c>
      <c r="GC66" s="22" t="e">
        <f t="shared" si="33"/>
        <v>#N/A</v>
      </c>
      <c r="GD66" s="62" t="e">
        <f t="shared" si="34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35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projet'!$B$17,Paramètres!$A$1:$I$88,7,0))</f>
        <v>0</v>
      </c>
      <c r="GJ66" s="17">
        <f>IF(ISNA(VLOOKUP(A66,'Données projet'!$A$243:$I$263,6,0)),0%,VLOOKUP(A66,'Données projet'!$A$243:$I$263,6,0)*VLOOKUP('Données projet'!$B$17,Paramètres!$A$1:$I$88,7,0))</f>
        <v>0</v>
      </c>
      <c r="GK66" s="17">
        <f>IF(ISNA(VLOOKUP(A66,'Données projet'!$A$243:$I$263,7,0)),0%,VLOOKUP(A66,'Données projet'!$A$243:$I$263,7,0))</f>
        <v>0</v>
      </c>
      <c r="GL66" s="23">
        <f>EXP(-LN(2)/35)*GL65+(1-EXP(-LN(2)/35))/(LN(2)/35)*GH66*GI66*VLOOKUP('Données projet'!$B$9,Paramètres!$A$1:$I$88,3,0)*0.475*44/12</f>
        <v>0</v>
      </c>
      <c r="GM66" s="23">
        <f>EXP(-LN(2)/25)*GM65+(1-EXP(-LN(2)/25))/(LN(2)/25)*Calculateur!GH66*Calculateur!GJ66*VLOOKUP('Données projet'!$B$9,Paramètres!$A$1:$I$88,3,0)*0.475*44/12</f>
        <v>0</v>
      </c>
      <c r="GN66" s="23">
        <f>EXP(-LN(2)/2)*GN65+(1-EXP(-LN(2)/2))/(LN(2)/2)*GH66*GK66*VLOOKUP('Données projet'!$B$9,Paramètres!$A$1:$I$88,3,0)*0.475*44/12</f>
        <v>0</v>
      </c>
      <c r="GO66" s="23">
        <f t="shared" si="36"/>
        <v>0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IF(A66&lt;'Données projet'!$A$270,$GR$205^A66,IF(A66='Données projet'!$A$270,'Données projet'!$B$270,GU65+GT66-HC65))</f>
        <v>0</v>
      </c>
      <c r="GV66" s="18" t="e">
        <f>GU66*VLOOKUP('Données projet'!$B$18,Paramètres!$A$1:$I$88,3,0)*VLOOKUP('Données projet'!$B$18,Paramètres!$A$1:$I$88,5,0)</f>
        <v>#N/A</v>
      </c>
      <c r="GW66" s="14" t="e">
        <f t="shared" si="52"/>
        <v>#N/A</v>
      </c>
      <c r="GX66" s="22" t="e">
        <f t="shared" si="37"/>
        <v>#N/A</v>
      </c>
      <c r="GY66" s="62" t="e">
        <f t="shared" si="38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39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projet'!$B$18,Paramètres!$A$1:$I$88,7,0))</f>
        <v>0</v>
      </c>
      <c r="HE66" s="17">
        <f>IF(ISNA(VLOOKUP(A66,'Données projet'!$A$269:$I$289,6,0)),0%,VLOOKUP(A66,'Données projet'!$A$269:$I$289,6,0)*VLOOKUP('Données projet'!$B$18,Paramètres!$A$1:$I$88,7,0))</f>
        <v>0</v>
      </c>
      <c r="HF66" s="17">
        <f>IF(ISNA(VLOOKUP(A66,'Données projet'!$A$269:$I$289,7,0)),0%,VLOOKUP(A66,'Données projet'!$A$269:$I$289,7,0))</f>
        <v>0</v>
      </c>
      <c r="HG66" s="23">
        <f>EXP(-LN(2)/35)*HG65+(1-EXP(-LN(2)/35))/(LN(2)/35)*HC66*HD66*VLOOKUP('Données projet'!$B$9,Paramètres!$A$1:$I$88,3,0)*0.475*44/12</f>
        <v>0</v>
      </c>
      <c r="HH66" s="23">
        <f>EXP(-LN(2)/25)*HH65+(1-EXP(-LN(2)/25))/(LN(2)/25)*Calculateur!HC66*Calculateur!HE66*VLOOKUP('Données projet'!$B$9,Paramètres!$A$1:$I$88,3,0)*0.475*44/12</f>
        <v>0</v>
      </c>
      <c r="HI66" s="23">
        <f>EXP(-LN(2)/2)*HI65+(1-EXP(-LN(2)/2))/(LN(2)/2)*HC66*HF66*VLOOKUP('Données projet'!$B$9,Paramètres!$A$1:$I$88,3,0)*0.475*44/12</f>
        <v>0</v>
      </c>
      <c r="HJ66" s="24">
        <f t="shared" si="40"/>
        <v>0</v>
      </c>
    </row>
    <row r="67" spans="1:218" s="5" customFormat="1" x14ac:dyDescent="0.25">
      <c r="A67" s="11">
        <f t="shared" si="4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7" s="12">
        <f t="shared" si="4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135.66666666666666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1.6750000000000014</v>
      </c>
      <c r="N67" s="14">
        <f>IF(A67&lt;'Données projet'!$A$36,$K$205^A67,IF(A67='Données projet'!$A$36,'Données projet'!$B$36,N66+M67-V66))</f>
        <v>82.812499999999957</v>
      </c>
      <c r="O67" s="14">
        <f>N67*VLOOKUP('Données projet'!$B$9,Paramètres!$A$1:$I$88,3,0)*VLOOKUP('Données projet'!$B$9,Paramètres!$A$1:$I$88,5,0)</f>
        <v>95.399999999999949</v>
      </c>
      <c r="P67" s="14">
        <f t="shared" si="43"/>
        <v>25.863125591712326</v>
      </c>
      <c r="Q67" s="22">
        <f t="shared" ref="Q67:Q98" si="54">(O67+P67)*0.475*44/12</f>
        <v>211.1999437388989</v>
      </c>
      <c r="R67" s="62">
        <f t="shared" ref="R67:R130" si="55">Q67+(I67+J67)*44/12</f>
        <v>459.07162568808872</v>
      </c>
      <c r="S67" s="62">
        <f ca="1">AVERAGE(OFFSET($R$3,0,0,'Données projet'!$E$9+1,1))-AVERAGE(OFFSET($H$3,0,0,'Données projet'!$E$9+1,1))</f>
        <v>314.72063458462026</v>
      </c>
      <c r="T67" s="62">
        <f t="shared" ref="T67:T130" si="56">$R$33-$H$33</f>
        <v>216.4380325968244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projet'!$B$9,Paramètres!$A$1:$I$88,7,0))</f>
        <v>0</v>
      </c>
      <c r="X67" s="17">
        <f>IF(ISNA(VLOOKUP(A67,'Données projet'!$A$35:$I$55,6,0)),0%,VLOOKUP(A67,'Données projet'!$A$35:$I$55,6,0)*VLOOKUP('Données projet'!$B$9,Paramètres!$A$1:$I$88,7,0))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projet'!$B$9,Paramètres!$A$1:$I$88,3,0)*0.475*44/12</f>
        <v>0</v>
      </c>
      <c r="AA67" s="23">
        <f>EXP(-LN(2)/25)*AA66+(1-EXP(-LN(2)/25))/(LN(2)/25)*Calculateur!V67*Calculateur!X67*VLOOKUP('Données projet'!$B$9,Paramètres!$A$1:$I$88,3,0)*0.475*44/12</f>
        <v>0</v>
      </c>
      <c r="AB67" s="23">
        <f>EXP(-LN(2)/2)*AB66+(1-EXP(-LN(2)/2))/(LN(2)/2)*V67*Y67*VLOOKUP('Données projet'!$B$9,Paramètres!$A$1:$I$88,3,0)*0.475*44/12</f>
        <v>0</v>
      </c>
      <c r="AC67" s="24">
        <f t="shared" si="4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4.5999999999999996</v>
      </c>
      <c r="AI67" s="14">
        <f>IF(A67&lt;'Données projet'!$A$62,$AF$205^A67,IF(A67='Données projet'!$A$62,'Données projet'!$B$62,AI66+AH67-AQ66))</f>
        <v>178.40000000000003</v>
      </c>
      <c r="AJ67" s="14">
        <f>AI67*VLOOKUP('Données projet'!$B$10,Paramètres!$A$1:$I$88,3,0)*VLOOKUP('Données projet'!$B$10,Paramètres!$A$1:$I$88,5,0)</f>
        <v>186.46368000000007</v>
      </c>
      <c r="AK67" s="14">
        <f t="shared" si="44"/>
        <v>46.757269882001118</v>
      </c>
      <c r="AL67" s="22">
        <f t="shared" si="5"/>
        <v>406.1931543778187</v>
      </c>
      <c r="AM67" s="62">
        <f t="shared" si="6"/>
        <v>654.06483632700849</v>
      </c>
      <c r="AN67" s="62">
        <f ca="1">AVERAGE(OFFSET($AM$3,0,0,'Données projet'!$E$10+1,1))-AVERAGE(OFFSET($H$3,0,0,'Données projet'!$E$10+1,1))</f>
        <v>458.33072853676879</v>
      </c>
      <c r="AO67" s="62">
        <f t="shared" si="7"/>
        <v>254.1734169352687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projet'!$B$10,Paramètres!$A$1:$I$88,7,0))</f>
        <v>0</v>
      </c>
      <c r="AS67" s="17">
        <f>IF(ISNA(VLOOKUP(A67,'Données projet'!$A$61:$I$81,6,0)),0%,VLOOKUP(A67,'Données projet'!$A$61:$I$81,6,0)*VLOOKUP('Données projet'!$B$10,Paramètres!$A$1:$I$88,7,0))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projet'!$B$9,Paramètres!$A$1:$I$88,3,0)*0.475*44/12</f>
        <v>0</v>
      </c>
      <c r="AV67" s="23">
        <f>EXP(-LN(2)/25)*AV66+(1-EXP(-LN(2)/25))/(LN(2)/25)*Calculateur!AQ67*Calculateur!AS67*VLOOKUP('Données projet'!$B$9,Paramètres!$A$1:$I$88,3,0)*0.475*44/12</f>
        <v>0</v>
      </c>
      <c r="AW67" s="23">
        <f>EXP(-LN(2)/2)*AW66+(1-EXP(-LN(2)/2))/(LN(2)/2)*AQ67*AT67*VLOOKUP('Données projet'!$B$9,Paramètres!$A$1:$I$88,3,0)*0.475*44/12</f>
        <v>0</v>
      </c>
      <c r="AX67" s="23">
        <f t="shared" si="8"/>
        <v>0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4.5999999999999996</v>
      </c>
      <c r="BD67" s="13">
        <f>IF(A67&lt;'Données projet'!$A$88,$BA$205^A67,IF(A67='Données projet'!$A$88,'Données projet'!$B$88,BD66+BC67-BL66))</f>
        <v>178.40000000000003</v>
      </c>
      <c r="BE67" s="14">
        <f>BD67*VLOOKUP('Données projet'!$B$11,Paramètres!$A$1:$I$88,3,0)*VLOOKUP('Données projet'!$B$11,Paramètres!$A$1:$I$88,5,0)</f>
        <v>180.89760000000004</v>
      </c>
      <c r="BF67" s="14">
        <f t="shared" si="45"/>
        <v>45.521827778957686</v>
      </c>
      <c r="BG67" s="22">
        <f t="shared" si="9"/>
        <v>394.3471700483513</v>
      </c>
      <c r="BH67" s="62">
        <f t="shared" si="10"/>
        <v>642.21885199754115</v>
      </c>
      <c r="BI67" s="62">
        <f ca="1">AVERAGE(OFFSET($BH$3,0,0,'Données projet'!$E$11+1,1))-AVERAGE(OFFSET($H$3,0,0,'Données projet'!$E$11+1,1))</f>
        <v>447.82618173893104</v>
      </c>
      <c r="BJ67" s="62">
        <f t="shared" si="11"/>
        <v>248.96509970783379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projet'!$B$11,Paramètres!$A$1:$I$88,7,0))</f>
        <v>0</v>
      </c>
      <c r="BN67" s="17">
        <f>IF(ISNA(VLOOKUP(A67,'Données projet'!$A$87:$I$107,6,0)),0%,VLOOKUP(A67,'Données projet'!$A$87:$I$107,6,0)*VLOOKUP('Données projet'!$B$11,Paramètres!$A$1:$I$88,7,0))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projet'!$B$9,Paramètres!$A$1:$I$88,3,0)*0.475*44/12</f>
        <v>0</v>
      </c>
      <c r="BQ67" s="23">
        <f>EXP(-LN(2)/25)*BQ66+(1-EXP(-LN(2)/25))/(LN(2)/25)*Calculateur!BL67*Calculateur!BN67*VLOOKUP('Données projet'!$B$9,Paramètres!$A$1:$I$88,3,0)*0.475*44/12</f>
        <v>0</v>
      </c>
      <c r="BR67" s="23">
        <f>EXP(-LN(2)/2)*BR66+(1-EXP(-LN(2)/2))/(LN(2)/2)*BL67*BO67*VLOOKUP('Données projet'!$B$9,Paramètres!$A$1:$I$88,3,0)*0.475*44/12</f>
        <v>0</v>
      </c>
      <c r="BS67" s="24">
        <f t="shared" si="12"/>
        <v>0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4.5999999999999996</v>
      </c>
      <c r="BY67" s="13">
        <f>IF(A67&lt;'Données projet'!$A$114,$BV$205^A67,IF(A67='Données projet'!$A$114,'Données projet'!$B$114,BY66+BX67-CG66))</f>
        <v>178.40000000000003</v>
      </c>
      <c r="BZ67" s="14">
        <f>BY67*VLOOKUP('Données projet'!$B$12,Paramètres!$A$1:$I$88,3,0)*VLOOKUP('Données projet'!$B$12,Paramètres!$A$1:$I$88,5,0)</f>
        <v>192.02976000000004</v>
      </c>
      <c r="CA67" s="14">
        <f t="shared" si="46"/>
        <v>47.988426061329989</v>
      </c>
      <c r="CB67" s="22">
        <f t="shared" si="13"/>
        <v>418.03167405681643</v>
      </c>
      <c r="CC67" s="62">
        <f t="shared" si="14"/>
        <v>665.90335600600622</v>
      </c>
      <c r="CD67" s="62">
        <f ca="1">AVERAGE(OFFSET($CC$3,0,0,'Données projet'!$E$12+1,1))-AVERAGE(OFFSET($H$3,0,0,'Données projet'!$E$12+1,1))</f>
        <v>468.82871618425406</v>
      </c>
      <c r="CE67" s="62">
        <f t="shared" si="15"/>
        <v>259.37818128554397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projet'!$B$12,Paramètres!$A$1:$I$88,7,0))</f>
        <v>0</v>
      </c>
      <c r="CI67" s="17">
        <f>IF(ISNA(VLOOKUP(A67,'Données projet'!$A$113:$I$133,6,0)),0%,VLOOKUP(A67,'Données projet'!$A$113:$I$133,6,0)*VLOOKUP('Données projet'!$B$12,Paramètres!$A$1:$I$88,7,0))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projet'!$B$9,Paramètres!$A$1:$I$88,3,0)*0.475*44/12</f>
        <v>0</v>
      </c>
      <c r="CL67" s="23">
        <f>EXP(-LN(2)/25)*CL66+(1-EXP(-LN(2)/25))/(LN(2)/25)*Calculateur!CG67*Calculateur!CI67*VLOOKUP('Données projet'!$B$9,Paramètres!$A$1:$I$88,3,0)*0.475*44/12</f>
        <v>0</v>
      </c>
      <c r="CM67" s="23">
        <f>EXP(-LN(2)/2)*CM66+(1-EXP(-LN(2)/2))/(LN(2)/2)*CG67*CJ67*VLOOKUP('Données projet'!$B$9,Paramètres!$A$1:$I$88,3,0)*0.475*44/12</f>
        <v>0</v>
      </c>
      <c r="CN67" s="24">
        <f t="shared" si="16"/>
        <v>0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4.5999999999999996</v>
      </c>
      <c r="CT67" s="13">
        <f>IF(A67&lt;'Données projet'!$A$140,$CQ$205^A67,IF(A67='Données projet'!$A$140,'Données projet'!$B$140,CT66+CS67-DB66))</f>
        <v>178.40000000000003</v>
      </c>
      <c r="CU67" s="18">
        <f>CT67*VLOOKUP('Données projet'!$B$13,Paramètres!$A$1:$I$88,3,0)*VLOOKUP('Données projet'!$B$13,Paramètres!$A$1:$I$88,5,0)</f>
        <v>153.06720000000007</v>
      </c>
      <c r="CV67" s="14">
        <f t="shared" si="47"/>
        <v>39.274794552155704</v>
      </c>
      <c r="CW67" s="22">
        <f t="shared" si="17"/>
        <v>334.9956405116713</v>
      </c>
      <c r="CX67" s="62">
        <f t="shared" si="18"/>
        <v>582.86732246086115</v>
      </c>
      <c r="CY67" s="62">
        <f ca="1">AVERAGE(OFFSET($CX$3,0,0,'Données projet'!$E$13+1,1))-AVERAGE(OFFSET($H$3,0,0,'Données projet'!$E$13+1,1))</f>
        <v>395.19659151668884</v>
      </c>
      <c r="CZ67" s="62">
        <f t="shared" si="19"/>
        <v>222.86563304507339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projet'!$B$13,Paramètres!$A$1:$I$88,7,0))</f>
        <v>0</v>
      </c>
      <c r="DD67" s="17">
        <f>IF(ISNA(VLOOKUP(A67,'Données projet'!$A$139:$I$159,6,0)),0%,VLOOKUP(A67,'Données projet'!$A$139:$I$159,6,0)*VLOOKUP('Données projet'!$B$13,Paramètres!$A$1:$I$88,7,0))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projet'!$B$9,Paramètres!$A$1:$I$88,3,0)*0.475*44/12</f>
        <v>0</v>
      </c>
      <c r="DG67" s="23">
        <f>EXP(-LN(2)/25)*DG66+(1-EXP(-LN(2)/25))/(LN(2)/25)*Calculateur!DB67*Calculateur!DD67*VLOOKUP('Données projet'!$B$9,Paramètres!$A$1:$I$88,3,0)*0.475*44/12</f>
        <v>0</v>
      </c>
      <c r="DH67" s="23">
        <f>EXP(-LN(2)/2)*DH66+(1-EXP(-LN(2)/2))/(LN(2)/2)*DB67*DE67*VLOOKUP('Données projet'!$B$9,Paramètres!$A$1:$I$88,3,0)*0.475*44/12</f>
        <v>0</v>
      </c>
      <c r="DI67" s="24">
        <f t="shared" si="20"/>
        <v>0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4.666666666666667</v>
      </c>
      <c r="DO67" s="13">
        <f>IF(A67&lt;'Données projet'!$A$166,$DL$205^A67,IF(A67='Données projet'!$A$166,'Données projet'!$B$166,DO66+DN67-DW66))</f>
        <v>88.999999999999972</v>
      </c>
      <c r="DP67" s="18">
        <f>DO67*VLOOKUP('Données projet'!$B$14,Paramètres!$A$1:$I$88,3,0)*VLOOKUP('Données projet'!$B$14,Paramètres!$A$1:$I$88,5,0)</f>
        <v>52.064999999999991</v>
      </c>
      <c r="DQ67" s="14">
        <f t="shared" si="48"/>
        <v>15.145792339299824</v>
      </c>
      <c r="DR67" s="22">
        <f t="shared" si="21"/>
        <v>117.05879665761385</v>
      </c>
      <c r="DS67" s="62">
        <f t="shared" si="22"/>
        <v>364.93047860680366</v>
      </c>
      <c r="DT67" s="62">
        <f ca="1">AVERAGE(OFFSET($DS$3,0,0,'Données projet'!$E$14+1,1))-AVERAGE(OFFSET($H$3,0,0,'Données projet'!$E$14+1,1))</f>
        <v>155.18073137151848</v>
      </c>
      <c r="DU67" s="62">
        <f t="shared" si="23"/>
        <v>115.19459155667272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projet'!$B$14,Paramètres!$A$1:$I$88,7,0))</f>
        <v>0</v>
      </c>
      <c r="DY67" s="17">
        <f>IF(ISNA(VLOOKUP(A67,'Données projet'!$A$165:$I$185,6,0)),0%,VLOOKUP(A67,'Données projet'!$A$165:$I$185,6,0)*VLOOKUP('Données projet'!$B$14,Paramètres!$A$1:$I$88,7,0))</f>
        <v>0</v>
      </c>
      <c r="DZ67" s="17">
        <f>IF(ISNA(VLOOKUP(A67,'Données projet'!$A$165:$I$185,7,0)),0%,VLOOKUP(A67,'Données projet'!$A$165:$I$185,7,0))</f>
        <v>0</v>
      </c>
      <c r="EA67" s="23">
        <f>EXP(-LN(2)/35)*EA66+(1-EXP(-LN(2)/35))/(LN(2)/35)*DW67*DX67*VLOOKUP('Données projet'!$B$9,Paramètres!$A$1:$I$88,3,0)*0.475*44/12</f>
        <v>0</v>
      </c>
      <c r="EB67" s="23">
        <f>EXP(-LN(2)/25)*EB66+(1-EXP(-LN(2)/25))/(LN(2)/25)*Calculateur!DW67*Calculateur!DY67*VLOOKUP('Données projet'!$B$9,Paramètres!$A$1:$I$88,3,0)*0.475*44/12</f>
        <v>0</v>
      </c>
      <c r="EC67" s="23">
        <f>EXP(-LN(2)/2)*EC66+(1-EXP(-LN(2)/2))/(LN(2)/2)*DW67*DZ67*VLOOKUP('Données projet'!$B$9,Paramètres!$A$1:$I$88,3,0)*0.475*44/12</f>
        <v>0</v>
      </c>
      <c r="ED67" s="24">
        <f t="shared" si="24"/>
        <v>0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8.9333333333333336</v>
      </c>
      <c r="EJ67" s="13">
        <f>IF(A67&lt;'Données projet'!$A$192,$EG$205^A67,IF(A67='Données projet'!$A$192,'Données projet'!$B$192,EJ66+EI67-ER66))</f>
        <v>164.73333333333335</v>
      </c>
      <c r="EK67" s="18">
        <f>EJ67*VLOOKUP('Données projet'!$B$15,Paramètres!$A$1:$I$88,3,0)*VLOOKUP('Données projet'!$B$15,Paramètres!$A$1:$I$88,5,0)</f>
        <v>77.095200000000006</v>
      </c>
      <c r="EL67" s="14">
        <f t="shared" si="49"/>
        <v>21.425423842069357</v>
      </c>
      <c r="EM67" s="22">
        <f t="shared" si="25"/>
        <v>171.59008652493745</v>
      </c>
      <c r="EN67" s="62">
        <f t="shared" si="26"/>
        <v>419.46176847412727</v>
      </c>
      <c r="EO67" s="62">
        <f ca="1">AVERAGE(OFFSET($EN$3,0,0,'Données projet'!$E$15+1,1))-AVERAGE(OFFSET($H$3,0,0,'Données projet'!$E$15+1,1))</f>
        <v>238.59014604384171</v>
      </c>
      <c r="EP67" s="62">
        <f t="shared" si="27"/>
        <v>90.841373219575217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projet'!$B$15,Paramètres!$A$1:$I$88,7,0))</f>
        <v>0</v>
      </c>
      <c r="ET67" s="17">
        <f>IF(ISNA(VLOOKUP(A67,'Données projet'!$A$191:$I$211,6,0)),0%,VLOOKUP(A67,'Données projet'!$A$191:$I$211,6,0)*VLOOKUP('Données projet'!$B$15,Paramètres!$A$1:$I$88,7,0))</f>
        <v>0</v>
      </c>
      <c r="EU67" s="17">
        <f>IF(ISNA(VLOOKUP(A67,'Données projet'!$A$191:$I$211,7,0)),0%,VLOOKUP(A67,'Données projet'!$A$191:$I$211,7,0))</f>
        <v>0</v>
      </c>
      <c r="EV67" s="23">
        <f>EXP(-LN(2)/35)*EV66+(1-EXP(-LN(2)/35))/(LN(2)/35)*ER67*ES67*VLOOKUP('Données projet'!$B$9,Paramètres!$A$1:$I$88,3,0)*0.475*44/12</f>
        <v>0</v>
      </c>
      <c r="EW67" s="23">
        <f>EXP(-LN(2)/25)*EW66+(1-EXP(-LN(2)/25))/(LN(2)/25)*Calculateur!ER67*Calculateur!ET67*VLOOKUP('Données projet'!$B$9,Paramètres!$A$1:$I$88,3,0)*0.475*44/12</f>
        <v>0</v>
      </c>
      <c r="EX67" s="23">
        <f>EXP(-LN(2)/2)*EX66+(1-EXP(-LN(2)/2))/(LN(2)/2)*ER67*EU67*VLOOKUP('Données projet'!$B$9,Paramètres!$A$1:$I$88,3,0)*0.475*44/12</f>
        <v>0</v>
      </c>
      <c r="EY67" s="24">
        <f t="shared" si="28"/>
        <v>0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IF(A67&lt;'Données projet'!$A$218,$FB$205^A67,IF(A67='Données projet'!$A$218,'Données projet'!$B$218,FE66+FD67-FM66))</f>
        <v>0</v>
      </c>
      <c r="FF67" s="18" t="e">
        <f>FE67*VLOOKUP('Données projet'!$B$16,Paramètres!$A$1:$I$88,3,0)*VLOOKUP('Données projet'!$B$16,Paramètres!$A$1:$I$88,5,0)</f>
        <v>#N/A</v>
      </c>
      <c r="FG67" s="14" t="e">
        <f t="shared" si="50"/>
        <v>#N/A</v>
      </c>
      <c r="FH67" s="22" t="e">
        <f t="shared" si="29"/>
        <v>#N/A</v>
      </c>
      <c r="FI67" s="62" t="e">
        <f t="shared" si="30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31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projet'!$B$16,Paramètres!$A$1:$I$88,7,0))</f>
        <v>0</v>
      </c>
      <c r="FO67" s="17">
        <f>IF(ISNA(VLOOKUP(A67,'Données projet'!$A$217:$I$237,6,0)),0%,VLOOKUP(A67,'Données projet'!$A$217:$I$237,6,0)*VLOOKUP('Données projet'!$B$16,Paramètres!$A$1:$I$88,7,0))</f>
        <v>0</v>
      </c>
      <c r="FP67" s="17">
        <f>IF(ISNA(VLOOKUP(A67,'Données projet'!$A$217:$I$237,7,0)),0%,VLOOKUP(A67,'Données projet'!$A$217:$I$237,7,0))</f>
        <v>0</v>
      </c>
      <c r="FQ67" s="23">
        <f>EXP(-LN(2)/35)*FQ66+(1-EXP(-LN(2)/35))/(LN(2)/35)*FM67*FN67*VLOOKUP('Données projet'!$B$9,Paramètres!$A$1:$I$88,3,0)*0.475*44/12</f>
        <v>0</v>
      </c>
      <c r="FR67" s="23">
        <f>EXP(-LN(2)/25)*FR66+(1-EXP(-LN(2)/25))/(LN(2)/25)*Calculateur!FM67*Calculateur!FO67*VLOOKUP('Données projet'!$B$9,Paramètres!$A$1:$I$88,3,0)*0.475*44/12</f>
        <v>0</v>
      </c>
      <c r="FS67" s="23">
        <f>EXP(-LN(2)/2)*FS66+(1-EXP(-LN(2)/2))/(LN(2)/2)*FM67*FP67*VLOOKUP('Données projet'!$B$9,Paramètres!$A$1:$I$88,3,0)*0.475*44/12</f>
        <v>0</v>
      </c>
      <c r="FT67" s="24">
        <f t="shared" si="32"/>
        <v>0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IF(A67&lt;'Données projet'!$A$244,$FW$205^A67,IF(A67='Données projet'!$A$244,'Données projet'!$B$244,FZ66+FY67-GH66))</f>
        <v>0</v>
      </c>
      <c r="GA67" s="18" t="e">
        <f>FZ67*VLOOKUP('Données projet'!$B$17,Paramètres!$A$1:$I$88,3,0)*VLOOKUP('Données projet'!$B$17,Paramètres!$A$1:$I$88,5,0)</f>
        <v>#N/A</v>
      </c>
      <c r="GB67" s="14" t="e">
        <f t="shared" si="51"/>
        <v>#N/A</v>
      </c>
      <c r="GC67" s="22" t="e">
        <f t="shared" si="33"/>
        <v>#N/A</v>
      </c>
      <c r="GD67" s="62" t="e">
        <f t="shared" si="34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35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projet'!$B$17,Paramètres!$A$1:$I$88,7,0))</f>
        <v>0</v>
      </c>
      <c r="GJ67" s="17">
        <f>IF(ISNA(VLOOKUP(A67,'Données projet'!$A$243:$I$263,6,0)),0%,VLOOKUP(A67,'Données projet'!$A$243:$I$263,6,0)*VLOOKUP('Données projet'!$B$17,Paramètres!$A$1:$I$88,7,0))</f>
        <v>0</v>
      </c>
      <c r="GK67" s="17">
        <f>IF(ISNA(VLOOKUP(A67,'Données projet'!$A$243:$I$263,7,0)),0%,VLOOKUP(A67,'Données projet'!$A$243:$I$263,7,0))</f>
        <v>0</v>
      </c>
      <c r="GL67" s="23">
        <f>EXP(-LN(2)/35)*GL66+(1-EXP(-LN(2)/35))/(LN(2)/35)*GH67*GI67*VLOOKUP('Données projet'!$B$9,Paramètres!$A$1:$I$88,3,0)*0.475*44/12</f>
        <v>0</v>
      </c>
      <c r="GM67" s="23">
        <f>EXP(-LN(2)/25)*GM66+(1-EXP(-LN(2)/25))/(LN(2)/25)*Calculateur!GH67*Calculateur!GJ67*VLOOKUP('Données projet'!$B$9,Paramètres!$A$1:$I$88,3,0)*0.475*44/12</f>
        <v>0</v>
      </c>
      <c r="GN67" s="23">
        <f>EXP(-LN(2)/2)*GN66+(1-EXP(-LN(2)/2))/(LN(2)/2)*GH67*GK67*VLOOKUP('Données projet'!$B$9,Paramètres!$A$1:$I$88,3,0)*0.475*44/12</f>
        <v>0</v>
      </c>
      <c r="GO67" s="23">
        <f t="shared" si="36"/>
        <v>0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IF(A67&lt;'Données projet'!$A$270,$GR$205^A67,IF(A67='Données projet'!$A$270,'Données projet'!$B$270,GU66+GT67-HC66))</f>
        <v>0</v>
      </c>
      <c r="GV67" s="18" t="e">
        <f>GU67*VLOOKUP('Données projet'!$B$18,Paramètres!$A$1:$I$88,3,0)*VLOOKUP('Données projet'!$B$18,Paramètres!$A$1:$I$88,5,0)</f>
        <v>#N/A</v>
      </c>
      <c r="GW67" s="14" t="e">
        <f t="shared" si="52"/>
        <v>#N/A</v>
      </c>
      <c r="GX67" s="22" t="e">
        <f t="shared" si="37"/>
        <v>#N/A</v>
      </c>
      <c r="GY67" s="62" t="e">
        <f t="shared" si="38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39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projet'!$B$18,Paramètres!$A$1:$I$88,7,0))</f>
        <v>0</v>
      </c>
      <c r="HE67" s="17">
        <f>IF(ISNA(VLOOKUP(A67,'Données projet'!$A$269:$I$289,6,0)),0%,VLOOKUP(A67,'Données projet'!$A$269:$I$289,6,0)*VLOOKUP('Données projet'!$B$18,Paramètres!$A$1:$I$88,7,0))</f>
        <v>0</v>
      </c>
      <c r="HF67" s="17">
        <f>IF(ISNA(VLOOKUP(A67,'Données projet'!$A$269:$I$289,7,0)),0%,VLOOKUP(A67,'Données projet'!$A$269:$I$289,7,0))</f>
        <v>0</v>
      </c>
      <c r="HG67" s="23">
        <f>EXP(-LN(2)/35)*HG66+(1-EXP(-LN(2)/35))/(LN(2)/35)*HC67*HD67*VLOOKUP('Données projet'!$B$9,Paramètres!$A$1:$I$88,3,0)*0.475*44/12</f>
        <v>0</v>
      </c>
      <c r="HH67" s="23">
        <f>EXP(-LN(2)/25)*HH66+(1-EXP(-LN(2)/25))/(LN(2)/25)*Calculateur!HC67*Calculateur!HE67*VLOOKUP('Données projet'!$B$9,Paramètres!$A$1:$I$88,3,0)*0.475*44/12</f>
        <v>0</v>
      </c>
      <c r="HI67" s="23">
        <f>EXP(-LN(2)/2)*HI66+(1-EXP(-LN(2)/2))/(LN(2)/2)*HC67*HF67*VLOOKUP('Données projet'!$B$9,Paramètres!$A$1:$I$88,3,0)*0.475*44/12</f>
        <v>0</v>
      </c>
      <c r="HJ67" s="24">
        <f t="shared" si="40"/>
        <v>0</v>
      </c>
    </row>
    <row r="68" spans="1:218" s="5" customFormat="1" x14ac:dyDescent="0.25">
      <c r="A68" s="11">
        <f t="shared" si="4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8" s="12">
        <f t="shared" si="4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57">(B68+E68+F68)*44/12+(C68+D68)*0.475*44/12</f>
        <v>135.66666666666666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1.6750000000000014</v>
      </c>
      <c r="N68" s="14">
        <f>IF(A68&lt;'Données projet'!$A$36,$K$205^A68,IF(A68='Données projet'!$A$36,'Données projet'!$B$36,N67+M68-V67))</f>
        <v>84.487499999999955</v>
      </c>
      <c r="O68" s="14">
        <f>N68*VLOOKUP('Données projet'!$B$9,Paramètres!$A$1:$I$88,3,0)*VLOOKUP('Données projet'!$B$9,Paramètres!$A$1:$I$88,5,0)</f>
        <v>97.329599999999928</v>
      </c>
      <c r="P68" s="14">
        <f t="shared" si="43"/>
        <v>26.324812862564265</v>
      </c>
      <c r="Q68" s="22">
        <f t="shared" si="54"/>
        <v>215.36476906896596</v>
      </c>
      <c r="R68" s="62">
        <f t="shared" si="55"/>
        <v>464.02510903264454</v>
      </c>
      <c r="S68" s="62">
        <f ca="1">AVERAGE(OFFSET($R$3,0,0,'Données projet'!$E$9+1,1))-AVERAGE(OFFSET($H$3,0,0,'Données projet'!$E$9+1,1))</f>
        <v>314.72063458462026</v>
      </c>
      <c r="T68" s="62">
        <f t="shared" si="56"/>
        <v>216.4380325968244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projet'!$B$9,Paramètres!$A$1:$I$88,7,0))</f>
        <v>0</v>
      </c>
      <c r="X68" s="17">
        <f>IF(ISNA(VLOOKUP(A68,'Données projet'!$A$35:$I$55,6,0)),0%,VLOOKUP(A68,'Données projet'!$A$35:$I$55,6,0)*VLOOKUP('Données projet'!$B$9,Paramètres!$A$1:$I$88,7,0))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projet'!$B$9,Paramètres!$A$1:$I$88,3,0)*0.475*44/12</f>
        <v>0</v>
      </c>
      <c r="AA68" s="23">
        <f>EXP(-LN(2)/25)*AA67+(1-EXP(-LN(2)/25))/(LN(2)/25)*Calculateur!V68*Calculateur!X68*VLOOKUP('Données projet'!$B$9,Paramètres!$A$1:$I$88,3,0)*0.475*44/12</f>
        <v>0</v>
      </c>
      <c r="AB68" s="23">
        <f>EXP(-LN(2)/2)*AB67+(1-EXP(-LN(2)/2))/(LN(2)/2)*V68*Y68*VLOOKUP('Données projet'!$B$9,Paramètres!$A$1:$I$88,3,0)*0.475*44/12</f>
        <v>0</v>
      </c>
      <c r="AC68" s="24">
        <f t="shared" ref="AC68:AC131" si="58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183</v>
      </c>
      <c r="AG68" s="13">
        <f>VLOOKUP(A68,'Données projet'!$A$61:$I$81,9,0)</f>
        <v>4.5999999999999996</v>
      </c>
      <c r="AH68" s="13">
        <f t="array" ref="AH68">INDEX(AG:AG,MIN(IF(ISNUMBER(AG68:AG264),ROW(AG68:AG264),"")))</f>
        <v>4.5999999999999996</v>
      </c>
      <c r="AI68" s="14">
        <f>IF(A68&lt;'Données projet'!$A$62,$AF$205^A68,IF(A68='Données projet'!$A$62,'Données projet'!$B$62,AI67+AH68-AQ67))</f>
        <v>183.00000000000003</v>
      </c>
      <c r="AJ68" s="14">
        <f>AI68*VLOOKUP('Données projet'!$B$10,Paramètres!$A$1:$I$88,3,0)*VLOOKUP('Données projet'!$B$10,Paramètres!$A$1:$I$88,5,0)</f>
        <v>191.27160000000006</v>
      </c>
      <c r="AK68" s="14">
        <f t="shared" si="44"/>
        <v>47.820976324217895</v>
      </c>
      <c r="AL68" s="22">
        <f t="shared" ref="AL68:AL131" si="59">(AJ68+AK68)*0.475*44/12</f>
        <v>416.41957043134624</v>
      </c>
      <c r="AM68" s="62">
        <f t="shared" ref="AM68:AM131" si="60">AL68+(AD68+AE68)*44/12</f>
        <v>665.07991039502485</v>
      </c>
      <c r="AN68" s="62">
        <f ca="1">AVERAGE(OFFSET($AM$3,0,0,'Données projet'!$E$10+1,1))-AVERAGE(OFFSET($H$3,0,0,'Données projet'!$E$10+1,1))</f>
        <v>458.33072853676879</v>
      </c>
      <c r="AO68" s="62">
        <f t="shared" ref="AO68:AO131" si="61">$AM$33-$H$33</f>
        <v>254.1734169352687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projet'!$B$10,Paramètres!$A$1:$I$88,7,0))</f>
        <v>0</v>
      </c>
      <c r="AS68" s="17">
        <f>IF(ISNA(VLOOKUP(A68,'Données projet'!$A$61:$I$81,6,0)),0%,VLOOKUP(A68,'Données projet'!$A$61:$I$81,6,0)*VLOOKUP('Données projet'!$B$10,Paramètres!$A$1:$I$88,7,0))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projet'!$B$9,Paramètres!$A$1:$I$88,3,0)*0.475*44/12</f>
        <v>0</v>
      </c>
      <c r="AV68" s="23">
        <f>EXP(-LN(2)/25)*AV67+(1-EXP(-LN(2)/25))/(LN(2)/25)*Calculateur!AQ68*Calculateur!AS68*VLOOKUP('Données projet'!$B$9,Paramètres!$A$1:$I$88,3,0)*0.475*44/12</f>
        <v>0</v>
      </c>
      <c r="AW68" s="23">
        <f>EXP(-LN(2)/2)*AW67+(1-EXP(-LN(2)/2))/(LN(2)/2)*AQ68*AT68*VLOOKUP('Données projet'!$B$9,Paramètres!$A$1:$I$88,3,0)*0.475*44/12</f>
        <v>0</v>
      </c>
      <c r="AX68" s="23">
        <f t="shared" ref="AX68:AX131" si="62">SUM(AU68:AW68)</f>
        <v>0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>
        <f>VLOOKUP(A68,'Données projet'!$A$87:$I$107,2,0)</f>
        <v>183</v>
      </c>
      <c r="BB68" s="13">
        <f>VLOOKUP(A68,'Données projet'!$A$87:$I$107,9,0)</f>
        <v>4.5999999999999996</v>
      </c>
      <c r="BC68" s="13">
        <f t="array" ref="BC68">INDEX(BB:BB,MIN(IF(ISNUMBER(BB68:BB264),ROW(BB68:BB264),"")))</f>
        <v>4.5999999999999996</v>
      </c>
      <c r="BD68" s="13">
        <f>IF(A68&lt;'Données projet'!$A$88,$BA$205^A68,IF(A68='Données projet'!$A$88,'Données projet'!$B$88,BD67+BC68-BL67))</f>
        <v>183.00000000000003</v>
      </c>
      <c r="BE68" s="14">
        <f>BD68*VLOOKUP('Données projet'!$B$11,Paramètres!$A$1:$I$88,3,0)*VLOOKUP('Données projet'!$B$11,Paramètres!$A$1:$I$88,5,0)</f>
        <v>185.56200000000004</v>
      </c>
      <c r="BF68" s="14">
        <f t="shared" si="45"/>
        <v>46.557428480028591</v>
      </c>
      <c r="BG68" s="22">
        <f t="shared" ref="BG68:BG131" si="63">(BE68+BF68)*0.475*44/12</f>
        <v>404.27467126938319</v>
      </c>
      <c r="BH68" s="62">
        <f t="shared" ref="BH68:BH131" si="64">BG68+(AY68+AZ68)*44/12</f>
        <v>652.93501123306169</v>
      </c>
      <c r="BI68" s="62">
        <f ca="1">AVERAGE(OFFSET($BH$3,0,0,'Données projet'!$E$11+1,1))-AVERAGE(OFFSET($H$3,0,0,'Données projet'!$E$11+1,1))</f>
        <v>447.82618173893104</v>
      </c>
      <c r="BJ68" s="62">
        <f t="shared" ref="BJ68:BJ131" si="65">$BH$33-$H$33</f>
        <v>248.96509970783379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projet'!$B$11,Paramètres!$A$1:$I$88,7,0))</f>
        <v>0</v>
      </c>
      <c r="BN68" s="17">
        <f>IF(ISNA(VLOOKUP(A68,'Données projet'!$A$87:$I$107,6,0)),0%,VLOOKUP(A68,'Données projet'!$A$87:$I$107,6,0)*VLOOKUP('Données projet'!$B$11,Paramètres!$A$1:$I$88,7,0))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projet'!$B$9,Paramètres!$A$1:$I$88,3,0)*0.475*44/12</f>
        <v>0</v>
      </c>
      <c r="BQ68" s="23">
        <f>EXP(-LN(2)/25)*BQ67+(1-EXP(-LN(2)/25))/(LN(2)/25)*Calculateur!BL68*Calculateur!BN68*VLOOKUP('Données projet'!$B$9,Paramètres!$A$1:$I$88,3,0)*0.475*44/12</f>
        <v>0</v>
      </c>
      <c r="BR68" s="23">
        <f>EXP(-LN(2)/2)*BR67+(1-EXP(-LN(2)/2))/(LN(2)/2)*BL68*BO68*VLOOKUP('Données projet'!$B$9,Paramètres!$A$1:$I$88,3,0)*0.475*44/12</f>
        <v>0</v>
      </c>
      <c r="BS68" s="24">
        <f t="shared" ref="BS68:BS131" si="66">SUM(BP68:BR68)</f>
        <v>0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>
        <f>VLOOKUP(A68,'Données projet'!$A$113:$I$133,2,0)</f>
        <v>183</v>
      </c>
      <c r="BW68" s="13">
        <f>VLOOKUP(A68,'Données projet'!$A$113:$I$133,9,0)</f>
        <v>4.5999999999999996</v>
      </c>
      <c r="BX68" s="13">
        <f t="array" ref="BX68">INDEX(BW:BW,MIN(IF(ISNUMBER(BW68:BW264),ROW(BW68:BW264),"")))</f>
        <v>4.5999999999999996</v>
      </c>
      <c r="BY68" s="13">
        <f>IF(A68&lt;'Données projet'!$A$114,$BV$205^A68,IF(A68='Données projet'!$A$114,'Données projet'!$B$114,BY67+BX68-CG67))</f>
        <v>183.00000000000003</v>
      </c>
      <c r="BZ68" s="14">
        <f>BY68*VLOOKUP('Données projet'!$B$12,Paramètres!$A$1:$I$88,3,0)*VLOOKUP('Données projet'!$B$12,Paramètres!$A$1:$I$88,5,0)</f>
        <v>196.98120000000003</v>
      </c>
      <c r="CA68" s="14">
        <f t="shared" si="46"/>
        <v>49.080140741894134</v>
      </c>
      <c r="CB68" s="22">
        <f t="shared" ref="CB68:CB131" si="67">(BZ68+CA68)*0.475*44/12</f>
        <v>428.55683512546562</v>
      </c>
      <c r="CC68" s="62">
        <f t="shared" ref="CC68:CC131" si="68">CB68+(BT68+BU68)*44/12</f>
        <v>677.21717508914412</v>
      </c>
      <c r="CD68" s="62">
        <f ca="1">AVERAGE(OFFSET($CC$3,0,0,'Données projet'!$E$12+1,1))-AVERAGE(OFFSET($H$3,0,0,'Données projet'!$E$12+1,1))</f>
        <v>468.82871618425406</v>
      </c>
      <c r="CE68" s="62">
        <f t="shared" ref="CE68:CE131" si="69">$CC$33-$H$33</f>
        <v>259.37818128554397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projet'!$B$12,Paramètres!$A$1:$I$88,7,0))</f>
        <v>0</v>
      </c>
      <c r="CI68" s="17">
        <f>IF(ISNA(VLOOKUP(A68,'Données projet'!$A$113:$I$133,6,0)),0%,VLOOKUP(A68,'Données projet'!$A$113:$I$133,6,0)*VLOOKUP('Données projet'!$B$12,Paramètres!$A$1:$I$88,7,0))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projet'!$B$9,Paramètres!$A$1:$I$88,3,0)*0.475*44/12</f>
        <v>0</v>
      </c>
      <c r="CL68" s="23">
        <f>EXP(-LN(2)/25)*CL67+(1-EXP(-LN(2)/25))/(LN(2)/25)*Calculateur!CG68*Calculateur!CI68*VLOOKUP('Données projet'!$B$9,Paramètres!$A$1:$I$88,3,0)*0.475*44/12</f>
        <v>0</v>
      </c>
      <c r="CM68" s="23">
        <f>EXP(-LN(2)/2)*CM67+(1-EXP(-LN(2)/2))/(LN(2)/2)*CG68*CJ68*VLOOKUP('Données projet'!$B$9,Paramètres!$A$1:$I$88,3,0)*0.475*44/12</f>
        <v>0</v>
      </c>
      <c r="CN68" s="24">
        <f t="shared" ref="CN68:CN131" si="70">SUM(CK68:CM68)</f>
        <v>0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>
        <f>VLOOKUP(A68,'Données projet'!$A$139:$I$159,2,0)</f>
        <v>183</v>
      </c>
      <c r="CR68" s="13">
        <f>VLOOKUP(A68,'Données projet'!$A$139:$I$159,9,0)</f>
        <v>4.5999999999999996</v>
      </c>
      <c r="CS68" s="13">
        <f t="array" ref="CS68">INDEX(CR:CR,MIN(IF(ISNUMBER(CR68:CR264),ROW(CR68:CR264),"")))</f>
        <v>4.5999999999999996</v>
      </c>
      <c r="CT68" s="13">
        <f>IF(A68&lt;'Données projet'!$A$140,$CQ$205^A68,IF(A68='Données projet'!$A$140,'Données projet'!$B$140,CT67+CS68-DB67))</f>
        <v>183.00000000000003</v>
      </c>
      <c r="CU68" s="18">
        <f>CT68*VLOOKUP('Données projet'!$B$13,Paramètres!$A$1:$I$88,3,0)*VLOOKUP('Données projet'!$B$13,Paramètres!$A$1:$I$88,5,0)</f>
        <v>157.01400000000004</v>
      </c>
      <c r="CV68" s="14">
        <f t="shared" si="47"/>
        <v>40.168278112836184</v>
      </c>
      <c r="CW68" s="22">
        <f t="shared" ref="CW68:CW131" si="71">(CU68+CV68)*0.475*44/12</f>
        <v>343.42580104652308</v>
      </c>
      <c r="CX68" s="62">
        <f t="shared" ref="CX68:CX131" si="72">CW68+(CO68+CP68)*44/12</f>
        <v>592.08614101020157</v>
      </c>
      <c r="CY68" s="62">
        <f ca="1">AVERAGE(OFFSET($CX$3,0,0,'Données projet'!$E$13+1,1))-AVERAGE(OFFSET($H$3,0,0,'Données projet'!$E$13+1,1))</f>
        <v>395.19659151668884</v>
      </c>
      <c r="CZ68" s="62">
        <f t="shared" ref="CZ68:CZ131" si="73">$CX$33-$H$33</f>
        <v>222.86563304507339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projet'!$B$13,Paramètres!$A$1:$I$88,7,0))</f>
        <v>0</v>
      </c>
      <c r="DD68" s="17">
        <f>IF(ISNA(VLOOKUP(A68,'Données projet'!$A$139:$I$159,6,0)),0%,VLOOKUP(A68,'Données projet'!$A$139:$I$159,6,0)*VLOOKUP('Données projet'!$B$13,Paramètres!$A$1:$I$88,7,0))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projet'!$B$9,Paramètres!$A$1:$I$88,3,0)*0.475*44/12</f>
        <v>0</v>
      </c>
      <c r="DG68" s="23">
        <f>EXP(-LN(2)/25)*DG67+(1-EXP(-LN(2)/25))/(LN(2)/25)*Calculateur!DB68*Calculateur!DD68*VLOOKUP('Données projet'!$B$9,Paramètres!$A$1:$I$88,3,0)*0.475*44/12</f>
        <v>0</v>
      </c>
      <c r="DH68" s="23">
        <f>EXP(-LN(2)/2)*DH67+(1-EXP(-LN(2)/2))/(LN(2)/2)*DB68*DE68*VLOOKUP('Données projet'!$B$9,Paramètres!$A$1:$I$88,3,0)*0.475*44/12</f>
        <v>0</v>
      </c>
      <c r="DI68" s="24">
        <f t="shared" ref="DI68:DI131" si="74">SUM(DF68:DH68)</f>
        <v>0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4.666666666666667</v>
      </c>
      <c r="DO68" s="13">
        <f>IF(A68&lt;'Données projet'!$A$166,$DL$205^A68,IF(A68='Données projet'!$A$166,'Données projet'!$B$166,DO67+DN68-DW67))</f>
        <v>93.666666666666643</v>
      </c>
      <c r="DP68" s="18">
        <f>DO68*VLOOKUP('Données projet'!$B$14,Paramètres!$A$1:$I$88,3,0)*VLOOKUP('Données projet'!$B$14,Paramètres!$A$1:$I$88,5,0)</f>
        <v>54.794999999999987</v>
      </c>
      <c r="DQ68" s="14">
        <f t="shared" si="48"/>
        <v>15.845412579362552</v>
      </c>
      <c r="DR68" s="22">
        <f t="shared" ref="DR68:DR131" si="75">(DP68+DQ68)*0.475*44/12</f>
        <v>123.03205190905641</v>
      </c>
      <c r="DS68" s="62">
        <f t="shared" ref="DS68:DS131" si="76">DR68+(DJ68+DK68)*44/12</f>
        <v>371.69239187273496</v>
      </c>
      <c r="DT68" s="62">
        <f ca="1">AVERAGE(OFFSET($DS$3,0,0,'Données projet'!$E$14+1,1))-AVERAGE(OFFSET($H$3,0,0,'Données projet'!$E$14+1,1))</f>
        <v>155.18073137151848</v>
      </c>
      <c r="DU68" s="62">
        <f t="shared" ref="DU68:DU131" si="77">$DS$33-$H$33</f>
        <v>115.19459155667272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projet'!$B$14,Paramètres!$A$1:$I$88,7,0))</f>
        <v>0</v>
      </c>
      <c r="DY68" s="17">
        <f>IF(ISNA(VLOOKUP(A68,'Données projet'!$A$165:$I$185,6,0)),0%,VLOOKUP(A68,'Données projet'!$A$165:$I$185,6,0)*VLOOKUP('Données projet'!$B$14,Paramètres!$A$1:$I$88,7,0))</f>
        <v>0</v>
      </c>
      <c r="DZ68" s="17">
        <f>IF(ISNA(VLOOKUP(A68,'Données projet'!$A$165:$I$185,7,0)),0%,VLOOKUP(A68,'Données projet'!$A$165:$I$185,7,0))</f>
        <v>0</v>
      </c>
      <c r="EA68" s="23">
        <f>EXP(-LN(2)/35)*EA67+(1-EXP(-LN(2)/35))/(LN(2)/35)*DW68*DX68*VLOOKUP('Données projet'!$B$9,Paramètres!$A$1:$I$88,3,0)*0.475*44/12</f>
        <v>0</v>
      </c>
      <c r="EB68" s="23">
        <f>EXP(-LN(2)/25)*EB67+(1-EXP(-LN(2)/25))/(LN(2)/25)*Calculateur!DW68*Calculateur!DY68*VLOOKUP('Données projet'!$B$9,Paramètres!$A$1:$I$88,3,0)*0.475*44/12</f>
        <v>0</v>
      </c>
      <c r="EC68" s="23">
        <f>EXP(-LN(2)/2)*EC67+(1-EXP(-LN(2)/2))/(LN(2)/2)*DW68*DZ68*VLOOKUP('Données projet'!$B$9,Paramètres!$A$1:$I$88,3,0)*0.475*44/12</f>
        <v>0</v>
      </c>
      <c r="ED68" s="24">
        <f t="shared" ref="ED68:ED131" si="78">SUM(EA68:EC68)</f>
        <v>0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8.9333333333333336</v>
      </c>
      <c r="EJ68" s="13">
        <f>IF(A68&lt;'Données projet'!$A$192,$EG$205^A68,IF(A68='Données projet'!$A$192,'Données projet'!$B$192,EJ67+EI68-ER67))</f>
        <v>173.66666666666669</v>
      </c>
      <c r="EK68" s="18">
        <f>EJ68*VLOOKUP('Données projet'!$B$15,Paramètres!$A$1:$I$88,3,0)*VLOOKUP('Données projet'!$B$15,Paramètres!$A$1:$I$88,5,0)</f>
        <v>81.27600000000001</v>
      </c>
      <c r="EL68" s="14">
        <f t="shared" si="49"/>
        <v>22.448884850933922</v>
      </c>
      <c r="EM68" s="22">
        <f t="shared" ref="EM68:EM131" si="79">(EK68+EL68)*0.475*44/12</f>
        <v>180.65417444870991</v>
      </c>
      <c r="EN68" s="62">
        <f t="shared" ref="EN68:EN131" si="80">EM68+(EE68+EF68)*44/12</f>
        <v>429.31451441238846</v>
      </c>
      <c r="EO68" s="62">
        <f ca="1">AVERAGE(OFFSET($EN$3,0,0,'Données projet'!$E$15+1,1))-AVERAGE(OFFSET($H$3,0,0,'Données projet'!$E$15+1,1))</f>
        <v>238.59014604384171</v>
      </c>
      <c r="EP68" s="62">
        <f t="shared" ref="EP68:EP131" si="81">$EN$33-$H$33</f>
        <v>90.841373219575217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projet'!$B$15,Paramètres!$A$1:$I$88,7,0))</f>
        <v>0</v>
      </c>
      <c r="ET68" s="17">
        <f>IF(ISNA(VLOOKUP(A68,'Données projet'!$A$191:$I$211,6,0)),0%,VLOOKUP(A68,'Données projet'!$A$191:$I$211,6,0)*VLOOKUP('Données projet'!$B$15,Paramètres!$A$1:$I$88,7,0))</f>
        <v>0</v>
      </c>
      <c r="EU68" s="17">
        <f>IF(ISNA(VLOOKUP(A68,'Données projet'!$A$191:$I$211,7,0)),0%,VLOOKUP(A68,'Données projet'!$A$191:$I$211,7,0))</f>
        <v>0</v>
      </c>
      <c r="EV68" s="23">
        <f>EXP(-LN(2)/35)*EV67+(1-EXP(-LN(2)/35))/(LN(2)/35)*ER68*ES68*VLOOKUP('Données projet'!$B$9,Paramètres!$A$1:$I$88,3,0)*0.475*44/12</f>
        <v>0</v>
      </c>
      <c r="EW68" s="23">
        <f>EXP(-LN(2)/25)*EW67+(1-EXP(-LN(2)/25))/(LN(2)/25)*Calculateur!ER68*Calculateur!ET68*VLOOKUP('Données projet'!$B$9,Paramètres!$A$1:$I$88,3,0)*0.475*44/12</f>
        <v>0</v>
      </c>
      <c r="EX68" s="23">
        <f>EXP(-LN(2)/2)*EX67+(1-EXP(-LN(2)/2))/(LN(2)/2)*ER68*EU68*VLOOKUP('Données projet'!$B$9,Paramètres!$A$1:$I$88,3,0)*0.475*44/12</f>
        <v>0</v>
      </c>
      <c r="EY68" s="24">
        <f t="shared" ref="EY68:EY131" si="82">SUM(EV68:EX68)</f>
        <v>0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IF(A68&lt;'Données projet'!$A$218,$FB$205^A68,IF(A68='Données projet'!$A$218,'Données projet'!$B$218,FE67+FD68-FM67))</f>
        <v>0</v>
      </c>
      <c r="FF68" s="18" t="e">
        <f>FE68*VLOOKUP('Données projet'!$B$16,Paramètres!$A$1:$I$88,3,0)*VLOOKUP('Données projet'!$B$16,Paramètres!$A$1:$I$88,5,0)</f>
        <v>#N/A</v>
      </c>
      <c r="FG68" s="14" t="e">
        <f t="shared" si="50"/>
        <v>#N/A</v>
      </c>
      <c r="FH68" s="22" t="e">
        <f t="shared" ref="FH68:FH131" si="83">(FF68+FG68)*0.475*44/12</f>
        <v>#N/A</v>
      </c>
      <c r="FI68" s="62" t="e">
        <f t="shared" ref="FI68:FI131" si="84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ref="FK68:FK131" si="85">$FI$33-$H$33</f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projet'!$B$16,Paramètres!$A$1:$I$88,7,0))</f>
        <v>0</v>
      </c>
      <c r="FO68" s="17">
        <f>IF(ISNA(VLOOKUP(A68,'Données projet'!$A$217:$I$237,6,0)),0%,VLOOKUP(A68,'Données projet'!$A$217:$I$237,6,0)*VLOOKUP('Données projet'!$B$16,Paramètres!$A$1:$I$88,7,0))</f>
        <v>0</v>
      </c>
      <c r="FP68" s="17">
        <f>IF(ISNA(VLOOKUP(A68,'Données projet'!$A$217:$I$237,7,0)),0%,VLOOKUP(A68,'Données projet'!$A$217:$I$237,7,0))</f>
        <v>0</v>
      </c>
      <c r="FQ68" s="23">
        <f>EXP(-LN(2)/35)*FQ67+(1-EXP(-LN(2)/35))/(LN(2)/35)*FM68*FN68*VLOOKUP('Données projet'!$B$9,Paramètres!$A$1:$I$88,3,0)*0.475*44/12</f>
        <v>0</v>
      </c>
      <c r="FR68" s="23">
        <f>EXP(-LN(2)/25)*FR67+(1-EXP(-LN(2)/25))/(LN(2)/25)*Calculateur!FM68*Calculateur!FO68*VLOOKUP('Données projet'!$B$9,Paramètres!$A$1:$I$88,3,0)*0.475*44/12</f>
        <v>0</v>
      </c>
      <c r="FS68" s="23">
        <f>EXP(-LN(2)/2)*FS67+(1-EXP(-LN(2)/2))/(LN(2)/2)*FM68*FP68*VLOOKUP('Données projet'!$B$9,Paramètres!$A$1:$I$88,3,0)*0.475*44/12</f>
        <v>0</v>
      </c>
      <c r="FT68" s="24">
        <f t="shared" ref="FT68:FT131" si="86">SUM(FQ68:FS68)</f>
        <v>0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IF(A68&lt;'Données projet'!$A$244,$FW$205^A68,IF(A68='Données projet'!$A$244,'Données projet'!$B$244,FZ67+FY68-GH67))</f>
        <v>0</v>
      </c>
      <c r="GA68" s="18" t="e">
        <f>FZ68*VLOOKUP('Données projet'!$B$17,Paramètres!$A$1:$I$88,3,0)*VLOOKUP('Données projet'!$B$17,Paramètres!$A$1:$I$88,5,0)</f>
        <v>#N/A</v>
      </c>
      <c r="GB68" s="14" t="e">
        <f t="shared" si="51"/>
        <v>#N/A</v>
      </c>
      <c r="GC68" s="22" t="e">
        <f t="shared" ref="GC68:GC131" si="87">(GA68+GB68)*0.475*44/12</f>
        <v>#N/A</v>
      </c>
      <c r="GD68" s="62" t="e">
        <f t="shared" ref="GD68:GD131" si="88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ref="GF68:GF131" si="89">$GD$33-$H$33</f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projet'!$B$17,Paramètres!$A$1:$I$88,7,0))</f>
        <v>0</v>
      </c>
      <c r="GJ68" s="17">
        <f>IF(ISNA(VLOOKUP(A68,'Données projet'!$A$243:$I$263,6,0)),0%,VLOOKUP(A68,'Données projet'!$A$243:$I$263,6,0)*VLOOKUP('Données projet'!$B$17,Paramètres!$A$1:$I$88,7,0))</f>
        <v>0</v>
      </c>
      <c r="GK68" s="17">
        <f>IF(ISNA(VLOOKUP(A68,'Données projet'!$A$243:$I$263,7,0)),0%,VLOOKUP(A68,'Données projet'!$A$243:$I$263,7,0))</f>
        <v>0</v>
      </c>
      <c r="GL68" s="23">
        <f>EXP(-LN(2)/35)*GL67+(1-EXP(-LN(2)/35))/(LN(2)/35)*GH68*GI68*VLOOKUP('Données projet'!$B$9,Paramètres!$A$1:$I$88,3,0)*0.475*44/12</f>
        <v>0</v>
      </c>
      <c r="GM68" s="23">
        <f>EXP(-LN(2)/25)*GM67+(1-EXP(-LN(2)/25))/(LN(2)/25)*Calculateur!GH68*Calculateur!GJ68*VLOOKUP('Données projet'!$B$9,Paramètres!$A$1:$I$88,3,0)*0.475*44/12</f>
        <v>0</v>
      </c>
      <c r="GN68" s="23">
        <f>EXP(-LN(2)/2)*GN67+(1-EXP(-LN(2)/2))/(LN(2)/2)*GH68*GK68*VLOOKUP('Données projet'!$B$9,Paramètres!$A$1:$I$88,3,0)*0.475*44/12</f>
        <v>0</v>
      </c>
      <c r="GO68" s="23">
        <f t="shared" ref="GO68:GO131" si="90">SUM(GL68:GN68)</f>
        <v>0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IF(A68&lt;'Données projet'!$A$270,$GR$205^A68,IF(A68='Données projet'!$A$270,'Données projet'!$B$270,GU67+GT68-HC67))</f>
        <v>0</v>
      </c>
      <c r="GV68" s="18" t="e">
        <f>GU68*VLOOKUP('Données projet'!$B$18,Paramètres!$A$1:$I$88,3,0)*VLOOKUP('Données projet'!$B$18,Paramètres!$A$1:$I$88,5,0)</f>
        <v>#N/A</v>
      </c>
      <c r="GW68" s="14" t="e">
        <f t="shared" si="52"/>
        <v>#N/A</v>
      </c>
      <c r="GX68" s="22" t="e">
        <f t="shared" ref="GX68:GX131" si="91">(GV68+GW68)*0.475*44/12</f>
        <v>#N/A</v>
      </c>
      <c r="GY68" s="62" t="e">
        <f t="shared" ref="GY68:GY131" si="92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ref="HA68:HA131" si="93">$GY$33-$H$33</f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projet'!$B$18,Paramètres!$A$1:$I$88,7,0))</f>
        <v>0</v>
      </c>
      <c r="HE68" s="17">
        <f>IF(ISNA(VLOOKUP(A68,'Données projet'!$A$269:$I$289,6,0)),0%,VLOOKUP(A68,'Données projet'!$A$269:$I$289,6,0)*VLOOKUP('Données projet'!$B$18,Paramètres!$A$1:$I$88,7,0))</f>
        <v>0</v>
      </c>
      <c r="HF68" s="17">
        <f>IF(ISNA(VLOOKUP(A68,'Données projet'!$A$269:$I$289,7,0)),0%,VLOOKUP(A68,'Données projet'!$A$269:$I$289,7,0))</f>
        <v>0</v>
      </c>
      <c r="HG68" s="23">
        <f>EXP(-LN(2)/35)*HG67+(1-EXP(-LN(2)/35))/(LN(2)/35)*HC68*HD68*VLOOKUP('Données projet'!$B$9,Paramètres!$A$1:$I$88,3,0)*0.475*44/12</f>
        <v>0</v>
      </c>
      <c r="HH68" s="23">
        <f>EXP(-LN(2)/25)*HH67+(1-EXP(-LN(2)/25))/(LN(2)/25)*Calculateur!HC68*Calculateur!HE68*VLOOKUP('Données projet'!$B$9,Paramètres!$A$1:$I$88,3,0)*0.475*44/12</f>
        <v>0</v>
      </c>
      <c r="HI68" s="23">
        <f>EXP(-LN(2)/2)*HI67+(1-EXP(-LN(2)/2))/(LN(2)/2)*HC68*HF68*VLOOKUP('Données projet'!$B$9,Paramètres!$A$1:$I$88,3,0)*0.475*44/12</f>
        <v>0</v>
      </c>
      <c r="HJ68" s="24">
        <f t="shared" ref="HJ68:HJ131" si="94">SUM(HG68:HI68)</f>
        <v>0</v>
      </c>
    </row>
    <row r="69" spans="1:218" s="5" customFormat="1" x14ac:dyDescent="0.25">
      <c r="A69" s="11">
        <f t="shared" ref="A69:A132" si="95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69" s="12">
        <f t="shared" ref="D69:D132" si="9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57"/>
        <v>135.66666666666666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1.6750000000000014</v>
      </c>
      <c r="N69" s="14">
        <f>IF(A69&lt;'Données projet'!$A$36,$K$205^A69,IF(A69='Données projet'!$A$36,'Données projet'!$B$36,N68+M69-V68))</f>
        <v>86.162499999999952</v>
      </c>
      <c r="O69" s="14">
        <f>N69*VLOOKUP('Données projet'!$B$9,Paramètres!$A$1:$I$88,3,0)*VLOOKUP('Données projet'!$B$9,Paramètres!$A$1:$I$88,5,0)</f>
        <v>99.259199999999936</v>
      </c>
      <c r="P69" s="14">
        <f t="shared" ref="P69:P132" si="97">EXP(-1.0587+0.8836*LN(O69)+0.284)</f>
        <v>26.785435862245482</v>
      </c>
      <c r="Q69" s="22">
        <f t="shared" si="54"/>
        <v>219.52774079341077</v>
      </c>
      <c r="R69" s="62">
        <f t="shared" si="55"/>
        <v>468.96305731820189</v>
      </c>
      <c r="S69" s="62">
        <f ca="1">AVERAGE(OFFSET($R$3,0,0,'Données projet'!$E$9+1,1))-AVERAGE(OFFSET($H$3,0,0,'Données projet'!$E$9+1,1))</f>
        <v>314.72063458462026</v>
      </c>
      <c r="T69" s="62">
        <f t="shared" si="56"/>
        <v>216.4380325968244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projet'!$B$9,Paramètres!$A$1:$I$88,7,0))</f>
        <v>0</v>
      </c>
      <c r="X69" s="17">
        <f>IF(ISNA(VLOOKUP(A69,'Données projet'!$A$35:$I$55,6,0)),0%,VLOOKUP(A69,'Données projet'!$A$35:$I$55,6,0)*VLOOKUP('Données projet'!$B$9,Paramètres!$A$1:$I$88,7,0))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projet'!$B$9,Paramètres!$A$1:$I$88,3,0)*0.475*44/12</f>
        <v>0</v>
      </c>
      <c r="AA69" s="23">
        <f>EXP(-LN(2)/25)*AA68+(1-EXP(-LN(2)/25))/(LN(2)/25)*Calculateur!V69*Calculateur!X69*VLOOKUP('Données projet'!$B$9,Paramètres!$A$1:$I$88,3,0)*0.475*44/12</f>
        <v>0</v>
      </c>
      <c r="AB69" s="23">
        <f>EXP(-LN(2)/2)*AB68+(1-EXP(-LN(2)/2))/(LN(2)/2)*V69*Y69*VLOOKUP('Données projet'!$B$9,Paramètres!$A$1:$I$88,3,0)*0.475*44/12</f>
        <v>0</v>
      </c>
      <c r="AC69" s="24">
        <f t="shared" si="58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4.2</v>
      </c>
      <c r="AI69" s="14">
        <f>IF(A69&lt;'Données projet'!$A$62,$AF$205^A69,IF(A69='Données projet'!$A$62,'Données projet'!$B$62,AI68+AH69-AQ68))</f>
        <v>187.20000000000002</v>
      </c>
      <c r="AJ69" s="14">
        <f>AI69*VLOOKUP('Données projet'!$B$10,Paramètres!$A$1:$I$88,3,0)*VLOOKUP('Données projet'!$B$10,Paramètres!$A$1:$I$88,5,0)</f>
        <v>195.66144000000003</v>
      </c>
      <c r="AK69" s="14">
        <f t="shared" ref="AK69:AK132" si="98">EXP(-1.0587+0.8836*LN(AJ69)+0.284)</f>
        <v>48.789469927948517</v>
      </c>
      <c r="AL69" s="22">
        <f t="shared" si="59"/>
        <v>425.75200145784373</v>
      </c>
      <c r="AM69" s="62">
        <f t="shared" si="60"/>
        <v>675.1873179826348</v>
      </c>
      <c r="AN69" s="62">
        <f ca="1">AVERAGE(OFFSET($AM$3,0,0,'Données projet'!$E$10+1,1))-AVERAGE(OFFSET($H$3,0,0,'Données projet'!$E$10+1,1))</f>
        <v>458.33072853676879</v>
      </c>
      <c r="AO69" s="62">
        <f t="shared" si="61"/>
        <v>254.1734169352687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projet'!$B$10,Paramètres!$A$1:$I$88,7,0))</f>
        <v>0</v>
      </c>
      <c r="AS69" s="17">
        <f>IF(ISNA(VLOOKUP(A69,'Données projet'!$A$61:$I$81,6,0)),0%,VLOOKUP(A69,'Données projet'!$A$61:$I$81,6,0)*VLOOKUP('Données projet'!$B$10,Paramètres!$A$1:$I$88,7,0))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projet'!$B$9,Paramètres!$A$1:$I$88,3,0)*0.475*44/12</f>
        <v>0</v>
      </c>
      <c r="AV69" s="23">
        <f>EXP(-LN(2)/25)*AV68+(1-EXP(-LN(2)/25))/(LN(2)/25)*Calculateur!AQ69*Calculateur!AS69*VLOOKUP('Données projet'!$B$9,Paramètres!$A$1:$I$88,3,0)*0.475*44/12</f>
        <v>0</v>
      </c>
      <c r="AW69" s="23">
        <f>EXP(-LN(2)/2)*AW68+(1-EXP(-LN(2)/2))/(LN(2)/2)*AQ69*AT69*VLOOKUP('Données projet'!$B$9,Paramètres!$A$1:$I$88,3,0)*0.475*44/12</f>
        <v>0</v>
      </c>
      <c r="AX69" s="23">
        <f t="shared" si="62"/>
        <v>0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4.2</v>
      </c>
      <c r="BD69" s="13">
        <f>IF(A69&lt;'Données projet'!$A$88,$BA$205^A69,IF(A69='Données projet'!$A$88,'Données projet'!$B$88,BD68+BC69-BL68))</f>
        <v>187.20000000000002</v>
      </c>
      <c r="BE69" s="14">
        <f>BD69*VLOOKUP('Données projet'!$B$11,Paramètres!$A$1:$I$88,3,0)*VLOOKUP('Données projet'!$B$11,Paramètres!$A$1:$I$88,5,0)</f>
        <v>189.82080000000005</v>
      </c>
      <c r="BF69" s="14">
        <f t="shared" ref="BF69:BF132" si="99">EXP(-1.0587+0.8836*LN(BE69)+0.284)</f>
        <v>47.500332100049796</v>
      </c>
      <c r="BG69" s="22">
        <f t="shared" si="63"/>
        <v>413.33430507425345</v>
      </c>
      <c r="BH69" s="62">
        <f t="shared" si="64"/>
        <v>662.76962159904451</v>
      </c>
      <c r="BI69" s="62">
        <f ca="1">AVERAGE(OFFSET($BH$3,0,0,'Données projet'!$E$11+1,1))-AVERAGE(OFFSET($H$3,0,0,'Données projet'!$E$11+1,1))</f>
        <v>447.82618173893104</v>
      </c>
      <c r="BJ69" s="62">
        <f t="shared" si="65"/>
        <v>248.96509970783379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projet'!$B$11,Paramètres!$A$1:$I$88,7,0))</f>
        <v>0</v>
      </c>
      <c r="BN69" s="17">
        <f>IF(ISNA(VLOOKUP(A69,'Données projet'!$A$87:$I$107,6,0)),0%,VLOOKUP(A69,'Données projet'!$A$87:$I$107,6,0)*VLOOKUP('Données projet'!$B$11,Paramètres!$A$1:$I$88,7,0))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projet'!$B$9,Paramètres!$A$1:$I$88,3,0)*0.475*44/12</f>
        <v>0</v>
      </c>
      <c r="BQ69" s="23">
        <f>EXP(-LN(2)/25)*BQ68+(1-EXP(-LN(2)/25))/(LN(2)/25)*Calculateur!BL69*Calculateur!BN69*VLOOKUP('Données projet'!$B$9,Paramètres!$A$1:$I$88,3,0)*0.475*44/12</f>
        <v>0</v>
      </c>
      <c r="BR69" s="23">
        <f>EXP(-LN(2)/2)*BR68+(1-EXP(-LN(2)/2))/(LN(2)/2)*BL69*BO69*VLOOKUP('Données projet'!$B$9,Paramètres!$A$1:$I$88,3,0)*0.475*44/12</f>
        <v>0</v>
      </c>
      <c r="BS69" s="24">
        <f t="shared" si="66"/>
        <v>0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4.2</v>
      </c>
      <c r="BY69" s="13">
        <f>IF(A69&lt;'Données projet'!$A$114,$BV$205^A69,IF(A69='Données projet'!$A$114,'Données projet'!$B$114,BY68+BX69-CG68))</f>
        <v>187.20000000000002</v>
      </c>
      <c r="BZ69" s="14">
        <f>BY69*VLOOKUP('Données projet'!$B$12,Paramètres!$A$1:$I$88,3,0)*VLOOKUP('Données projet'!$B$12,Paramètres!$A$1:$I$88,5,0)</f>
        <v>201.50208000000001</v>
      </c>
      <c r="CA69" s="14">
        <f t="shared" ref="CA69:CA132" si="100">EXP(-1.0587+0.8836*LN(BZ69)+0.284)</f>
        <v>50.074135554054642</v>
      </c>
      <c r="CB69" s="22">
        <f t="shared" si="67"/>
        <v>438.16190875664512</v>
      </c>
      <c r="CC69" s="62">
        <f t="shared" si="68"/>
        <v>687.59722528143629</v>
      </c>
      <c r="CD69" s="62">
        <f ca="1">AVERAGE(OFFSET($CC$3,0,0,'Données projet'!$E$12+1,1))-AVERAGE(OFFSET($H$3,0,0,'Données projet'!$E$12+1,1))</f>
        <v>468.82871618425406</v>
      </c>
      <c r="CE69" s="62">
        <f t="shared" si="69"/>
        <v>259.37818128554397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projet'!$B$12,Paramètres!$A$1:$I$88,7,0))</f>
        <v>0</v>
      </c>
      <c r="CI69" s="17">
        <f>IF(ISNA(VLOOKUP(A69,'Données projet'!$A$113:$I$133,6,0)),0%,VLOOKUP(A69,'Données projet'!$A$113:$I$133,6,0)*VLOOKUP('Données projet'!$B$12,Paramètres!$A$1:$I$88,7,0))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projet'!$B$9,Paramètres!$A$1:$I$88,3,0)*0.475*44/12</f>
        <v>0</v>
      </c>
      <c r="CL69" s="23">
        <f>EXP(-LN(2)/25)*CL68+(1-EXP(-LN(2)/25))/(LN(2)/25)*Calculateur!CG69*Calculateur!CI69*VLOOKUP('Données projet'!$B$9,Paramètres!$A$1:$I$88,3,0)*0.475*44/12</f>
        <v>0</v>
      </c>
      <c r="CM69" s="23">
        <f>EXP(-LN(2)/2)*CM68+(1-EXP(-LN(2)/2))/(LN(2)/2)*CG69*CJ69*VLOOKUP('Données projet'!$B$9,Paramètres!$A$1:$I$88,3,0)*0.475*44/12</f>
        <v>0</v>
      </c>
      <c r="CN69" s="24">
        <f t="shared" si="70"/>
        <v>0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4.2</v>
      </c>
      <c r="CT69" s="13">
        <f>IF(A69&lt;'Données projet'!$A$140,$CQ$205^A69,IF(A69='Données projet'!$A$140,'Données projet'!$B$140,CT68+CS69-DB68))</f>
        <v>187.20000000000002</v>
      </c>
      <c r="CU69" s="18">
        <f>CT69*VLOOKUP('Données projet'!$B$13,Paramètres!$A$1:$I$88,3,0)*VLOOKUP('Données projet'!$B$13,Paramètres!$A$1:$I$88,5,0)</f>
        <v>160.61760000000004</v>
      </c>
      <c r="CV69" s="14">
        <f t="shared" ref="CV69:CV132" si="101">EXP(-1.0587+0.8836*LN(CU69)+0.284)</f>
        <v>40.981785561145109</v>
      </c>
      <c r="CW69" s="22">
        <f t="shared" si="71"/>
        <v>351.11892985232777</v>
      </c>
      <c r="CX69" s="62">
        <f t="shared" si="72"/>
        <v>600.55424637711894</v>
      </c>
      <c r="CY69" s="62">
        <f ca="1">AVERAGE(OFFSET($CX$3,0,0,'Données projet'!$E$13+1,1))-AVERAGE(OFFSET($H$3,0,0,'Données projet'!$E$13+1,1))</f>
        <v>395.19659151668884</v>
      </c>
      <c r="CZ69" s="62">
        <f t="shared" si="73"/>
        <v>222.86563304507339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projet'!$B$13,Paramètres!$A$1:$I$88,7,0))</f>
        <v>0</v>
      </c>
      <c r="DD69" s="17">
        <f>IF(ISNA(VLOOKUP(A69,'Données projet'!$A$139:$I$159,6,0)),0%,VLOOKUP(A69,'Données projet'!$A$139:$I$159,6,0)*VLOOKUP('Données projet'!$B$13,Paramètres!$A$1:$I$88,7,0))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projet'!$B$9,Paramètres!$A$1:$I$88,3,0)*0.475*44/12</f>
        <v>0</v>
      </c>
      <c r="DG69" s="23">
        <f>EXP(-LN(2)/25)*DG68+(1-EXP(-LN(2)/25))/(LN(2)/25)*Calculateur!DB69*Calculateur!DD69*VLOOKUP('Données projet'!$B$9,Paramètres!$A$1:$I$88,3,0)*0.475*44/12</f>
        <v>0</v>
      </c>
      <c r="DH69" s="23">
        <f>EXP(-LN(2)/2)*DH68+(1-EXP(-LN(2)/2))/(LN(2)/2)*DB69*DE69*VLOOKUP('Données projet'!$B$9,Paramètres!$A$1:$I$88,3,0)*0.475*44/12</f>
        <v>0</v>
      </c>
      <c r="DI69" s="24">
        <f t="shared" si="74"/>
        <v>0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4.666666666666667</v>
      </c>
      <c r="DO69" s="13">
        <f>IF(A69&lt;'Données projet'!$A$166,$DL$205^A69,IF(A69='Données projet'!$A$166,'Données projet'!$B$166,DO68+DN69-DW68))</f>
        <v>98.333333333333314</v>
      </c>
      <c r="DP69" s="18">
        <f>DO69*VLOOKUP('Données projet'!$B$14,Paramètres!$A$1:$I$88,3,0)*VLOOKUP('Données projet'!$B$14,Paramètres!$A$1:$I$88,5,0)</f>
        <v>57.524999999999991</v>
      </c>
      <c r="DQ69" s="14">
        <f t="shared" ref="DQ69:DQ132" si="102">EXP(-1.0587+0.8836*LN(DP69)+0.284)</f>
        <v>16.540985494212507</v>
      </c>
      <c r="DR69" s="22">
        <f t="shared" si="75"/>
        <v>128.99825806908675</v>
      </c>
      <c r="DS69" s="62">
        <f t="shared" si="76"/>
        <v>378.43357459387789</v>
      </c>
      <c r="DT69" s="62">
        <f ca="1">AVERAGE(OFFSET($DS$3,0,0,'Données projet'!$E$14+1,1))-AVERAGE(OFFSET($H$3,0,0,'Données projet'!$E$14+1,1))</f>
        <v>155.18073137151848</v>
      </c>
      <c r="DU69" s="62">
        <f t="shared" si="77"/>
        <v>115.19459155667272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projet'!$B$14,Paramètres!$A$1:$I$88,7,0))</f>
        <v>0</v>
      </c>
      <c r="DY69" s="17">
        <f>IF(ISNA(VLOOKUP(A69,'Données projet'!$A$165:$I$185,6,0)),0%,VLOOKUP(A69,'Données projet'!$A$165:$I$185,6,0)*VLOOKUP('Données projet'!$B$14,Paramètres!$A$1:$I$88,7,0))</f>
        <v>0</v>
      </c>
      <c r="DZ69" s="17">
        <f>IF(ISNA(VLOOKUP(A69,'Données projet'!$A$165:$I$185,7,0)),0%,VLOOKUP(A69,'Données projet'!$A$165:$I$185,7,0))</f>
        <v>0</v>
      </c>
      <c r="EA69" s="23">
        <f>EXP(-LN(2)/35)*EA68+(1-EXP(-LN(2)/35))/(LN(2)/35)*DW69*DX69*VLOOKUP('Données projet'!$B$9,Paramètres!$A$1:$I$88,3,0)*0.475*44/12</f>
        <v>0</v>
      </c>
      <c r="EB69" s="23">
        <f>EXP(-LN(2)/25)*EB68+(1-EXP(-LN(2)/25))/(LN(2)/25)*Calculateur!DW69*Calculateur!DY69*VLOOKUP('Données projet'!$B$9,Paramètres!$A$1:$I$88,3,0)*0.475*44/12</f>
        <v>0</v>
      </c>
      <c r="EC69" s="23">
        <f>EXP(-LN(2)/2)*EC68+(1-EXP(-LN(2)/2))/(LN(2)/2)*DW69*DZ69*VLOOKUP('Données projet'!$B$9,Paramètres!$A$1:$I$88,3,0)*0.475*44/12</f>
        <v>0</v>
      </c>
      <c r="ED69" s="24">
        <f t="shared" si="78"/>
        <v>0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8.9333333333333336</v>
      </c>
      <c r="EJ69" s="13">
        <f>IF(A69&lt;'Données projet'!$A$192,$EG$205^A69,IF(A69='Données projet'!$A$192,'Données projet'!$B$192,EJ68+EI69-ER68))</f>
        <v>182.60000000000002</v>
      </c>
      <c r="EK69" s="18">
        <f>EJ69*VLOOKUP('Données projet'!$B$15,Paramètres!$A$1:$I$88,3,0)*VLOOKUP('Données projet'!$B$15,Paramètres!$A$1:$I$88,5,0)</f>
        <v>85.456800000000015</v>
      </c>
      <c r="EL69" s="14">
        <f t="shared" ref="EL69:EL132" si="103">EXP(-1.0587+0.8836*LN(EK69)+0.284)</f>
        <v>23.466233286749581</v>
      </c>
      <c r="EM69" s="22">
        <f t="shared" si="79"/>
        <v>189.70761630775556</v>
      </c>
      <c r="EN69" s="62">
        <f t="shared" si="80"/>
        <v>439.14293283254665</v>
      </c>
      <c r="EO69" s="62">
        <f ca="1">AVERAGE(OFFSET($EN$3,0,0,'Données projet'!$E$15+1,1))-AVERAGE(OFFSET($H$3,0,0,'Données projet'!$E$15+1,1))</f>
        <v>238.59014604384171</v>
      </c>
      <c r="EP69" s="62">
        <f t="shared" si="81"/>
        <v>90.841373219575217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projet'!$B$15,Paramètres!$A$1:$I$88,7,0))</f>
        <v>0</v>
      </c>
      <c r="ET69" s="17">
        <f>IF(ISNA(VLOOKUP(A69,'Données projet'!$A$191:$I$211,6,0)),0%,VLOOKUP(A69,'Données projet'!$A$191:$I$211,6,0)*VLOOKUP('Données projet'!$B$15,Paramètres!$A$1:$I$88,7,0))</f>
        <v>0</v>
      </c>
      <c r="EU69" s="17">
        <f>IF(ISNA(VLOOKUP(A69,'Données projet'!$A$191:$I$211,7,0)),0%,VLOOKUP(A69,'Données projet'!$A$191:$I$211,7,0))</f>
        <v>0</v>
      </c>
      <c r="EV69" s="23">
        <f>EXP(-LN(2)/35)*EV68+(1-EXP(-LN(2)/35))/(LN(2)/35)*ER69*ES69*VLOOKUP('Données projet'!$B$9,Paramètres!$A$1:$I$88,3,0)*0.475*44/12</f>
        <v>0</v>
      </c>
      <c r="EW69" s="23">
        <f>EXP(-LN(2)/25)*EW68+(1-EXP(-LN(2)/25))/(LN(2)/25)*Calculateur!ER69*Calculateur!ET69*VLOOKUP('Données projet'!$B$9,Paramètres!$A$1:$I$88,3,0)*0.475*44/12</f>
        <v>0</v>
      </c>
      <c r="EX69" s="23">
        <f>EXP(-LN(2)/2)*EX68+(1-EXP(-LN(2)/2))/(LN(2)/2)*ER69*EU69*VLOOKUP('Données projet'!$B$9,Paramètres!$A$1:$I$88,3,0)*0.475*44/12</f>
        <v>0</v>
      </c>
      <c r="EY69" s="24">
        <f t="shared" si="82"/>
        <v>0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IF(A69&lt;'Données projet'!$A$218,$FB$205^A69,IF(A69='Données projet'!$A$218,'Données projet'!$B$218,FE68+FD69-FM68))</f>
        <v>0</v>
      </c>
      <c r="FF69" s="18" t="e">
        <f>FE69*VLOOKUP('Données projet'!$B$16,Paramètres!$A$1:$I$88,3,0)*VLOOKUP('Données projet'!$B$16,Paramètres!$A$1:$I$88,5,0)</f>
        <v>#N/A</v>
      </c>
      <c r="FG69" s="14" t="e">
        <f t="shared" ref="FG69:FG132" si="104">EXP(-1.0587+0.8836*LN(FF69)+0.284)</f>
        <v>#N/A</v>
      </c>
      <c r="FH69" s="22" t="e">
        <f t="shared" si="83"/>
        <v>#N/A</v>
      </c>
      <c r="FI69" s="62" t="e">
        <f t="shared" si="84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si="85"/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projet'!$B$16,Paramètres!$A$1:$I$88,7,0))</f>
        <v>0</v>
      </c>
      <c r="FO69" s="17">
        <f>IF(ISNA(VLOOKUP(A69,'Données projet'!$A$217:$I$237,6,0)),0%,VLOOKUP(A69,'Données projet'!$A$217:$I$237,6,0)*VLOOKUP('Données projet'!$B$16,Paramètres!$A$1:$I$88,7,0))</f>
        <v>0</v>
      </c>
      <c r="FP69" s="17">
        <f>IF(ISNA(VLOOKUP(A69,'Données projet'!$A$217:$I$237,7,0)),0%,VLOOKUP(A69,'Données projet'!$A$217:$I$237,7,0))</f>
        <v>0</v>
      </c>
      <c r="FQ69" s="23">
        <f>EXP(-LN(2)/35)*FQ68+(1-EXP(-LN(2)/35))/(LN(2)/35)*FM69*FN69*VLOOKUP('Données projet'!$B$9,Paramètres!$A$1:$I$88,3,0)*0.475*44/12</f>
        <v>0</v>
      </c>
      <c r="FR69" s="23">
        <f>EXP(-LN(2)/25)*FR68+(1-EXP(-LN(2)/25))/(LN(2)/25)*Calculateur!FM69*Calculateur!FO69*VLOOKUP('Données projet'!$B$9,Paramètres!$A$1:$I$88,3,0)*0.475*44/12</f>
        <v>0</v>
      </c>
      <c r="FS69" s="23">
        <f>EXP(-LN(2)/2)*FS68+(1-EXP(-LN(2)/2))/(LN(2)/2)*FM69*FP69*VLOOKUP('Données projet'!$B$9,Paramètres!$A$1:$I$88,3,0)*0.475*44/12</f>
        <v>0</v>
      </c>
      <c r="FT69" s="24">
        <f t="shared" si="86"/>
        <v>0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IF(A69&lt;'Données projet'!$A$244,$FW$205^A69,IF(A69='Données projet'!$A$244,'Données projet'!$B$244,FZ68+FY69-GH68))</f>
        <v>0</v>
      </c>
      <c r="GA69" s="18" t="e">
        <f>FZ69*VLOOKUP('Données projet'!$B$17,Paramètres!$A$1:$I$88,3,0)*VLOOKUP('Données projet'!$B$17,Paramètres!$A$1:$I$88,5,0)</f>
        <v>#N/A</v>
      </c>
      <c r="GB69" s="14" t="e">
        <f t="shared" ref="GB69:GB132" si="105">EXP(-1.0587+0.8836*LN(GA69)+0.284)</f>
        <v>#N/A</v>
      </c>
      <c r="GC69" s="22" t="e">
        <f t="shared" si="87"/>
        <v>#N/A</v>
      </c>
      <c r="GD69" s="62" t="e">
        <f t="shared" si="88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si="89"/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projet'!$B$17,Paramètres!$A$1:$I$88,7,0))</f>
        <v>0</v>
      </c>
      <c r="GJ69" s="17">
        <f>IF(ISNA(VLOOKUP(A69,'Données projet'!$A$243:$I$263,6,0)),0%,VLOOKUP(A69,'Données projet'!$A$243:$I$263,6,0)*VLOOKUP('Données projet'!$B$17,Paramètres!$A$1:$I$88,7,0))</f>
        <v>0</v>
      </c>
      <c r="GK69" s="17">
        <f>IF(ISNA(VLOOKUP(A69,'Données projet'!$A$243:$I$263,7,0)),0%,VLOOKUP(A69,'Données projet'!$A$243:$I$263,7,0))</f>
        <v>0</v>
      </c>
      <c r="GL69" s="23">
        <f>EXP(-LN(2)/35)*GL68+(1-EXP(-LN(2)/35))/(LN(2)/35)*GH69*GI69*VLOOKUP('Données projet'!$B$9,Paramètres!$A$1:$I$88,3,0)*0.475*44/12</f>
        <v>0</v>
      </c>
      <c r="GM69" s="23">
        <f>EXP(-LN(2)/25)*GM68+(1-EXP(-LN(2)/25))/(LN(2)/25)*Calculateur!GH69*Calculateur!GJ69*VLOOKUP('Données projet'!$B$9,Paramètres!$A$1:$I$88,3,0)*0.475*44/12</f>
        <v>0</v>
      </c>
      <c r="GN69" s="23">
        <f>EXP(-LN(2)/2)*GN68+(1-EXP(-LN(2)/2))/(LN(2)/2)*GH69*GK69*VLOOKUP('Données projet'!$B$9,Paramètres!$A$1:$I$88,3,0)*0.475*44/12</f>
        <v>0</v>
      </c>
      <c r="GO69" s="23">
        <f t="shared" si="90"/>
        <v>0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IF(A69&lt;'Données projet'!$A$270,$GR$205^A69,IF(A69='Données projet'!$A$270,'Données projet'!$B$270,GU68+GT69-HC68))</f>
        <v>0</v>
      </c>
      <c r="GV69" s="18" t="e">
        <f>GU69*VLOOKUP('Données projet'!$B$18,Paramètres!$A$1:$I$88,3,0)*VLOOKUP('Données projet'!$B$18,Paramètres!$A$1:$I$88,5,0)</f>
        <v>#N/A</v>
      </c>
      <c r="GW69" s="14" t="e">
        <f t="shared" ref="GW69:GW132" si="106">EXP(-1.0587+0.8836*LN(GV69)+0.284)</f>
        <v>#N/A</v>
      </c>
      <c r="GX69" s="22" t="e">
        <f t="shared" si="91"/>
        <v>#N/A</v>
      </c>
      <c r="GY69" s="62" t="e">
        <f t="shared" si="92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si="93"/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projet'!$B$18,Paramètres!$A$1:$I$88,7,0))</f>
        <v>0</v>
      </c>
      <c r="HE69" s="17">
        <f>IF(ISNA(VLOOKUP(A69,'Données projet'!$A$269:$I$289,6,0)),0%,VLOOKUP(A69,'Données projet'!$A$269:$I$289,6,0)*VLOOKUP('Données projet'!$B$18,Paramètres!$A$1:$I$88,7,0))</f>
        <v>0</v>
      </c>
      <c r="HF69" s="17">
        <f>IF(ISNA(VLOOKUP(A69,'Données projet'!$A$269:$I$289,7,0)),0%,VLOOKUP(A69,'Données projet'!$A$269:$I$289,7,0))</f>
        <v>0</v>
      </c>
      <c r="HG69" s="23">
        <f>EXP(-LN(2)/35)*HG68+(1-EXP(-LN(2)/35))/(LN(2)/35)*HC69*HD69*VLOOKUP('Données projet'!$B$9,Paramètres!$A$1:$I$88,3,0)*0.475*44/12</f>
        <v>0</v>
      </c>
      <c r="HH69" s="23">
        <f>EXP(-LN(2)/25)*HH68+(1-EXP(-LN(2)/25))/(LN(2)/25)*Calculateur!HC69*Calculateur!HE69*VLOOKUP('Données projet'!$B$9,Paramètres!$A$1:$I$88,3,0)*0.475*44/12</f>
        <v>0</v>
      </c>
      <c r="HI69" s="23">
        <f>EXP(-LN(2)/2)*HI68+(1-EXP(-LN(2)/2))/(LN(2)/2)*HC69*HF69*VLOOKUP('Données projet'!$B$9,Paramètres!$A$1:$I$88,3,0)*0.475*44/12</f>
        <v>0</v>
      </c>
      <c r="HJ69" s="24">
        <f t="shared" si="94"/>
        <v>0</v>
      </c>
    </row>
    <row r="70" spans="1:218" s="5" customFormat="1" x14ac:dyDescent="0.25">
      <c r="A70" s="11">
        <f t="shared" si="95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0" s="12">
        <f t="shared" si="9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57"/>
        <v>135.66666666666666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1.6750000000000014</v>
      </c>
      <c r="N70" s="14">
        <f>IF(A70&lt;'Données projet'!$A$36,$K$205^A70,IF(A70='Données projet'!$A$36,'Données projet'!$B$36,N69+M70-V69))</f>
        <v>87.837499999999949</v>
      </c>
      <c r="O70" s="14">
        <f>N70*VLOOKUP('Données projet'!$B$9,Paramètres!$A$1:$I$88,3,0)*VLOOKUP('Données projet'!$B$9,Paramètres!$A$1:$I$88,5,0)</f>
        <v>101.18879999999993</v>
      </c>
      <c r="P70" s="14">
        <f t="shared" si="97"/>
        <v>27.245017665270392</v>
      </c>
      <c r="Q70" s="22">
        <f t="shared" si="54"/>
        <v>223.68889910034579</v>
      </c>
      <c r="R70" s="62">
        <f t="shared" si="55"/>
        <v>473.88574807550219</v>
      </c>
      <c r="S70" s="62">
        <f ca="1">AVERAGE(OFFSET($R$3,0,0,'Données projet'!$E$9+1,1))-AVERAGE(OFFSET($H$3,0,0,'Données projet'!$E$9+1,1))</f>
        <v>314.72063458462026</v>
      </c>
      <c r="T70" s="62">
        <f t="shared" si="56"/>
        <v>216.4380325968244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projet'!$B$9,Paramètres!$A$1:$I$88,7,0))</f>
        <v>0</v>
      </c>
      <c r="X70" s="17">
        <f>IF(ISNA(VLOOKUP(A70,'Données projet'!$A$35:$I$55,6,0)),0%,VLOOKUP(A70,'Données projet'!$A$35:$I$55,6,0)*VLOOKUP('Données projet'!$B$9,Paramètres!$A$1:$I$88,7,0))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projet'!$B$9,Paramètres!$A$1:$I$88,3,0)*0.475*44/12</f>
        <v>0</v>
      </c>
      <c r="AA70" s="23">
        <f>EXP(-LN(2)/25)*AA69+(1-EXP(-LN(2)/25))/(LN(2)/25)*Calculateur!V70*Calculateur!X70*VLOOKUP('Données projet'!$B$9,Paramètres!$A$1:$I$88,3,0)*0.475*44/12</f>
        <v>0</v>
      </c>
      <c r="AB70" s="23">
        <f>EXP(-LN(2)/2)*AB69+(1-EXP(-LN(2)/2))/(LN(2)/2)*V70*Y70*VLOOKUP('Données projet'!$B$9,Paramètres!$A$1:$I$88,3,0)*0.475*44/12</f>
        <v>0</v>
      </c>
      <c r="AC70" s="24">
        <f t="shared" si="58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4.2</v>
      </c>
      <c r="AI70" s="14">
        <f>IF(A70&lt;'Données projet'!$A$62,$AF$205^A70,IF(A70='Données projet'!$A$62,'Données projet'!$B$62,AI69+AH70-AQ69))</f>
        <v>191.4</v>
      </c>
      <c r="AJ70" s="14">
        <f>AI70*VLOOKUP('Données projet'!$B$10,Paramètres!$A$1:$I$88,3,0)*VLOOKUP('Données projet'!$B$10,Paramètres!$A$1:$I$88,5,0)</f>
        <v>200.05128000000002</v>
      </c>
      <c r="AK70" s="14">
        <f t="shared" si="98"/>
        <v>49.755437349134766</v>
      </c>
      <c r="AL70" s="22">
        <f t="shared" si="59"/>
        <v>435.08003271640973</v>
      </c>
      <c r="AM70" s="62">
        <f t="shared" si="60"/>
        <v>685.27688169156613</v>
      </c>
      <c r="AN70" s="62">
        <f ca="1">AVERAGE(OFFSET($AM$3,0,0,'Données projet'!$E$10+1,1))-AVERAGE(OFFSET($H$3,0,0,'Données projet'!$E$10+1,1))</f>
        <v>458.33072853676879</v>
      </c>
      <c r="AO70" s="62">
        <f t="shared" si="61"/>
        <v>254.1734169352687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projet'!$B$10,Paramètres!$A$1:$I$88,7,0))</f>
        <v>0</v>
      </c>
      <c r="AS70" s="17">
        <f>IF(ISNA(VLOOKUP(A70,'Données projet'!$A$61:$I$81,6,0)),0%,VLOOKUP(A70,'Données projet'!$A$61:$I$81,6,0)*VLOOKUP('Données projet'!$B$10,Paramètres!$A$1:$I$88,7,0))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projet'!$B$9,Paramètres!$A$1:$I$88,3,0)*0.475*44/12</f>
        <v>0</v>
      </c>
      <c r="AV70" s="23">
        <f>EXP(-LN(2)/25)*AV69+(1-EXP(-LN(2)/25))/(LN(2)/25)*Calculateur!AQ70*Calculateur!AS70*VLOOKUP('Données projet'!$B$9,Paramètres!$A$1:$I$88,3,0)*0.475*44/12</f>
        <v>0</v>
      </c>
      <c r="AW70" s="23">
        <f>EXP(-LN(2)/2)*AW69+(1-EXP(-LN(2)/2))/(LN(2)/2)*AQ70*AT70*VLOOKUP('Données projet'!$B$9,Paramètres!$A$1:$I$88,3,0)*0.475*44/12</f>
        <v>0</v>
      </c>
      <c r="AX70" s="23">
        <f t="shared" si="62"/>
        <v>0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4.2</v>
      </c>
      <c r="BD70" s="13">
        <f>IF(A70&lt;'Données projet'!$A$88,$BA$205^A70,IF(A70='Données projet'!$A$88,'Données projet'!$B$88,BD69+BC70-BL69))</f>
        <v>191.4</v>
      </c>
      <c r="BE70" s="14">
        <f>BD70*VLOOKUP('Données projet'!$B$11,Paramètres!$A$1:$I$88,3,0)*VLOOKUP('Données projet'!$B$11,Paramètres!$A$1:$I$88,5,0)</f>
        <v>194.07960000000003</v>
      </c>
      <c r="BF70" s="14">
        <f t="shared" si="99"/>
        <v>48.440776285484404</v>
      </c>
      <c r="BG70" s="22">
        <f t="shared" si="63"/>
        <v>422.38965536388537</v>
      </c>
      <c r="BH70" s="62">
        <f t="shared" si="64"/>
        <v>672.58650433904177</v>
      </c>
      <c r="BI70" s="62">
        <f ca="1">AVERAGE(OFFSET($BH$3,0,0,'Données projet'!$E$11+1,1))-AVERAGE(OFFSET($H$3,0,0,'Données projet'!$E$11+1,1))</f>
        <v>447.82618173893104</v>
      </c>
      <c r="BJ70" s="62">
        <f t="shared" si="65"/>
        <v>248.96509970783379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projet'!$B$11,Paramètres!$A$1:$I$88,7,0))</f>
        <v>0</v>
      </c>
      <c r="BN70" s="17">
        <f>IF(ISNA(VLOOKUP(A70,'Données projet'!$A$87:$I$107,6,0)),0%,VLOOKUP(A70,'Données projet'!$A$87:$I$107,6,0)*VLOOKUP('Données projet'!$B$11,Paramètres!$A$1:$I$88,7,0))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projet'!$B$9,Paramètres!$A$1:$I$88,3,0)*0.475*44/12</f>
        <v>0</v>
      </c>
      <c r="BQ70" s="23">
        <f>EXP(-LN(2)/25)*BQ69+(1-EXP(-LN(2)/25))/(LN(2)/25)*Calculateur!BL70*Calculateur!BN70*VLOOKUP('Données projet'!$B$9,Paramètres!$A$1:$I$88,3,0)*0.475*44/12</f>
        <v>0</v>
      </c>
      <c r="BR70" s="23">
        <f>EXP(-LN(2)/2)*BR69+(1-EXP(-LN(2)/2))/(LN(2)/2)*BL70*BO70*VLOOKUP('Données projet'!$B$9,Paramètres!$A$1:$I$88,3,0)*0.475*44/12</f>
        <v>0</v>
      </c>
      <c r="BS70" s="24">
        <f t="shared" si="66"/>
        <v>0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4.2</v>
      </c>
      <c r="BY70" s="13">
        <f>IF(A70&lt;'Données projet'!$A$114,$BV$205^A70,IF(A70='Données projet'!$A$114,'Données projet'!$B$114,BY69+BX70-CG69))</f>
        <v>191.4</v>
      </c>
      <c r="BZ70" s="14">
        <f>BY70*VLOOKUP('Données projet'!$B$12,Paramètres!$A$1:$I$88,3,0)*VLOOKUP('Données projet'!$B$12,Paramètres!$A$1:$I$88,5,0)</f>
        <v>206.02296000000001</v>
      </c>
      <c r="CA70" s="14">
        <f t="shared" si="100"/>
        <v>51.065537667271137</v>
      </c>
      <c r="CB70" s="22">
        <f t="shared" si="67"/>
        <v>447.76246677049721</v>
      </c>
      <c r="CC70" s="62">
        <f t="shared" si="68"/>
        <v>697.95931574565361</v>
      </c>
      <c r="CD70" s="62">
        <f ca="1">AVERAGE(OFFSET($CC$3,0,0,'Données projet'!$E$12+1,1))-AVERAGE(OFFSET($H$3,0,0,'Données projet'!$E$12+1,1))</f>
        <v>468.82871618425406</v>
      </c>
      <c r="CE70" s="62">
        <f t="shared" si="69"/>
        <v>259.37818128554397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projet'!$B$12,Paramètres!$A$1:$I$88,7,0))</f>
        <v>0</v>
      </c>
      <c r="CI70" s="17">
        <f>IF(ISNA(VLOOKUP(A70,'Données projet'!$A$113:$I$133,6,0)),0%,VLOOKUP(A70,'Données projet'!$A$113:$I$133,6,0)*VLOOKUP('Données projet'!$B$12,Paramètres!$A$1:$I$88,7,0))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projet'!$B$9,Paramètres!$A$1:$I$88,3,0)*0.475*44/12</f>
        <v>0</v>
      </c>
      <c r="CL70" s="23">
        <f>EXP(-LN(2)/25)*CL69+(1-EXP(-LN(2)/25))/(LN(2)/25)*Calculateur!CG70*Calculateur!CI70*VLOOKUP('Données projet'!$B$9,Paramètres!$A$1:$I$88,3,0)*0.475*44/12</f>
        <v>0</v>
      </c>
      <c r="CM70" s="23">
        <f>EXP(-LN(2)/2)*CM69+(1-EXP(-LN(2)/2))/(LN(2)/2)*CG70*CJ70*VLOOKUP('Données projet'!$B$9,Paramètres!$A$1:$I$88,3,0)*0.475*44/12</f>
        <v>0</v>
      </c>
      <c r="CN70" s="24">
        <f t="shared" si="70"/>
        <v>0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4.2</v>
      </c>
      <c r="CT70" s="13">
        <f>IF(A70&lt;'Données projet'!$A$140,$CQ$205^A70,IF(A70='Données projet'!$A$140,'Données projet'!$B$140,CT69+CS70-DB69))</f>
        <v>191.4</v>
      </c>
      <c r="CU70" s="18">
        <f>CT70*VLOOKUP('Données projet'!$B$13,Paramètres!$A$1:$I$88,3,0)*VLOOKUP('Données projet'!$B$13,Paramètres!$A$1:$I$88,5,0)</f>
        <v>164.22120000000001</v>
      </c>
      <c r="CV70" s="14">
        <f t="shared" si="101"/>
        <v>41.793171087008929</v>
      </c>
      <c r="CW70" s="22">
        <f t="shared" si="71"/>
        <v>358.80836297654059</v>
      </c>
      <c r="CX70" s="62">
        <f t="shared" si="72"/>
        <v>609.00521195169699</v>
      </c>
      <c r="CY70" s="62">
        <f ca="1">AVERAGE(OFFSET($CX$3,0,0,'Données projet'!$E$13+1,1))-AVERAGE(OFFSET($H$3,0,0,'Données projet'!$E$13+1,1))</f>
        <v>395.19659151668884</v>
      </c>
      <c r="CZ70" s="62">
        <f t="shared" si="73"/>
        <v>222.86563304507339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projet'!$B$13,Paramètres!$A$1:$I$88,7,0))</f>
        <v>0</v>
      </c>
      <c r="DD70" s="17">
        <f>IF(ISNA(VLOOKUP(A70,'Données projet'!$A$139:$I$159,6,0)),0%,VLOOKUP(A70,'Données projet'!$A$139:$I$159,6,0)*VLOOKUP('Données projet'!$B$13,Paramètres!$A$1:$I$88,7,0))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projet'!$B$9,Paramètres!$A$1:$I$88,3,0)*0.475*44/12</f>
        <v>0</v>
      </c>
      <c r="DG70" s="23">
        <f>EXP(-LN(2)/25)*DG69+(1-EXP(-LN(2)/25))/(LN(2)/25)*Calculateur!DB70*Calculateur!DD70*VLOOKUP('Données projet'!$B$9,Paramètres!$A$1:$I$88,3,0)*0.475*44/12</f>
        <v>0</v>
      </c>
      <c r="DH70" s="23">
        <f>EXP(-LN(2)/2)*DH69+(1-EXP(-LN(2)/2))/(LN(2)/2)*DB70*DE70*VLOOKUP('Données projet'!$B$9,Paramètres!$A$1:$I$88,3,0)*0.475*44/12</f>
        <v>0</v>
      </c>
      <c r="DI70" s="24">
        <f t="shared" si="74"/>
        <v>0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4.666666666666667</v>
      </c>
      <c r="DO70" s="13">
        <f>IF(A70&lt;'Données projet'!$A$166,$DL$205^A70,IF(A70='Données projet'!$A$166,'Données projet'!$B$166,DO69+DN70-DW69))</f>
        <v>102.99999999999999</v>
      </c>
      <c r="DP70" s="18">
        <f>DO70*VLOOKUP('Données projet'!$B$14,Paramètres!$A$1:$I$88,3,0)*VLOOKUP('Données projet'!$B$14,Paramètres!$A$1:$I$88,5,0)</f>
        <v>60.254999999999995</v>
      </c>
      <c r="DQ70" s="14">
        <f t="shared" si="102"/>
        <v>17.232725091135499</v>
      </c>
      <c r="DR70" s="22">
        <f t="shared" si="75"/>
        <v>134.957787867061</v>
      </c>
      <c r="DS70" s="62">
        <f t="shared" si="76"/>
        <v>385.15463684221737</v>
      </c>
      <c r="DT70" s="62">
        <f ca="1">AVERAGE(OFFSET($DS$3,0,0,'Données projet'!$E$14+1,1))-AVERAGE(OFFSET($H$3,0,0,'Données projet'!$E$14+1,1))</f>
        <v>155.18073137151848</v>
      </c>
      <c r="DU70" s="62">
        <f t="shared" si="77"/>
        <v>115.19459155667272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projet'!$B$14,Paramètres!$A$1:$I$88,7,0))</f>
        <v>0</v>
      </c>
      <c r="DY70" s="17">
        <f>IF(ISNA(VLOOKUP(A70,'Données projet'!$A$165:$I$185,6,0)),0%,VLOOKUP(A70,'Données projet'!$A$165:$I$185,6,0)*VLOOKUP('Données projet'!$B$14,Paramètres!$A$1:$I$88,7,0))</f>
        <v>0</v>
      </c>
      <c r="DZ70" s="17">
        <f>IF(ISNA(VLOOKUP(A70,'Données projet'!$A$165:$I$185,7,0)),0%,VLOOKUP(A70,'Données projet'!$A$165:$I$185,7,0))</f>
        <v>0</v>
      </c>
      <c r="EA70" s="23">
        <f>EXP(-LN(2)/35)*EA69+(1-EXP(-LN(2)/35))/(LN(2)/35)*DW70*DX70*VLOOKUP('Données projet'!$B$9,Paramètres!$A$1:$I$88,3,0)*0.475*44/12</f>
        <v>0</v>
      </c>
      <c r="EB70" s="23">
        <f>EXP(-LN(2)/25)*EB69+(1-EXP(-LN(2)/25))/(LN(2)/25)*Calculateur!DW70*Calculateur!DY70*VLOOKUP('Données projet'!$B$9,Paramètres!$A$1:$I$88,3,0)*0.475*44/12</f>
        <v>0</v>
      </c>
      <c r="EC70" s="23">
        <f>EXP(-LN(2)/2)*EC69+(1-EXP(-LN(2)/2))/(LN(2)/2)*DW70*DZ70*VLOOKUP('Données projet'!$B$9,Paramètres!$A$1:$I$88,3,0)*0.475*44/12</f>
        <v>0</v>
      </c>
      <c r="ED70" s="24">
        <f t="shared" si="78"/>
        <v>0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8.9333333333333336</v>
      </c>
      <c r="EJ70" s="13">
        <f>IF(A70&lt;'Données projet'!$A$192,$EG$205^A70,IF(A70='Données projet'!$A$192,'Données projet'!$B$192,EJ69+EI70-ER69))</f>
        <v>191.53333333333336</v>
      </c>
      <c r="EK70" s="18">
        <f>EJ70*VLOOKUP('Données projet'!$B$15,Paramètres!$A$1:$I$88,3,0)*VLOOKUP('Données projet'!$B$15,Paramètres!$A$1:$I$88,5,0)</f>
        <v>89.63760000000002</v>
      </c>
      <c r="EL70" s="14">
        <f t="shared" si="103"/>
        <v>24.477802326855134</v>
      </c>
      <c r="EM70" s="22">
        <f t="shared" si="79"/>
        <v>198.75099238593941</v>
      </c>
      <c r="EN70" s="62">
        <f t="shared" si="80"/>
        <v>448.94784136109581</v>
      </c>
      <c r="EO70" s="62">
        <f ca="1">AVERAGE(OFFSET($EN$3,0,0,'Données projet'!$E$15+1,1))-AVERAGE(OFFSET($H$3,0,0,'Données projet'!$E$15+1,1))</f>
        <v>238.59014604384171</v>
      </c>
      <c r="EP70" s="62">
        <f t="shared" si="81"/>
        <v>90.841373219575217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projet'!$B$15,Paramètres!$A$1:$I$88,7,0))</f>
        <v>0</v>
      </c>
      <c r="ET70" s="17">
        <f>IF(ISNA(VLOOKUP(A70,'Données projet'!$A$191:$I$211,6,0)),0%,VLOOKUP(A70,'Données projet'!$A$191:$I$211,6,0)*VLOOKUP('Données projet'!$B$15,Paramètres!$A$1:$I$88,7,0))</f>
        <v>0</v>
      </c>
      <c r="EU70" s="17">
        <f>IF(ISNA(VLOOKUP(A70,'Données projet'!$A$191:$I$211,7,0)),0%,VLOOKUP(A70,'Données projet'!$A$191:$I$211,7,0))</f>
        <v>0</v>
      </c>
      <c r="EV70" s="23">
        <f>EXP(-LN(2)/35)*EV69+(1-EXP(-LN(2)/35))/(LN(2)/35)*ER70*ES70*VLOOKUP('Données projet'!$B$9,Paramètres!$A$1:$I$88,3,0)*0.475*44/12</f>
        <v>0</v>
      </c>
      <c r="EW70" s="23">
        <f>EXP(-LN(2)/25)*EW69+(1-EXP(-LN(2)/25))/(LN(2)/25)*Calculateur!ER70*Calculateur!ET70*VLOOKUP('Données projet'!$B$9,Paramètres!$A$1:$I$88,3,0)*0.475*44/12</f>
        <v>0</v>
      </c>
      <c r="EX70" s="23">
        <f>EXP(-LN(2)/2)*EX69+(1-EXP(-LN(2)/2))/(LN(2)/2)*ER70*EU70*VLOOKUP('Données projet'!$B$9,Paramètres!$A$1:$I$88,3,0)*0.475*44/12</f>
        <v>0</v>
      </c>
      <c r="EY70" s="24">
        <f t="shared" si="82"/>
        <v>0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IF(A70&lt;'Données projet'!$A$218,$FB$205^A70,IF(A70='Données projet'!$A$218,'Données projet'!$B$218,FE69+FD70-FM69))</f>
        <v>0</v>
      </c>
      <c r="FF70" s="18" t="e">
        <f>FE70*VLOOKUP('Données projet'!$B$16,Paramètres!$A$1:$I$88,3,0)*VLOOKUP('Données projet'!$B$16,Paramètres!$A$1:$I$88,5,0)</f>
        <v>#N/A</v>
      </c>
      <c r="FG70" s="14" t="e">
        <f t="shared" si="104"/>
        <v>#N/A</v>
      </c>
      <c r="FH70" s="22" t="e">
        <f t="shared" si="83"/>
        <v>#N/A</v>
      </c>
      <c r="FI70" s="62" t="e">
        <f t="shared" si="84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85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projet'!$B$16,Paramètres!$A$1:$I$88,7,0))</f>
        <v>0</v>
      </c>
      <c r="FO70" s="17">
        <f>IF(ISNA(VLOOKUP(A70,'Données projet'!$A$217:$I$237,6,0)),0%,VLOOKUP(A70,'Données projet'!$A$217:$I$237,6,0)*VLOOKUP('Données projet'!$B$16,Paramètres!$A$1:$I$88,7,0))</f>
        <v>0</v>
      </c>
      <c r="FP70" s="17">
        <f>IF(ISNA(VLOOKUP(A70,'Données projet'!$A$217:$I$237,7,0)),0%,VLOOKUP(A70,'Données projet'!$A$217:$I$237,7,0))</f>
        <v>0</v>
      </c>
      <c r="FQ70" s="23">
        <f>EXP(-LN(2)/35)*FQ69+(1-EXP(-LN(2)/35))/(LN(2)/35)*FM70*FN70*VLOOKUP('Données projet'!$B$9,Paramètres!$A$1:$I$88,3,0)*0.475*44/12</f>
        <v>0</v>
      </c>
      <c r="FR70" s="23">
        <f>EXP(-LN(2)/25)*FR69+(1-EXP(-LN(2)/25))/(LN(2)/25)*Calculateur!FM70*Calculateur!FO70*VLOOKUP('Données projet'!$B$9,Paramètres!$A$1:$I$88,3,0)*0.475*44/12</f>
        <v>0</v>
      </c>
      <c r="FS70" s="23">
        <f>EXP(-LN(2)/2)*FS69+(1-EXP(-LN(2)/2))/(LN(2)/2)*FM70*FP70*VLOOKUP('Données projet'!$B$9,Paramètres!$A$1:$I$88,3,0)*0.475*44/12</f>
        <v>0</v>
      </c>
      <c r="FT70" s="24">
        <f t="shared" si="86"/>
        <v>0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IF(A70&lt;'Données projet'!$A$244,$FW$205^A70,IF(A70='Données projet'!$A$244,'Données projet'!$B$244,FZ69+FY70-GH69))</f>
        <v>0</v>
      </c>
      <c r="GA70" s="18" t="e">
        <f>FZ70*VLOOKUP('Données projet'!$B$17,Paramètres!$A$1:$I$88,3,0)*VLOOKUP('Données projet'!$B$17,Paramètres!$A$1:$I$88,5,0)</f>
        <v>#N/A</v>
      </c>
      <c r="GB70" s="14" t="e">
        <f t="shared" si="105"/>
        <v>#N/A</v>
      </c>
      <c r="GC70" s="22" t="e">
        <f t="shared" si="87"/>
        <v>#N/A</v>
      </c>
      <c r="GD70" s="62" t="e">
        <f t="shared" si="88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89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projet'!$B$17,Paramètres!$A$1:$I$88,7,0))</f>
        <v>0</v>
      </c>
      <c r="GJ70" s="17">
        <f>IF(ISNA(VLOOKUP(A70,'Données projet'!$A$243:$I$263,6,0)),0%,VLOOKUP(A70,'Données projet'!$A$243:$I$263,6,0)*VLOOKUP('Données projet'!$B$17,Paramètres!$A$1:$I$88,7,0))</f>
        <v>0</v>
      </c>
      <c r="GK70" s="17">
        <f>IF(ISNA(VLOOKUP(A70,'Données projet'!$A$243:$I$263,7,0)),0%,VLOOKUP(A70,'Données projet'!$A$243:$I$263,7,0))</f>
        <v>0</v>
      </c>
      <c r="GL70" s="23">
        <f>EXP(-LN(2)/35)*GL69+(1-EXP(-LN(2)/35))/(LN(2)/35)*GH70*GI70*VLOOKUP('Données projet'!$B$9,Paramètres!$A$1:$I$88,3,0)*0.475*44/12</f>
        <v>0</v>
      </c>
      <c r="GM70" s="23">
        <f>EXP(-LN(2)/25)*GM69+(1-EXP(-LN(2)/25))/(LN(2)/25)*Calculateur!GH70*Calculateur!GJ70*VLOOKUP('Données projet'!$B$9,Paramètres!$A$1:$I$88,3,0)*0.475*44/12</f>
        <v>0</v>
      </c>
      <c r="GN70" s="23">
        <f>EXP(-LN(2)/2)*GN69+(1-EXP(-LN(2)/2))/(LN(2)/2)*GH70*GK70*VLOOKUP('Données projet'!$B$9,Paramètres!$A$1:$I$88,3,0)*0.475*44/12</f>
        <v>0</v>
      </c>
      <c r="GO70" s="23">
        <f t="shared" si="90"/>
        <v>0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IF(A70&lt;'Données projet'!$A$270,$GR$205^A70,IF(A70='Données projet'!$A$270,'Données projet'!$B$270,GU69+GT70-HC69))</f>
        <v>0</v>
      </c>
      <c r="GV70" s="18" t="e">
        <f>GU70*VLOOKUP('Données projet'!$B$18,Paramètres!$A$1:$I$88,3,0)*VLOOKUP('Données projet'!$B$18,Paramètres!$A$1:$I$88,5,0)</f>
        <v>#N/A</v>
      </c>
      <c r="GW70" s="14" t="e">
        <f t="shared" si="106"/>
        <v>#N/A</v>
      </c>
      <c r="GX70" s="22" t="e">
        <f t="shared" si="91"/>
        <v>#N/A</v>
      </c>
      <c r="GY70" s="62" t="e">
        <f t="shared" si="92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93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projet'!$B$18,Paramètres!$A$1:$I$88,7,0))</f>
        <v>0</v>
      </c>
      <c r="HE70" s="17">
        <f>IF(ISNA(VLOOKUP(A70,'Données projet'!$A$269:$I$289,6,0)),0%,VLOOKUP(A70,'Données projet'!$A$269:$I$289,6,0)*VLOOKUP('Données projet'!$B$18,Paramètres!$A$1:$I$88,7,0))</f>
        <v>0</v>
      </c>
      <c r="HF70" s="17">
        <f>IF(ISNA(VLOOKUP(A70,'Données projet'!$A$269:$I$289,7,0)),0%,VLOOKUP(A70,'Données projet'!$A$269:$I$289,7,0))</f>
        <v>0</v>
      </c>
      <c r="HG70" s="23">
        <f>EXP(-LN(2)/35)*HG69+(1-EXP(-LN(2)/35))/(LN(2)/35)*HC70*HD70*VLOOKUP('Données projet'!$B$9,Paramètres!$A$1:$I$88,3,0)*0.475*44/12</f>
        <v>0</v>
      </c>
      <c r="HH70" s="23">
        <f>EXP(-LN(2)/25)*HH69+(1-EXP(-LN(2)/25))/(LN(2)/25)*Calculateur!HC70*Calculateur!HE70*VLOOKUP('Données projet'!$B$9,Paramètres!$A$1:$I$88,3,0)*0.475*44/12</f>
        <v>0</v>
      </c>
      <c r="HI70" s="23">
        <f>EXP(-LN(2)/2)*HI69+(1-EXP(-LN(2)/2))/(LN(2)/2)*HC70*HF70*VLOOKUP('Données projet'!$B$9,Paramètres!$A$1:$I$88,3,0)*0.475*44/12</f>
        <v>0</v>
      </c>
      <c r="HJ70" s="24">
        <f t="shared" si="94"/>
        <v>0</v>
      </c>
    </row>
    <row r="71" spans="1:218" s="5" customFormat="1" x14ac:dyDescent="0.25">
      <c r="A71" s="11">
        <f t="shared" si="95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1" s="12">
        <f t="shared" si="9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57"/>
        <v>135.66666666666666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1.6750000000000014</v>
      </c>
      <c r="N71" s="14">
        <f>IF(A71&lt;'Données projet'!$A$36,$K$205^A71,IF(A71='Données projet'!$A$36,'Données projet'!$B$36,N70+M71-V70))</f>
        <v>89.512499999999946</v>
      </c>
      <c r="O71" s="14">
        <f>N71*VLOOKUP('Données projet'!$B$9,Paramètres!$A$1:$I$88,3,0)*VLOOKUP('Données projet'!$B$9,Paramètres!$A$1:$I$88,5,0)</f>
        <v>103.11839999999994</v>
      </c>
      <c r="P71" s="14">
        <f t="shared" si="97"/>
        <v>27.703580415769611</v>
      </c>
      <c r="Q71" s="22">
        <f t="shared" si="54"/>
        <v>227.8482825574653</v>
      </c>
      <c r="R71" s="62">
        <f t="shared" si="55"/>
        <v>478.79345309750448</v>
      </c>
      <c r="S71" s="62">
        <f ca="1">AVERAGE(OFFSET($R$3,0,0,'Données projet'!$E$9+1,1))-AVERAGE(OFFSET($H$3,0,0,'Données projet'!$E$9+1,1))</f>
        <v>314.72063458462026</v>
      </c>
      <c r="T71" s="62">
        <f t="shared" si="56"/>
        <v>216.4380325968244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projet'!$B$9,Paramètres!$A$1:$I$88,7,0))</f>
        <v>0</v>
      </c>
      <c r="X71" s="17">
        <f>IF(ISNA(VLOOKUP(A71,'Données projet'!$A$35:$I$55,6,0)),0%,VLOOKUP(A71,'Données projet'!$A$35:$I$55,6,0)*VLOOKUP('Données projet'!$B$9,Paramètres!$A$1:$I$88,7,0))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projet'!$B$9,Paramètres!$A$1:$I$88,3,0)*0.475*44/12</f>
        <v>0</v>
      </c>
      <c r="AA71" s="23">
        <f>EXP(-LN(2)/25)*AA70+(1-EXP(-LN(2)/25))/(LN(2)/25)*Calculateur!V71*Calculateur!X71*VLOOKUP('Données projet'!$B$9,Paramètres!$A$1:$I$88,3,0)*0.475*44/12</f>
        <v>0</v>
      </c>
      <c r="AB71" s="23">
        <f>EXP(-LN(2)/2)*AB70+(1-EXP(-LN(2)/2))/(LN(2)/2)*V71*Y71*VLOOKUP('Données projet'!$B$9,Paramètres!$A$1:$I$88,3,0)*0.475*44/12</f>
        <v>0</v>
      </c>
      <c r="AC71" s="24">
        <f t="shared" si="58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4.2</v>
      </c>
      <c r="AI71" s="14">
        <f>IF(A71&lt;'Données projet'!$A$62,$AF$205^A71,IF(A71='Données projet'!$A$62,'Données projet'!$B$62,AI70+AH71-AQ70))</f>
        <v>195.6</v>
      </c>
      <c r="AJ71" s="14">
        <f>AI71*VLOOKUP('Données projet'!$B$10,Paramètres!$A$1:$I$88,3,0)*VLOOKUP('Données projet'!$B$10,Paramètres!$A$1:$I$88,5,0)</f>
        <v>204.44111999999998</v>
      </c>
      <c r="AK71" s="14">
        <f t="shared" si="98"/>
        <v>50.718940404759088</v>
      </c>
      <c r="AL71" s="22">
        <f t="shared" si="59"/>
        <v>444.40377187162198</v>
      </c>
      <c r="AM71" s="62">
        <f t="shared" si="60"/>
        <v>695.34894241166114</v>
      </c>
      <c r="AN71" s="62">
        <f ca="1">AVERAGE(OFFSET($AM$3,0,0,'Données projet'!$E$10+1,1))-AVERAGE(OFFSET($H$3,0,0,'Données projet'!$E$10+1,1))</f>
        <v>458.33072853676879</v>
      </c>
      <c r="AO71" s="62">
        <f t="shared" si="61"/>
        <v>254.1734169352687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projet'!$B$10,Paramètres!$A$1:$I$88,7,0))</f>
        <v>0</v>
      </c>
      <c r="AS71" s="17">
        <f>IF(ISNA(VLOOKUP(A71,'Données projet'!$A$61:$I$81,6,0)),0%,VLOOKUP(A71,'Données projet'!$A$61:$I$81,6,0)*VLOOKUP('Données projet'!$B$10,Paramètres!$A$1:$I$88,7,0))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projet'!$B$9,Paramètres!$A$1:$I$88,3,0)*0.475*44/12</f>
        <v>0</v>
      </c>
      <c r="AV71" s="23">
        <f>EXP(-LN(2)/25)*AV70+(1-EXP(-LN(2)/25))/(LN(2)/25)*Calculateur!AQ71*Calculateur!AS71*VLOOKUP('Données projet'!$B$9,Paramètres!$A$1:$I$88,3,0)*0.475*44/12</f>
        <v>0</v>
      </c>
      <c r="AW71" s="23">
        <f>EXP(-LN(2)/2)*AW70+(1-EXP(-LN(2)/2))/(LN(2)/2)*AQ71*AT71*VLOOKUP('Données projet'!$B$9,Paramètres!$A$1:$I$88,3,0)*0.475*44/12</f>
        <v>0</v>
      </c>
      <c r="AX71" s="23">
        <f t="shared" si="62"/>
        <v>0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4.2</v>
      </c>
      <c r="BD71" s="13">
        <f>IF(A71&lt;'Données projet'!$A$88,$BA$205^A71,IF(A71='Données projet'!$A$88,'Données projet'!$B$88,BD70+BC71-BL70))</f>
        <v>195.6</v>
      </c>
      <c r="BE71" s="14">
        <f>BD71*VLOOKUP('Données projet'!$B$11,Paramètres!$A$1:$I$88,3,0)*VLOOKUP('Données projet'!$B$11,Paramètres!$A$1:$I$88,5,0)</f>
        <v>198.33840000000001</v>
      </c>
      <c r="BF71" s="14">
        <f t="shared" si="99"/>
        <v>49.378821219958084</v>
      </c>
      <c r="BG71" s="22">
        <f t="shared" si="63"/>
        <v>431.44082695809374</v>
      </c>
      <c r="BH71" s="62">
        <f t="shared" si="64"/>
        <v>682.38599749813295</v>
      </c>
      <c r="BI71" s="62">
        <f ca="1">AVERAGE(OFFSET($BH$3,0,0,'Données projet'!$E$11+1,1))-AVERAGE(OFFSET($H$3,0,0,'Données projet'!$E$11+1,1))</f>
        <v>447.82618173893104</v>
      </c>
      <c r="BJ71" s="62">
        <f t="shared" si="65"/>
        <v>248.96509970783379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projet'!$B$11,Paramètres!$A$1:$I$88,7,0))</f>
        <v>0</v>
      </c>
      <c r="BN71" s="17">
        <f>IF(ISNA(VLOOKUP(A71,'Données projet'!$A$87:$I$107,6,0)),0%,VLOOKUP(A71,'Données projet'!$A$87:$I$107,6,0)*VLOOKUP('Données projet'!$B$11,Paramètres!$A$1:$I$88,7,0))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projet'!$B$9,Paramètres!$A$1:$I$88,3,0)*0.475*44/12</f>
        <v>0</v>
      </c>
      <c r="BQ71" s="23">
        <f>EXP(-LN(2)/25)*BQ70+(1-EXP(-LN(2)/25))/(LN(2)/25)*Calculateur!BL71*Calculateur!BN71*VLOOKUP('Données projet'!$B$9,Paramètres!$A$1:$I$88,3,0)*0.475*44/12</f>
        <v>0</v>
      </c>
      <c r="BR71" s="23">
        <f>EXP(-LN(2)/2)*BR70+(1-EXP(-LN(2)/2))/(LN(2)/2)*BL71*BO71*VLOOKUP('Données projet'!$B$9,Paramètres!$A$1:$I$88,3,0)*0.475*44/12</f>
        <v>0</v>
      </c>
      <c r="BS71" s="24">
        <f t="shared" si="66"/>
        <v>0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4.2</v>
      </c>
      <c r="BY71" s="13">
        <f>IF(A71&lt;'Données projet'!$A$114,$BV$205^A71,IF(A71='Données projet'!$A$114,'Données projet'!$B$114,BY70+BX71-CG70))</f>
        <v>195.6</v>
      </c>
      <c r="BZ71" s="14">
        <f>BY71*VLOOKUP('Données projet'!$B$12,Paramètres!$A$1:$I$88,3,0)*VLOOKUP('Données projet'!$B$12,Paramètres!$A$1:$I$88,5,0)</f>
        <v>210.54384000000002</v>
      </c>
      <c r="CA71" s="14">
        <f t="shared" si="100"/>
        <v>52.054410526216479</v>
      </c>
      <c r="CB71" s="22">
        <f t="shared" si="67"/>
        <v>457.35861966649367</v>
      </c>
      <c r="CC71" s="62">
        <f t="shared" si="68"/>
        <v>708.30379020653288</v>
      </c>
      <c r="CD71" s="62">
        <f ca="1">AVERAGE(OFFSET($CC$3,0,0,'Données projet'!$E$12+1,1))-AVERAGE(OFFSET($H$3,0,0,'Données projet'!$E$12+1,1))</f>
        <v>468.82871618425406</v>
      </c>
      <c r="CE71" s="62">
        <f t="shared" si="69"/>
        <v>259.37818128554397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projet'!$B$12,Paramètres!$A$1:$I$88,7,0))</f>
        <v>0</v>
      </c>
      <c r="CI71" s="17">
        <f>IF(ISNA(VLOOKUP(A71,'Données projet'!$A$113:$I$133,6,0)),0%,VLOOKUP(A71,'Données projet'!$A$113:$I$133,6,0)*VLOOKUP('Données projet'!$B$12,Paramètres!$A$1:$I$88,7,0))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projet'!$B$9,Paramètres!$A$1:$I$88,3,0)*0.475*44/12</f>
        <v>0</v>
      </c>
      <c r="CL71" s="23">
        <f>EXP(-LN(2)/25)*CL70+(1-EXP(-LN(2)/25))/(LN(2)/25)*Calculateur!CG71*Calculateur!CI71*VLOOKUP('Données projet'!$B$9,Paramètres!$A$1:$I$88,3,0)*0.475*44/12</f>
        <v>0</v>
      </c>
      <c r="CM71" s="23">
        <f>EXP(-LN(2)/2)*CM70+(1-EXP(-LN(2)/2))/(LN(2)/2)*CG71*CJ71*VLOOKUP('Données projet'!$B$9,Paramètres!$A$1:$I$88,3,0)*0.475*44/12</f>
        <v>0</v>
      </c>
      <c r="CN71" s="24">
        <f t="shared" si="70"/>
        <v>0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4.2</v>
      </c>
      <c r="CT71" s="13">
        <f>IF(A71&lt;'Données projet'!$A$140,$CQ$205^A71,IF(A71='Données projet'!$A$140,'Données projet'!$B$140,CT70+CS71-DB70))</f>
        <v>195.6</v>
      </c>
      <c r="CU71" s="18">
        <f>CT71*VLOOKUP('Données projet'!$B$13,Paramètres!$A$1:$I$88,3,0)*VLOOKUP('Données projet'!$B$13,Paramètres!$A$1:$I$88,5,0)</f>
        <v>167.82480000000004</v>
      </c>
      <c r="CV71" s="14">
        <f t="shared" si="101"/>
        <v>42.602486614958224</v>
      </c>
      <c r="CW71" s="22">
        <f t="shared" si="71"/>
        <v>366.49419085438558</v>
      </c>
      <c r="CX71" s="62">
        <f t="shared" si="72"/>
        <v>617.43936139442474</v>
      </c>
      <c r="CY71" s="62">
        <f ca="1">AVERAGE(OFFSET($CX$3,0,0,'Données projet'!$E$13+1,1))-AVERAGE(OFFSET($H$3,0,0,'Données projet'!$E$13+1,1))</f>
        <v>395.19659151668884</v>
      </c>
      <c r="CZ71" s="62">
        <f t="shared" si="73"/>
        <v>222.86563304507339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projet'!$B$13,Paramètres!$A$1:$I$88,7,0))</f>
        <v>0</v>
      </c>
      <c r="DD71" s="17">
        <f>IF(ISNA(VLOOKUP(A71,'Données projet'!$A$139:$I$159,6,0)),0%,VLOOKUP(A71,'Données projet'!$A$139:$I$159,6,0)*VLOOKUP('Données projet'!$B$13,Paramètres!$A$1:$I$88,7,0))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projet'!$B$9,Paramètres!$A$1:$I$88,3,0)*0.475*44/12</f>
        <v>0</v>
      </c>
      <c r="DG71" s="23">
        <f>EXP(-LN(2)/25)*DG70+(1-EXP(-LN(2)/25))/(LN(2)/25)*Calculateur!DB71*Calculateur!DD71*VLOOKUP('Données projet'!$B$9,Paramètres!$A$1:$I$88,3,0)*0.475*44/12</f>
        <v>0</v>
      </c>
      <c r="DH71" s="23">
        <f>EXP(-LN(2)/2)*DH70+(1-EXP(-LN(2)/2))/(LN(2)/2)*DB71*DE71*VLOOKUP('Données projet'!$B$9,Paramètres!$A$1:$I$88,3,0)*0.475*44/12</f>
        <v>0</v>
      </c>
      <c r="DI71" s="24">
        <f t="shared" si="74"/>
        <v>0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4.666666666666667</v>
      </c>
      <c r="DO71" s="13">
        <f>IF(A71&lt;'Données projet'!$A$166,$DL$205^A71,IF(A71='Données projet'!$A$166,'Données projet'!$B$166,DO70+DN71-DW70))</f>
        <v>107.66666666666666</v>
      </c>
      <c r="DP71" s="18">
        <f>DO71*VLOOKUP('Données projet'!$B$14,Paramètres!$A$1:$I$88,3,0)*VLOOKUP('Données projet'!$B$14,Paramètres!$A$1:$I$88,5,0)</f>
        <v>62.984999999999999</v>
      </c>
      <c r="DQ71" s="14">
        <f t="shared" si="102"/>
        <v>17.920824888968852</v>
      </c>
      <c r="DR71" s="22">
        <f t="shared" si="75"/>
        <v>140.91097834828739</v>
      </c>
      <c r="DS71" s="62">
        <f t="shared" si="76"/>
        <v>391.85614888832657</v>
      </c>
      <c r="DT71" s="62">
        <f ca="1">AVERAGE(OFFSET($DS$3,0,0,'Données projet'!$E$14+1,1))-AVERAGE(OFFSET($H$3,0,0,'Données projet'!$E$14+1,1))</f>
        <v>155.18073137151848</v>
      </c>
      <c r="DU71" s="62">
        <f t="shared" si="77"/>
        <v>115.19459155667272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projet'!$B$14,Paramètres!$A$1:$I$88,7,0))</f>
        <v>0</v>
      </c>
      <c r="DY71" s="17">
        <f>IF(ISNA(VLOOKUP(A71,'Données projet'!$A$165:$I$185,6,0)),0%,VLOOKUP(A71,'Données projet'!$A$165:$I$185,6,0)*VLOOKUP('Données projet'!$B$14,Paramètres!$A$1:$I$88,7,0))</f>
        <v>0</v>
      </c>
      <c r="DZ71" s="17">
        <f>IF(ISNA(VLOOKUP(A71,'Données projet'!$A$165:$I$185,7,0)),0%,VLOOKUP(A71,'Données projet'!$A$165:$I$185,7,0))</f>
        <v>0</v>
      </c>
      <c r="EA71" s="23">
        <f>EXP(-LN(2)/35)*EA70+(1-EXP(-LN(2)/35))/(LN(2)/35)*DW71*DX71*VLOOKUP('Données projet'!$B$9,Paramètres!$A$1:$I$88,3,0)*0.475*44/12</f>
        <v>0</v>
      </c>
      <c r="EB71" s="23">
        <f>EXP(-LN(2)/25)*EB70+(1-EXP(-LN(2)/25))/(LN(2)/25)*Calculateur!DW71*Calculateur!DY71*VLOOKUP('Données projet'!$B$9,Paramètres!$A$1:$I$88,3,0)*0.475*44/12</f>
        <v>0</v>
      </c>
      <c r="EC71" s="23">
        <f>EXP(-LN(2)/2)*EC70+(1-EXP(-LN(2)/2))/(LN(2)/2)*DW71*DZ71*VLOOKUP('Données projet'!$B$9,Paramètres!$A$1:$I$88,3,0)*0.475*44/12</f>
        <v>0</v>
      </c>
      <c r="ED71" s="24">
        <f t="shared" si="78"/>
        <v>0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8.9333333333333336</v>
      </c>
      <c r="EJ71" s="13">
        <f>IF(A71&lt;'Données projet'!$A$192,$EG$205^A71,IF(A71='Données projet'!$A$192,'Données projet'!$B$192,EJ70+EI71-ER70))</f>
        <v>200.4666666666667</v>
      </c>
      <c r="EK71" s="18">
        <f>EJ71*VLOOKUP('Données projet'!$B$15,Paramètres!$A$1:$I$88,3,0)*VLOOKUP('Données projet'!$B$15,Paramètres!$A$1:$I$88,5,0)</f>
        <v>93.818400000000011</v>
      </c>
      <c r="EL71" s="14">
        <f t="shared" si="103"/>
        <v>25.483892312609182</v>
      </c>
      <c r="EM71" s="22">
        <f t="shared" si="79"/>
        <v>207.78482577779434</v>
      </c>
      <c r="EN71" s="62">
        <f t="shared" si="80"/>
        <v>458.72999631783352</v>
      </c>
      <c r="EO71" s="62">
        <f ca="1">AVERAGE(OFFSET($EN$3,0,0,'Données projet'!$E$15+1,1))-AVERAGE(OFFSET($H$3,0,0,'Données projet'!$E$15+1,1))</f>
        <v>238.59014604384171</v>
      </c>
      <c r="EP71" s="62">
        <f t="shared" si="81"/>
        <v>90.841373219575217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projet'!$B$15,Paramètres!$A$1:$I$88,7,0))</f>
        <v>0</v>
      </c>
      <c r="ET71" s="17">
        <f>IF(ISNA(VLOOKUP(A71,'Données projet'!$A$191:$I$211,6,0)),0%,VLOOKUP(A71,'Données projet'!$A$191:$I$211,6,0)*VLOOKUP('Données projet'!$B$15,Paramètres!$A$1:$I$88,7,0))</f>
        <v>0</v>
      </c>
      <c r="EU71" s="17">
        <f>IF(ISNA(VLOOKUP(A71,'Données projet'!$A$191:$I$211,7,0)),0%,VLOOKUP(A71,'Données projet'!$A$191:$I$211,7,0))</f>
        <v>0</v>
      </c>
      <c r="EV71" s="23">
        <f>EXP(-LN(2)/35)*EV70+(1-EXP(-LN(2)/35))/(LN(2)/35)*ER71*ES71*VLOOKUP('Données projet'!$B$9,Paramètres!$A$1:$I$88,3,0)*0.475*44/12</f>
        <v>0</v>
      </c>
      <c r="EW71" s="23">
        <f>EXP(-LN(2)/25)*EW70+(1-EXP(-LN(2)/25))/(LN(2)/25)*Calculateur!ER71*Calculateur!ET71*VLOOKUP('Données projet'!$B$9,Paramètres!$A$1:$I$88,3,0)*0.475*44/12</f>
        <v>0</v>
      </c>
      <c r="EX71" s="23">
        <f>EXP(-LN(2)/2)*EX70+(1-EXP(-LN(2)/2))/(LN(2)/2)*ER71*EU71*VLOOKUP('Données projet'!$B$9,Paramètres!$A$1:$I$88,3,0)*0.475*44/12</f>
        <v>0</v>
      </c>
      <c r="EY71" s="24">
        <f t="shared" si="82"/>
        <v>0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IF(A71&lt;'Données projet'!$A$218,$FB$205^A71,IF(A71='Données projet'!$A$218,'Données projet'!$B$218,FE70+FD71-FM70))</f>
        <v>0</v>
      </c>
      <c r="FF71" s="18" t="e">
        <f>FE71*VLOOKUP('Données projet'!$B$16,Paramètres!$A$1:$I$88,3,0)*VLOOKUP('Données projet'!$B$16,Paramètres!$A$1:$I$88,5,0)</f>
        <v>#N/A</v>
      </c>
      <c r="FG71" s="14" t="e">
        <f t="shared" si="104"/>
        <v>#N/A</v>
      </c>
      <c r="FH71" s="22" t="e">
        <f t="shared" si="83"/>
        <v>#N/A</v>
      </c>
      <c r="FI71" s="62" t="e">
        <f t="shared" si="84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85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projet'!$B$16,Paramètres!$A$1:$I$88,7,0))</f>
        <v>0</v>
      </c>
      <c r="FO71" s="17">
        <f>IF(ISNA(VLOOKUP(A71,'Données projet'!$A$217:$I$237,6,0)),0%,VLOOKUP(A71,'Données projet'!$A$217:$I$237,6,0)*VLOOKUP('Données projet'!$B$16,Paramètres!$A$1:$I$88,7,0))</f>
        <v>0</v>
      </c>
      <c r="FP71" s="17">
        <f>IF(ISNA(VLOOKUP(A71,'Données projet'!$A$217:$I$237,7,0)),0%,VLOOKUP(A71,'Données projet'!$A$217:$I$237,7,0))</f>
        <v>0</v>
      </c>
      <c r="FQ71" s="23">
        <f>EXP(-LN(2)/35)*FQ70+(1-EXP(-LN(2)/35))/(LN(2)/35)*FM71*FN71*VLOOKUP('Données projet'!$B$9,Paramètres!$A$1:$I$88,3,0)*0.475*44/12</f>
        <v>0</v>
      </c>
      <c r="FR71" s="23">
        <f>EXP(-LN(2)/25)*FR70+(1-EXP(-LN(2)/25))/(LN(2)/25)*Calculateur!FM71*Calculateur!FO71*VLOOKUP('Données projet'!$B$9,Paramètres!$A$1:$I$88,3,0)*0.475*44/12</f>
        <v>0</v>
      </c>
      <c r="FS71" s="23">
        <f>EXP(-LN(2)/2)*FS70+(1-EXP(-LN(2)/2))/(LN(2)/2)*FM71*FP71*VLOOKUP('Données projet'!$B$9,Paramètres!$A$1:$I$88,3,0)*0.475*44/12</f>
        <v>0</v>
      </c>
      <c r="FT71" s="24">
        <f t="shared" si="86"/>
        <v>0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IF(A71&lt;'Données projet'!$A$244,$FW$205^A71,IF(A71='Données projet'!$A$244,'Données projet'!$B$244,FZ70+FY71-GH70))</f>
        <v>0</v>
      </c>
      <c r="GA71" s="18" t="e">
        <f>FZ71*VLOOKUP('Données projet'!$B$17,Paramètres!$A$1:$I$88,3,0)*VLOOKUP('Données projet'!$B$17,Paramètres!$A$1:$I$88,5,0)</f>
        <v>#N/A</v>
      </c>
      <c r="GB71" s="14" t="e">
        <f t="shared" si="105"/>
        <v>#N/A</v>
      </c>
      <c r="GC71" s="22" t="e">
        <f t="shared" si="87"/>
        <v>#N/A</v>
      </c>
      <c r="GD71" s="62" t="e">
        <f t="shared" si="88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89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projet'!$B$17,Paramètres!$A$1:$I$88,7,0))</f>
        <v>0</v>
      </c>
      <c r="GJ71" s="17">
        <f>IF(ISNA(VLOOKUP(A71,'Données projet'!$A$243:$I$263,6,0)),0%,VLOOKUP(A71,'Données projet'!$A$243:$I$263,6,0)*VLOOKUP('Données projet'!$B$17,Paramètres!$A$1:$I$88,7,0))</f>
        <v>0</v>
      </c>
      <c r="GK71" s="17">
        <f>IF(ISNA(VLOOKUP(A71,'Données projet'!$A$243:$I$263,7,0)),0%,VLOOKUP(A71,'Données projet'!$A$243:$I$263,7,0))</f>
        <v>0</v>
      </c>
      <c r="GL71" s="23">
        <f>EXP(-LN(2)/35)*GL70+(1-EXP(-LN(2)/35))/(LN(2)/35)*GH71*GI71*VLOOKUP('Données projet'!$B$9,Paramètres!$A$1:$I$88,3,0)*0.475*44/12</f>
        <v>0</v>
      </c>
      <c r="GM71" s="23">
        <f>EXP(-LN(2)/25)*GM70+(1-EXP(-LN(2)/25))/(LN(2)/25)*Calculateur!GH71*Calculateur!GJ71*VLOOKUP('Données projet'!$B$9,Paramètres!$A$1:$I$88,3,0)*0.475*44/12</f>
        <v>0</v>
      </c>
      <c r="GN71" s="23">
        <f>EXP(-LN(2)/2)*GN70+(1-EXP(-LN(2)/2))/(LN(2)/2)*GH71*GK71*VLOOKUP('Données projet'!$B$9,Paramètres!$A$1:$I$88,3,0)*0.475*44/12</f>
        <v>0</v>
      </c>
      <c r="GO71" s="23">
        <f t="shared" si="90"/>
        <v>0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IF(A71&lt;'Données projet'!$A$270,$GR$205^A71,IF(A71='Données projet'!$A$270,'Données projet'!$B$270,GU70+GT71-HC70))</f>
        <v>0</v>
      </c>
      <c r="GV71" s="18" t="e">
        <f>GU71*VLOOKUP('Données projet'!$B$18,Paramètres!$A$1:$I$88,3,0)*VLOOKUP('Données projet'!$B$18,Paramètres!$A$1:$I$88,5,0)</f>
        <v>#N/A</v>
      </c>
      <c r="GW71" s="14" t="e">
        <f t="shared" si="106"/>
        <v>#N/A</v>
      </c>
      <c r="GX71" s="22" t="e">
        <f t="shared" si="91"/>
        <v>#N/A</v>
      </c>
      <c r="GY71" s="62" t="e">
        <f t="shared" si="92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93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projet'!$B$18,Paramètres!$A$1:$I$88,7,0))</f>
        <v>0</v>
      </c>
      <c r="HE71" s="17">
        <f>IF(ISNA(VLOOKUP(A71,'Données projet'!$A$269:$I$289,6,0)),0%,VLOOKUP(A71,'Données projet'!$A$269:$I$289,6,0)*VLOOKUP('Données projet'!$B$18,Paramètres!$A$1:$I$88,7,0))</f>
        <v>0</v>
      </c>
      <c r="HF71" s="17">
        <f>IF(ISNA(VLOOKUP(A71,'Données projet'!$A$269:$I$289,7,0)),0%,VLOOKUP(A71,'Données projet'!$A$269:$I$289,7,0))</f>
        <v>0</v>
      </c>
      <c r="HG71" s="23">
        <f>EXP(-LN(2)/35)*HG70+(1-EXP(-LN(2)/35))/(LN(2)/35)*HC71*HD71*VLOOKUP('Données projet'!$B$9,Paramètres!$A$1:$I$88,3,0)*0.475*44/12</f>
        <v>0</v>
      </c>
      <c r="HH71" s="23">
        <f>EXP(-LN(2)/25)*HH70+(1-EXP(-LN(2)/25))/(LN(2)/25)*Calculateur!HC71*Calculateur!HE71*VLOOKUP('Données projet'!$B$9,Paramètres!$A$1:$I$88,3,0)*0.475*44/12</f>
        <v>0</v>
      </c>
      <c r="HI71" s="23">
        <f>EXP(-LN(2)/2)*HI70+(1-EXP(-LN(2)/2))/(LN(2)/2)*HC71*HF71*VLOOKUP('Données projet'!$B$9,Paramètres!$A$1:$I$88,3,0)*0.475*44/12</f>
        <v>0</v>
      </c>
      <c r="HJ71" s="24">
        <f t="shared" si="94"/>
        <v>0</v>
      </c>
    </row>
    <row r="72" spans="1:218" s="5" customFormat="1" x14ac:dyDescent="0.25">
      <c r="A72" s="11">
        <f t="shared" si="95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2" s="12">
        <f t="shared" si="9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57"/>
        <v>135.66666666666666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1.6750000000000014</v>
      </c>
      <c r="N72" s="14">
        <f>IF(A72&lt;'Données projet'!$A$36,$K$205^A72,IF(A72='Données projet'!$A$36,'Données projet'!$B$36,N71+M72-V71))</f>
        <v>91.187499999999943</v>
      </c>
      <c r="O72" s="14">
        <f>N72*VLOOKUP('Données projet'!$B$9,Paramètres!$A$1:$I$88,3,0)*VLOOKUP('Données projet'!$B$9,Paramètres!$A$1:$I$88,5,0)</f>
        <v>105.04799999999992</v>
      </c>
      <c r="P72" s="14">
        <f t="shared" si="97"/>
        <v>28.161145381699356</v>
      </c>
      <c r="Q72" s="22">
        <f t="shared" si="54"/>
        <v>232.00592820645954</v>
      </c>
      <c r="R72" s="62">
        <f t="shared" si="55"/>
        <v>483.68643860522741</v>
      </c>
      <c r="S72" s="62">
        <f ca="1">AVERAGE(OFFSET($R$3,0,0,'Données projet'!$E$9+1,1))-AVERAGE(OFFSET($H$3,0,0,'Données projet'!$E$9+1,1))</f>
        <v>314.72063458462026</v>
      </c>
      <c r="T72" s="62">
        <f t="shared" si="56"/>
        <v>216.4380325968244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projet'!$B$9,Paramètres!$A$1:$I$88,7,0))</f>
        <v>0</v>
      </c>
      <c r="X72" s="17">
        <f>IF(ISNA(VLOOKUP(A72,'Données projet'!$A$35:$I$55,6,0)),0%,VLOOKUP(A72,'Données projet'!$A$35:$I$55,6,0)*VLOOKUP('Données projet'!$B$9,Paramètres!$A$1:$I$88,7,0))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projet'!$B$9,Paramètres!$A$1:$I$88,3,0)*0.475*44/12</f>
        <v>0</v>
      </c>
      <c r="AA72" s="23">
        <f>EXP(-LN(2)/25)*AA71+(1-EXP(-LN(2)/25))/(LN(2)/25)*Calculateur!V72*Calculateur!X72*VLOOKUP('Données projet'!$B$9,Paramètres!$A$1:$I$88,3,0)*0.475*44/12</f>
        <v>0</v>
      </c>
      <c r="AB72" s="23">
        <f>EXP(-LN(2)/2)*AB71+(1-EXP(-LN(2)/2))/(LN(2)/2)*V72*Y72*VLOOKUP('Données projet'!$B$9,Paramètres!$A$1:$I$88,3,0)*0.475*44/12</f>
        <v>0</v>
      </c>
      <c r="AC72" s="24">
        <f t="shared" si="58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4.2</v>
      </c>
      <c r="AI72" s="14">
        <f>IF(A72&lt;'Données projet'!$A$62,$AF$205^A72,IF(A72='Données projet'!$A$62,'Données projet'!$B$62,AI71+AH72-AQ71))</f>
        <v>199.79999999999998</v>
      </c>
      <c r="AJ72" s="14">
        <f>AI72*VLOOKUP('Données projet'!$B$10,Paramètres!$A$1:$I$88,3,0)*VLOOKUP('Données projet'!$B$10,Paramètres!$A$1:$I$88,5,0)</f>
        <v>208.83095999999998</v>
      </c>
      <c r="AK72" s="14">
        <f t="shared" si="98"/>
        <v>51.680038105442279</v>
      </c>
      <c r="AL72" s="22">
        <f t="shared" si="59"/>
        <v>453.72332170031183</v>
      </c>
      <c r="AM72" s="62">
        <f t="shared" si="60"/>
        <v>705.40383209907964</v>
      </c>
      <c r="AN72" s="62">
        <f ca="1">AVERAGE(OFFSET($AM$3,0,0,'Données projet'!$E$10+1,1))-AVERAGE(OFFSET($H$3,0,0,'Données projet'!$E$10+1,1))</f>
        <v>458.33072853676879</v>
      </c>
      <c r="AO72" s="62">
        <f t="shared" si="61"/>
        <v>254.1734169352687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projet'!$B$10,Paramètres!$A$1:$I$88,7,0))</f>
        <v>0</v>
      </c>
      <c r="AS72" s="17">
        <f>IF(ISNA(VLOOKUP(A72,'Données projet'!$A$61:$I$81,6,0)),0%,VLOOKUP(A72,'Données projet'!$A$61:$I$81,6,0)*VLOOKUP('Données projet'!$B$10,Paramètres!$A$1:$I$88,7,0))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projet'!$B$9,Paramètres!$A$1:$I$88,3,0)*0.475*44/12</f>
        <v>0</v>
      </c>
      <c r="AV72" s="23">
        <f>EXP(-LN(2)/25)*AV71+(1-EXP(-LN(2)/25))/(LN(2)/25)*Calculateur!AQ72*Calculateur!AS72*VLOOKUP('Données projet'!$B$9,Paramètres!$A$1:$I$88,3,0)*0.475*44/12</f>
        <v>0</v>
      </c>
      <c r="AW72" s="23">
        <f>EXP(-LN(2)/2)*AW71+(1-EXP(-LN(2)/2))/(LN(2)/2)*AQ72*AT72*VLOOKUP('Données projet'!$B$9,Paramètres!$A$1:$I$88,3,0)*0.475*44/12</f>
        <v>0</v>
      </c>
      <c r="AX72" s="23">
        <f t="shared" si="62"/>
        <v>0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4.2</v>
      </c>
      <c r="BD72" s="13">
        <f>IF(A72&lt;'Données projet'!$A$88,$BA$205^A72,IF(A72='Données projet'!$A$88,'Données projet'!$B$88,BD71+BC72-BL71))</f>
        <v>199.79999999999998</v>
      </c>
      <c r="BE72" s="14">
        <f>BD72*VLOOKUP('Données projet'!$B$11,Paramètres!$A$1:$I$88,3,0)*VLOOKUP('Données projet'!$B$11,Paramètres!$A$1:$I$88,5,0)</f>
        <v>202.59720000000002</v>
      </c>
      <c r="BF72" s="14">
        <f t="shared" si="99"/>
        <v>50.314524354885847</v>
      </c>
      <c r="BG72" s="22">
        <f t="shared" si="63"/>
        <v>440.48791991809281</v>
      </c>
      <c r="BH72" s="62">
        <f t="shared" si="64"/>
        <v>692.16843031686062</v>
      </c>
      <c r="BI72" s="62">
        <f ca="1">AVERAGE(OFFSET($BH$3,0,0,'Données projet'!$E$11+1,1))-AVERAGE(OFFSET($H$3,0,0,'Données projet'!$E$11+1,1))</f>
        <v>447.82618173893104</v>
      </c>
      <c r="BJ72" s="62">
        <f t="shared" si="65"/>
        <v>248.96509970783379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projet'!$B$11,Paramètres!$A$1:$I$88,7,0))</f>
        <v>0</v>
      </c>
      <c r="BN72" s="17">
        <f>IF(ISNA(VLOOKUP(A72,'Données projet'!$A$87:$I$107,6,0)),0%,VLOOKUP(A72,'Données projet'!$A$87:$I$107,6,0)*VLOOKUP('Données projet'!$B$11,Paramètres!$A$1:$I$88,7,0))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projet'!$B$9,Paramètres!$A$1:$I$88,3,0)*0.475*44/12</f>
        <v>0</v>
      </c>
      <c r="BQ72" s="23">
        <f>EXP(-LN(2)/25)*BQ71+(1-EXP(-LN(2)/25))/(LN(2)/25)*Calculateur!BL72*Calculateur!BN72*VLOOKUP('Données projet'!$B$9,Paramètres!$A$1:$I$88,3,0)*0.475*44/12</f>
        <v>0</v>
      </c>
      <c r="BR72" s="23">
        <f>EXP(-LN(2)/2)*BR71+(1-EXP(-LN(2)/2))/(LN(2)/2)*BL72*BO72*VLOOKUP('Données projet'!$B$9,Paramètres!$A$1:$I$88,3,0)*0.475*44/12</f>
        <v>0</v>
      </c>
      <c r="BS72" s="24">
        <f t="shared" si="66"/>
        <v>0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4.2</v>
      </c>
      <c r="BY72" s="13">
        <f>IF(A72&lt;'Données projet'!$A$114,$BV$205^A72,IF(A72='Données projet'!$A$114,'Données projet'!$B$114,BY71+BX72-CG71))</f>
        <v>199.79999999999998</v>
      </c>
      <c r="BZ72" s="14">
        <f>BY72*VLOOKUP('Données projet'!$B$12,Paramètres!$A$1:$I$88,3,0)*VLOOKUP('Données projet'!$B$12,Paramètres!$A$1:$I$88,5,0)</f>
        <v>215.06471999999997</v>
      </c>
      <c r="CA72" s="14">
        <f t="shared" si="100"/>
        <v>53.040814695308129</v>
      </c>
      <c r="CB72" s="22">
        <f t="shared" si="67"/>
        <v>466.95047292766162</v>
      </c>
      <c r="CC72" s="62">
        <f t="shared" si="68"/>
        <v>718.63098332642949</v>
      </c>
      <c r="CD72" s="62">
        <f ca="1">AVERAGE(OFFSET($CC$3,0,0,'Données projet'!$E$12+1,1))-AVERAGE(OFFSET($H$3,0,0,'Données projet'!$E$12+1,1))</f>
        <v>468.82871618425406</v>
      </c>
      <c r="CE72" s="62">
        <f t="shared" si="69"/>
        <v>259.37818128554397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projet'!$B$12,Paramètres!$A$1:$I$88,7,0))</f>
        <v>0</v>
      </c>
      <c r="CI72" s="17">
        <f>IF(ISNA(VLOOKUP(A72,'Données projet'!$A$113:$I$133,6,0)),0%,VLOOKUP(A72,'Données projet'!$A$113:$I$133,6,0)*VLOOKUP('Données projet'!$B$12,Paramètres!$A$1:$I$88,7,0))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projet'!$B$9,Paramètres!$A$1:$I$88,3,0)*0.475*44/12</f>
        <v>0</v>
      </c>
      <c r="CL72" s="23">
        <f>EXP(-LN(2)/25)*CL71+(1-EXP(-LN(2)/25))/(LN(2)/25)*Calculateur!CG72*Calculateur!CI72*VLOOKUP('Données projet'!$B$9,Paramètres!$A$1:$I$88,3,0)*0.475*44/12</f>
        <v>0</v>
      </c>
      <c r="CM72" s="23">
        <f>EXP(-LN(2)/2)*CM71+(1-EXP(-LN(2)/2))/(LN(2)/2)*CG72*CJ72*VLOOKUP('Données projet'!$B$9,Paramètres!$A$1:$I$88,3,0)*0.475*44/12</f>
        <v>0</v>
      </c>
      <c r="CN72" s="24">
        <f t="shared" si="70"/>
        <v>0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4.2</v>
      </c>
      <c r="CT72" s="13">
        <f>IF(A72&lt;'Données projet'!$A$140,$CQ$205^A72,IF(A72='Données projet'!$A$140,'Données projet'!$B$140,CT71+CS72-DB71))</f>
        <v>199.79999999999998</v>
      </c>
      <c r="CU72" s="18">
        <f>CT72*VLOOKUP('Données projet'!$B$13,Paramètres!$A$1:$I$88,3,0)*VLOOKUP('Données projet'!$B$13,Paramètres!$A$1:$I$88,5,0)</f>
        <v>171.42840000000001</v>
      </c>
      <c r="CV72" s="14">
        <f t="shared" si="101"/>
        <v>43.409781712258415</v>
      </c>
      <c r="CW72" s="22">
        <f t="shared" si="71"/>
        <v>374.17649981551676</v>
      </c>
      <c r="CX72" s="62">
        <f t="shared" si="72"/>
        <v>625.85701021428463</v>
      </c>
      <c r="CY72" s="62">
        <f ca="1">AVERAGE(OFFSET($CX$3,0,0,'Données projet'!$E$13+1,1))-AVERAGE(OFFSET($H$3,0,0,'Données projet'!$E$13+1,1))</f>
        <v>395.19659151668884</v>
      </c>
      <c r="CZ72" s="62">
        <f t="shared" si="73"/>
        <v>222.86563304507339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projet'!$B$13,Paramètres!$A$1:$I$88,7,0))</f>
        <v>0</v>
      </c>
      <c r="DD72" s="17">
        <f>IF(ISNA(VLOOKUP(A72,'Données projet'!$A$139:$I$159,6,0)),0%,VLOOKUP(A72,'Données projet'!$A$139:$I$159,6,0)*VLOOKUP('Données projet'!$B$13,Paramètres!$A$1:$I$88,7,0))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projet'!$B$9,Paramètres!$A$1:$I$88,3,0)*0.475*44/12</f>
        <v>0</v>
      </c>
      <c r="DG72" s="23">
        <f>EXP(-LN(2)/25)*DG71+(1-EXP(-LN(2)/25))/(LN(2)/25)*Calculateur!DB72*Calculateur!DD72*VLOOKUP('Données projet'!$B$9,Paramètres!$A$1:$I$88,3,0)*0.475*44/12</f>
        <v>0</v>
      </c>
      <c r="DH72" s="23">
        <f>EXP(-LN(2)/2)*DH71+(1-EXP(-LN(2)/2))/(LN(2)/2)*DB72*DE72*VLOOKUP('Données projet'!$B$9,Paramètres!$A$1:$I$88,3,0)*0.475*44/12</f>
        <v>0</v>
      </c>
      <c r="DI72" s="24">
        <f t="shared" si="74"/>
        <v>0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4.666666666666667</v>
      </c>
      <c r="DO72" s="13">
        <f>IF(A72&lt;'Données projet'!$A$166,$DL$205^A72,IF(A72='Données projet'!$A$166,'Données projet'!$B$166,DO71+DN72-DW71))</f>
        <v>112.33333333333333</v>
      </c>
      <c r="DP72" s="18">
        <f>DO72*VLOOKUP('Données projet'!$B$14,Paramètres!$A$1:$I$88,3,0)*VLOOKUP('Données projet'!$B$14,Paramètres!$A$1:$I$88,5,0)</f>
        <v>65.715000000000003</v>
      </c>
      <c r="DQ72" s="14">
        <f t="shared" si="102"/>
        <v>18.605460682230657</v>
      </c>
      <c r="DR72" s="22">
        <f t="shared" si="75"/>
        <v>146.85813568821837</v>
      </c>
      <c r="DS72" s="62">
        <f t="shared" si="76"/>
        <v>398.5386460869862</v>
      </c>
      <c r="DT72" s="62">
        <f ca="1">AVERAGE(OFFSET($DS$3,0,0,'Données projet'!$E$14+1,1))-AVERAGE(OFFSET($H$3,0,0,'Données projet'!$E$14+1,1))</f>
        <v>155.18073137151848</v>
      </c>
      <c r="DU72" s="62">
        <f t="shared" si="77"/>
        <v>115.19459155667272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projet'!$B$14,Paramètres!$A$1:$I$88,7,0))</f>
        <v>0</v>
      </c>
      <c r="DY72" s="17">
        <f>IF(ISNA(VLOOKUP(A72,'Données projet'!$A$165:$I$185,6,0)),0%,VLOOKUP(A72,'Données projet'!$A$165:$I$185,6,0)*VLOOKUP('Données projet'!$B$14,Paramètres!$A$1:$I$88,7,0))</f>
        <v>0</v>
      </c>
      <c r="DZ72" s="17">
        <f>IF(ISNA(VLOOKUP(A72,'Données projet'!$A$165:$I$185,7,0)),0%,VLOOKUP(A72,'Données projet'!$A$165:$I$185,7,0))</f>
        <v>0</v>
      </c>
      <c r="EA72" s="23">
        <f>EXP(-LN(2)/35)*EA71+(1-EXP(-LN(2)/35))/(LN(2)/35)*DW72*DX72*VLOOKUP('Données projet'!$B$9,Paramètres!$A$1:$I$88,3,0)*0.475*44/12</f>
        <v>0</v>
      </c>
      <c r="EB72" s="23">
        <f>EXP(-LN(2)/25)*EB71+(1-EXP(-LN(2)/25))/(LN(2)/25)*Calculateur!DW72*Calculateur!DY72*VLOOKUP('Données projet'!$B$9,Paramètres!$A$1:$I$88,3,0)*0.475*44/12</f>
        <v>0</v>
      </c>
      <c r="EC72" s="23">
        <f>EXP(-LN(2)/2)*EC71+(1-EXP(-LN(2)/2))/(LN(2)/2)*DW72*DZ72*VLOOKUP('Données projet'!$B$9,Paramètres!$A$1:$I$88,3,0)*0.475*44/12</f>
        <v>0</v>
      </c>
      <c r="ED72" s="24">
        <f t="shared" si="78"/>
        <v>0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8.9333333333333336</v>
      </c>
      <c r="EJ72" s="13">
        <f>IF(A72&lt;'Données projet'!$A$192,$EG$205^A72,IF(A72='Données projet'!$A$192,'Données projet'!$B$192,EJ71+EI72-ER71))</f>
        <v>209.40000000000003</v>
      </c>
      <c r="EK72" s="18">
        <f>EJ72*VLOOKUP('Données projet'!$B$15,Paramètres!$A$1:$I$88,3,0)*VLOOKUP('Données projet'!$B$15,Paramètres!$A$1:$I$88,5,0)</f>
        <v>97.999200000000016</v>
      </c>
      <c r="EL72" s="14">
        <f t="shared" si="103"/>
        <v>26.484775303965439</v>
      </c>
      <c r="EM72" s="22">
        <f t="shared" si="79"/>
        <v>216.80959032107316</v>
      </c>
      <c r="EN72" s="62">
        <f t="shared" si="80"/>
        <v>468.490100719841</v>
      </c>
      <c r="EO72" s="62">
        <f ca="1">AVERAGE(OFFSET($EN$3,0,0,'Données projet'!$E$15+1,1))-AVERAGE(OFFSET($H$3,0,0,'Données projet'!$E$15+1,1))</f>
        <v>238.59014604384171</v>
      </c>
      <c r="EP72" s="62">
        <f t="shared" si="81"/>
        <v>90.841373219575217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projet'!$B$15,Paramètres!$A$1:$I$88,7,0))</f>
        <v>0</v>
      </c>
      <c r="ET72" s="17">
        <f>IF(ISNA(VLOOKUP(A72,'Données projet'!$A$191:$I$211,6,0)),0%,VLOOKUP(A72,'Données projet'!$A$191:$I$211,6,0)*VLOOKUP('Données projet'!$B$15,Paramètres!$A$1:$I$88,7,0))</f>
        <v>0</v>
      </c>
      <c r="EU72" s="17">
        <f>IF(ISNA(VLOOKUP(A72,'Données projet'!$A$191:$I$211,7,0)),0%,VLOOKUP(A72,'Données projet'!$A$191:$I$211,7,0))</f>
        <v>0</v>
      </c>
      <c r="EV72" s="23">
        <f>EXP(-LN(2)/35)*EV71+(1-EXP(-LN(2)/35))/(LN(2)/35)*ER72*ES72*VLOOKUP('Données projet'!$B$9,Paramètres!$A$1:$I$88,3,0)*0.475*44/12</f>
        <v>0</v>
      </c>
      <c r="EW72" s="23">
        <f>EXP(-LN(2)/25)*EW71+(1-EXP(-LN(2)/25))/(LN(2)/25)*Calculateur!ER72*Calculateur!ET72*VLOOKUP('Données projet'!$B$9,Paramètres!$A$1:$I$88,3,0)*0.475*44/12</f>
        <v>0</v>
      </c>
      <c r="EX72" s="23">
        <f>EXP(-LN(2)/2)*EX71+(1-EXP(-LN(2)/2))/(LN(2)/2)*ER72*EU72*VLOOKUP('Données projet'!$B$9,Paramètres!$A$1:$I$88,3,0)*0.475*44/12</f>
        <v>0</v>
      </c>
      <c r="EY72" s="24">
        <f t="shared" si="82"/>
        <v>0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IF(A72&lt;'Données projet'!$A$218,$FB$205^A72,IF(A72='Données projet'!$A$218,'Données projet'!$B$218,FE71+FD72-FM71))</f>
        <v>0</v>
      </c>
      <c r="FF72" s="18" t="e">
        <f>FE72*VLOOKUP('Données projet'!$B$16,Paramètres!$A$1:$I$88,3,0)*VLOOKUP('Données projet'!$B$16,Paramètres!$A$1:$I$88,5,0)</f>
        <v>#N/A</v>
      </c>
      <c r="FG72" s="14" t="e">
        <f t="shared" si="104"/>
        <v>#N/A</v>
      </c>
      <c r="FH72" s="22" t="e">
        <f t="shared" si="83"/>
        <v>#N/A</v>
      </c>
      <c r="FI72" s="62" t="e">
        <f t="shared" si="84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85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projet'!$B$16,Paramètres!$A$1:$I$88,7,0))</f>
        <v>0</v>
      </c>
      <c r="FO72" s="17">
        <f>IF(ISNA(VLOOKUP(A72,'Données projet'!$A$217:$I$237,6,0)),0%,VLOOKUP(A72,'Données projet'!$A$217:$I$237,6,0)*VLOOKUP('Données projet'!$B$16,Paramètres!$A$1:$I$88,7,0))</f>
        <v>0</v>
      </c>
      <c r="FP72" s="17">
        <f>IF(ISNA(VLOOKUP(A72,'Données projet'!$A$217:$I$237,7,0)),0%,VLOOKUP(A72,'Données projet'!$A$217:$I$237,7,0))</f>
        <v>0</v>
      </c>
      <c r="FQ72" s="23">
        <f>EXP(-LN(2)/35)*FQ71+(1-EXP(-LN(2)/35))/(LN(2)/35)*FM72*FN72*VLOOKUP('Données projet'!$B$9,Paramètres!$A$1:$I$88,3,0)*0.475*44/12</f>
        <v>0</v>
      </c>
      <c r="FR72" s="23">
        <f>EXP(-LN(2)/25)*FR71+(1-EXP(-LN(2)/25))/(LN(2)/25)*Calculateur!FM72*Calculateur!FO72*VLOOKUP('Données projet'!$B$9,Paramètres!$A$1:$I$88,3,0)*0.475*44/12</f>
        <v>0</v>
      </c>
      <c r="FS72" s="23">
        <f>EXP(-LN(2)/2)*FS71+(1-EXP(-LN(2)/2))/(LN(2)/2)*FM72*FP72*VLOOKUP('Données projet'!$B$9,Paramètres!$A$1:$I$88,3,0)*0.475*44/12</f>
        <v>0</v>
      </c>
      <c r="FT72" s="24">
        <f t="shared" si="86"/>
        <v>0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IF(A72&lt;'Données projet'!$A$244,$FW$205^A72,IF(A72='Données projet'!$A$244,'Données projet'!$B$244,FZ71+FY72-GH71))</f>
        <v>0</v>
      </c>
      <c r="GA72" s="18" t="e">
        <f>FZ72*VLOOKUP('Données projet'!$B$17,Paramètres!$A$1:$I$88,3,0)*VLOOKUP('Données projet'!$B$17,Paramètres!$A$1:$I$88,5,0)</f>
        <v>#N/A</v>
      </c>
      <c r="GB72" s="14" t="e">
        <f t="shared" si="105"/>
        <v>#N/A</v>
      </c>
      <c r="GC72" s="22" t="e">
        <f t="shared" si="87"/>
        <v>#N/A</v>
      </c>
      <c r="GD72" s="62" t="e">
        <f t="shared" si="88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89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projet'!$B$17,Paramètres!$A$1:$I$88,7,0))</f>
        <v>0</v>
      </c>
      <c r="GJ72" s="17">
        <f>IF(ISNA(VLOOKUP(A72,'Données projet'!$A$243:$I$263,6,0)),0%,VLOOKUP(A72,'Données projet'!$A$243:$I$263,6,0)*VLOOKUP('Données projet'!$B$17,Paramètres!$A$1:$I$88,7,0))</f>
        <v>0</v>
      </c>
      <c r="GK72" s="17">
        <f>IF(ISNA(VLOOKUP(A72,'Données projet'!$A$243:$I$263,7,0)),0%,VLOOKUP(A72,'Données projet'!$A$243:$I$263,7,0))</f>
        <v>0</v>
      </c>
      <c r="GL72" s="23">
        <f>EXP(-LN(2)/35)*GL71+(1-EXP(-LN(2)/35))/(LN(2)/35)*GH72*GI72*VLOOKUP('Données projet'!$B$9,Paramètres!$A$1:$I$88,3,0)*0.475*44/12</f>
        <v>0</v>
      </c>
      <c r="GM72" s="23">
        <f>EXP(-LN(2)/25)*GM71+(1-EXP(-LN(2)/25))/(LN(2)/25)*Calculateur!GH72*Calculateur!GJ72*VLOOKUP('Données projet'!$B$9,Paramètres!$A$1:$I$88,3,0)*0.475*44/12</f>
        <v>0</v>
      </c>
      <c r="GN72" s="23">
        <f>EXP(-LN(2)/2)*GN71+(1-EXP(-LN(2)/2))/(LN(2)/2)*GH72*GK72*VLOOKUP('Données projet'!$B$9,Paramètres!$A$1:$I$88,3,0)*0.475*44/12</f>
        <v>0</v>
      </c>
      <c r="GO72" s="23">
        <f t="shared" si="90"/>
        <v>0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IF(A72&lt;'Données projet'!$A$270,$GR$205^A72,IF(A72='Données projet'!$A$270,'Données projet'!$B$270,GU71+GT72-HC71))</f>
        <v>0</v>
      </c>
      <c r="GV72" s="18" t="e">
        <f>GU72*VLOOKUP('Données projet'!$B$18,Paramètres!$A$1:$I$88,3,0)*VLOOKUP('Données projet'!$B$18,Paramètres!$A$1:$I$88,5,0)</f>
        <v>#N/A</v>
      </c>
      <c r="GW72" s="14" t="e">
        <f t="shared" si="106"/>
        <v>#N/A</v>
      </c>
      <c r="GX72" s="22" t="e">
        <f t="shared" si="91"/>
        <v>#N/A</v>
      </c>
      <c r="GY72" s="62" t="e">
        <f t="shared" si="92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93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projet'!$B$18,Paramètres!$A$1:$I$88,7,0))</f>
        <v>0</v>
      </c>
      <c r="HE72" s="17">
        <f>IF(ISNA(VLOOKUP(A72,'Données projet'!$A$269:$I$289,6,0)),0%,VLOOKUP(A72,'Données projet'!$A$269:$I$289,6,0)*VLOOKUP('Données projet'!$B$18,Paramètres!$A$1:$I$88,7,0))</f>
        <v>0</v>
      </c>
      <c r="HF72" s="17">
        <f>IF(ISNA(VLOOKUP(A72,'Données projet'!$A$269:$I$289,7,0)),0%,VLOOKUP(A72,'Données projet'!$A$269:$I$289,7,0))</f>
        <v>0</v>
      </c>
      <c r="HG72" s="23">
        <f>EXP(-LN(2)/35)*HG71+(1-EXP(-LN(2)/35))/(LN(2)/35)*HC72*HD72*VLOOKUP('Données projet'!$B$9,Paramètres!$A$1:$I$88,3,0)*0.475*44/12</f>
        <v>0</v>
      </c>
      <c r="HH72" s="23">
        <f>EXP(-LN(2)/25)*HH71+(1-EXP(-LN(2)/25))/(LN(2)/25)*Calculateur!HC72*Calculateur!HE72*VLOOKUP('Données projet'!$B$9,Paramètres!$A$1:$I$88,3,0)*0.475*44/12</f>
        <v>0</v>
      </c>
      <c r="HI72" s="23">
        <f>EXP(-LN(2)/2)*HI71+(1-EXP(-LN(2)/2))/(LN(2)/2)*HC72*HF72*VLOOKUP('Données projet'!$B$9,Paramètres!$A$1:$I$88,3,0)*0.475*44/12</f>
        <v>0</v>
      </c>
      <c r="HJ72" s="24">
        <f t="shared" si="94"/>
        <v>0</v>
      </c>
    </row>
    <row r="73" spans="1:218" s="5" customFormat="1" x14ac:dyDescent="0.25">
      <c r="A73" s="11">
        <f t="shared" si="95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3" s="12">
        <f t="shared" si="9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57"/>
        <v>135.66666666666666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92.862500000000011</v>
      </c>
      <c r="L73" s="13">
        <f>VLOOKUP(A73,'Données projet'!$A$35:$I$55,9,0)</f>
        <v>1.6750000000000014</v>
      </c>
      <c r="M73" s="13">
        <f t="array" ref="M73">INDEX(L:L,MIN(IF(ISNUMBER(L73:L269),ROW(L73:L269),"")))</f>
        <v>1.6750000000000014</v>
      </c>
      <c r="N73" s="14">
        <f>IF(A73&lt;'Données projet'!$A$36,$K$205^A73,IF(A73='Données projet'!$A$36,'Données projet'!$B$36,N72+M73-V72))</f>
        <v>92.86249999999994</v>
      </c>
      <c r="O73" s="14">
        <f>N73*VLOOKUP('Données projet'!$B$9,Paramètres!$A$1:$I$88,3,0)*VLOOKUP('Données projet'!$B$9,Paramètres!$A$1:$I$88,5,0)</f>
        <v>106.97759999999992</v>
      </c>
      <c r="P73" s="14">
        <f t="shared" si="97"/>
        <v>28.617733004955216</v>
      </c>
      <c r="Q73" s="22">
        <f t="shared" si="54"/>
        <v>236.16187165029689</v>
      </c>
      <c r="R73" s="62">
        <f t="shared" si="55"/>
        <v>488.56496540521795</v>
      </c>
      <c r="S73" s="62">
        <f ca="1">AVERAGE(OFFSET($R$3,0,0,'Données projet'!$E$9+1,1))-AVERAGE(OFFSET($H$3,0,0,'Données projet'!$E$9+1,1))</f>
        <v>314.72063458462026</v>
      </c>
      <c r="T73" s="62">
        <f t="shared" si="56"/>
        <v>216.4380325968244</v>
      </c>
      <c r="U73" s="16">
        <f>IF(ISNA(VLOOKUP(A73,'Données projet'!$A$35:$I$55,3,0)),0,VLOOKUP(A73,'Données projet'!$A$35:$I$55,3,0))</f>
        <v>5</v>
      </c>
      <c r="V73" s="16">
        <f>IF(ISNA(VLOOKUP(A73,'Données projet'!$A$35:$I$55,4,0)),0,VLOOKUP(A73,'Données projet'!$A$35:$I$55,4,0))</f>
        <v>8.5</v>
      </c>
      <c r="W73" s="17">
        <f>IF(ISNA(VLOOKUP(A73,'Données projet'!$A$35:$I$55,5,0)),0%,VLOOKUP(A73,'Données projet'!$A$35:$I$55,5,0)*VLOOKUP('Données projet'!$B$9,Paramètres!$A$1:$I$88,7,0))</f>
        <v>0</v>
      </c>
      <c r="X73" s="17">
        <f>IF(ISNA(VLOOKUP(A73,'Données projet'!$A$35:$I$55,6,0)),0%,VLOOKUP(A73,'Données projet'!$A$35:$I$55,6,0)*VLOOKUP('Données projet'!$B$9,Paramètres!$A$1:$I$88,7,0))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projet'!$B$9,Paramètres!$A$1:$I$88,3,0)*0.475*44/12</f>
        <v>0</v>
      </c>
      <c r="AA73" s="23">
        <f>EXP(-LN(2)/25)*AA72+(1-EXP(-LN(2)/25))/(LN(2)/25)*Calculateur!V73*Calculateur!X73*VLOOKUP('Données projet'!$B$9,Paramètres!$A$1:$I$88,3,0)*0.475*44/12</f>
        <v>0</v>
      </c>
      <c r="AB73" s="23">
        <f>EXP(-LN(2)/2)*AB72+(1-EXP(-LN(2)/2))/(LN(2)/2)*V73*Y73*VLOOKUP('Données projet'!$B$9,Paramètres!$A$1:$I$88,3,0)*0.475*44/12</f>
        <v>0</v>
      </c>
      <c r="AC73" s="24">
        <f t="shared" si="58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204</v>
      </c>
      <c r="AG73" s="13">
        <f>VLOOKUP(A73,'Données projet'!$A$61:$I$81,9,0)</f>
        <v>4.2</v>
      </c>
      <c r="AH73" s="13">
        <f t="array" ref="AH73">INDEX(AG:AG,MIN(IF(ISNUMBER(AG73:AG269),ROW(AG73:AG269),"")))</f>
        <v>4.2</v>
      </c>
      <c r="AI73" s="14">
        <f>IF(A73&lt;'Données projet'!$A$62,$AF$205^A73,IF(A73='Données projet'!$A$62,'Données projet'!$B$62,AI72+AH73-AQ72))</f>
        <v>203.99999999999997</v>
      </c>
      <c r="AJ73" s="14">
        <f>AI73*VLOOKUP('Données projet'!$B$10,Paramètres!$A$1:$I$88,3,0)*VLOOKUP('Données projet'!$B$10,Paramètres!$A$1:$I$88,5,0)</f>
        <v>213.22079999999997</v>
      </c>
      <c r="AK73" s="14">
        <f t="shared" si="98"/>
        <v>52.638786839117564</v>
      </c>
      <c r="AL73" s="22">
        <f t="shared" si="59"/>
        <v>463.03878041146299</v>
      </c>
      <c r="AM73" s="62">
        <f t="shared" si="60"/>
        <v>715.44187416638408</v>
      </c>
      <c r="AN73" s="62">
        <f ca="1">AVERAGE(OFFSET($AM$3,0,0,'Données projet'!$E$10+1,1))-AVERAGE(OFFSET($H$3,0,0,'Données projet'!$E$10+1,1))</f>
        <v>458.33072853676879</v>
      </c>
      <c r="AO73" s="62">
        <f t="shared" si="61"/>
        <v>254.1734169352687</v>
      </c>
      <c r="AP73" s="16">
        <f>IF(ISNA(VLOOKUP(A73,'Données projet'!$A$61:$I$81,3,0)),0,VLOOKUP(A73,'Données projet'!$A$61:$I$81,3,0))</f>
        <v>5</v>
      </c>
      <c r="AQ73" s="16">
        <f>IF(ISNA(VLOOKUP(A73,'Données projet'!$A$61:$I$81,4,0)),0,VLOOKUP(A73,'Données projet'!$A$61:$I$81,4,0))</f>
        <v>21</v>
      </c>
      <c r="AR73" s="17">
        <f>IF(ISNA(VLOOKUP(A73,'Données projet'!$A$61:$I$81,5,0)),0%,VLOOKUP(A73,'Données projet'!$A$61:$I$81,5,0)*VLOOKUP('Données projet'!$B$10,Paramètres!$A$1:$I$88,7,0))</f>
        <v>0</v>
      </c>
      <c r="AS73" s="17">
        <f>IF(ISNA(VLOOKUP(A73,'Données projet'!$A$61:$I$81,6,0)),0%,VLOOKUP(A73,'Données projet'!$A$61:$I$81,6,0)*VLOOKUP('Données projet'!$B$10,Paramètres!$A$1:$I$88,7,0))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projet'!$B$9,Paramètres!$A$1:$I$88,3,0)*0.475*44/12</f>
        <v>0</v>
      </c>
      <c r="AV73" s="23">
        <f>EXP(-LN(2)/25)*AV72+(1-EXP(-LN(2)/25))/(LN(2)/25)*Calculateur!AQ73*Calculateur!AS73*VLOOKUP('Données projet'!$B$9,Paramètres!$A$1:$I$88,3,0)*0.475*44/12</f>
        <v>0</v>
      </c>
      <c r="AW73" s="23">
        <f>EXP(-LN(2)/2)*AW72+(1-EXP(-LN(2)/2))/(LN(2)/2)*AQ73*AT73*VLOOKUP('Données projet'!$B$9,Paramètres!$A$1:$I$88,3,0)*0.475*44/12</f>
        <v>0</v>
      </c>
      <c r="AX73" s="23">
        <f t="shared" si="62"/>
        <v>0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204</v>
      </c>
      <c r="BB73" s="13">
        <f>VLOOKUP(A73,'Données projet'!$A$87:$I$107,9,0)</f>
        <v>4.2</v>
      </c>
      <c r="BC73" s="13">
        <f t="array" ref="BC73">INDEX(BB:BB,MIN(IF(ISNUMBER(BB73:BB269),ROW(BB73:BB269),"")))</f>
        <v>4.2</v>
      </c>
      <c r="BD73" s="13">
        <f>IF(A73&lt;'Données projet'!$A$88,$BA$205^A73,IF(A73='Données projet'!$A$88,'Données projet'!$B$88,BD72+BC73-BL72))</f>
        <v>203.99999999999997</v>
      </c>
      <c r="BE73" s="14">
        <f>BD73*VLOOKUP('Données projet'!$B$11,Paramètres!$A$1:$I$88,3,0)*VLOOKUP('Données projet'!$B$11,Paramètres!$A$1:$I$88,5,0)</f>
        <v>206.85599999999999</v>
      </c>
      <c r="BF73" s="14">
        <f t="shared" si="99"/>
        <v>51.247940588293027</v>
      </c>
      <c r="BG73" s="22">
        <f t="shared" si="63"/>
        <v>449.53102985794368</v>
      </c>
      <c r="BH73" s="62">
        <f t="shared" si="64"/>
        <v>701.93412361286471</v>
      </c>
      <c r="BI73" s="62">
        <f ca="1">AVERAGE(OFFSET($BH$3,0,0,'Données projet'!$E$11+1,1))-AVERAGE(OFFSET($H$3,0,0,'Données projet'!$E$11+1,1))</f>
        <v>447.82618173893104</v>
      </c>
      <c r="BJ73" s="62">
        <f t="shared" si="65"/>
        <v>248.96509970783379</v>
      </c>
      <c r="BK73" s="16">
        <f>IF(ISNA(VLOOKUP(A73,'Données projet'!$A$87:$I$107,3,0)),0,VLOOKUP(A73,'Données projet'!$A$87:$I$107,3,0))</f>
        <v>5</v>
      </c>
      <c r="BL73" s="16">
        <f>IF(ISNA(VLOOKUP(A73,'Données projet'!$A$87:$I$107,4,0)),0,VLOOKUP(A73,'Données projet'!$A$87:$I$107,4,0))</f>
        <v>21</v>
      </c>
      <c r="BM73" s="17">
        <f>IF(ISNA(VLOOKUP(A73,'Données projet'!$A$87:$I$107,5,0)),0%,VLOOKUP(A73,'Données projet'!$A$87:$I$107,5,0)*VLOOKUP('Données projet'!$B$11,Paramètres!$A$1:$I$88,7,0))</f>
        <v>0</v>
      </c>
      <c r="BN73" s="17">
        <f>IF(ISNA(VLOOKUP(A73,'Données projet'!$A$87:$I$107,6,0)),0%,VLOOKUP(A73,'Données projet'!$A$87:$I$107,6,0)*VLOOKUP('Données projet'!$B$11,Paramètres!$A$1:$I$88,7,0))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projet'!$B$9,Paramètres!$A$1:$I$88,3,0)*0.475*44/12</f>
        <v>0</v>
      </c>
      <c r="BQ73" s="23">
        <f>EXP(-LN(2)/25)*BQ72+(1-EXP(-LN(2)/25))/(LN(2)/25)*Calculateur!BL73*Calculateur!BN73*VLOOKUP('Données projet'!$B$9,Paramètres!$A$1:$I$88,3,0)*0.475*44/12</f>
        <v>0</v>
      </c>
      <c r="BR73" s="23">
        <f>EXP(-LN(2)/2)*BR72+(1-EXP(-LN(2)/2))/(LN(2)/2)*BL73*BO73*VLOOKUP('Données projet'!$B$9,Paramètres!$A$1:$I$88,3,0)*0.475*44/12</f>
        <v>0</v>
      </c>
      <c r="BS73" s="24">
        <f t="shared" si="66"/>
        <v>0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>
        <f>VLOOKUP(A73,'Données projet'!$A$113:$I$133,2,0)</f>
        <v>204</v>
      </c>
      <c r="BW73" s="13">
        <f>VLOOKUP(A73,'Données projet'!$A$113:$I$133,9,0)</f>
        <v>4.2</v>
      </c>
      <c r="BX73" s="13">
        <f t="array" ref="BX73">INDEX(BW:BW,MIN(IF(ISNUMBER(BW73:BW269),ROW(BW73:BW269),"")))</f>
        <v>4.2</v>
      </c>
      <c r="BY73" s="13">
        <f>IF(A73&lt;'Données projet'!$A$114,$BV$205^A73,IF(A73='Données projet'!$A$114,'Données projet'!$B$114,BY72+BX73-CG72))</f>
        <v>203.99999999999997</v>
      </c>
      <c r="BZ73" s="14">
        <f>BY73*VLOOKUP('Données projet'!$B$12,Paramètres!$A$1:$I$88,3,0)*VLOOKUP('Données projet'!$B$12,Paramètres!$A$1:$I$88,5,0)</f>
        <v>219.58559999999994</v>
      </c>
      <c r="CA73" s="14">
        <f t="shared" si="100"/>
        <v>54.024808047218549</v>
      </c>
      <c r="CB73" s="22">
        <f t="shared" si="67"/>
        <v>476.53812734890556</v>
      </c>
      <c r="CC73" s="62">
        <f t="shared" si="68"/>
        <v>728.94122110382659</v>
      </c>
      <c r="CD73" s="62">
        <f ca="1">AVERAGE(OFFSET($CC$3,0,0,'Données projet'!$E$12+1,1))-AVERAGE(OFFSET($H$3,0,0,'Données projet'!$E$12+1,1))</f>
        <v>468.82871618425406</v>
      </c>
      <c r="CE73" s="62">
        <f t="shared" si="69"/>
        <v>259.37818128554397</v>
      </c>
      <c r="CF73" s="16">
        <f>IF(ISNA(VLOOKUP(A73,'Données projet'!$A$113:$I$133,3,0)),0,VLOOKUP(A73,'Données projet'!$A$113:$I$133,3,0))</f>
        <v>5</v>
      </c>
      <c r="CG73" s="16">
        <f>IF(ISNA(VLOOKUP(A73,'Données projet'!$A$113:$I$133,4,0)),0,VLOOKUP(A73,'Données projet'!$A$113:$I$133,4,0))</f>
        <v>21</v>
      </c>
      <c r="CH73" s="17">
        <f>IF(ISNA(VLOOKUP(A73,'Données projet'!$A$113:$I$133,5,0)),0%,VLOOKUP(A73,'Données projet'!$A$113:$I$133,5,0)*VLOOKUP('Données projet'!$B$12,Paramètres!$A$1:$I$88,7,0))</f>
        <v>0</v>
      </c>
      <c r="CI73" s="17">
        <f>IF(ISNA(VLOOKUP(A73,'Données projet'!$A$113:$I$133,6,0)),0%,VLOOKUP(A73,'Données projet'!$A$113:$I$133,6,0)*VLOOKUP('Données projet'!$B$12,Paramètres!$A$1:$I$88,7,0))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projet'!$B$9,Paramètres!$A$1:$I$88,3,0)*0.475*44/12</f>
        <v>0</v>
      </c>
      <c r="CL73" s="23">
        <f>EXP(-LN(2)/25)*CL72+(1-EXP(-LN(2)/25))/(LN(2)/25)*Calculateur!CG73*Calculateur!CI73*VLOOKUP('Données projet'!$B$9,Paramètres!$A$1:$I$88,3,0)*0.475*44/12</f>
        <v>0</v>
      </c>
      <c r="CM73" s="23">
        <f>EXP(-LN(2)/2)*CM72+(1-EXP(-LN(2)/2))/(LN(2)/2)*CG73*CJ73*VLOOKUP('Données projet'!$B$9,Paramètres!$A$1:$I$88,3,0)*0.475*44/12</f>
        <v>0</v>
      </c>
      <c r="CN73" s="24">
        <f t="shared" si="70"/>
        <v>0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>
        <f>VLOOKUP(A73,'Données projet'!$A$139:$I$159,2,0)</f>
        <v>204</v>
      </c>
      <c r="CR73" s="13">
        <f>VLOOKUP(A73,'Données projet'!$A$139:$I$159,9,0)</f>
        <v>4.2</v>
      </c>
      <c r="CS73" s="13">
        <f t="array" ref="CS73">INDEX(CR:CR,MIN(IF(ISNUMBER(CR73:CR269),ROW(CR73:CR269),"")))</f>
        <v>4.2</v>
      </c>
      <c r="CT73" s="13">
        <f>IF(A73&lt;'Données projet'!$A$140,$CQ$205^A73,IF(A73='Données projet'!$A$140,'Données projet'!$B$140,CT72+CS73-DB72))</f>
        <v>203.99999999999997</v>
      </c>
      <c r="CU73" s="18">
        <f>CT73*VLOOKUP('Données projet'!$B$13,Paramètres!$A$1:$I$88,3,0)*VLOOKUP('Données projet'!$B$13,Paramètres!$A$1:$I$88,5,0)</f>
        <v>175.03199999999998</v>
      </c>
      <c r="CV73" s="14">
        <f t="shared" si="101"/>
        <v>44.215103743191008</v>
      </c>
      <c r="CW73" s="22">
        <f t="shared" si="71"/>
        <v>381.85537235272432</v>
      </c>
      <c r="CX73" s="62">
        <f t="shared" si="72"/>
        <v>634.2584661076454</v>
      </c>
      <c r="CY73" s="62">
        <f ca="1">AVERAGE(OFFSET($CX$3,0,0,'Données projet'!$E$13+1,1))-AVERAGE(OFFSET($H$3,0,0,'Données projet'!$E$13+1,1))</f>
        <v>395.19659151668884</v>
      </c>
      <c r="CZ73" s="62">
        <f t="shared" si="73"/>
        <v>222.86563304507339</v>
      </c>
      <c r="DA73" s="16">
        <f>IF(ISNA(VLOOKUP(A73,'Données projet'!$A$139:$I$159,3,0)),0,VLOOKUP(A73,'Données projet'!$A$139:$I$159,3,0))</f>
        <v>5</v>
      </c>
      <c r="DB73" s="16">
        <f>IF(ISNA(VLOOKUP(A73,'Données projet'!$A$139:$I$159,4,0)),0,VLOOKUP(A73,'Données projet'!$A$139:$I$159,4,0))</f>
        <v>21</v>
      </c>
      <c r="DC73" s="17">
        <f>IF(ISNA(VLOOKUP(A73,'Données projet'!$A$139:$I$159,5,0)),0%,VLOOKUP(A73,'Données projet'!$A$139:$I$159,5,0)*VLOOKUP('Données projet'!$B$13,Paramètres!$A$1:$I$88,7,0))</f>
        <v>0</v>
      </c>
      <c r="DD73" s="17">
        <f>IF(ISNA(VLOOKUP(A73,'Données projet'!$A$139:$I$159,6,0)),0%,VLOOKUP(A73,'Données projet'!$A$139:$I$159,6,0)*VLOOKUP('Données projet'!$B$13,Paramètres!$A$1:$I$88,7,0))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projet'!$B$9,Paramètres!$A$1:$I$88,3,0)*0.475*44/12</f>
        <v>0</v>
      </c>
      <c r="DG73" s="23">
        <f>EXP(-LN(2)/25)*DG72+(1-EXP(-LN(2)/25))/(LN(2)/25)*Calculateur!DB73*Calculateur!DD73*VLOOKUP('Données projet'!$B$9,Paramètres!$A$1:$I$88,3,0)*0.475*44/12</f>
        <v>0</v>
      </c>
      <c r="DH73" s="23">
        <f>EXP(-LN(2)/2)*DH72+(1-EXP(-LN(2)/2))/(LN(2)/2)*DB73*DE73*VLOOKUP('Données projet'!$B$9,Paramètres!$A$1:$I$88,3,0)*0.475*44/12</f>
        <v>0</v>
      </c>
      <c r="DI73" s="24">
        <f t="shared" si="74"/>
        <v>0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>
        <f>VLOOKUP(A73,'Données projet'!$A$165:$I$185,2,0)</f>
        <v>117</v>
      </c>
      <c r="DM73" s="13">
        <f>VLOOKUP(A73,'Données projet'!$A$165:$I$185,9,0)</f>
        <v>4.666666666666667</v>
      </c>
      <c r="DN73" s="13">
        <f t="array" ref="DN73">INDEX(DM:DM,MIN(IF(ISNUMBER(DM73:DM269),ROW(DM73:DM269),"")))</f>
        <v>4.666666666666667</v>
      </c>
      <c r="DO73" s="13">
        <f>IF(A73&lt;'Données projet'!$A$166,$DL$205^A73,IF(A73='Données projet'!$A$166,'Données projet'!$B$166,DO72+DN73-DW72))</f>
        <v>117</v>
      </c>
      <c r="DP73" s="18">
        <f>DO73*VLOOKUP('Données projet'!$B$14,Paramètres!$A$1:$I$88,3,0)*VLOOKUP('Données projet'!$B$14,Paramètres!$A$1:$I$88,5,0)</f>
        <v>68.445000000000007</v>
      </c>
      <c r="DQ73" s="14">
        <f t="shared" si="102"/>
        <v>19.286792832986222</v>
      </c>
      <c r="DR73" s="22">
        <f t="shared" si="75"/>
        <v>152.79953918411769</v>
      </c>
      <c r="DS73" s="62">
        <f t="shared" si="76"/>
        <v>405.20263293903872</v>
      </c>
      <c r="DT73" s="62">
        <f ca="1">AVERAGE(OFFSET($DS$3,0,0,'Données projet'!$E$14+1,1))-AVERAGE(OFFSET($H$3,0,0,'Données projet'!$E$14+1,1))</f>
        <v>155.18073137151848</v>
      </c>
      <c r="DU73" s="62">
        <f t="shared" si="77"/>
        <v>115.19459155667272</v>
      </c>
      <c r="DV73" s="16">
        <f>IF(ISNA(VLOOKUP(A73,'Données projet'!$A$165:$I$185,3,0)),0,VLOOKUP(A73,'Données projet'!$A$165:$I$185,3,0))</f>
        <v>3</v>
      </c>
      <c r="DW73" s="16">
        <f>IF(ISNA(VLOOKUP(A73,'Données projet'!$A$165:$I$185,4,0)),0,VLOOKUP(A73,'Données projet'!$A$165:$I$185,4,0))</f>
        <v>74</v>
      </c>
      <c r="DX73" s="17">
        <f>IF(ISNA(VLOOKUP(A73,'Données projet'!$A$165:$I$185,5,0)),0%,VLOOKUP(A73,'Données projet'!$A$165:$I$185,5,0)*VLOOKUP('Données projet'!$B$14,Paramètres!$A$1:$I$88,7,0))</f>
        <v>0</v>
      </c>
      <c r="DY73" s="17">
        <f>IF(ISNA(VLOOKUP(A73,'Données projet'!$A$165:$I$185,6,0)),0%,VLOOKUP(A73,'Données projet'!$A$165:$I$185,6,0)*VLOOKUP('Données projet'!$B$14,Paramètres!$A$1:$I$88,7,0))</f>
        <v>0</v>
      </c>
      <c r="DZ73" s="17">
        <f>IF(ISNA(VLOOKUP(A73,'Données projet'!$A$165:$I$185,7,0)),0%,VLOOKUP(A73,'Données projet'!$A$165:$I$185,7,0))</f>
        <v>0</v>
      </c>
      <c r="EA73" s="23">
        <f>EXP(-LN(2)/35)*EA72+(1-EXP(-LN(2)/35))/(LN(2)/35)*DW73*DX73*VLOOKUP('Données projet'!$B$9,Paramètres!$A$1:$I$88,3,0)*0.475*44/12</f>
        <v>0</v>
      </c>
      <c r="EB73" s="23">
        <f>EXP(-LN(2)/25)*EB72+(1-EXP(-LN(2)/25))/(LN(2)/25)*Calculateur!DW73*Calculateur!DY73*VLOOKUP('Données projet'!$B$9,Paramètres!$A$1:$I$88,3,0)*0.475*44/12</f>
        <v>0</v>
      </c>
      <c r="EC73" s="23">
        <f>EXP(-LN(2)/2)*EC72+(1-EXP(-LN(2)/2))/(LN(2)/2)*DW73*DZ73*VLOOKUP('Données projet'!$B$9,Paramètres!$A$1:$I$88,3,0)*0.475*44/12</f>
        <v>0</v>
      </c>
      <c r="ED73" s="24">
        <f t="shared" si="78"/>
        <v>0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8.9333333333333336</v>
      </c>
      <c r="EJ73" s="13">
        <f>IF(A73&lt;'Données projet'!$A$192,$EG$205^A73,IF(A73='Données projet'!$A$192,'Données projet'!$B$192,EJ72+EI73-ER72))</f>
        <v>218.33333333333337</v>
      </c>
      <c r="EK73" s="18">
        <f>EJ73*VLOOKUP('Données projet'!$B$15,Paramètres!$A$1:$I$88,3,0)*VLOOKUP('Données projet'!$B$15,Paramètres!$A$1:$I$88,5,0)</f>
        <v>102.18000000000002</v>
      </c>
      <c r="EL73" s="14">
        <f t="shared" si="103"/>
        <v>27.480698834910225</v>
      </c>
      <c r="EM73" s="22">
        <f t="shared" si="79"/>
        <v>225.82571713746867</v>
      </c>
      <c r="EN73" s="62">
        <f t="shared" si="80"/>
        <v>478.22881089238973</v>
      </c>
      <c r="EO73" s="62">
        <f ca="1">AVERAGE(OFFSET($EN$3,0,0,'Données projet'!$E$15+1,1))-AVERAGE(OFFSET($H$3,0,0,'Données projet'!$E$15+1,1))</f>
        <v>238.59014604384171</v>
      </c>
      <c r="EP73" s="62">
        <f t="shared" si="81"/>
        <v>90.841373219575217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projet'!$B$15,Paramètres!$A$1:$I$88,7,0))</f>
        <v>0</v>
      </c>
      <c r="ET73" s="17">
        <f>IF(ISNA(VLOOKUP(A73,'Données projet'!$A$191:$I$211,6,0)),0%,VLOOKUP(A73,'Données projet'!$A$191:$I$211,6,0)*VLOOKUP('Données projet'!$B$15,Paramètres!$A$1:$I$88,7,0))</f>
        <v>0</v>
      </c>
      <c r="EU73" s="17">
        <f>IF(ISNA(VLOOKUP(A73,'Données projet'!$A$191:$I$211,7,0)),0%,VLOOKUP(A73,'Données projet'!$A$191:$I$211,7,0))</f>
        <v>0</v>
      </c>
      <c r="EV73" s="23">
        <f>EXP(-LN(2)/35)*EV72+(1-EXP(-LN(2)/35))/(LN(2)/35)*ER73*ES73*VLOOKUP('Données projet'!$B$9,Paramètres!$A$1:$I$88,3,0)*0.475*44/12</f>
        <v>0</v>
      </c>
      <c r="EW73" s="23">
        <f>EXP(-LN(2)/25)*EW72+(1-EXP(-LN(2)/25))/(LN(2)/25)*Calculateur!ER73*Calculateur!ET73*VLOOKUP('Données projet'!$B$9,Paramètres!$A$1:$I$88,3,0)*0.475*44/12</f>
        <v>0</v>
      </c>
      <c r="EX73" s="23">
        <f>EXP(-LN(2)/2)*EX72+(1-EXP(-LN(2)/2))/(LN(2)/2)*ER73*EU73*VLOOKUP('Données projet'!$B$9,Paramètres!$A$1:$I$88,3,0)*0.475*44/12</f>
        <v>0</v>
      </c>
      <c r="EY73" s="24">
        <f t="shared" si="82"/>
        <v>0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IF(A73&lt;'Données projet'!$A$218,$FB$205^A73,IF(A73='Données projet'!$A$218,'Données projet'!$B$218,FE72+FD73-FM72))</f>
        <v>0</v>
      </c>
      <c r="FF73" s="18" t="e">
        <f>FE73*VLOOKUP('Données projet'!$B$16,Paramètres!$A$1:$I$88,3,0)*VLOOKUP('Données projet'!$B$16,Paramètres!$A$1:$I$88,5,0)</f>
        <v>#N/A</v>
      </c>
      <c r="FG73" s="14" t="e">
        <f t="shared" si="104"/>
        <v>#N/A</v>
      </c>
      <c r="FH73" s="22" t="e">
        <f t="shared" si="83"/>
        <v>#N/A</v>
      </c>
      <c r="FI73" s="62" t="e">
        <f t="shared" si="84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85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projet'!$B$16,Paramètres!$A$1:$I$88,7,0))</f>
        <v>0</v>
      </c>
      <c r="FO73" s="17">
        <f>IF(ISNA(VLOOKUP(A73,'Données projet'!$A$217:$I$237,6,0)),0%,VLOOKUP(A73,'Données projet'!$A$217:$I$237,6,0)*VLOOKUP('Données projet'!$B$16,Paramètres!$A$1:$I$88,7,0))</f>
        <v>0</v>
      </c>
      <c r="FP73" s="17">
        <f>IF(ISNA(VLOOKUP(A73,'Données projet'!$A$217:$I$237,7,0)),0%,VLOOKUP(A73,'Données projet'!$A$217:$I$237,7,0))</f>
        <v>0</v>
      </c>
      <c r="FQ73" s="23">
        <f>EXP(-LN(2)/35)*FQ72+(1-EXP(-LN(2)/35))/(LN(2)/35)*FM73*FN73*VLOOKUP('Données projet'!$B$9,Paramètres!$A$1:$I$88,3,0)*0.475*44/12</f>
        <v>0</v>
      </c>
      <c r="FR73" s="23">
        <f>EXP(-LN(2)/25)*FR72+(1-EXP(-LN(2)/25))/(LN(2)/25)*Calculateur!FM73*Calculateur!FO73*VLOOKUP('Données projet'!$B$9,Paramètres!$A$1:$I$88,3,0)*0.475*44/12</f>
        <v>0</v>
      </c>
      <c r="FS73" s="23">
        <f>EXP(-LN(2)/2)*FS72+(1-EXP(-LN(2)/2))/(LN(2)/2)*FM73*FP73*VLOOKUP('Données projet'!$B$9,Paramètres!$A$1:$I$88,3,0)*0.475*44/12</f>
        <v>0</v>
      </c>
      <c r="FT73" s="24">
        <f t="shared" si="86"/>
        <v>0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IF(A73&lt;'Données projet'!$A$244,$FW$205^A73,IF(A73='Données projet'!$A$244,'Données projet'!$B$244,FZ72+FY73-GH72))</f>
        <v>0</v>
      </c>
      <c r="GA73" s="18" t="e">
        <f>FZ73*VLOOKUP('Données projet'!$B$17,Paramètres!$A$1:$I$88,3,0)*VLOOKUP('Données projet'!$B$17,Paramètres!$A$1:$I$88,5,0)</f>
        <v>#N/A</v>
      </c>
      <c r="GB73" s="14" t="e">
        <f t="shared" si="105"/>
        <v>#N/A</v>
      </c>
      <c r="GC73" s="22" t="e">
        <f t="shared" si="87"/>
        <v>#N/A</v>
      </c>
      <c r="GD73" s="62" t="e">
        <f t="shared" si="88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89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projet'!$B$17,Paramètres!$A$1:$I$88,7,0))</f>
        <v>0</v>
      </c>
      <c r="GJ73" s="17">
        <f>IF(ISNA(VLOOKUP(A73,'Données projet'!$A$243:$I$263,6,0)),0%,VLOOKUP(A73,'Données projet'!$A$243:$I$263,6,0)*VLOOKUP('Données projet'!$B$17,Paramètres!$A$1:$I$88,7,0))</f>
        <v>0</v>
      </c>
      <c r="GK73" s="17">
        <f>IF(ISNA(VLOOKUP(A73,'Données projet'!$A$243:$I$263,7,0)),0%,VLOOKUP(A73,'Données projet'!$A$243:$I$263,7,0))</f>
        <v>0</v>
      </c>
      <c r="GL73" s="23">
        <f>EXP(-LN(2)/35)*GL72+(1-EXP(-LN(2)/35))/(LN(2)/35)*GH73*GI73*VLOOKUP('Données projet'!$B$9,Paramètres!$A$1:$I$88,3,0)*0.475*44/12</f>
        <v>0</v>
      </c>
      <c r="GM73" s="23">
        <f>EXP(-LN(2)/25)*GM72+(1-EXP(-LN(2)/25))/(LN(2)/25)*Calculateur!GH73*Calculateur!GJ73*VLOOKUP('Données projet'!$B$9,Paramètres!$A$1:$I$88,3,0)*0.475*44/12</f>
        <v>0</v>
      </c>
      <c r="GN73" s="23">
        <f>EXP(-LN(2)/2)*GN72+(1-EXP(-LN(2)/2))/(LN(2)/2)*GH73*GK73*VLOOKUP('Données projet'!$B$9,Paramètres!$A$1:$I$88,3,0)*0.475*44/12</f>
        <v>0</v>
      </c>
      <c r="GO73" s="23">
        <f t="shared" si="90"/>
        <v>0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IF(A73&lt;'Données projet'!$A$270,$GR$205^A73,IF(A73='Données projet'!$A$270,'Données projet'!$B$270,GU72+GT73-HC72))</f>
        <v>0</v>
      </c>
      <c r="GV73" s="18" t="e">
        <f>GU73*VLOOKUP('Données projet'!$B$18,Paramètres!$A$1:$I$88,3,0)*VLOOKUP('Données projet'!$B$18,Paramètres!$A$1:$I$88,5,0)</f>
        <v>#N/A</v>
      </c>
      <c r="GW73" s="14" t="e">
        <f t="shared" si="106"/>
        <v>#N/A</v>
      </c>
      <c r="GX73" s="22" t="e">
        <f t="shared" si="91"/>
        <v>#N/A</v>
      </c>
      <c r="GY73" s="62" t="e">
        <f t="shared" si="92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93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projet'!$B$18,Paramètres!$A$1:$I$88,7,0))</f>
        <v>0</v>
      </c>
      <c r="HE73" s="17">
        <f>IF(ISNA(VLOOKUP(A73,'Données projet'!$A$269:$I$289,6,0)),0%,VLOOKUP(A73,'Données projet'!$A$269:$I$289,6,0)*VLOOKUP('Données projet'!$B$18,Paramètres!$A$1:$I$88,7,0))</f>
        <v>0</v>
      </c>
      <c r="HF73" s="17">
        <f>IF(ISNA(VLOOKUP(A73,'Données projet'!$A$269:$I$289,7,0)),0%,VLOOKUP(A73,'Données projet'!$A$269:$I$289,7,0))</f>
        <v>0</v>
      </c>
      <c r="HG73" s="23">
        <f>EXP(-LN(2)/35)*HG72+(1-EXP(-LN(2)/35))/(LN(2)/35)*HC73*HD73*VLOOKUP('Données projet'!$B$9,Paramètres!$A$1:$I$88,3,0)*0.475*44/12</f>
        <v>0</v>
      </c>
      <c r="HH73" s="23">
        <f>EXP(-LN(2)/25)*HH72+(1-EXP(-LN(2)/25))/(LN(2)/25)*Calculateur!HC73*Calculateur!HE73*VLOOKUP('Données projet'!$B$9,Paramètres!$A$1:$I$88,3,0)*0.475*44/12</f>
        <v>0</v>
      </c>
      <c r="HI73" s="23">
        <f>EXP(-LN(2)/2)*HI72+(1-EXP(-LN(2)/2))/(LN(2)/2)*HC73*HF73*VLOOKUP('Données projet'!$B$9,Paramètres!$A$1:$I$88,3,0)*0.475*44/12</f>
        <v>0</v>
      </c>
      <c r="HJ73" s="24">
        <f t="shared" si="94"/>
        <v>0</v>
      </c>
    </row>
    <row r="74" spans="1:218" s="5" customFormat="1" x14ac:dyDescent="0.25">
      <c r="A74" s="11">
        <f t="shared" si="95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4" s="12">
        <f t="shared" si="9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57"/>
        <v>135.66666666666666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1.5783333333333318</v>
      </c>
      <c r="N74" s="14">
        <f>IF(A74&lt;'Données projet'!$A$36,$K$205^A74,IF(A74='Données projet'!$A$36,'Données projet'!$B$36,N73+M74-V73))</f>
        <v>85.940833333333273</v>
      </c>
      <c r="O74" s="14">
        <f>N74*VLOOKUP('Données projet'!$B$9,Paramètres!$A$1:$I$88,3,0)*VLOOKUP('Données projet'!$B$9,Paramètres!$A$1:$I$88,5,0)</f>
        <v>99.003839999999926</v>
      </c>
      <c r="P74" s="14">
        <f t="shared" si="97"/>
        <v>26.724538061641486</v>
      </c>
      <c r="Q74" s="22">
        <f t="shared" si="54"/>
        <v>218.97692512402543</v>
      </c>
      <c r="R74" s="62">
        <f t="shared" si="55"/>
        <v>472.09006702932493</v>
      </c>
      <c r="S74" s="62">
        <f ca="1">AVERAGE(OFFSET($R$3,0,0,'Données projet'!$E$9+1,1))-AVERAGE(OFFSET($H$3,0,0,'Données projet'!$E$9+1,1))</f>
        <v>314.72063458462026</v>
      </c>
      <c r="T74" s="62">
        <f t="shared" si="56"/>
        <v>216.4380325968244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projet'!$B$9,Paramètres!$A$1:$I$88,7,0))</f>
        <v>0</v>
      </c>
      <c r="X74" s="17">
        <f>IF(ISNA(VLOOKUP(A74,'Données projet'!$A$35:$I$55,6,0)),0%,VLOOKUP(A74,'Données projet'!$A$35:$I$55,6,0)*VLOOKUP('Données projet'!$B$9,Paramètres!$A$1:$I$88,7,0))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projet'!$B$9,Paramètres!$A$1:$I$88,3,0)*0.475*44/12</f>
        <v>0</v>
      </c>
      <c r="AA74" s="23">
        <f>EXP(-LN(2)/25)*AA73+(1-EXP(-LN(2)/25))/(LN(2)/25)*Calculateur!V74*Calculateur!X74*VLOOKUP('Données projet'!$B$9,Paramètres!$A$1:$I$88,3,0)*0.475*44/12</f>
        <v>0</v>
      </c>
      <c r="AB74" s="23">
        <f>EXP(-LN(2)/2)*AB73+(1-EXP(-LN(2)/2))/(LN(2)/2)*V74*Y74*VLOOKUP('Données projet'!$B$9,Paramètres!$A$1:$I$88,3,0)*0.475*44/12</f>
        <v>0</v>
      </c>
      <c r="AC74" s="24">
        <f t="shared" si="58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4</v>
      </c>
      <c r="AI74" s="14">
        <f>IF(A74&lt;'Données projet'!$A$62,$AF$205^A74,IF(A74='Données projet'!$A$62,'Données projet'!$B$62,AI73+AH74-AQ73))</f>
        <v>186.99999999999997</v>
      </c>
      <c r="AJ74" s="14">
        <f>AI74*VLOOKUP('Données projet'!$B$10,Paramètres!$A$1:$I$88,3,0)*VLOOKUP('Données projet'!$B$10,Paramètres!$A$1:$I$88,5,0)</f>
        <v>195.45239999999998</v>
      </c>
      <c r="AK74" s="14">
        <f t="shared" si="98"/>
        <v>48.743408969320619</v>
      </c>
      <c r="AL74" s="22">
        <f t="shared" si="59"/>
        <v>425.30770062156671</v>
      </c>
      <c r="AM74" s="62">
        <f t="shared" si="60"/>
        <v>678.42084252686618</v>
      </c>
      <c r="AN74" s="62">
        <f ca="1">AVERAGE(OFFSET($AM$3,0,0,'Données projet'!$E$10+1,1))-AVERAGE(OFFSET($H$3,0,0,'Données projet'!$E$10+1,1))</f>
        <v>458.33072853676879</v>
      </c>
      <c r="AO74" s="62">
        <f t="shared" si="61"/>
        <v>254.1734169352687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projet'!$B$10,Paramètres!$A$1:$I$88,7,0))</f>
        <v>0</v>
      </c>
      <c r="AS74" s="17">
        <f>IF(ISNA(VLOOKUP(A74,'Données projet'!$A$61:$I$81,6,0)),0%,VLOOKUP(A74,'Données projet'!$A$61:$I$81,6,0)*VLOOKUP('Données projet'!$B$10,Paramètres!$A$1:$I$88,7,0))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projet'!$B$9,Paramètres!$A$1:$I$88,3,0)*0.475*44/12</f>
        <v>0</v>
      </c>
      <c r="AV74" s="23">
        <f>EXP(-LN(2)/25)*AV73+(1-EXP(-LN(2)/25))/(LN(2)/25)*Calculateur!AQ74*Calculateur!AS74*VLOOKUP('Données projet'!$B$9,Paramètres!$A$1:$I$88,3,0)*0.475*44/12</f>
        <v>0</v>
      </c>
      <c r="AW74" s="23">
        <f>EXP(-LN(2)/2)*AW73+(1-EXP(-LN(2)/2))/(LN(2)/2)*AQ74*AT74*VLOOKUP('Données projet'!$B$9,Paramètres!$A$1:$I$88,3,0)*0.475*44/12</f>
        <v>0</v>
      </c>
      <c r="AX74" s="23">
        <f t="shared" si="62"/>
        <v>0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4</v>
      </c>
      <c r="BD74" s="13">
        <f>IF(A74&lt;'Données projet'!$A$88,$BA$205^A74,IF(A74='Données projet'!$A$88,'Données projet'!$B$88,BD73+BC74-BL73))</f>
        <v>186.99999999999997</v>
      </c>
      <c r="BE74" s="14">
        <f>BD74*VLOOKUP('Données projet'!$B$11,Paramètres!$A$1:$I$88,3,0)*VLOOKUP('Données projet'!$B$11,Paramètres!$A$1:$I$88,5,0)</f>
        <v>189.61799999999997</v>
      </c>
      <c r="BF74" s="14">
        <f t="shared" si="99"/>
        <v>47.4554881852685</v>
      </c>
      <c r="BG74" s="22">
        <f t="shared" si="63"/>
        <v>412.90299192267588</v>
      </c>
      <c r="BH74" s="62">
        <f t="shared" si="64"/>
        <v>666.01613382797541</v>
      </c>
      <c r="BI74" s="62">
        <f ca="1">AVERAGE(OFFSET($BH$3,0,0,'Données projet'!$E$11+1,1))-AVERAGE(OFFSET($H$3,0,0,'Données projet'!$E$11+1,1))</f>
        <v>447.82618173893104</v>
      </c>
      <c r="BJ74" s="62">
        <f t="shared" si="65"/>
        <v>248.96509970783379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projet'!$B$11,Paramètres!$A$1:$I$88,7,0))</f>
        <v>0</v>
      </c>
      <c r="BN74" s="17">
        <f>IF(ISNA(VLOOKUP(A74,'Données projet'!$A$87:$I$107,6,0)),0%,VLOOKUP(A74,'Données projet'!$A$87:$I$107,6,0)*VLOOKUP('Données projet'!$B$11,Paramètres!$A$1:$I$88,7,0))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projet'!$B$9,Paramètres!$A$1:$I$88,3,0)*0.475*44/12</f>
        <v>0</v>
      </c>
      <c r="BQ74" s="23">
        <f>EXP(-LN(2)/25)*BQ73+(1-EXP(-LN(2)/25))/(LN(2)/25)*Calculateur!BL74*Calculateur!BN74*VLOOKUP('Données projet'!$B$9,Paramètres!$A$1:$I$88,3,0)*0.475*44/12</f>
        <v>0</v>
      </c>
      <c r="BR74" s="23">
        <f>EXP(-LN(2)/2)*BR73+(1-EXP(-LN(2)/2))/(LN(2)/2)*BL74*BO74*VLOOKUP('Données projet'!$B$9,Paramètres!$A$1:$I$88,3,0)*0.475*44/12</f>
        <v>0</v>
      </c>
      <c r="BS74" s="24">
        <f t="shared" si="66"/>
        <v>0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4</v>
      </c>
      <c r="BY74" s="13">
        <f>IF(A74&lt;'Données projet'!$A$114,$BV$205^A74,IF(A74='Données projet'!$A$114,'Données projet'!$B$114,BY73+BX74-CG73))</f>
        <v>186.99999999999997</v>
      </c>
      <c r="BZ74" s="14">
        <f>BY74*VLOOKUP('Données projet'!$B$12,Paramètres!$A$1:$I$88,3,0)*VLOOKUP('Données projet'!$B$12,Paramètres!$A$1:$I$88,5,0)</f>
        <v>201.28679999999997</v>
      </c>
      <c r="CA74" s="14">
        <f t="shared" si="100"/>
        <v>50.026861773677616</v>
      </c>
      <c r="CB74" s="22">
        <f t="shared" si="67"/>
        <v>437.70462758915505</v>
      </c>
      <c r="CC74" s="62">
        <f t="shared" si="68"/>
        <v>690.81776949445452</v>
      </c>
      <c r="CD74" s="62">
        <f ca="1">AVERAGE(OFFSET($CC$3,0,0,'Données projet'!$E$12+1,1))-AVERAGE(OFFSET($H$3,0,0,'Données projet'!$E$12+1,1))</f>
        <v>468.82871618425406</v>
      </c>
      <c r="CE74" s="62">
        <f t="shared" si="69"/>
        <v>259.37818128554397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projet'!$B$12,Paramètres!$A$1:$I$88,7,0))</f>
        <v>0</v>
      </c>
      <c r="CI74" s="17">
        <f>IF(ISNA(VLOOKUP(A74,'Données projet'!$A$113:$I$133,6,0)),0%,VLOOKUP(A74,'Données projet'!$A$113:$I$133,6,0)*VLOOKUP('Données projet'!$B$12,Paramètres!$A$1:$I$88,7,0))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projet'!$B$9,Paramètres!$A$1:$I$88,3,0)*0.475*44/12</f>
        <v>0</v>
      </c>
      <c r="CL74" s="23">
        <f>EXP(-LN(2)/25)*CL73+(1-EXP(-LN(2)/25))/(LN(2)/25)*Calculateur!CG74*Calculateur!CI74*VLOOKUP('Données projet'!$B$9,Paramètres!$A$1:$I$88,3,0)*0.475*44/12</f>
        <v>0</v>
      </c>
      <c r="CM74" s="23">
        <f>EXP(-LN(2)/2)*CM73+(1-EXP(-LN(2)/2))/(LN(2)/2)*CG74*CJ74*VLOOKUP('Données projet'!$B$9,Paramètres!$A$1:$I$88,3,0)*0.475*44/12</f>
        <v>0</v>
      </c>
      <c r="CN74" s="24">
        <f t="shared" si="70"/>
        <v>0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4</v>
      </c>
      <c r="CT74" s="13">
        <f>IF(A74&lt;'Données projet'!$A$140,$CQ$205^A74,IF(A74='Données projet'!$A$140,'Données projet'!$B$140,CT73+CS74-DB73))</f>
        <v>186.99999999999997</v>
      </c>
      <c r="CU74" s="18">
        <f>CT74*VLOOKUP('Données projet'!$B$13,Paramètres!$A$1:$I$88,3,0)*VLOOKUP('Données projet'!$B$13,Paramètres!$A$1:$I$88,5,0)</f>
        <v>160.446</v>
      </c>
      <c r="CV74" s="14">
        <f t="shared" si="101"/>
        <v>40.943095648505754</v>
      </c>
      <c r="CW74" s="22">
        <f t="shared" si="71"/>
        <v>350.7526749211475</v>
      </c>
      <c r="CX74" s="62">
        <f t="shared" si="72"/>
        <v>603.86581682644692</v>
      </c>
      <c r="CY74" s="62">
        <f ca="1">AVERAGE(OFFSET($CX$3,0,0,'Données projet'!$E$13+1,1))-AVERAGE(OFFSET($H$3,0,0,'Données projet'!$E$13+1,1))</f>
        <v>395.19659151668884</v>
      </c>
      <c r="CZ74" s="62">
        <f t="shared" si="73"/>
        <v>222.86563304507339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projet'!$B$13,Paramètres!$A$1:$I$88,7,0))</f>
        <v>0</v>
      </c>
      <c r="DD74" s="17">
        <f>IF(ISNA(VLOOKUP(A74,'Données projet'!$A$139:$I$159,6,0)),0%,VLOOKUP(A74,'Données projet'!$A$139:$I$159,6,0)*VLOOKUP('Données projet'!$B$13,Paramètres!$A$1:$I$88,7,0))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projet'!$B$9,Paramètres!$A$1:$I$88,3,0)*0.475*44/12</f>
        <v>0</v>
      </c>
      <c r="DG74" s="23">
        <f>EXP(-LN(2)/25)*DG73+(1-EXP(-LN(2)/25))/(LN(2)/25)*Calculateur!DB74*Calculateur!DD74*VLOOKUP('Données projet'!$B$9,Paramètres!$A$1:$I$88,3,0)*0.475*44/12</f>
        <v>0</v>
      </c>
      <c r="DH74" s="23">
        <f>EXP(-LN(2)/2)*DH73+(1-EXP(-LN(2)/2))/(LN(2)/2)*DB74*DE74*VLOOKUP('Données projet'!$B$9,Paramètres!$A$1:$I$88,3,0)*0.475*44/12</f>
        <v>0</v>
      </c>
      <c r="DI74" s="24">
        <f t="shared" si="74"/>
        <v>0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4.5999999999999996</v>
      </c>
      <c r="DO74" s="13">
        <f>IF(A74&lt;'Données projet'!$A$166,$DL$205^A74,IF(A74='Données projet'!$A$166,'Données projet'!$B$166,DO73+DN74-DW73))</f>
        <v>47.599999999999994</v>
      </c>
      <c r="DP74" s="18">
        <f>DO74*VLOOKUP('Données projet'!$B$14,Paramètres!$A$1:$I$88,3,0)*VLOOKUP('Données projet'!$B$14,Paramètres!$A$1:$I$88,5,0)</f>
        <v>27.846</v>
      </c>
      <c r="DQ74" s="14">
        <f t="shared" si="102"/>
        <v>8.7125341134088217</v>
      </c>
      <c r="DR74" s="22">
        <f t="shared" si="75"/>
        <v>63.672780247520365</v>
      </c>
      <c r="DS74" s="62">
        <f t="shared" si="76"/>
        <v>316.78592215281981</v>
      </c>
      <c r="DT74" s="62">
        <f ca="1">AVERAGE(OFFSET($DS$3,0,0,'Données projet'!$E$14+1,1))-AVERAGE(OFFSET($H$3,0,0,'Données projet'!$E$14+1,1))</f>
        <v>155.18073137151848</v>
      </c>
      <c r="DU74" s="62">
        <f t="shared" si="77"/>
        <v>115.19459155667272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projet'!$B$14,Paramètres!$A$1:$I$88,7,0))</f>
        <v>0</v>
      </c>
      <c r="DY74" s="17">
        <f>IF(ISNA(VLOOKUP(A74,'Données projet'!$A$165:$I$185,6,0)),0%,VLOOKUP(A74,'Données projet'!$A$165:$I$185,6,0)*VLOOKUP('Données projet'!$B$14,Paramètres!$A$1:$I$88,7,0))</f>
        <v>0</v>
      </c>
      <c r="DZ74" s="17">
        <f>IF(ISNA(VLOOKUP(A74,'Données projet'!$A$165:$I$185,7,0)),0%,VLOOKUP(A74,'Données projet'!$A$165:$I$185,7,0))</f>
        <v>0</v>
      </c>
      <c r="EA74" s="23">
        <f>EXP(-LN(2)/35)*EA73+(1-EXP(-LN(2)/35))/(LN(2)/35)*DW74*DX74*VLOOKUP('Données projet'!$B$9,Paramètres!$A$1:$I$88,3,0)*0.475*44/12</f>
        <v>0</v>
      </c>
      <c r="EB74" s="23">
        <f>EXP(-LN(2)/25)*EB73+(1-EXP(-LN(2)/25))/(LN(2)/25)*Calculateur!DW74*Calculateur!DY74*VLOOKUP('Données projet'!$B$9,Paramètres!$A$1:$I$88,3,0)*0.475*44/12</f>
        <v>0</v>
      </c>
      <c r="EC74" s="23">
        <f>EXP(-LN(2)/2)*EC73+(1-EXP(-LN(2)/2))/(LN(2)/2)*DW74*DZ74*VLOOKUP('Données projet'!$B$9,Paramètres!$A$1:$I$88,3,0)*0.475*44/12</f>
        <v>0</v>
      </c>
      <c r="ED74" s="24">
        <f t="shared" si="78"/>
        <v>0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8.9333333333333336</v>
      </c>
      <c r="EJ74" s="13">
        <f>IF(A74&lt;'Données projet'!$A$192,$EG$205^A74,IF(A74='Données projet'!$A$192,'Données projet'!$B$192,EJ73+EI74-ER73))</f>
        <v>227.26666666666671</v>
      </c>
      <c r="EK74" s="18">
        <f>EJ74*VLOOKUP('Données projet'!$B$15,Paramètres!$A$1:$I$88,3,0)*VLOOKUP('Données projet'!$B$15,Paramètres!$A$1:$I$88,5,0)</f>
        <v>106.36080000000003</v>
      </c>
      <c r="EL74" s="14">
        <f t="shared" si="103"/>
        <v>28.471889036958675</v>
      </c>
      <c r="EM74" s="22">
        <f t="shared" si="79"/>
        <v>234.83360007270304</v>
      </c>
      <c r="EN74" s="62">
        <f t="shared" si="80"/>
        <v>487.94674197800248</v>
      </c>
      <c r="EO74" s="62">
        <f ca="1">AVERAGE(OFFSET($EN$3,0,0,'Données projet'!$E$15+1,1))-AVERAGE(OFFSET($H$3,0,0,'Données projet'!$E$15+1,1))</f>
        <v>238.59014604384171</v>
      </c>
      <c r="EP74" s="62">
        <f t="shared" si="81"/>
        <v>90.841373219575217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projet'!$B$15,Paramètres!$A$1:$I$88,7,0))</f>
        <v>0</v>
      </c>
      <c r="ET74" s="17">
        <f>IF(ISNA(VLOOKUP(A74,'Données projet'!$A$191:$I$211,6,0)),0%,VLOOKUP(A74,'Données projet'!$A$191:$I$211,6,0)*VLOOKUP('Données projet'!$B$15,Paramètres!$A$1:$I$88,7,0))</f>
        <v>0</v>
      </c>
      <c r="EU74" s="17">
        <f>IF(ISNA(VLOOKUP(A74,'Données projet'!$A$191:$I$211,7,0)),0%,VLOOKUP(A74,'Données projet'!$A$191:$I$211,7,0))</f>
        <v>0</v>
      </c>
      <c r="EV74" s="23">
        <f>EXP(-LN(2)/35)*EV73+(1-EXP(-LN(2)/35))/(LN(2)/35)*ER74*ES74*VLOOKUP('Données projet'!$B$9,Paramètres!$A$1:$I$88,3,0)*0.475*44/12</f>
        <v>0</v>
      </c>
      <c r="EW74" s="23">
        <f>EXP(-LN(2)/25)*EW73+(1-EXP(-LN(2)/25))/(LN(2)/25)*Calculateur!ER74*Calculateur!ET74*VLOOKUP('Données projet'!$B$9,Paramètres!$A$1:$I$88,3,0)*0.475*44/12</f>
        <v>0</v>
      </c>
      <c r="EX74" s="23">
        <f>EXP(-LN(2)/2)*EX73+(1-EXP(-LN(2)/2))/(LN(2)/2)*ER74*EU74*VLOOKUP('Données projet'!$B$9,Paramètres!$A$1:$I$88,3,0)*0.475*44/12</f>
        <v>0</v>
      </c>
      <c r="EY74" s="24">
        <f t="shared" si="82"/>
        <v>0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IF(A74&lt;'Données projet'!$A$218,$FB$205^A74,IF(A74='Données projet'!$A$218,'Données projet'!$B$218,FE73+FD74-FM73))</f>
        <v>0</v>
      </c>
      <c r="FF74" s="18" t="e">
        <f>FE74*VLOOKUP('Données projet'!$B$16,Paramètres!$A$1:$I$88,3,0)*VLOOKUP('Données projet'!$B$16,Paramètres!$A$1:$I$88,5,0)</f>
        <v>#N/A</v>
      </c>
      <c r="FG74" s="14" t="e">
        <f t="shared" si="104"/>
        <v>#N/A</v>
      </c>
      <c r="FH74" s="22" t="e">
        <f t="shared" si="83"/>
        <v>#N/A</v>
      </c>
      <c r="FI74" s="62" t="e">
        <f t="shared" si="84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85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projet'!$B$16,Paramètres!$A$1:$I$88,7,0))</f>
        <v>0</v>
      </c>
      <c r="FO74" s="17">
        <f>IF(ISNA(VLOOKUP(A74,'Données projet'!$A$217:$I$237,6,0)),0%,VLOOKUP(A74,'Données projet'!$A$217:$I$237,6,0)*VLOOKUP('Données projet'!$B$16,Paramètres!$A$1:$I$88,7,0))</f>
        <v>0</v>
      </c>
      <c r="FP74" s="17">
        <f>IF(ISNA(VLOOKUP(A74,'Données projet'!$A$217:$I$237,7,0)),0%,VLOOKUP(A74,'Données projet'!$A$217:$I$237,7,0))</f>
        <v>0</v>
      </c>
      <c r="FQ74" s="23">
        <f>EXP(-LN(2)/35)*FQ73+(1-EXP(-LN(2)/35))/(LN(2)/35)*FM74*FN74*VLOOKUP('Données projet'!$B$9,Paramètres!$A$1:$I$88,3,0)*0.475*44/12</f>
        <v>0</v>
      </c>
      <c r="FR74" s="23">
        <f>EXP(-LN(2)/25)*FR73+(1-EXP(-LN(2)/25))/(LN(2)/25)*Calculateur!FM74*Calculateur!FO74*VLOOKUP('Données projet'!$B$9,Paramètres!$A$1:$I$88,3,0)*0.475*44/12</f>
        <v>0</v>
      </c>
      <c r="FS74" s="23">
        <f>EXP(-LN(2)/2)*FS73+(1-EXP(-LN(2)/2))/(LN(2)/2)*FM74*FP74*VLOOKUP('Données projet'!$B$9,Paramètres!$A$1:$I$88,3,0)*0.475*44/12</f>
        <v>0</v>
      </c>
      <c r="FT74" s="24">
        <f t="shared" si="86"/>
        <v>0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IF(A74&lt;'Données projet'!$A$244,$FW$205^A74,IF(A74='Données projet'!$A$244,'Données projet'!$B$244,FZ73+FY74-GH73))</f>
        <v>0</v>
      </c>
      <c r="GA74" s="18" t="e">
        <f>FZ74*VLOOKUP('Données projet'!$B$17,Paramètres!$A$1:$I$88,3,0)*VLOOKUP('Données projet'!$B$17,Paramètres!$A$1:$I$88,5,0)</f>
        <v>#N/A</v>
      </c>
      <c r="GB74" s="14" t="e">
        <f t="shared" si="105"/>
        <v>#N/A</v>
      </c>
      <c r="GC74" s="22" t="e">
        <f t="shared" si="87"/>
        <v>#N/A</v>
      </c>
      <c r="GD74" s="62" t="e">
        <f t="shared" si="88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89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projet'!$B$17,Paramètres!$A$1:$I$88,7,0))</f>
        <v>0</v>
      </c>
      <c r="GJ74" s="17">
        <f>IF(ISNA(VLOOKUP(A74,'Données projet'!$A$243:$I$263,6,0)),0%,VLOOKUP(A74,'Données projet'!$A$243:$I$263,6,0)*VLOOKUP('Données projet'!$B$17,Paramètres!$A$1:$I$88,7,0))</f>
        <v>0</v>
      </c>
      <c r="GK74" s="17">
        <f>IF(ISNA(VLOOKUP(A74,'Données projet'!$A$243:$I$263,7,0)),0%,VLOOKUP(A74,'Données projet'!$A$243:$I$263,7,0))</f>
        <v>0</v>
      </c>
      <c r="GL74" s="23">
        <f>EXP(-LN(2)/35)*GL73+(1-EXP(-LN(2)/35))/(LN(2)/35)*GH74*GI74*VLOOKUP('Données projet'!$B$9,Paramètres!$A$1:$I$88,3,0)*0.475*44/12</f>
        <v>0</v>
      </c>
      <c r="GM74" s="23">
        <f>EXP(-LN(2)/25)*GM73+(1-EXP(-LN(2)/25))/(LN(2)/25)*Calculateur!GH74*Calculateur!GJ74*VLOOKUP('Données projet'!$B$9,Paramètres!$A$1:$I$88,3,0)*0.475*44/12</f>
        <v>0</v>
      </c>
      <c r="GN74" s="23">
        <f>EXP(-LN(2)/2)*GN73+(1-EXP(-LN(2)/2))/(LN(2)/2)*GH74*GK74*VLOOKUP('Données projet'!$B$9,Paramètres!$A$1:$I$88,3,0)*0.475*44/12</f>
        <v>0</v>
      </c>
      <c r="GO74" s="23">
        <f t="shared" si="90"/>
        <v>0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IF(A74&lt;'Données projet'!$A$270,$GR$205^A74,IF(A74='Données projet'!$A$270,'Données projet'!$B$270,GU73+GT74-HC73))</f>
        <v>0</v>
      </c>
      <c r="GV74" s="18" t="e">
        <f>GU74*VLOOKUP('Données projet'!$B$18,Paramètres!$A$1:$I$88,3,0)*VLOOKUP('Données projet'!$B$18,Paramètres!$A$1:$I$88,5,0)</f>
        <v>#N/A</v>
      </c>
      <c r="GW74" s="14" t="e">
        <f t="shared" si="106"/>
        <v>#N/A</v>
      </c>
      <c r="GX74" s="22" t="e">
        <f t="shared" si="91"/>
        <v>#N/A</v>
      </c>
      <c r="GY74" s="62" t="e">
        <f t="shared" si="92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93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projet'!$B$18,Paramètres!$A$1:$I$88,7,0))</f>
        <v>0</v>
      </c>
      <c r="HE74" s="17">
        <f>IF(ISNA(VLOOKUP(A74,'Données projet'!$A$269:$I$289,6,0)),0%,VLOOKUP(A74,'Données projet'!$A$269:$I$289,6,0)*VLOOKUP('Données projet'!$B$18,Paramètres!$A$1:$I$88,7,0))</f>
        <v>0</v>
      </c>
      <c r="HF74" s="17">
        <f>IF(ISNA(VLOOKUP(A74,'Données projet'!$A$269:$I$289,7,0)),0%,VLOOKUP(A74,'Données projet'!$A$269:$I$289,7,0))</f>
        <v>0</v>
      </c>
      <c r="HG74" s="23">
        <f>EXP(-LN(2)/35)*HG73+(1-EXP(-LN(2)/35))/(LN(2)/35)*HC74*HD74*VLOOKUP('Données projet'!$B$9,Paramètres!$A$1:$I$88,3,0)*0.475*44/12</f>
        <v>0</v>
      </c>
      <c r="HH74" s="23">
        <f>EXP(-LN(2)/25)*HH73+(1-EXP(-LN(2)/25))/(LN(2)/25)*Calculateur!HC74*Calculateur!HE74*VLOOKUP('Données projet'!$B$9,Paramètres!$A$1:$I$88,3,0)*0.475*44/12</f>
        <v>0</v>
      </c>
      <c r="HI74" s="23">
        <f>EXP(-LN(2)/2)*HI73+(1-EXP(-LN(2)/2))/(LN(2)/2)*HC74*HF74*VLOOKUP('Données projet'!$B$9,Paramètres!$A$1:$I$88,3,0)*0.475*44/12</f>
        <v>0</v>
      </c>
      <c r="HJ74" s="24">
        <f t="shared" si="94"/>
        <v>0</v>
      </c>
    </row>
    <row r="75" spans="1:218" s="5" customFormat="1" x14ac:dyDescent="0.25">
      <c r="A75" s="11">
        <f t="shared" si="95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5" s="12">
        <f t="shared" si="9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57"/>
        <v>135.66666666666666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1.5783333333333318</v>
      </c>
      <c r="N75" s="14">
        <f>IF(A75&lt;'Données projet'!$A$36,$K$205^A75,IF(A75='Données projet'!$A$36,'Données projet'!$B$36,N74+M75-V74))</f>
        <v>87.519166666666607</v>
      </c>
      <c r="O75" s="14">
        <f>N75*VLOOKUP('Données projet'!$B$9,Paramètres!$A$1:$I$88,3,0)*VLOOKUP('Données projet'!$B$9,Paramètres!$A$1:$I$88,5,0)</f>
        <v>100.82207999999993</v>
      </c>
      <c r="P75" s="14">
        <f t="shared" si="97"/>
        <v>27.157753353396636</v>
      </c>
      <c r="Q75" s="22">
        <f t="shared" si="54"/>
        <v>222.89820975716569</v>
      </c>
      <c r="R75" s="62">
        <f t="shared" si="55"/>
        <v>476.70908206486433</v>
      </c>
      <c r="S75" s="62">
        <f ca="1">AVERAGE(OFFSET($R$3,0,0,'Données projet'!$E$9+1,1))-AVERAGE(OFFSET($H$3,0,0,'Données projet'!$E$9+1,1))</f>
        <v>314.72063458462026</v>
      </c>
      <c r="T75" s="62">
        <f t="shared" si="56"/>
        <v>216.4380325968244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projet'!$B$9,Paramètres!$A$1:$I$88,7,0))</f>
        <v>0</v>
      </c>
      <c r="X75" s="17">
        <f>IF(ISNA(VLOOKUP(A75,'Données projet'!$A$35:$I$55,6,0)),0%,VLOOKUP(A75,'Données projet'!$A$35:$I$55,6,0)*VLOOKUP('Données projet'!$B$9,Paramètres!$A$1:$I$88,7,0))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projet'!$B$9,Paramètres!$A$1:$I$88,3,0)*0.475*44/12</f>
        <v>0</v>
      </c>
      <c r="AA75" s="23">
        <f>EXP(-LN(2)/25)*AA74+(1-EXP(-LN(2)/25))/(LN(2)/25)*Calculateur!V75*Calculateur!X75*VLOOKUP('Données projet'!$B$9,Paramètres!$A$1:$I$88,3,0)*0.475*44/12</f>
        <v>0</v>
      </c>
      <c r="AB75" s="23">
        <f>EXP(-LN(2)/2)*AB74+(1-EXP(-LN(2)/2))/(LN(2)/2)*V75*Y75*VLOOKUP('Données projet'!$B$9,Paramètres!$A$1:$I$88,3,0)*0.475*44/12</f>
        <v>0</v>
      </c>
      <c r="AC75" s="24">
        <f t="shared" si="58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4</v>
      </c>
      <c r="AI75" s="14">
        <f>IF(A75&lt;'Données projet'!$A$62,$AF$205^A75,IF(A75='Données projet'!$A$62,'Données projet'!$B$62,AI74+AH75-AQ74))</f>
        <v>190.99999999999997</v>
      </c>
      <c r="AJ75" s="14">
        <f>AI75*VLOOKUP('Données projet'!$B$10,Paramètres!$A$1:$I$88,3,0)*VLOOKUP('Données projet'!$B$10,Paramètres!$A$1:$I$88,5,0)</f>
        <v>199.63319999999999</v>
      </c>
      <c r="AK75" s="14">
        <f t="shared" si="98"/>
        <v>49.663547577057855</v>
      </c>
      <c r="AL75" s="22">
        <f t="shared" si="59"/>
        <v>434.19183536337567</v>
      </c>
      <c r="AM75" s="62">
        <f t="shared" si="60"/>
        <v>688.0027076710744</v>
      </c>
      <c r="AN75" s="62">
        <f ca="1">AVERAGE(OFFSET($AM$3,0,0,'Données projet'!$E$10+1,1))-AVERAGE(OFFSET($H$3,0,0,'Données projet'!$E$10+1,1))</f>
        <v>458.33072853676879</v>
      </c>
      <c r="AO75" s="62">
        <f t="shared" si="61"/>
        <v>254.1734169352687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projet'!$B$10,Paramètres!$A$1:$I$88,7,0))</f>
        <v>0</v>
      </c>
      <c r="AS75" s="17">
        <f>IF(ISNA(VLOOKUP(A75,'Données projet'!$A$61:$I$81,6,0)),0%,VLOOKUP(A75,'Données projet'!$A$61:$I$81,6,0)*VLOOKUP('Données projet'!$B$10,Paramètres!$A$1:$I$88,7,0))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projet'!$B$9,Paramètres!$A$1:$I$88,3,0)*0.475*44/12</f>
        <v>0</v>
      </c>
      <c r="AV75" s="23">
        <f>EXP(-LN(2)/25)*AV74+(1-EXP(-LN(2)/25))/(LN(2)/25)*Calculateur!AQ75*Calculateur!AS75*VLOOKUP('Données projet'!$B$9,Paramètres!$A$1:$I$88,3,0)*0.475*44/12</f>
        <v>0</v>
      </c>
      <c r="AW75" s="23">
        <f>EXP(-LN(2)/2)*AW74+(1-EXP(-LN(2)/2))/(LN(2)/2)*AQ75*AT75*VLOOKUP('Données projet'!$B$9,Paramètres!$A$1:$I$88,3,0)*0.475*44/12</f>
        <v>0</v>
      </c>
      <c r="AX75" s="23">
        <f t="shared" si="62"/>
        <v>0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4</v>
      </c>
      <c r="BD75" s="13">
        <f>IF(A75&lt;'Données projet'!$A$88,$BA$205^A75,IF(A75='Données projet'!$A$88,'Données projet'!$B$88,BD74+BC75-BL74))</f>
        <v>190.99999999999997</v>
      </c>
      <c r="BE75" s="14">
        <f>BD75*VLOOKUP('Données projet'!$B$11,Paramètres!$A$1:$I$88,3,0)*VLOOKUP('Données projet'!$B$11,Paramètres!$A$1:$I$88,5,0)</f>
        <v>193.67400000000001</v>
      </c>
      <c r="BF75" s="14">
        <f t="shared" si="99"/>
        <v>48.351314467254007</v>
      </c>
      <c r="BG75" s="22">
        <f t="shared" si="63"/>
        <v>421.52742269713411</v>
      </c>
      <c r="BH75" s="62">
        <f t="shared" si="64"/>
        <v>675.33829500483284</v>
      </c>
      <c r="BI75" s="62">
        <f ca="1">AVERAGE(OFFSET($BH$3,0,0,'Données projet'!$E$11+1,1))-AVERAGE(OFFSET($H$3,0,0,'Données projet'!$E$11+1,1))</f>
        <v>447.82618173893104</v>
      </c>
      <c r="BJ75" s="62">
        <f t="shared" si="65"/>
        <v>248.96509970783379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projet'!$B$11,Paramètres!$A$1:$I$88,7,0))</f>
        <v>0</v>
      </c>
      <c r="BN75" s="17">
        <f>IF(ISNA(VLOOKUP(A75,'Données projet'!$A$87:$I$107,6,0)),0%,VLOOKUP(A75,'Données projet'!$A$87:$I$107,6,0)*VLOOKUP('Données projet'!$B$11,Paramètres!$A$1:$I$88,7,0))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projet'!$B$9,Paramètres!$A$1:$I$88,3,0)*0.475*44/12</f>
        <v>0</v>
      </c>
      <c r="BQ75" s="23">
        <f>EXP(-LN(2)/25)*BQ74+(1-EXP(-LN(2)/25))/(LN(2)/25)*Calculateur!BL75*Calculateur!BN75*VLOOKUP('Données projet'!$B$9,Paramètres!$A$1:$I$88,3,0)*0.475*44/12</f>
        <v>0</v>
      </c>
      <c r="BR75" s="23">
        <f>EXP(-LN(2)/2)*BR74+(1-EXP(-LN(2)/2))/(LN(2)/2)*BL75*BO75*VLOOKUP('Données projet'!$B$9,Paramètres!$A$1:$I$88,3,0)*0.475*44/12</f>
        <v>0</v>
      </c>
      <c r="BS75" s="24">
        <f t="shared" si="66"/>
        <v>0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4</v>
      </c>
      <c r="BY75" s="13">
        <f>IF(A75&lt;'Données projet'!$A$114,$BV$205^A75,IF(A75='Données projet'!$A$114,'Données projet'!$B$114,BY74+BX75-CG74))</f>
        <v>190.99999999999997</v>
      </c>
      <c r="BZ75" s="14">
        <f>BY75*VLOOKUP('Données projet'!$B$12,Paramètres!$A$1:$I$88,3,0)*VLOOKUP('Données projet'!$B$12,Paramètres!$A$1:$I$88,5,0)</f>
        <v>205.59239999999994</v>
      </c>
      <c r="CA75" s="14">
        <f t="shared" si="100"/>
        <v>50.971228364263631</v>
      </c>
      <c r="CB75" s="22">
        <f t="shared" si="67"/>
        <v>446.84831940109234</v>
      </c>
      <c r="CC75" s="62">
        <f t="shared" si="68"/>
        <v>700.65919170879101</v>
      </c>
      <c r="CD75" s="62">
        <f ca="1">AVERAGE(OFFSET($CC$3,0,0,'Données projet'!$E$12+1,1))-AVERAGE(OFFSET($H$3,0,0,'Données projet'!$E$12+1,1))</f>
        <v>468.82871618425406</v>
      </c>
      <c r="CE75" s="62">
        <f t="shared" si="69"/>
        <v>259.37818128554397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projet'!$B$12,Paramètres!$A$1:$I$88,7,0))</f>
        <v>0</v>
      </c>
      <c r="CI75" s="17">
        <f>IF(ISNA(VLOOKUP(A75,'Données projet'!$A$113:$I$133,6,0)),0%,VLOOKUP(A75,'Données projet'!$A$113:$I$133,6,0)*VLOOKUP('Données projet'!$B$12,Paramètres!$A$1:$I$88,7,0))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projet'!$B$9,Paramètres!$A$1:$I$88,3,0)*0.475*44/12</f>
        <v>0</v>
      </c>
      <c r="CL75" s="23">
        <f>EXP(-LN(2)/25)*CL74+(1-EXP(-LN(2)/25))/(LN(2)/25)*Calculateur!CG75*Calculateur!CI75*VLOOKUP('Données projet'!$B$9,Paramètres!$A$1:$I$88,3,0)*0.475*44/12</f>
        <v>0</v>
      </c>
      <c r="CM75" s="23">
        <f>EXP(-LN(2)/2)*CM74+(1-EXP(-LN(2)/2))/(LN(2)/2)*CG75*CJ75*VLOOKUP('Données projet'!$B$9,Paramètres!$A$1:$I$88,3,0)*0.475*44/12</f>
        <v>0</v>
      </c>
      <c r="CN75" s="24">
        <f t="shared" si="70"/>
        <v>0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4</v>
      </c>
      <c r="CT75" s="13">
        <f>IF(A75&lt;'Données projet'!$A$140,$CQ$205^A75,IF(A75='Données projet'!$A$140,'Données projet'!$B$140,CT74+CS75-DB74))</f>
        <v>190.99999999999997</v>
      </c>
      <c r="CU75" s="18">
        <f>CT75*VLOOKUP('Données projet'!$B$13,Paramètres!$A$1:$I$88,3,0)*VLOOKUP('Données projet'!$B$13,Paramètres!$A$1:$I$88,5,0)</f>
        <v>163.87800000000001</v>
      </c>
      <c r="CV75" s="14">
        <f t="shared" si="101"/>
        <v>41.715986257165973</v>
      </c>
      <c r="CW75" s="22">
        <f t="shared" si="71"/>
        <v>358.07619273123078</v>
      </c>
      <c r="CX75" s="62">
        <f t="shared" si="72"/>
        <v>611.88706503892945</v>
      </c>
      <c r="CY75" s="62">
        <f ca="1">AVERAGE(OFFSET($CX$3,0,0,'Données projet'!$E$13+1,1))-AVERAGE(OFFSET($H$3,0,0,'Données projet'!$E$13+1,1))</f>
        <v>395.19659151668884</v>
      </c>
      <c r="CZ75" s="62">
        <f t="shared" si="73"/>
        <v>222.86563304507339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projet'!$B$13,Paramètres!$A$1:$I$88,7,0))</f>
        <v>0</v>
      </c>
      <c r="DD75" s="17">
        <f>IF(ISNA(VLOOKUP(A75,'Données projet'!$A$139:$I$159,6,0)),0%,VLOOKUP(A75,'Données projet'!$A$139:$I$159,6,0)*VLOOKUP('Données projet'!$B$13,Paramètres!$A$1:$I$88,7,0))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projet'!$B$9,Paramètres!$A$1:$I$88,3,0)*0.475*44/12</f>
        <v>0</v>
      </c>
      <c r="DG75" s="23">
        <f>EXP(-LN(2)/25)*DG74+(1-EXP(-LN(2)/25))/(LN(2)/25)*Calculateur!DB75*Calculateur!DD75*VLOOKUP('Données projet'!$B$9,Paramètres!$A$1:$I$88,3,0)*0.475*44/12</f>
        <v>0</v>
      </c>
      <c r="DH75" s="23">
        <f>EXP(-LN(2)/2)*DH74+(1-EXP(-LN(2)/2))/(LN(2)/2)*DB75*DE75*VLOOKUP('Données projet'!$B$9,Paramètres!$A$1:$I$88,3,0)*0.475*44/12</f>
        <v>0</v>
      </c>
      <c r="DI75" s="24">
        <f t="shared" si="74"/>
        <v>0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4.5999999999999996</v>
      </c>
      <c r="DO75" s="13">
        <f>IF(A75&lt;'Données projet'!$A$166,$DL$205^A75,IF(A75='Données projet'!$A$166,'Données projet'!$B$166,DO74+DN75-DW74))</f>
        <v>52.199999999999996</v>
      </c>
      <c r="DP75" s="18">
        <f>DO75*VLOOKUP('Données projet'!$B$14,Paramètres!$A$1:$I$88,3,0)*VLOOKUP('Données projet'!$B$14,Paramètres!$A$1:$I$88,5,0)</f>
        <v>30.536999999999999</v>
      </c>
      <c r="DQ75" s="14">
        <f t="shared" si="102"/>
        <v>9.4524555677402287</v>
      </c>
      <c r="DR75" s="22">
        <f t="shared" si="75"/>
        <v>69.648301780480892</v>
      </c>
      <c r="DS75" s="62">
        <f t="shared" si="76"/>
        <v>323.45917408817957</v>
      </c>
      <c r="DT75" s="62">
        <f ca="1">AVERAGE(OFFSET($DS$3,0,0,'Données projet'!$E$14+1,1))-AVERAGE(OFFSET($H$3,0,0,'Données projet'!$E$14+1,1))</f>
        <v>155.18073137151848</v>
      </c>
      <c r="DU75" s="62">
        <f t="shared" si="77"/>
        <v>115.19459155667272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projet'!$B$14,Paramètres!$A$1:$I$88,7,0))</f>
        <v>0</v>
      </c>
      <c r="DY75" s="17">
        <f>IF(ISNA(VLOOKUP(A75,'Données projet'!$A$165:$I$185,6,0)),0%,VLOOKUP(A75,'Données projet'!$A$165:$I$185,6,0)*VLOOKUP('Données projet'!$B$14,Paramètres!$A$1:$I$88,7,0))</f>
        <v>0</v>
      </c>
      <c r="DZ75" s="17">
        <f>IF(ISNA(VLOOKUP(A75,'Données projet'!$A$165:$I$185,7,0)),0%,VLOOKUP(A75,'Données projet'!$A$165:$I$185,7,0))</f>
        <v>0</v>
      </c>
      <c r="EA75" s="23">
        <f>EXP(-LN(2)/35)*EA74+(1-EXP(-LN(2)/35))/(LN(2)/35)*DW75*DX75*VLOOKUP('Données projet'!$B$9,Paramètres!$A$1:$I$88,3,0)*0.475*44/12</f>
        <v>0</v>
      </c>
      <c r="EB75" s="23">
        <f>EXP(-LN(2)/25)*EB74+(1-EXP(-LN(2)/25))/(LN(2)/25)*Calculateur!DW75*Calculateur!DY75*VLOOKUP('Données projet'!$B$9,Paramètres!$A$1:$I$88,3,0)*0.475*44/12</f>
        <v>0</v>
      </c>
      <c r="EC75" s="23">
        <f>EXP(-LN(2)/2)*EC74+(1-EXP(-LN(2)/2))/(LN(2)/2)*DW75*DZ75*VLOOKUP('Données projet'!$B$9,Paramètres!$A$1:$I$88,3,0)*0.475*44/12</f>
        <v>0</v>
      </c>
      <c r="ED75" s="24">
        <f t="shared" si="78"/>
        <v>0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8.9333333333333336</v>
      </c>
      <c r="EJ75" s="13">
        <f>IF(A75&lt;'Données projet'!$A$192,$EG$205^A75,IF(A75='Données projet'!$A$192,'Données projet'!$B$192,EJ74+EI75-ER74))</f>
        <v>236.20000000000005</v>
      </c>
      <c r="EK75" s="18">
        <f>EJ75*VLOOKUP('Données projet'!$B$15,Paramètres!$A$1:$I$88,3,0)*VLOOKUP('Données projet'!$B$15,Paramètres!$A$1:$I$88,5,0)</f>
        <v>110.54160000000002</v>
      </c>
      <c r="EL75" s="14">
        <f t="shared" si="103"/>
        <v>29.458553257722219</v>
      </c>
      <c r="EM75" s="22">
        <f t="shared" si="79"/>
        <v>243.83360025719958</v>
      </c>
      <c r="EN75" s="62">
        <f t="shared" si="80"/>
        <v>497.64447256489825</v>
      </c>
      <c r="EO75" s="62">
        <f ca="1">AVERAGE(OFFSET($EN$3,0,0,'Données projet'!$E$15+1,1))-AVERAGE(OFFSET($H$3,0,0,'Données projet'!$E$15+1,1))</f>
        <v>238.59014604384171</v>
      </c>
      <c r="EP75" s="62">
        <f t="shared" si="81"/>
        <v>90.841373219575217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projet'!$B$15,Paramètres!$A$1:$I$88,7,0))</f>
        <v>0</v>
      </c>
      <c r="ET75" s="17">
        <f>IF(ISNA(VLOOKUP(A75,'Données projet'!$A$191:$I$211,6,0)),0%,VLOOKUP(A75,'Données projet'!$A$191:$I$211,6,0)*VLOOKUP('Données projet'!$B$15,Paramètres!$A$1:$I$88,7,0))</f>
        <v>0</v>
      </c>
      <c r="EU75" s="17">
        <f>IF(ISNA(VLOOKUP(A75,'Données projet'!$A$191:$I$211,7,0)),0%,VLOOKUP(A75,'Données projet'!$A$191:$I$211,7,0))</f>
        <v>0</v>
      </c>
      <c r="EV75" s="23">
        <f>EXP(-LN(2)/35)*EV74+(1-EXP(-LN(2)/35))/(LN(2)/35)*ER75*ES75*VLOOKUP('Données projet'!$B$9,Paramètres!$A$1:$I$88,3,0)*0.475*44/12</f>
        <v>0</v>
      </c>
      <c r="EW75" s="23">
        <f>EXP(-LN(2)/25)*EW74+(1-EXP(-LN(2)/25))/(LN(2)/25)*Calculateur!ER75*Calculateur!ET75*VLOOKUP('Données projet'!$B$9,Paramètres!$A$1:$I$88,3,0)*0.475*44/12</f>
        <v>0</v>
      </c>
      <c r="EX75" s="23">
        <f>EXP(-LN(2)/2)*EX74+(1-EXP(-LN(2)/2))/(LN(2)/2)*ER75*EU75*VLOOKUP('Données projet'!$B$9,Paramètres!$A$1:$I$88,3,0)*0.475*44/12</f>
        <v>0</v>
      </c>
      <c r="EY75" s="24">
        <f t="shared" si="82"/>
        <v>0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IF(A75&lt;'Données projet'!$A$218,$FB$205^A75,IF(A75='Données projet'!$A$218,'Données projet'!$B$218,FE74+FD75-FM74))</f>
        <v>0</v>
      </c>
      <c r="FF75" s="18" t="e">
        <f>FE75*VLOOKUP('Données projet'!$B$16,Paramètres!$A$1:$I$88,3,0)*VLOOKUP('Données projet'!$B$16,Paramètres!$A$1:$I$88,5,0)</f>
        <v>#N/A</v>
      </c>
      <c r="FG75" s="14" t="e">
        <f t="shared" si="104"/>
        <v>#N/A</v>
      </c>
      <c r="FH75" s="22" t="e">
        <f t="shared" si="83"/>
        <v>#N/A</v>
      </c>
      <c r="FI75" s="62" t="e">
        <f t="shared" si="84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85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projet'!$B$16,Paramètres!$A$1:$I$88,7,0))</f>
        <v>0</v>
      </c>
      <c r="FO75" s="17">
        <f>IF(ISNA(VLOOKUP(A75,'Données projet'!$A$217:$I$237,6,0)),0%,VLOOKUP(A75,'Données projet'!$A$217:$I$237,6,0)*VLOOKUP('Données projet'!$B$16,Paramètres!$A$1:$I$88,7,0))</f>
        <v>0</v>
      </c>
      <c r="FP75" s="17">
        <f>IF(ISNA(VLOOKUP(A75,'Données projet'!$A$217:$I$237,7,0)),0%,VLOOKUP(A75,'Données projet'!$A$217:$I$237,7,0))</f>
        <v>0</v>
      </c>
      <c r="FQ75" s="23">
        <f>EXP(-LN(2)/35)*FQ74+(1-EXP(-LN(2)/35))/(LN(2)/35)*FM75*FN75*VLOOKUP('Données projet'!$B$9,Paramètres!$A$1:$I$88,3,0)*0.475*44/12</f>
        <v>0</v>
      </c>
      <c r="FR75" s="23">
        <f>EXP(-LN(2)/25)*FR74+(1-EXP(-LN(2)/25))/(LN(2)/25)*Calculateur!FM75*Calculateur!FO75*VLOOKUP('Données projet'!$B$9,Paramètres!$A$1:$I$88,3,0)*0.475*44/12</f>
        <v>0</v>
      </c>
      <c r="FS75" s="23">
        <f>EXP(-LN(2)/2)*FS74+(1-EXP(-LN(2)/2))/(LN(2)/2)*FM75*FP75*VLOOKUP('Données projet'!$B$9,Paramètres!$A$1:$I$88,3,0)*0.475*44/12</f>
        <v>0</v>
      </c>
      <c r="FT75" s="24">
        <f t="shared" si="86"/>
        <v>0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IF(A75&lt;'Données projet'!$A$244,$FW$205^A75,IF(A75='Données projet'!$A$244,'Données projet'!$B$244,FZ74+FY75-GH74))</f>
        <v>0</v>
      </c>
      <c r="GA75" s="18" t="e">
        <f>FZ75*VLOOKUP('Données projet'!$B$17,Paramètres!$A$1:$I$88,3,0)*VLOOKUP('Données projet'!$B$17,Paramètres!$A$1:$I$88,5,0)</f>
        <v>#N/A</v>
      </c>
      <c r="GB75" s="14" t="e">
        <f t="shared" si="105"/>
        <v>#N/A</v>
      </c>
      <c r="GC75" s="22" t="e">
        <f t="shared" si="87"/>
        <v>#N/A</v>
      </c>
      <c r="GD75" s="62" t="e">
        <f t="shared" si="88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89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projet'!$B$17,Paramètres!$A$1:$I$88,7,0))</f>
        <v>0</v>
      </c>
      <c r="GJ75" s="17">
        <f>IF(ISNA(VLOOKUP(A75,'Données projet'!$A$243:$I$263,6,0)),0%,VLOOKUP(A75,'Données projet'!$A$243:$I$263,6,0)*VLOOKUP('Données projet'!$B$17,Paramètres!$A$1:$I$88,7,0))</f>
        <v>0</v>
      </c>
      <c r="GK75" s="17">
        <f>IF(ISNA(VLOOKUP(A75,'Données projet'!$A$243:$I$263,7,0)),0%,VLOOKUP(A75,'Données projet'!$A$243:$I$263,7,0))</f>
        <v>0</v>
      </c>
      <c r="GL75" s="23">
        <f>EXP(-LN(2)/35)*GL74+(1-EXP(-LN(2)/35))/(LN(2)/35)*GH75*GI75*VLOOKUP('Données projet'!$B$9,Paramètres!$A$1:$I$88,3,0)*0.475*44/12</f>
        <v>0</v>
      </c>
      <c r="GM75" s="23">
        <f>EXP(-LN(2)/25)*GM74+(1-EXP(-LN(2)/25))/(LN(2)/25)*Calculateur!GH75*Calculateur!GJ75*VLOOKUP('Données projet'!$B$9,Paramètres!$A$1:$I$88,3,0)*0.475*44/12</f>
        <v>0</v>
      </c>
      <c r="GN75" s="23">
        <f>EXP(-LN(2)/2)*GN74+(1-EXP(-LN(2)/2))/(LN(2)/2)*GH75*GK75*VLOOKUP('Données projet'!$B$9,Paramètres!$A$1:$I$88,3,0)*0.475*44/12</f>
        <v>0</v>
      </c>
      <c r="GO75" s="23">
        <f t="shared" si="90"/>
        <v>0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IF(A75&lt;'Données projet'!$A$270,$GR$205^A75,IF(A75='Données projet'!$A$270,'Données projet'!$B$270,GU74+GT75-HC74))</f>
        <v>0</v>
      </c>
      <c r="GV75" s="18" t="e">
        <f>GU75*VLOOKUP('Données projet'!$B$18,Paramètres!$A$1:$I$88,3,0)*VLOOKUP('Données projet'!$B$18,Paramètres!$A$1:$I$88,5,0)</f>
        <v>#N/A</v>
      </c>
      <c r="GW75" s="14" t="e">
        <f t="shared" si="106"/>
        <v>#N/A</v>
      </c>
      <c r="GX75" s="22" t="e">
        <f t="shared" si="91"/>
        <v>#N/A</v>
      </c>
      <c r="GY75" s="62" t="e">
        <f t="shared" si="92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93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projet'!$B$18,Paramètres!$A$1:$I$88,7,0))</f>
        <v>0</v>
      </c>
      <c r="HE75" s="17">
        <f>IF(ISNA(VLOOKUP(A75,'Données projet'!$A$269:$I$289,6,0)),0%,VLOOKUP(A75,'Données projet'!$A$269:$I$289,6,0)*VLOOKUP('Données projet'!$B$18,Paramètres!$A$1:$I$88,7,0))</f>
        <v>0</v>
      </c>
      <c r="HF75" s="17">
        <f>IF(ISNA(VLOOKUP(A75,'Données projet'!$A$269:$I$289,7,0)),0%,VLOOKUP(A75,'Données projet'!$A$269:$I$289,7,0))</f>
        <v>0</v>
      </c>
      <c r="HG75" s="23">
        <f>EXP(-LN(2)/35)*HG74+(1-EXP(-LN(2)/35))/(LN(2)/35)*HC75*HD75*VLOOKUP('Données projet'!$B$9,Paramètres!$A$1:$I$88,3,0)*0.475*44/12</f>
        <v>0</v>
      </c>
      <c r="HH75" s="23">
        <f>EXP(-LN(2)/25)*HH74+(1-EXP(-LN(2)/25))/(LN(2)/25)*Calculateur!HC75*Calculateur!HE75*VLOOKUP('Données projet'!$B$9,Paramètres!$A$1:$I$88,3,0)*0.475*44/12</f>
        <v>0</v>
      </c>
      <c r="HI75" s="23">
        <f>EXP(-LN(2)/2)*HI74+(1-EXP(-LN(2)/2))/(LN(2)/2)*HC75*HF75*VLOOKUP('Données projet'!$B$9,Paramètres!$A$1:$I$88,3,0)*0.475*44/12</f>
        <v>0</v>
      </c>
      <c r="HJ75" s="24">
        <f t="shared" si="94"/>
        <v>0</v>
      </c>
    </row>
    <row r="76" spans="1:218" s="5" customFormat="1" x14ac:dyDescent="0.25">
      <c r="A76" s="11">
        <f t="shared" si="95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6" s="12">
        <f t="shared" si="9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57"/>
        <v>135.66666666666666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1.5783333333333318</v>
      </c>
      <c r="N76" s="14">
        <f>IF(A76&lt;'Données projet'!$A$36,$K$205^A76,IF(A76='Données projet'!$A$36,'Données projet'!$B$36,N75+M76-V75))</f>
        <v>89.09749999999994</v>
      </c>
      <c r="O76" s="14">
        <f>N76*VLOOKUP('Données projet'!$B$9,Paramètres!$A$1:$I$88,3,0)*VLOOKUP('Données projet'!$B$9,Paramètres!$A$1:$I$88,5,0)</f>
        <v>102.64031999999992</v>
      </c>
      <c r="P76" s="14">
        <f t="shared" si="97"/>
        <v>27.590060152433722</v>
      </c>
      <c r="Q76" s="22">
        <f t="shared" si="54"/>
        <v>226.81791209882192</v>
      </c>
      <c r="R76" s="62">
        <f t="shared" si="55"/>
        <v>481.3144107463296</v>
      </c>
      <c r="S76" s="62">
        <f ca="1">AVERAGE(OFFSET($R$3,0,0,'Données projet'!$E$9+1,1))-AVERAGE(OFFSET($H$3,0,0,'Données projet'!$E$9+1,1))</f>
        <v>314.72063458462026</v>
      </c>
      <c r="T76" s="62">
        <f t="shared" si="56"/>
        <v>216.4380325968244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projet'!$B$9,Paramètres!$A$1:$I$88,7,0))</f>
        <v>0</v>
      </c>
      <c r="X76" s="17">
        <f>IF(ISNA(VLOOKUP(A76,'Données projet'!$A$35:$I$55,6,0)),0%,VLOOKUP(A76,'Données projet'!$A$35:$I$55,6,0)*VLOOKUP('Données projet'!$B$9,Paramètres!$A$1:$I$88,7,0))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projet'!$B$9,Paramètres!$A$1:$I$88,3,0)*0.475*44/12</f>
        <v>0</v>
      </c>
      <c r="AA76" s="23">
        <f>EXP(-LN(2)/25)*AA75+(1-EXP(-LN(2)/25))/(LN(2)/25)*Calculateur!V76*Calculateur!X76*VLOOKUP('Données projet'!$B$9,Paramètres!$A$1:$I$88,3,0)*0.475*44/12</f>
        <v>0</v>
      </c>
      <c r="AB76" s="23">
        <f>EXP(-LN(2)/2)*AB75+(1-EXP(-LN(2)/2))/(LN(2)/2)*V76*Y76*VLOOKUP('Données projet'!$B$9,Paramètres!$A$1:$I$88,3,0)*0.475*44/12</f>
        <v>0</v>
      </c>
      <c r="AC76" s="24">
        <f t="shared" si="58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4</v>
      </c>
      <c r="AI76" s="14">
        <f>IF(A76&lt;'Données projet'!$A$62,$AF$205^A76,IF(A76='Données projet'!$A$62,'Données projet'!$B$62,AI75+AH76-AQ75))</f>
        <v>194.99999999999997</v>
      </c>
      <c r="AJ76" s="14">
        <f>AI76*VLOOKUP('Données projet'!$B$10,Paramètres!$A$1:$I$88,3,0)*VLOOKUP('Données projet'!$B$10,Paramètres!$A$1:$I$88,5,0)</f>
        <v>203.81399999999996</v>
      </c>
      <c r="AK76" s="14">
        <f t="shared" si="98"/>
        <v>50.581445724851562</v>
      </c>
      <c r="AL76" s="22">
        <f t="shared" si="59"/>
        <v>443.07206797078311</v>
      </c>
      <c r="AM76" s="62">
        <f t="shared" si="60"/>
        <v>697.56856661829079</v>
      </c>
      <c r="AN76" s="62">
        <f ca="1">AVERAGE(OFFSET($AM$3,0,0,'Données projet'!$E$10+1,1))-AVERAGE(OFFSET($H$3,0,0,'Données projet'!$E$10+1,1))</f>
        <v>458.33072853676879</v>
      </c>
      <c r="AO76" s="62">
        <f t="shared" si="61"/>
        <v>254.1734169352687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projet'!$B$10,Paramètres!$A$1:$I$88,7,0))</f>
        <v>0</v>
      </c>
      <c r="AS76" s="17">
        <f>IF(ISNA(VLOOKUP(A76,'Données projet'!$A$61:$I$81,6,0)),0%,VLOOKUP(A76,'Données projet'!$A$61:$I$81,6,0)*VLOOKUP('Données projet'!$B$10,Paramètres!$A$1:$I$88,7,0))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projet'!$B$9,Paramètres!$A$1:$I$88,3,0)*0.475*44/12</f>
        <v>0</v>
      </c>
      <c r="AV76" s="23">
        <f>EXP(-LN(2)/25)*AV75+(1-EXP(-LN(2)/25))/(LN(2)/25)*Calculateur!AQ76*Calculateur!AS76*VLOOKUP('Données projet'!$B$9,Paramètres!$A$1:$I$88,3,0)*0.475*44/12</f>
        <v>0</v>
      </c>
      <c r="AW76" s="23">
        <f>EXP(-LN(2)/2)*AW75+(1-EXP(-LN(2)/2))/(LN(2)/2)*AQ76*AT76*VLOOKUP('Données projet'!$B$9,Paramètres!$A$1:$I$88,3,0)*0.475*44/12</f>
        <v>0</v>
      </c>
      <c r="AX76" s="23">
        <f t="shared" si="62"/>
        <v>0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4</v>
      </c>
      <c r="BD76" s="13">
        <f>IF(A76&lt;'Données projet'!$A$88,$BA$205^A76,IF(A76='Données projet'!$A$88,'Données projet'!$B$88,BD75+BC76-BL75))</f>
        <v>194.99999999999997</v>
      </c>
      <c r="BE76" s="14">
        <f>BD76*VLOOKUP('Données projet'!$B$11,Paramètres!$A$1:$I$88,3,0)*VLOOKUP('Données projet'!$B$11,Paramètres!$A$1:$I$88,5,0)</f>
        <v>197.73</v>
      </c>
      <c r="BF76" s="14">
        <f t="shared" si="99"/>
        <v>49.244959487759665</v>
      </c>
      <c r="BG76" s="22">
        <f t="shared" si="63"/>
        <v>430.14805444118139</v>
      </c>
      <c r="BH76" s="62">
        <f t="shared" si="64"/>
        <v>684.64455308868901</v>
      </c>
      <c r="BI76" s="62">
        <f ca="1">AVERAGE(OFFSET($BH$3,0,0,'Données projet'!$E$11+1,1))-AVERAGE(OFFSET($H$3,0,0,'Données projet'!$E$11+1,1))</f>
        <v>447.82618173893104</v>
      </c>
      <c r="BJ76" s="62">
        <f t="shared" si="65"/>
        <v>248.96509970783379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projet'!$B$11,Paramètres!$A$1:$I$88,7,0))</f>
        <v>0</v>
      </c>
      <c r="BN76" s="17">
        <f>IF(ISNA(VLOOKUP(A76,'Données projet'!$A$87:$I$107,6,0)),0%,VLOOKUP(A76,'Données projet'!$A$87:$I$107,6,0)*VLOOKUP('Données projet'!$B$11,Paramètres!$A$1:$I$88,7,0))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projet'!$B$9,Paramètres!$A$1:$I$88,3,0)*0.475*44/12</f>
        <v>0</v>
      </c>
      <c r="BQ76" s="23">
        <f>EXP(-LN(2)/25)*BQ75+(1-EXP(-LN(2)/25))/(LN(2)/25)*Calculateur!BL76*Calculateur!BN76*VLOOKUP('Données projet'!$B$9,Paramètres!$A$1:$I$88,3,0)*0.475*44/12</f>
        <v>0</v>
      </c>
      <c r="BR76" s="23">
        <f>EXP(-LN(2)/2)*BR75+(1-EXP(-LN(2)/2))/(LN(2)/2)*BL76*BO76*VLOOKUP('Données projet'!$B$9,Paramètres!$A$1:$I$88,3,0)*0.475*44/12</f>
        <v>0</v>
      </c>
      <c r="BS76" s="24">
        <f t="shared" si="66"/>
        <v>0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4</v>
      </c>
      <c r="BY76" s="13">
        <f>IF(A76&lt;'Données projet'!$A$114,$BV$205^A76,IF(A76='Données projet'!$A$114,'Données projet'!$B$114,BY75+BX76-CG75))</f>
        <v>194.99999999999997</v>
      </c>
      <c r="BZ76" s="14">
        <f>BY76*VLOOKUP('Données projet'!$B$12,Paramètres!$A$1:$I$88,3,0)*VLOOKUP('Données projet'!$B$12,Paramètres!$A$1:$I$88,5,0)</f>
        <v>209.89799999999997</v>
      </c>
      <c r="CA76" s="14">
        <f t="shared" si="100"/>
        <v>51.913295501810218</v>
      </c>
      <c r="CB76" s="22">
        <f t="shared" si="67"/>
        <v>455.9880063323194</v>
      </c>
      <c r="CC76" s="62">
        <f t="shared" si="68"/>
        <v>710.48450497982708</v>
      </c>
      <c r="CD76" s="62">
        <f ca="1">AVERAGE(OFFSET($CC$3,0,0,'Données projet'!$E$12+1,1))-AVERAGE(OFFSET($H$3,0,0,'Données projet'!$E$12+1,1))</f>
        <v>468.82871618425406</v>
      </c>
      <c r="CE76" s="62">
        <f t="shared" si="69"/>
        <v>259.37818128554397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projet'!$B$12,Paramètres!$A$1:$I$88,7,0))</f>
        <v>0</v>
      </c>
      <c r="CI76" s="17">
        <f>IF(ISNA(VLOOKUP(A76,'Données projet'!$A$113:$I$133,6,0)),0%,VLOOKUP(A76,'Données projet'!$A$113:$I$133,6,0)*VLOOKUP('Données projet'!$B$12,Paramètres!$A$1:$I$88,7,0))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projet'!$B$9,Paramètres!$A$1:$I$88,3,0)*0.475*44/12</f>
        <v>0</v>
      </c>
      <c r="CL76" s="23">
        <f>EXP(-LN(2)/25)*CL75+(1-EXP(-LN(2)/25))/(LN(2)/25)*Calculateur!CG76*Calculateur!CI76*VLOOKUP('Données projet'!$B$9,Paramètres!$A$1:$I$88,3,0)*0.475*44/12</f>
        <v>0</v>
      </c>
      <c r="CM76" s="23">
        <f>EXP(-LN(2)/2)*CM75+(1-EXP(-LN(2)/2))/(LN(2)/2)*CG76*CJ76*VLOOKUP('Données projet'!$B$9,Paramètres!$A$1:$I$88,3,0)*0.475*44/12</f>
        <v>0</v>
      </c>
      <c r="CN76" s="24">
        <f t="shared" si="70"/>
        <v>0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4</v>
      </c>
      <c r="CT76" s="13">
        <f>IF(A76&lt;'Données projet'!$A$140,$CQ$205^A76,IF(A76='Données projet'!$A$140,'Données projet'!$B$140,CT75+CS76-DB75))</f>
        <v>194.99999999999997</v>
      </c>
      <c r="CU76" s="18">
        <f>CT76*VLOOKUP('Données projet'!$B$13,Paramètres!$A$1:$I$88,3,0)*VLOOKUP('Données projet'!$B$13,Paramètres!$A$1:$I$88,5,0)</f>
        <v>167.31</v>
      </c>
      <c r="CV76" s="14">
        <f t="shared" si="101"/>
        <v>42.486994942347515</v>
      </c>
      <c r="CW76" s="22">
        <f t="shared" si="71"/>
        <v>365.39643285792187</v>
      </c>
      <c r="CX76" s="62">
        <f t="shared" si="72"/>
        <v>619.89293150542949</v>
      </c>
      <c r="CY76" s="62">
        <f ca="1">AVERAGE(OFFSET($CX$3,0,0,'Données projet'!$E$13+1,1))-AVERAGE(OFFSET($H$3,0,0,'Données projet'!$E$13+1,1))</f>
        <v>395.19659151668884</v>
      </c>
      <c r="CZ76" s="62">
        <f t="shared" si="73"/>
        <v>222.86563304507339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projet'!$B$13,Paramètres!$A$1:$I$88,7,0))</f>
        <v>0</v>
      </c>
      <c r="DD76" s="17">
        <f>IF(ISNA(VLOOKUP(A76,'Données projet'!$A$139:$I$159,6,0)),0%,VLOOKUP(A76,'Données projet'!$A$139:$I$159,6,0)*VLOOKUP('Données projet'!$B$13,Paramètres!$A$1:$I$88,7,0))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projet'!$B$9,Paramètres!$A$1:$I$88,3,0)*0.475*44/12</f>
        <v>0</v>
      </c>
      <c r="DG76" s="23">
        <f>EXP(-LN(2)/25)*DG75+(1-EXP(-LN(2)/25))/(LN(2)/25)*Calculateur!DB76*Calculateur!DD76*VLOOKUP('Données projet'!$B$9,Paramètres!$A$1:$I$88,3,0)*0.475*44/12</f>
        <v>0</v>
      </c>
      <c r="DH76" s="23">
        <f>EXP(-LN(2)/2)*DH75+(1-EXP(-LN(2)/2))/(LN(2)/2)*DB76*DE76*VLOOKUP('Données projet'!$B$9,Paramètres!$A$1:$I$88,3,0)*0.475*44/12</f>
        <v>0</v>
      </c>
      <c r="DI76" s="24">
        <f t="shared" si="74"/>
        <v>0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4.5999999999999996</v>
      </c>
      <c r="DO76" s="13">
        <f>IF(A76&lt;'Données projet'!$A$166,$DL$205^A76,IF(A76='Données projet'!$A$166,'Données projet'!$B$166,DO75+DN76-DW75))</f>
        <v>56.8</v>
      </c>
      <c r="DP76" s="18">
        <f>DO76*VLOOKUP('Données projet'!$B$14,Paramètres!$A$1:$I$88,3,0)*VLOOKUP('Données projet'!$B$14,Paramètres!$A$1:$I$88,5,0)</f>
        <v>33.228000000000002</v>
      </c>
      <c r="DQ76" s="14">
        <f t="shared" si="102"/>
        <v>10.184815769674017</v>
      </c>
      <c r="DR76" s="22">
        <f t="shared" si="75"/>
        <v>75.610654132182248</v>
      </c>
      <c r="DS76" s="62">
        <f t="shared" si="76"/>
        <v>330.10715277968995</v>
      </c>
      <c r="DT76" s="62">
        <f ca="1">AVERAGE(OFFSET($DS$3,0,0,'Données projet'!$E$14+1,1))-AVERAGE(OFFSET($H$3,0,0,'Données projet'!$E$14+1,1))</f>
        <v>155.18073137151848</v>
      </c>
      <c r="DU76" s="62">
        <f t="shared" si="77"/>
        <v>115.19459155667272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projet'!$B$14,Paramètres!$A$1:$I$88,7,0))</f>
        <v>0</v>
      </c>
      <c r="DY76" s="17">
        <f>IF(ISNA(VLOOKUP(A76,'Données projet'!$A$165:$I$185,6,0)),0%,VLOOKUP(A76,'Données projet'!$A$165:$I$185,6,0)*VLOOKUP('Données projet'!$B$14,Paramètres!$A$1:$I$88,7,0))</f>
        <v>0</v>
      </c>
      <c r="DZ76" s="17">
        <f>IF(ISNA(VLOOKUP(A76,'Données projet'!$A$165:$I$185,7,0)),0%,VLOOKUP(A76,'Données projet'!$A$165:$I$185,7,0))</f>
        <v>0</v>
      </c>
      <c r="EA76" s="23">
        <f>EXP(-LN(2)/35)*EA75+(1-EXP(-LN(2)/35))/(LN(2)/35)*DW76*DX76*VLOOKUP('Données projet'!$B$9,Paramètres!$A$1:$I$88,3,0)*0.475*44/12</f>
        <v>0</v>
      </c>
      <c r="EB76" s="23">
        <f>EXP(-LN(2)/25)*EB75+(1-EXP(-LN(2)/25))/(LN(2)/25)*Calculateur!DW76*Calculateur!DY76*VLOOKUP('Données projet'!$B$9,Paramètres!$A$1:$I$88,3,0)*0.475*44/12</f>
        <v>0</v>
      </c>
      <c r="EC76" s="23">
        <f>EXP(-LN(2)/2)*EC75+(1-EXP(-LN(2)/2))/(LN(2)/2)*DW76*DZ76*VLOOKUP('Données projet'!$B$9,Paramètres!$A$1:$I$88,3,0)*0.475*44/12</f>
        <v>0</v>
      </c>
      <c r="ED76" s="24">
        <f t="shared" si="78"/>
        <v>0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8.9333333333333336</v>
      </c>
      <c r="EJ76" s="13">
        <f>IF(A76&lt;'Données projet'!$A$192,$EG$205^A76,IF(A76='Données projet'!$A$192,'Données projet'!$B$192,EJ75+EI76-ER75))</f>
        <v>245.13333333333338</v>
      </c>
      <c r="EK76" s="18">
        <f>EJ76*VLOOKUP('Données projet'!$B$15,Paramètres!$A$1:$I$88,3,0)*VLOOKUP('Données projet'!$B$15,Paramètres!$A$1:$I$88,5,0)</f>
        <v>114.72240000000002</v>
      </c>
      <c r="EL76" s="14">
        <f t="shared" si="103"/>
        <v>30.440882272188354</v>
      </c>
      <c r="EM76" s="22">
        <f t="shared" si="79"/>
        <v>252.82604995739473</v>
      </c>
      <c r="EN76" s="62">
        <f t="shared" si="80"/>
        <v>507.32254860490241</v>
      </c>
      <c r="EO76" s="62">
        <f ca="1">AVERAGE(OFFSET($EN$3,0,0,'Données projet'!$E$15+1,1))-AVERAGE(OFFSET($H$3,0,0,'Données projet'!$E$15+1,1))</f>
        <v>238.59014604384171</v>
      </c>
      <c r="EP76" s="62">
        <f t="shared" si="81"/>
        <v>90.841373219575217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projet'!$B$15,Paramètres!$A$1:$I$88,7,0))</f>
        <v>0</v>
      </c>
      <c r="ET76" s="17">
        <f>IF(ISNA(VLOOKUP(A76,'Données projet'!$A$191:$I$211,6,0)),0%,VLOOKUP(A76,'Données projet'!$A$191:$I$211,6,0)*VLOOKUP('Données projet'!$B$15,Paramètres!$A$1:$I$88,7,0))</f>
        <v>0</v>
      </c>
      <c r="EU76" s="17">
        <f>IF(ISNA(VLOOKUP(A76,'Données projet'!$A$191:$I$211,7,0)),0%,VLOOKUP(A76,'Données projet'!$A$191:$I$211,7,0))</f>
        <v>0</v>
      </c>
      <c r="EV76" s="23">
        <f>EXP(-LN(2)/35)*EV75+(1-EXP(-LN(2)/35))/(LN(2)/35)*ER76*ES76*VLOOKUP('Données projet'!$B$9,Paramètres!$A$1:$I$88,3,0)*0.475*44/12</f>
        <v>0</v>
      </c>
      <c r="EW76" s="23">
        <f>EXP(-LN(2)/25)*EW75+(1-EXP(-LN(2)/25))/(LN(2)/25)*Calculateur!ER76*Calculateur!ET76*VLOOKUP('Données projet'!$B$9,Paramètres!$A$1:$I$88,3,0)*0.475*44/12</f>
        <v>0</v>
      </c>
      <c r="EX76" s="23">
        <f>EXP(-LN(2)/2)*EX75+(1-EXP(-LN(2)/2))/(LN(2)/2)*ER76*EU76*VLOOKUP('Données projet'!$B$9,Paramètres!$A$1:$I$88,3,0)*0.475*44/12</f>
        <v>0</v>
      </c>
      <c r="EY76" s="24">
        <f t="shared" si="82"/>
        <v>0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IF(A76&lt;'Données projet'!$A$218,$FB$205^A76,IF(A76='Données projet'!$A$218,'Données projet'!$B$218,FE75+FD76-FM75))</f>
        <v>0</v>
      </c>
      <c r="FF76" s="18" t="e">
        <f>FE76*VLOOKUP('Données projet'!$B$16,Paramètres!$A$1:$I$88,3,0)*VLOOKUP('Données projet'!$B$16,Paramètres!$A$1:$I$88,5,0)</f>
        <v>#N/A</v>
      </c>
      <c r="FG76" s="14" t="e">
        <f t="shared" si="104"/>
        <v>#N/A</v>
      </c>
      <c r="FH76" s="22" t="e">
        <f t="shared" si="83"/>
        <v>#N/A</v>
      </c>
      <c r="FI76" s="62" t="e">
        <f t="shared" si="84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85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projet'!$B$16,Paramètres!$A$1:$I$88,7,0))</f>
        <v>0</v>
      </c>
      <c r="FO76" s="17">
        <f>IF(ISNA(VLOOKUP(A76,'Données projet'!$A$217:$I$237,6,0)),0%,VLOOKUP(A76,'Données projet'!$A$217:$I$237,6,0)*VLOOKUP('Données projet'!$B$16,Paramètres!$A$1:$I$88,7,0))</f>
        <v>0</v>
      </c>
      <c r="FP76" s="17">
        <f>IF(ISNA(VLOOKUP(A76,'Données projet'!$A$217:$I$237,7,0)),0%,VLOOKUP(A76,'Données projet'!$A$217:$I$237,7,0))</f>
        <v>0</v>
      </c>
      <c r="FQ76" s="23">
        <f>EXP(-LN(2)/35)*FQ75+(1-EXP(-LN(2)/35))/(LN(2)/35)*FM76*FN76*VLOOKUP('Données projet'!$B$9,Paramètres!$A$1:$I$88,3,0)*0.475*44/12</f>
        <v>0</v>
      </c>
      <c r="FR76" s="23">
        <f>EXP(-LN(2)/25)*FR75+(1-EXP(-LN(2)/25))/(LN(2)/25)*Calculateur!FM76*Calculateur!FO76*VLOOKUP('Données projet'!$B$9,Paramètres!$A$1:$I$88,3,0)*0.475*44/12</f>
        <v>0</v>
      </c>
      <c r="FS76" s="23">
        <f>EXP(-LN(2)/2)*FS75+(1-EXP(-LN(2)/2))/(LN(2)/2)*FM76*FP76*VLOOKUP('Données projet'!$B$9,Paramètres!$A$1:$I$88,3,0)*0.475*44/12</f>
        <v>0</v>
      </c>
      <c r="FT76" s="24">
        <f t="shared" si="86"/>
        <v>0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IF(A76&lt;'Données projet'!$A$244,$FW$205^A76,IF(A76='Données projet'!$A$244,'Données projet'!$B$244,FZ75+FY76-GH75))</f>
        <v>0</v>
      </c>
      <c r="GA76" s="18" t="e">
        <f>FZ76*VLOOKUP('Données projet'!$B$17,Paramètres!$A$1:$I$88,3,0)*VLOOKUP('Données projet'!$B$17,Paramètres!$A$1:$I$88,5,0)</f>
        <v>#N/A</v>
      </c>
      <c r="GB76" s="14" t="e">
        <f t="shared" si="105"/>
        <v>#N/A</v>
      </c>
      <c r="GC76" s="22" t="e">
        <f t="shared" si="87"/>
        <v>#N/A</v>
      </c>
      <c r="GD76" s="62" t="e">
        <f t="shared" si="88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89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projet'!$B$17,Paramètres!$A$1:$I$88,7,0))</f>
        <v>0</v>
      </c>
      <c r="GJ76" s="17">
        <f>IF(ISNA(VLOOKUP(A76,'Données projet'!$A$243:$I$263,6,0)),0%,VLOOKUP(A76,'Données projet'!$A$243:$I$263,6,0)*VLOOKUP('Données projet'!$B$17,Paramètres!$A$1:$I$88,7,0))</f>
        <v>0</v>
      </c>
      <c r="GK76" s="17">
        <f>IF(ISNA(VLOOKUP(A76,'Données projet'!$A$243:$I$263,7,0)),0%,VLOOKUP(A76,'Données projet'!$A$243:$I$263,7,0))</f>
        <v>0</v>
      </c>
      <c r="GL76" s="23">
        <f>EXP(-LN(2)/35)*GL75+(1-EXP(-LN(2)/35))/(LN(2)/35)*GH76*GI76*VLOOKUP('Données projet'!$B$9,Paramètres!$A$1:$I$88,3,0)*0.475*44/12</f>
        <v>0</v>
      </c>
      <c r="GM76" s="23">
        <f>EXP(-LN(2)/25)*GM75+(1-EXP(-LN(2)/25))/(LN(2)/25)*Calculateur!GH76*Calculateur!GJ76*VLOOKUP('Données projet'!$B$9,Paramètres!$A$1:$I$88,3,0)*0.475*44/12</f>
        <v>0</v>
      </c>
      <c r="GN76" s="23">
        <f>EXP(-LN(2)/2)*GN75+(1-EXP(-LN(2)/2))/(LN(2)/2)*GH76*GK76*VLOOKUP('Données projet'!$B$9,Paramètres!$A$1:$I$88,3,0)*0.475*44/12</f>
        <v>0</v>
      </c>
      <c r="GO76" s="23">
        <f t="shared" si="90"/>
        <v>0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IF(A76&lt;'Données projet'!$A$270,$GR$205^A76,IF(A76='Données projet'!$A$270,'Données projet'!$B$270,GU75+GT76-HC75))</f>
        <v>0</v>
      </c>
      <c r="GV76" s="18" t="e">
        <f>GU76*VLOOKUP('Données projet'!$B$18,Paramètres!$A$1:$I$88,3,0)*VLOOKUP('Données projet'!$B$18,Paramètres!$A$1:$I$88,5,0)</f>
        <v>#N/A</v>
      </c>
      <c r="GW76" s="14" t="e">
        <f t="shared" si="106"/>
        <v>#N/A</v>
      </c>
      <c r="GX76" s="22" t="e">
        <f t="shared" si="91"/>
        <v>#N/A</v>
      </c>
      <c r="GY76" s="62" t="e">
        <f t="shared" si="92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93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projet'!$B$18,Paramètres!$A$1:$I$88,7,0))</f>
        <v>0</v>
      </c>
      <c r="HE76" s="17">
        <f>IF(ISNA(VLOOKUP(A76,'Données projet'!$A$269:$I$289,6,0)),0%,VLOOKUP(A76,'Données projet'!$A$269:$I$289,6,0)*VLOOKUP('Données projet'!$B$18,Paramètres!$A$1:$I$88,7,0))</f>
        <v>0</v>
      </c>
      <c r="HF76" s="17">
        <f>IF(ISNA(VLOOKUP(A76,'Données projet'!$A$269:$I$289,7,0)),0%,VLOOKUP(A76,'Données projet'!$A$269:$I$289,7,0))</f>
        <v>0</v>
      </c>
      <c r="HG76" s="23">
        <f>EXP(-LN(2)/35)*HG75+(1-EXP(-LN(2)/35))/(LN(2)/35)*HC76*HD76*VLOOKUP('Données projet'!$B$9,Paramètres!$A$1:$I$88,3,0)*0.475*44/12</f>
        <v>0</v>
      </c>
      <c r="HH76" s="23">
        <f>EXP(-LN(2)/25)*HH75+(1-EXP(-LN(2)/25))/(LN(2)/25)*Calculateur!HC76*Calculateur!HE76*VLOOKUP('Données projet'!$B$9,Paramètres!$A$1:$I$88,3,0)*0.475*44/12</f>
        <v>0</v>
      </c>
      <c r="HI76" s="23">
        <f>EXP(-LN(2)/2)*HI75+(1-EXP(-LN(2)/2))/(LN(2)/2)*HC76*HF76*VLOOKUP('Données projet'!$B$9,Paramètres!$A$1:$I$88,3,0)*0.475*44/12</f>
        <v>0</v>
      </c>
      <c r="HJ76" s="24">
        <f t="shared" si="94"/>
        <v>0</v>
      </c>
    </row>
    <row r="77" spans="1:218" s="5" customFormat="1" x14ac:dyDescent="0.25">
      <c r="A77" s="11">
        <f t="shared" si="95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7" s="12">
        <f t="shared" si="9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57"/>
        <v>135.66666666666666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1.5783333333333318</v>
      </c>
      <c r="N77" s="14">
        <f>IF(A77&lt;'Données projet'!$A$36,$K$205^A77,IF(A77='Données projet'!$A$36,'Données projet'!$B$36,N76+M77-V76))</f>
        <v>90.675833333333273</v>
      </c>
      <c r="O77" s="14">
        <f>N77*VLOOKUP('Données projet'!$B$9,Paramètres!$A$1:$I$88,3,0)*VLOOKUP('Données projet'!$B$9,Paramètres!$A$1:$I$88,5,0)</f>
        <v>104.45855999999993</v>
      </c>
      <c r="P77" s="14">
        <f t="shared" si="97"/>
        <v>28.021476409089832</v>
      </c>
      <c r="Q77" s="22">
        <f t="shared" si="54"/>
        <v>230.736063412498</v>
      </c>
      <c r="R77" s="62">
        <f t="shared" si="55"/>
        <v>485.90629431564992</v>
      </c>
      <c r="S77" s="62">
        <f ca="1">AVERAGE(OFFSET($R$3,0,0,'Données projet'!$E$9+1,1))-AVERAGE(OFFSET($H$3,0,0,'Données projet'!$E$9+1,1))</f>
        <v>314.72063458462026</v>
      </c>
      <c r="T77" s="62">
        <f t="shared" si="56"/>
        <v>216.4380325968244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projet'!$B$9,Paramètres!$A$1:$I$88,7,0))</f>
        <v>0</v>
      </c>
      <c r="X77" s="17">
        <f>IF(ISNA(VLOOKUP(A77,'Données projet'!$A$35:$I$55,6,0)),0%,VLOOKUP(A77,'Données projet'!$A$35:$I$55,6,0)*VLOOKUP('Données projet'!$B$9,Paramètres!$A$1:$I$88,7,0))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projet'!$B$9,Paramètres!$A$1:$I$88,3,0)*0.475*44/12</f>
        <v>0</v>
      </c>
      <c r="AA77" s="23">
        <f>EXP(-LN(2)/25)*AA76+(1-EXP(-LN(2)/25))/(LN(2)/25)*Calculateur!V77*Calculateur!X77*VLOOKUP('Données projet'!$B$9,Paramètres!$A$1:$I$88,3,0)*0.475*44/12</f>
        <v>0</v>
      </c>
      <c r="AB77" s="23">
        <f>EXP(-LN(2)/2)*AB76+(1-EXP(-LN(2)/2))/(LN(2)/2)*V77*Y77*VLOOKUP('Données projet'!$B$9,Paramètres!$A$1:$I$88,3,0)*0.475*44/12</f>
        <v>0</v>
      </c>
      <c r="AC77" s="24">
        <f t="shared" si="58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4</v>
      </c>
      <c r="AI77" s="14">
        <f>IF(A77&lt;'Données projet'!$A$62,$AF$205^A77,IF(A77='Données projet'!$A$62,'Données projet'!$B$62,AI76+AH77-AQ76))</f>
        <v>198.99999999999997</v>
      </c>
      <c r="AJ77" s="14">
        <f>AI77*VLOOKUP('Données projet'!$B$10,Paramètres!$A$1:$I$88,3,0)*VLOOKUP('Données projet'!$B$10,Paramètres!$A$1:$I$88,5,0)</f>
        <v>207.99479999999997</v>
      </c>
      <c r="AK77" s="14">
        <f t="shared" si="98"/>
        <v>51.49715466643471</v>
      </c>
      <c r="AL77" s="22">
        <f t="shared" si="59"/>
        <v>451.94848771070707</v>
      </c>
      <c r="AM77" s="62">
        <f t="shared" si="60"/>
        <v>707.11871861385907</v>
      </c>
      <c r="AN77" s="62">
        <f ca="1">AVERAGE(OFFSET($AM$3,0,0,'Données projet'!$E$10+1,1))-AVERAGE(OFFSET($H$3,0,0,'Données projet'!$E$10+1,1))</f>
        <v>458.33072853676879</v>
      </c>
      <c r="AO77" s="62">
        <f t="shared" si="61"/>
        <v>254.1734169352687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projet'!$B$10,Paramètres!$A$1:$I$88,7,0))</f>
        <v>0</v>
      </c>
      <c r="AS77" s="17">
        <f>IF(ISNA(VLOOKUP(A77,'Données projet'!$A$61:$I$81,6,0)),0%,VLOOKUP(A77,'Données projet'!$A$61:$I$81,6,0)*VLOOKUP('Données projet'!$B$10,Paramètres!$A$1:$I$88,7,0))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projet'!$B$9,Paramètres!$A$1:$I$88,3,0)*0.475*44/12</f>
        <v>0</v>
      </c>
      <c r="AV77" s="23">
        <f>EXP(-LN(2)/25)*AV76+(1-EXP(-LN(2)/25))/(LN(2)/25)*Calculateur!AQ77*Calculateur!AS77*VLOOKUP('Données projet'!$B$9,Paramètres!$A$1:$I$88,3,0)*0.475*44/12</f>
        <v>0</v>
      </c>
      <c r="AW77" s="23">
        <f>EXP(-LN(2)/2)*AW76+(1-EXP(-LN(2)/2))/(LN(2)/2)*AQ77*AT77*VLOOKUP('Données projet'!$B$9,Paramètres!$A$1:$I$88,3,0)*0.475*44/12</f>
        <v>0</v>
      </c>
      <c r="AX77" s="23">
        <f t="shared" si="62"/>
        <v>0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4</v>
      </c>
      <c r="BD77" s="13">
        <f>IF(A77&lt;'Données projet'!$A$88,$BA$205^A77,IF(A77='Données projet'!$A$88,'Données projet'!$B$88,BD76+BC77-BL76))</f>
        <v>198.99999999999997</v>
      </c>
      <c r="BE77" s="14">
        <f>BD77*VLOOKUP('Données projet'!$B$11,Paramètres!$A$1:$I$88,3,0)*VLOOKUP('Données projet'!$B$11,Paramètres!$A$1:$I$88,5,0)</f>
        <v>201.786</v>
      </c>
      <c r="BF77" s="14">
        <f t="shared" si="99"/>
        <v>50.136473146268756</v>
      </c>
      <c r="BG77" s="22">
        <f t="shared" si="63"/>
        <v>438.76497406308476</v>
      </c>
      <c r="BH77" s="62">
        <f t="shared" si="64"/>
        <v>693.93520496623671</v>
      </c>
      <c r="BI77" s="62">
        <f ca="1">AVERAGE(OFFSET($BH$3,0,0,'Données projet'!$E$11+1,1))-AVERAGE(OFFSET($H$3,0,0,'Données projet'!$E$11+1,1))</f>
        <v>447.82618173893104</v>
      </c>
      <c r="BJ77" s="62">
        <f t="shared" si="65"/>
        <v>248.96509970783379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projet'!$B$11,Paramètres!$A$1:$I$88,7,0))</f>
        <v>0</v>
      </c>
      <c r="BN77" s="17">
        <f>IF(ISNA(VLOOKUP(A77,'Données projet'!$A$87:$I$107,6,0)),0%,VLOOKUP(A77,'Données projet'!$A$87:$I$107,6,0)*VLOOKUP('Données projet'!$B$11,Paramètres!$A$1:$I$88,7,0))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projet'!$B$9,Paramètres!$A$1:$I$88,3,0)*0.475*44/12</f>
        <v>0</v>
      </c>
      <c r="BQ77" s="23">
        <f>EXP(-LN(2)/25)*BQ76+(1-EXP(-LN(2)/25))/(LN(2)/25)*Calculateur!BL77*Calculateur!BN77*VLOOKUP('Données projet'!$B$9,Paramètres!$A$1:$I$88,3,0)*0.475*44/12</f>
        <v>0</v>
      </c>
      <c r="BR77" s="23">
        <f>EXP(-LN(2)/2)*BR76+(1-EXP(-LN(2)/2))/(LN(2)/2)*BL77*BO77*VLOOKUP('Données projet'!$B$9,Paramètres!$A$1:$I$88,3,0)*0.475*44/12</f>
        <v>0</v>
      </c>
      <c r="BS77" s="24">
        <f t="shared" si="66"/>
        <v>0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4</v>
      </c>
      <c r="BY77" s="13">
        <f>IF(A77&lt;'Données projet'!$A$114,$BV$205^A77,IF(A77='Données projet'!$A$114,'Données projet'!$B$114,BY76+BX77-CG76))</f>
        <v>198.99999999999997</v>
      </c>
      <c r="BZ77" s="14">
        <f>BY77*VLOOKUP('Données projet'!$B$12,Paramètres!$A$1:$I$88,3,0)*VLOOKUP('Données projet'!$B$12,Paramètres!$A$1:$I$88,5,0)</f>
        <v>214.20359999999997</v>
      </c>
      <c r="CA77" s="14">
        <f t="shared" si="100"/>
        <v>52.853115789602029</v>
      </c>
      <c r="CB77" s="22">
        <f t="shared" si="67"/>
        <v>465.12378000022341</v>
      </c>
      <c r="CC77" s="62">
        <f t="shared" si="68"/>
        <v>720.29401090337535</v>
      </c>
      <c r="CD77" s="62">
        <f ca="1">AVERAGE(OFFSET($CC$3,0,0,'Données projet'!$E$12+1,1))-AVERAGE(OFFSET($H$3,0,0,'Données projet'!$E$12+1,1))</f>
        <v>468.82871618425406</v>
      </c>
      <c r="CE77" s="62">
        <f t="shared" si="69"/>
        <v>259.37818128554397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projet'!$B$12,Paramètres!$A$1:$I$88,7,0))</f>
        <v>0</v>
      </c>
      <c r="CI77" s="17">
        <f>IF(ISNA(VLOOKUP(A77,'Données projet'!$A$113:$I$133,6,0)),0%,VLOOKUP(A77,'Données projet'!$A$113:$I$133,6,0)*VLOOKUP('Données projet'!$B$12,Paramètres!$A$1:$I$88,7,0))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projet'!$B$9,Paramètres!$A$1:$I$88,3,0)*0.475*44/12</f>
        <v>0</v>
      </c>
      <c r="CL77" s="23">
        <f>EXP(-LN(2)/25)*CL76+(1-EXP(-LN(2)/25))/(LN(2)/25)*Calculateur!CG77*Calculateur!CI77*VLOOKUP('Données projet'!$B$9,Paramètres!$A$1:$I$88,3,0)*0.475*44/12</f>
        <v>0</v>
      </c>
      <c r="CM77" s="23">
        <f>EXP(-LN(2)/2)*CM76+(1-EXP(-LN(2)/2))/(LN(2)/2)*CG77*CJ77*VLOOKUP('Données projet'!$B$9,Paramètres!$A$1:$I$88,3,0)*0.475*44/12</f>
        <v>0</v>
      </c>
      <c r="CN77" s="24">
        <f t="shared" si="70"/>
        <v>0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4</v>
      </c>
      <c r="CT77" s="13">
        <f>IF(A77&lt;'Données projet'!$A$140,$CQ$205^A77,IF(A77='Données projet'!$A$140,'Données projet'!$B$140,CT76+CS77-DB76))</f>
        <v>198.99999999999997</v>
      </c>
      <c r="CU77" s="18">
        <f>CT77*VLOOKUP('Données projet'!$B$13,Paramètres!$A$1:$I$88,3,0)*VLOOKUP('Données projet'!$B$13,Paramètres!$A$1:$I$88,5,0)</f>
        <v>170.74199999999999</v>
      </c>
      <c r="CV77" s="14">
        <f t="shared" si="101"/>
        <v>43.256164755747903</v>
      </c>
      <c r="CW77" s="22">
        <f t="shared" si="71"/>
        <v>372.71347028292757</v>
      </c>
      <c r="CX77" s="62">
        <f t="shared" si="72"/>
        <v>627.88370118607952</v>
      </c>
      <c r="CY77" s="62">
        <f ca="1">AVERAGE(OFFSET($CX$3,0,0,'Données projet'!$E$13+1,1))-AVERAGE(OFFSET($H$3,0,0,'Données projet'!$E$13+1,1))</f>
        <v>395.19659151668884</v>
      </c>
      <c r="CZ77" s="62">
        <f t="shared" si="73"/>
        <v>222.86563304507339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projet'!$B$13,Paramètres!$A$1:$I$88,7,0))</f>
        <v>0</v>
      </c>
      <c r="DD77" s="17">
        <f>IF(ISNA(VLOOKUP(A77,'Données projet'!$A$139:$I$159,6,0)),0%,VLOOKUP(A77,'Données projet'!$A$139:$I$159,6,0)*VLOOKUP('Données projet'!$B$13,Paramètres!$A$1:$I$88,7,0))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projet'!$B$9,Paramètres!$A$1:$I$88,3,0)*0.475*44/12</f>
        <v>0</v>
      </c>
      <c r="DG77" s="23">
        <f>EXP(-LN(2)/25)*DG76+(1-EXP(-LN(2)/25))/(LN(2)/25)*Calculateur!DB77*Calculateur!DD77*VLOOKUP('Données projet'!$B$9,Paramètres!$A$1:$I$88,3,0)*0.475*44/12</f>
        <v>0</v>
      </c>
      <c r="DH77" s="23">
        <f>EXP(-LN(2)/2)*DH76+(1-EXP(-LN(2)/2))/(LN(2)/2)*DB77*DE77*VLOOKUP('Données projet'!$B$9,Paramètres!$A$1:$I$88,3,0)*0.475*44/12</f>
        <v>0</v>
      </c>
      <c r="DI77" s="24">
        <f t="shared" si="74"/>
        <v>0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4.5999999999999996</v>
      </c>
      <c r="DO77" s="13">
        <f>IF(A77&lt;'Données projet'!$A$166,$DL$205^A77,IF(A77='Données projet'!$A$166,'Données projet'!$B$166,DO76+DN77-DW76))</f>
        <v>61.4</v>
      </c>
      <c r="DP77" s="18">
        <f>DO77*VLOOKUP('Données projet'!$B$14,Paramètres!$A$1:$I$88,3,0)*VLOOKUP('Données projet'!$B$14,Paramètres!$A$1:$I$88,5,0)</f>
        <v>35.918999999999997</v>
      </c>
      <c r="DQ77" s="14">
        <f t="shared" si="102"/>
        <v>10.910296692775225</v>
      </c>
      <c r="DR77" s="22">
        <f t="shared" si="75"/>
        <v>81.561025073250178</v>
      </c>
      <c r="DS77" s="62">
        <f t="shared" si="76"/>
        <v>336.73125597640211</v>
      </c>
      <c r="DT77" s="62">
        <f ca="1">AVERAGE(OFFSET($DS$3,0,0,'Données projet'!$E$14+1,1))-AVERAGE(OFFSET($H$3,0,0,'Données projet'!$E$14+1,1))</f>
        <v>155.18073137151848</v>
      </c>
      <c r="DU77" s="62">
        <f t="shared" si="77"/>
        <v>115.19459155667272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projet'!$B$14,Paramètres!$A$1:$I$88,7,0))</f>
        <v>0</v>
      </c>
      <c r="DY77" s="17">
        <f>IF(ISNA(VLOOKUP(A77,'Données projet'!$A$165:$I$185,6,0)),0%,VLOOKUP(A77,'Données projet'!$A$165:$I$185,6,0)*VLOOKUP('Données projet'!$B$14,Paramètres!$A$1:$I$88,7,0))</f>
        <v>0</v>
      </c>
      <c r="DZ77" s="17">
        <f>IF(ISNA(VLOOKUP(A77,'Données projet'!$A$165:$I$185,7,0)),0%,VLOOKUP(A77,'Données projet'!$A$165:$I$185,7,0))</f>
        <v>0</v>
      </c>
      <c r="EA77" s="23">
        <f>EXP(-LN(2)/35)*EA76+(1-EXP(-LN(2)/35))/(LN(2)/35)*DW77*DX77*VLOOKUP('Données projet'!$B$9,Paramètres!$A$1:$I$88,3,0)*0.475*44/12</f>
        <v>0</v>
      </c>
      <c r="EB77" s="23">
        <f>EXP(-LN(2)/25)*EB76+(1-EXP(-LN(2)/25))/(LN(2)/25)*Calculateur!DW77*Calculateur!DY77*VLOOKUP('Données projet'!$B$9,Paramètres!$A$1:$I$88,3,0)*0.475*44/12</f>
        <v>0</v>
      </c>
      <c r="EC77" s="23">
        <f>EXP(-LN(2)/2)*EC76+(1-EXP(-LN(2)/2))/(LN(2)/2)*DW77*DZ77*VLOOKUP('Données projet'!$B$9,Paramètres!$A$1:$I$88,3,0)*0.475*44/12</f>
        <v>0</v>
      </c>
      <c r="ED77" s="24">
        <f t="shared" si="78"/>
        <v>0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8.9333333333333336</v>
      </c>
      <c r="EJ77" s="13">
        <f>IF(A77&lt;'Données projet'!$A$192,$EG$205^A77,IF(A77='Données projet'!$A$192,'Données projet'!$B$192,EJ76+EI77-ER76))</f>
        <v>254.06666666666672</v>
      </c>
      <c r="EK77" s="18">
        <f>EJ77*VLOOKUP('Données projet'!$B$15,Paramètres!$A$1:$I$88,3,0)*VLOOKUP('Données projet'!$B$15,Paramètres!$A$1:$I$88,5,0)</f>
        <v>118.90320000000003</v>
      </c>
      <c r="EL77" s="14">
        <f t="shared" si="103"/>
        <v>31.419052162600078</v>
      </c>
      <c r="EM77" s="22">
        <f t="shared" si="79"/>
        <v>261.81125584986182</v>
      </c>
      <c r="EN77" s="62">
        <f t="shared" si="80"/>
        <v>516.98148675301377</v>
      </c>
      <c r="EO77" s="62">
        <f ca="1">AVERAGE(OFFSET($EN$3,0,0,'Données projet'!$E$15+1,1))-AVERAGE(OFFSET($H$3,0,0,'Données projet'!$E$15+1,1))</f>
        <v>238.59014604384171</v>
      </c>
      <c r="EP77" s="62">
        <f t="shared" si="81"/>
        <v>90.841373219575217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projet'!$B$15,Paramètres!$A$1:$I$88,7,0))</f>
        <v>0</v>
      </c>
      <c r="ET77" s="17">
        <f>IF(ISNA(VLOOKUP(A77,'Données projet'!$A$191:$I$211,6,0)),0%,VLOOKUP(A77,'Données projet'!$A$191:$I$211,6,0)*VLOOKUP('Données projet'!$B$15,Paramètres!$A$1:$I$88,7,0))</f>
        <v>0</v>
      </c>
      <c r="EU77" s="17">
        <f>IF(ISNA(VLOOKUP(A77,'Données projet'!$A$191:$I$211,7,0)),0%,VLOOKUP(A77,'Données projet'!$A$191:$I$211,7,0))</f>
        <v>0</v>
      </c>
      <c r="EV77" s="23">
        <f>EXP(-LN(2)/35)*EV76+(1-EXP(-LN(2)/35))/(LN(2)/35)*ER77*ES77*VLOOKUP('Données projet'!$B$9,Paramètres!$A$1:$I$88,3,0)*0.475*44/12</f>
        <v>0</v>
      </c>
      <c r="EW77" s="23">
        <f>EXP(-LN(2)/25)*EW76+(1-EXP(-LN(2)/25))/(LN(2)/25)*Calculateur!ER77*Calculateur!ET77*VLOOKUP('Données projet'!$B$9,Paramètres!$A$1:$I$88,3,0)*0.475*44/12</f>
        <v>0</v>
      </c>
      <c r="EX77" s="23">
        <f>EXP(-LN(2)/2)*EX76+(1-EXP(-LN(2)/2))/(LN(2)/2)*ER77*EU77*VLOOKUP('Données projet'!$B$9,Paramètres!$A$1:$I$88,3,0)*0.475*44/12</f>
        <v>0</v>
      </c>
      <c r="EY77" s="24">
        <f t="shared" si="82"/>
        <v>0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IF(A77&lt;'Données projet'!$A$218,$FB$205^A77,IF(A77='Données projet'!$A$218,'Données projet'!$B$218,FE76+FD77-FM76))</f>
        <v>0</v>
      </c>
      <c r="FF77" s="18" t="e">
        <f>FE77*VLOOKUP('Données projet'!$B$16,Paramètres!$A$1:$I$88,3,0)*VLOOKUP('Données projet'!$B$16,Paramètres!$A$1:$I$88,5,0)</f>
        <v>#N/A</v>
      </c>
      <c r="FG77" s="14" t="e">
        <f t="shared" si="104"/>
        <v>#N/A</v>
      </c>
      <c r="FH77" s="22" t="e">
        <f t="shared" si="83"/>
        <v>#N/A</v>
      </c>
      <c r="FI77" s="62" t="e">
        <f t="shared" si="84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85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projet'!$B$16,Paramètres!$A$1:$I$88,7,0))</f>
        <v>0</v>
      </c>
      <c r="FO77" s="17">
        <f>IF(ISNA(VLOOKUP(A77,'Données projet'!$A$217:$I$237,6,0)),0%,VLOOKUP(A77,'Données projet'!$A$217:$I$237,6,0)*VLOOKUP('Données projet'!$B$16,Paramètres!$A$1:$I$88,7,0))</f>
        <v>0</v>
      </c>
      <c r="FP77" s="17">
        <f>IF(ISNA(VLOOKUP(A77,'Données projet'!$A$217:$I$237,7,0)),0%,VLOOKUP(A77,'Données projet'!$A$217:$I$237,7,0))</f>
        <v>0</v>
      </c>
      <c r="FQ77" s="23">
        <f>EXP(-LN(2)/35)*FQ76+(1-EXP(-LN(2)/35))/(LN(2)/35)*FM77*FN77*VLOOKUP('Données projet'!$B$9,Paramètres!$A$1:$I$88,3,0)*0.475*44/12</f>
        <v>0</v>
      </c>
      <c r="FR77" s="23">
        <f>EXP(-LN(2)/25)*FR76+(1-EXP(-LN(2)/25))/(LN(2)/25)*Calculateur!FM77*Calculateur!FO77*VLOOKUP('Données projet'!$B$9,Paramètres!$A$1:$I$88,3,0)*0.475*44/12</f>
        <v>0</v>
      </c>
      <c r="FS77" s="23">
        <f>EXP(-LN(2)/2)*FS76+(1-EXP(-LN(2)/2))/(LN(2)/2)*FM77*FP77*VLOOKUP('Données projet'!$B$9,Paramètres!$A$1:$I$88,3,0)*0.475*44/12</f>
        <v>0</v>
      </c>
      <c r="FT77" s="24">
        <f t="shared" si="86"/>
        <v>0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IF(A77&lt;'Données projet'!$A$244,$FW$205^A77,IF(A77='Données projet'!$A$244,'Données projet'!$B$244,FZ76+FY77-GH76))</f>
        <v>0</v>
      </c>
      <c r="GA77" s="18" t="e">
        <f>FZ77*VLOOKUP('Données projet'!$B$17,Paramètres!$A$1:$I$88,3,0)*VLOOKUP('Données projet'!$B$17,Paramètres!$A$1:$I$88,5,0)</f>
        <v>#N/A</v>
      </c>
      <c r="GB77" s="14" t="e">
        <f t="shared" si="105"/>
        <v>#N/A</v>
      </c>
      <c r="GC77" s="22" t="e">
        <f t="shared" si="87"/>
        <v>#N/A</v>
      </c>
      <c r="GD77" s="62" t="e">
        <f t="shared" si="88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89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projet'!$B$17,Paramètres!$A$1:$I$88,7,0))</f>
        <v>0</v>
      </c>
      <c r="GJ77" s="17">
        <f>IF(ISNA(VLOOKUP(A77,'Données projet'!$A$243:$I$263,6,0)),0%,VLOOKUP(A77,'Données projet'!$A$243:$I$263,6,0)*VLOOKUP('Données projet'!$B$17,Paramètres!$A$1:$I$88,7,0))</f>
        <v>0</v>
      </c>
      <c r="GK77" s="17">
        <f>IF(ISNA(VLOOKUP(A77,'Données projet'!$A$243:$I$263,7,0)),0%,VLOOKUP(A77,'Données projet'!$A$243:$I$263,7,0))</f>
        <v>0</v>
      </c>
      <c r="GL77" s="23">
        <f>EXP(-LN(2)/35)*GL76+(1-EXP(-LN(2)/35))/(LN(2)/35)*GH77*GI77*VLOOKUP('Données projet'!$B$9,Paramètres!$A$1:$I$88,3,0)*0.475*44/12</f>
        <v>0</v>
      </c>
      <c r="GM77" s="23">
        <f>EXP(-LN(2)/25)*GM76+(1-EXP(-LN(2)/25))/(LN(2)/25)*Calculateur!GH77*Calculateur!GJ77*VLOOKUP('Données projet'!$B$9,Paramètres!$A$1:$I$88,3,0)*0.475*44/12</f>
        <v>0</v>
      </c>
      <c r="GN77" s="23">
        <f>EXP(-LN(2)/2)*GN76+(1-EXP(-LN(2)/2))/(LN(2)/2)*GH77*GK77*VLOOKUP('Données projet'!$B$9,Paramètres!$A$1:$I$88,3,0)*0.475*44/12</f>
        <v>0</v>
      </c>
      <c r="GO77" s="23">
        <f t="shared" si="90"/>
        <v>0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IF(A77&lt;'Données projet'!$A$270,$GR$205^A77,IF(A77='Données projet'!$A$270,'Données projet'!$B$270,GU76+GT77-HC76))</f>
        <v>0</v>
      </c>
      <c r="GV77" s="18" t="e">
        <f>GU77*VLOOKUP('Données projet'!$B$18,Paramètres!$A$1:$I$88,3,0)*VLOOKUP('Données projet'!$B$18,Paramètres!$A$1:$I$88,5,0)</f>
        <v>#N/A</v>
      </c>
      <c r="GW77" s="14" t="e">
        <f t="shared" si="106"/>
        <v>#N/A</v>
      </c>
      <c r="GX77" s="22" t="e">
        <f t="shared" si="91"/>
        <v>#N/A</v>
      </c>
      <c r="GY77" s="62" t="e">
        <f t="shared" si="92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93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projet'!$B$18,Paramètres!$A$1:$I$88,7,0))</f>
        <v>0</v>
      </c>
      <c r="HE77" s="17">
        <f>IF(ISNA(VLOOKUP(A77,'Données projet'!$A$269:$I$289,6,0)),0%,VLOOKUP(A77,'Données projet'!$A$269:$I$289,6,0)*VLOOKUP('Données projet'!$B$18,Paramètres!$A$1:$I$88,7,0))</f>
        <v>0</v>
      </c>
      <c r="HF77" s="17">
        <f>IF(ISNA(VLOOKUP(A77,'Données projet'!$A$269:$I$289,7,0)),0%,VLOOKUP(A77,'Données projet'!$A$269:$I$289,7,0))</f>
        <v>0</v>
      </c>
      <c r="HG77" s="23">
        <f>EXP(-LN(2)/35)*HG76+(1-EXP(-LN(2)/35))/(LN(2)/35)*HC77*HD77*VLOOKUP('Données projet'!$B$9,Paramètres!$A$1:$I$88,3,0)*0.475*44/12</f>
        <v>0</v>
      </c>
      <c r="HH77" s="23">
        <f>EXP(-LN(2)/25)*HH76+(1-EXP(-LN(2)/25))/(LN(2)/25)*Calculateur!HC77*Calculateur!HE77*VLOOKUP('Données projet'!$B$9,Paramètres!$A$1:$I$88,3,0)*0.475*44/12</f>
        <v>0</v>
      </c>
      <c r="HI77" s="23">
        <f>EXP(-LN(2)/2)*HI76+(1-EXP(-LN(2)/2))/(LN(2)/2)*HC77*HF77*VLOOKUP('Données projet'!$B$9,Paramètres!$A$1:$I$88,3,0)*0.475*44/12</f>
        <v>0</v>
      </c>
      <c r="HJ77" s="24">
        <f t="shared" si="94"/>
        <v>0</v>
      </c>
    </row>
    <row r="78" spans="1:218" s="5" customFormat="1" x14ac:dyDescent="0.25">
      <c r="A78" s="11">
        <f t="shared" si="95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8" s="12">
        <f t="shared" si="9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57"/>
        <v>135.66666666666666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1.5783333333333318</v>
      </c>
      <c r="N78" s="14">
        <f>IF(A78&lt;'Données projet'!$A$36,$K$205^A78,IF(A78='Données projet'!$A$36,'Données projet'!$B$36,N77+M78-V77))</f>
        <v>92.254166666666606</v>
      </c>
      <c r="O78" s="14">
        <f>N78*VLOOKUP('Données projet'!$B$9,Paramètres!$A$1:$I$88,3,0)*VLOOKUP('Données projet'!$B$9,Paramètres!$A$1:$I$88,5,0)</f>
        <v>106.27679999999992</v>
      </c>
      <c r="P78" s="14">
        <f t="shared" si="97"/>
        <v>28.45201941300353</v>
      </c>
      <c r="Q78" s="22">
        <f t="shared" si="54"/>
        <v>234.65269381098105</v>
      </c>
      <c r="R78" s="62">
        <f t="shared" si="55"/>
        <v>490.48496922138145</v>
      </c>
      <c r="S78" s="62">
        <f ca="1">AVERAGE(OFFSET($R$3,0,0,'Données projet'!$E$9+1,1))-AVERAGE(OFFSET($H$3,0,0,'Données projet'!$E$9+1,1))</f>
        <v>314.72063458462026</v>
      </c>
      <c r="T78" s="62">
        <f t="shared" si="56"/>
        <v>216.4380325968244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projet'!$B$9,Paramètres!$A$1:$I$88,7,0))</f>
        <v>0</v>
      </c>
      <c r="X78" s="17">
        <f>IF(ISNA(VLOOKUP(A78,'Données projet'!$A$35:$I$55,6,0)),0%,VLOOKUP(A78,'Données projet'!$A$35:$I$55,6,0)*VLOOKUP('Données projet'!$B$9,Paramètres!$A$1:$I$88,7,0))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projet'!$B$9,Paramètres!$A$1:$I$88,3,0)*0.475*44/12</f>
        <v>0</v>
      </c>
      <c r="AA78" s="23">
        <f>EXP(-LN(2)/25)*AA77+(1-EXP(-LN(2)/25))/(LN(2)/25)*Calculateur!V78*Calculateur!X78*VLOOKUP('Données projet'!$B$9,Paramètres!$A$1:$I$88,3,0)*0.475*44/12</f>
        <v>0</v>
      </c>
      <c r="AB78" s="23">
        <f>EXP(-LN(2)/2)*AB77+(1-EXP(-LN(2)/2))/(LN(2)/2)*V78*Y78*VLOOKUP('Données projet'!$B$9,Paramètres!$A$1:$I$88,3,0)*0.475*44/12</f>
        <v>0</v>
      </c>
      <c r="AC78" s="24">
        <f t="shared" si="58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203</v>
      </c>
      <c r="AG78" s="13">
        <f>VLOOKUP(A78,'Données projet'!$A$61:$I$81,9,0)</f>
        <v>4</v>
      </c>
      <c r="AH78" s="13">
        <f t="array" ref="AH78">INDEX(AG:AG,MIN(IF(ISNUMBER(AG78:AG274),ROW(AG78:AG274),"")))</f>
        <v>4</v>
      </c>
      <c r="AI78" s="14">
        <f>IF(A78&lt;'Données projet'!$A$62,$AF$205^A78,IF(A78='Données projet'!$A$62,'Données projet'!$B$62,AI77+AH78-AQ77))</f>
        <v>202.99999999999997</v>
      </c>
      <c r="AJ78" s="14">
        <f>AI78*VLOOKUP('Données projet'!$B$10,Paramètres!$A$1:$I$88,3,0)*VLOOKUP('Données projet'!$B$10,Paramètres!$A$1:$I$88,5,0)</f>
        <v>212.1756</v>
      </c>
      <c r="AK78" s="14">
        <f t="shared" si="98"/>
        <v>52.410723477279205</v>
      </c>
      <c r="AL78" s="22">
        <f t="shared" si="59"/>
        <v>460.82118005626131</v>
      </c>
      <c r="AM78" s="62">
        <f t="shared" si="60"/>
        <v>716.65345546666163</v>
      </c>
      <c r="AN78" s="62">
        <f ca="1">AVERAGE(OFFSET($AM$3,0,0,'Données projet'!$E$10+1,1))-AVERAGE(OFFSET($H$3,0,0,'Données projet'!$E$10+1,1))</f>
        <v>458.33072853676879</v>
      </c>
      <c r="AO78" s="62">
        <f t="shared" si="61"/>
        <v>254.1734169352687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projet'!$B$10,Paramètres!$A$1:$I$88,7,0))</f>
        <v>0</v>
      </c>
      <c r="AS78" s="17">
        <f>IF(ISNA(VLOOKUP(A78,'Données projet'!$A$61:$I$81,6,0)),0%,VLOOKUP(A78,'Données projet'!$A$61:$I$81,6,0)*VLOOKUP('Données projet'!$B$10,Paramètres!$A$1:$I$88,7,0))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projet'!$B$9,Paramètres!$A$1:$I$88,3,0)*0.475*44/12</f>
        <v>0</v>
      </c>
      <c r="AV78" s="23">
        <f>EXP(-LN(2)/25)*AV77+(1-EXP(-LN(2)/25))/(LN(2)/25)*Calculateur!AQ78*Calculateur!AS78*VLOOKUP('Données projet'!$B$9,Paramètres!$A$1:$I$88,3,0)*0.475*44/12</f>
        <v>0</v>
      </c>
      <c r="AW78" s="23">
        <f>EXP(-LN(2)/2)*AW77+(1-EXP(-LN(2)/2))/(LN(2)/2)*AQ78*AT78*VLOOKUP('Données projet'!$B$9,Paramètres!$A$1:$I$88,3,0)*0.475*44/12</f>
        <v>0</v>
      </c>
      <c r="AX78" s="23">
        <f t="shared" si="62"/>
        <v>0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>
        <f>VLOOKUP(A78,'Données projet'!$A$87:$I$107,2,0)</f>
        <v>203</v>
      </c>
      <c r="BB78" s="13">
        <f>VLOOKUP(A78,'Données projet'!$A$87:$I$107,9,0)</f>
        <v>4</v>
      </c>
      <c r="BC78" s="13">
        <f t="array" ref="BC78">INDEX(BB:BB,MIN(IF(ISNUMBER(BB78:BB274),ROW(BB78:BB274),"")))</f>
        <v>4</v>
      </c>
      <c r="BD78" s="13">
        <f>IF(A78&lt;'Données projet'!$A$88,$BA$205^A78,IF(A78='Données projet'!$A$88,'Données projet'!$B$88,BD77+BC78-BL77))</f>
        <v>202.99999999999997</v>
      </c>
      <c r="BE78" s="14">
        <f>BD78*VLOOKUP('Données projet'!$B$11,Paramètres!$A$1:$I$88,3,0)*VLOOKUP('Données projet'!$B$11,Paramètres!$A$1:$I$88,5,0)</f>
        <v>205.84199999999998</v>
      </c>
      <c r="BF78" s="14">
        <f t="shared" si="99"/>
        <v>51.025903221558437</v>
      </c>
      <c r="BG78" s="22">
        <f t="shared" si="63"/>
        <v>447.3782647775476</v>
      </c>
      <c r="BH78" s="62">
        <f t="shared" si="64"/>
        <v>703.21054018794803</v>
      </c>
      <c r="BI78" s="62">
        <f ca="1">AVERAGE(OFFSET($BH$3,0,0,'Données projet'!$E$11+1,1))-AVERAGE(OFFSET($H$3,0,0,'Données projet'!$E$11+1,1))</f>
        <v>447.82618173893104</v>
      </c>
      <c r="BJ78" s="62">
        <f t="shared" si="65"/>
        <v>248.96509970783379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projet'!$B$11,Paramètres!$A$1:$I$88,7,0))</f>
        <v>0</v>
      </c>
      <c r="BN78" s="17">
        <f>IF(ISNA(VLOOKUP(A78,'Données projet'!$A$87:$I$107,6,0)),0%,VLOOKUP(A78,'Données projet'!$A$87:$I$107,6,0)*VLOOKUP('Données projet'!$B$11,Paramètres!$A$1:$I$88,7,0))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projet'!$B$9,Paramètres!$A$1:$I$88,3,0)*0.475*44/12</f>
        <v>0</v>
      </c>
      <c r="BQ78" s="23">
        <f>EXP(-LN(2)/25)*BQ77+(1-EXP(-LN(2)/25))/(LN(2)/25)*Calculateur!BL78*Calculateur!BN78*VLOOKUP('Données projet'!$B$9,Paramètres!$A$1:$I$88,3,0)*0.475*44/12</f>
        <v>0</v>
      </c>
      <c r="BR78" s="23">
        <f>EXP(-LN(2)/2)*BR77+(1-EXP(-LN(2)/2))/(LN(2)/2)*BL78*BO78*VLOOKUP('Données projet'!$B$9,Paramètres!$A$1:$I$88,3,0)*0.475*44/12</f>
        <v>0</v>
      </c>
      <c r="BS78" s="24">
        <f t="shared" si="66"/>
        <v>0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>
        <f>VLOOKUP(A78,'Données projet'!$A$113:$I$133,2,0)</f>
        <v>203</v>
      </c>
      <c r="BW78" s="13">
        <f>VLOOKUP(A78,'Données projet'!$A$113:$I$133,9,0)</f>
        <v>4</v>
      </c>
      <c r="BX78" s="13">
        <f t="array" ref="BX78">INDEX(BW:BW,MIN(IF(ISNUMBER(BW78:BW274),ROW(BW78:BW274),"")))</f>
        <v>4</v>
      </c>
      <c r="BY78" s="13">
        <f>IF(A78&lt;'Données projet'!$A$114,$BV$205^A78,IF(A78='Données projet'!$A$114,'Données projet'!$B$114,BY77+BX78-CG77))</f>
        <v>202.99999999999997</v>
      </c>
      <c r="BZ78" s="14">
        <f>BY78*VLOOKUP('Données projet'!$B$12,Paramètres!$A$1:$I$88,3,0)*VLOOKUP('Données projet'!$B$12,Paramètres!$A$1:$I$88,5,0)</f>
        <v>218.50919999999996</v>
      </c>
      <c r="CA78" s="14">
        <f t="shared" si="100"/>
        <v>53.790739595307251</v>
      </c>
      <c r="CB78" s="22">
        <f t="shared" si="67"/>
        <v>474.25572812849333</v>
      </c>
      <c r="CC78" s="62">
        <f t="shared" si="68"/>
        <v>730.08800353889364</v>
      </c>
      <c r="CD78" s="62">
        <f ca="1">AVERAGE(OFFSET($CC$3,0,0,'Données projet'!$E$12+1,1))-AVERAGE(OFFSET($H$3,0,0,'Données projet'!$E$12+1,1))</f>
        <v>468.82871618425406</v>
      </c>
      <c r="CE78" s="62">
        <f t="shared" si="69"/>
        <v>259.37818128554397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projet'!$B$12,Paramètres!$A$1:$I$88,7,0))</f>
        <v>0</v>
      </c>
      <c r="CI78" s="17">
        <f>IF(ISNA(VLOOKUP(A78,'Données projet'!$A$113:$I$133,6,0)),0%,VLOOKUP(A78,'Données projet'!$A$113:$I$133,6,0)*VLOOKUP('Données projet'!$B$12,Paramètres!$A$1:$I$88,7,0))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projet'!$B$9,Paramètres!$A$1:$I$88,3,0)*0.475*44/12</f>
        <v>0</v>
      </c>
      <c r="CL78" s="23">
        <f>EXP(-LN(2)/25)*CL77+(1-EXP(-LN(2)/25))/(LN(2)/25)*Calculateur!CG78*Calculateur!CI78*VLOOKUP('Données projet'!$B$9,Paramètres!$A$1:$I$88,3,0)*0.475*44/12</f>
        <v>0</v>
      </c>
      <c r="CM78" s="23">
        <f>EXP(-LN(2)/2)*CM77+(1-EXP(-LN(2)/2))/(LN(2)/2)*CG78*CJ78*VLOOKUP('Données projet'!$B$9,Paramètres!$A$1:$I$88,3,0)*0.475*44/12</f>
        <v>0</v>
      </c>
      <c r="CN78" s="24">
        <f t="shared" si="70"/>
        <v>0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>
        <f>VLOOKUP(A78,'Données projet'!$A$139:$I$159,2,0)</f>
        <v>203</v>
      </c>
      <c r="CR78" s="13">
        <f>VLOOKUP(A78,'Données projet'!$A$139:$I$159,9,0)</f>
        <v>4</v>
      </c>
      <c r="CS78" s="13">
        <f t="array" ref="CS78">INDEX(CR:CR,MIN(IF(ISNUMBER(CR78:CR274),ROW(CR78:CR274),"")))</f>
        <v>4</v>
      </c>
      <c r="CT78" s="13">
        <f>IF(A78&lt;'Données projet'!$A$140,$CQ$205^A78,IF(A78='Données projet'!$A$140,'Données projet'!$B$140,CT77+CS78-DB77))</f>
        <v>202.99999999999997</v>
      </c>
      <c r="CU78" s="18">
        <f>CT78*VLOOKUP('Données projet'!$B$13,Paramètres!$A$1:$I$88,3,0)*VLOOKUP('Données projet'!$B$13,Paramètres!$A$1:$I$88,5,0)</f>
        <v>174.17400000000001</v>
      </c>
      <c r="CV78" s="14">
        <f t="shared" si="101"/>
        <v>44.023536919386274</v>
      </c>
      <c r="CW78" s="22">
        <f t="shared" si="71"/>
        <v>380.02737680126438</v>
      </c>
      <c r="CX78" s="62">
        <f t="shared" si="72"/>
        <v>635.85965221166475</v>
      </c>
      <c r="CY78" s="62">
        <f ca="1">AVERAGE(OFFSET($CX$3,0,0,'Données projet'!$E$13+1,1))-AVERAGE(OFFSET($H$3,0,0,'Données projet'!$E$13+1,1))</f>
        <v>395.19659151668884</v>
      </c>
      <c r="CZ78" s="62">
        <f t="shared" si="73"/>
        <v>222.86563304507339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projet'!$B$13,Paramètres!$A$1:$I$88,7,0))</f>
        <v>0</v>
      </c>
      <c r="DD78" s="17">
        <f>IF(ISNA(VLOOKUP(A78,'Données projet'!$A$139:$I$159,6,0)),0%,VLOOKUP(A78,'Données projet'!$A$139:$I$159,6,0)*VLOOKUP('Données projet'!$B$13,Paramètres!$A$1:$I$88,7,0))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projet'!$B$9,Paramètres!$A$1:$I$88,3,0)*0.475*44/12</f>
        <v>0</v>
      </c>
      <c r="DG78" s="23">
        <f>EXP(-LN(2)/25)*DG77+(1-EXP(-LN(2)/25))/(LN(2)/25)*Calculateur!DB78*Calculateur!DD78*VLOOKUP('Données projet'!$B$9,Paramètres!$A$1:$I$88,3,0)*0.475*44/12</f>
        <v>0</v>
      </c>
      <c r="DH78" s="23">
        <f>EXP(-LN(2)/2)*DH77+(1-EXP(-LN(2)/2))/(LN(2)/2)*DB78*DE78*VLOOKUP('Données projet'!$B$9,Paramètres!$A$1:$I$88,3,0)*0.475*44/12</f>
        <v>0</v>
      </c>
      <c r="DI78" s="24">
        <f t="shared" si="74"/>
        <v>0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4.5999999999999996</v>
      </c>
      <c r="DO78" s="13">
        <f>IF(A78&lt;'Données projet'!$A$166,$DL$205^A78,IF(A78='Données projet'!$A$166,'Données projet'!$B$166,DO77+DN78-DW77))</f>
        <v>66</v>
      </c>
      <c r="DP78" s="18">
        <f>DO78*VLOOKUP('Données projet'!$B$14,Paramètres!$A$1:$I$88,3,0)*VLOOKUP('Données projet'!$B$14,Paramètres!$A$1:$I$88,5,0)</f>
        <v>38.61</v>
      </c>
      <c r="DQ78" s="14">
        <f t="shared" si="102"/>
        <v>11.629472326649347</v>
      </c>
      <c r="DR78" s="22">
        <f t="shared" si="75"/>
        <v>87.50041430224762</v>
      </c>
      <c r="DS78" s="62">
        <f t="shared" si="76"/>
        <v>343.332689712648</v>
      </c>
      <c r="DT78" s="62">
        <f ca="1">AVERAGE(OFFSET($DS$3,0,0,'Données projet'!$E$14+1,1))-AVERAGE(OFFSET($H$3,0,0,'Données projet'!$E$14+1,1))</f>
        <v>155.18073137151848</v>
      </c>
      <c r="DU78" s="62">
        <f t="shared" si="77"/>
        <v>115.19459155667272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projet'!$B$14,Paramètres!$A$1:$I$88,7,0))</f>
        <v>0</v>
      </c>
      <c r="DY78" s="17">
        <f>IF(ISNA(VLOOKUP(A78,'Données projet'!$A$165:$I$185,6,0)),0%,VLOOKUP(A78,'Données projet'!$A$165:$I$185,6,0)*VLOOKUP('Données projet'!$B$14,Paramètres!$A$1:$I$88,7,0))</f>
        <v>0</v>
      </c>
      <c r="DZ78" s="17">
        <f>IF(ISNA(VLOOKUP(A78,'Données projet'!$A$165:$I$185,7,0)),0%,VLOOKUP(A78,'Données projet'!$A$165:$I$185,7,0))</f>
        <v>0</v>
      </c>
      <c r="EA78" s="23">
        <f>EXP(-LN(2)/35)*EA77+(1-EXP(-LN(2)/35))/(LN(2)/35)*DW78*DX78*VLOOKUP('Données projet'!$B$9,Paramètres!$A$1:$I$88,3,0)*0.475*44/12</f>
        <v>0</v>
      </c>
      <c r="EB78" s="23">
        <f>EXP(-LN(2)/25)*EB77+(1-EXP(-LN(2)/25))/(LN(2)/25)*Calculateur!DW78*Calculateur!DY78*VLOOKUP('Données projet'!$B$9,Paramètres!$A$1:$I$88,3,0)*0.475*44/12</f>
        <v>0</v>
      </c>
      <c r="EC78" s="23">
        <f>EXP(-LN(2)/2)*EC77+(1-EXP(-LN(2)/2))/(LN(2)/2)*DW78*DZ78*VLOOKUP('Données projet'!$B$9,Paramètres!$A$1:$I$88,3,0)*0.475*44/12</f>
        <v>0</v>
      </c>
      <c r="ED78" s="24">
        <f t="shared" si="78"/>
        <v>0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>
        <f>VLOOKUP(A78,'Données projet'!$A$191:$I$211,2,0)</f>
        <v>263</v>
      </c>
      <c r="EH78" s="13">
        <f>VLOOKUP(A78,'Données projet'!$A$191:$I$211,9,0)</f>
        <v>8.9333333333333336</v>
      </c>
      <c r="EI78" s="13">
        <f t="array" ref="EI78">INDEX(EH:EH,MIN(IF(ISNUMBER(EH78:EH274),ROW(EH78:EH274),"")))</f>
        <v>8.9333333333333336</v>
      </c>
      <c r="EJ78" s="13">
        <f>IF(A78&lt;'Données projet'!$A$192,$EG$205^A78,IF(A78='Données projet'!$A$192,'Données projet'!$B$192,EJ77+EI78-ER77))</f>
        <v>263.00000000000006</v>
      </c>
      <c r="EK78" s="18">
        <f>EJ78*VLOOKUP('Données projet'!$B$15,Paramètres!$A$1:$I$88,3,0)*VLOOKUP('Données projet'!$B$15,Paramètres!$A$1:$I$88,5,0)</f>
        <v>123.08400000000003</v>
      </c>
      <c r="EL78" s="14">
        <f t="shared" si="103"/>
        <v>32.393225926509828</v>
      </c>
      <c r="EM78" s="22">
        <f t="shared" si="79"/>
        <v>270.78950182200464</v>
      </c>
      <c r="EN78" s="62">
        <f t="shared" si="80"/>
        <v>526.62177723240507</v>
      </c>
      <c r="EO78" s="62">
        <f ca="1">AVERAGE(OFFSET($EN$3,0,0,'Données projet'!$E$15+1,1))-AVERAGE(OFFSET($H$3,0,0,'Données projet'!$E$15+1,1))</f>
        <v>238.59014604384171</v>
      </c>
      <c r="EP78" s="62">
        <f t="shared" si="81"/>
        <v>90.841373219575217</v>
      </c>
      <c r="EQ78" s="16">
        <f>IF(ISNA(VLOOKUP(A78,'Données projet'!$A$191:$I$211,3,0)),0,VLOOKUP(A78,'Données projet'!$A$191:$I$211,3,0))</f>
        <v>2</v>
      </c>
      <c r="ER78" s="16">
        <f>IF(ISNA(VLOOKUP(A78,'Données projet'!$A$191:$I$211,4,0)),0,VLOOKUP(A78,'Données projet'!$A$191:$I$211,4,0))</f>
        <v>74</v>
      </c>
      <c r="ES78" s="17">
        <f>IF(ISNA(VLOOKUP(A78,'Données projet'!$A$191:$I$211,5,0)),0%,VLOOKUP(A78,'Données projet'!$A$191:$I$211,5,0)*VLOOKUP('Données projet'!$B$15,Paramètres!$A$1:$I$88,7,0))</f>
        <v>0</v>
      </c>
      <c r="ET78" s="17">
        <f>IF(ISNA(VLOOKUP(A78,'Données projet'!$A$191:$I$211,6,0)),0%,VLOOKUP(A78,'Données projet'!$A$191:$I$211,6,0)*VLOOKUP('Données projet'!$B$15,Paramètres!$A$1:$I$88,7,0))</f>
        <v>0</v>
      </c>
      <c r="EU78" s="17">
        <f>IF(ISNA(VLOOKUP(A78,'Données projet'!$A$191:$I$211,7,0)),0%,VLOOKUP(A78,'Données projet'!$A$191:$I$211,7,0))</f>
        <v>0</v>
      </c>
      <c r="EV78" s="23">
        <f>EXP(-LN(2)/35)*EV77+(1-EXP(-LN(2)/35))/(LN(2)/35)*ER78*ES78*VLOOKUP('Données projet'!$B$9,Paramètres!$A$1:$I$88,3,0)*0.475*44/12</f>
        <v>0</v>
      </c>
      <c r="EW78" s="23">
        <f>EXP(-LN(2)/25)*EW77+(1-EXP(-LN(2)/25))/(LN(2)/25)*Calculateur!ER78*Calculateur!ET78*VLOOKUP('Données projet'!$B$9,Paramètres!$A$1:$I$88,3,0)*0.475*44/12</f>
        <v>0</v>
      </c>
      <c r="EX78" s="23">
        <f>EXP(-LN(2)/2)*EX77+(1-EXP(-LN(2)/2))/(LN(2)/2)*ER78*EU78*VLOOKUP('Données projet'!$B$9,Paramètres!$A$1:$I$88,3,0)*0.475*44/12</f>
        <v>0</v>
      </c>
      <c r="EY78" s="24">
        <f t="shared" si="82"/>
        <v>0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IF(A78&lt;'Données projet'!$A$218,$FB$205^A78,IF(A78='Données projet'!$A$218,'Données projet'!$B$218,FE77+FD78-FM77))</f>
        <v>0</v>
      </c>
      <c r="FF78" s="18" t="e">
        <f>FE78*VLOOKUP('Données projet'!$B$16,Paramètres!$A$1:$I$88,3,0)*VLOOKUP('Données projet'!$B$16,Paramètres!$A$1:$I$88,5,0)</f>
        <v>#N/A</v>
      </c>
      <c r="FG78" s="14" t="e">
        <f t="shared" si="104"/>
        <v>#N/A</v>
      </c>
      <c r="FH78" s="22" t="e">
        <f t="shared" si="83"/>
        <v>#N/A</v>
      </c>
      <c r="FI78" s="62" t="e">
        <f t="shared" si="84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85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projet'!$B$16,Paramètres!$A$1:$I$88,7,0))</f>
        <v>0</v>
      </c>
      <c r="FO78" s="17">
        <f>IF(ISNA(VLOOKUP(A78,'Données projet'!$A$217:$I$237,6,0)),0%,VLOOKUP(A78,'Données projet'!$A$217:$I$237,6,0)*VLOOKUP('Données projet'!$B$16,Paramètres!$A$1:$I$88,7,0))</f>
        <v>0</v>
      </c>
      <c r="FP78" s="17">
        <f>IF(ISNA(VLOOKUP(A78,'Données projet'!$A$217:$I$237,7,0)),0%,VLOOKUP(A78,'Données projet'!$A$217:$I$237,7,0))</f>
        <v>0</v>
      </c>
      <c r="FQ78" s="23">
        <f>EXP(-LN(2)/35)*FQ77+(1-EXP(-LN(2)/35))/(LN(2)/35)*FM78*FN78*VLOOKUP('Données projet'!$B$9,Paramètres!$A$1:$I$88,3,0)*0.475*44/12</f>
        <v>0</v>
      </c>
      <c r="FR78" s="23">
        <f>EXP(-LN(2)/25)*FR77+(1-EXP(-LN(2)/25))/(LN(2)/25)*Calculateur!FM78*Calculateur!FO78*VLOOKUP('Données projet'!$B$9,Paramètres!$A$1:$I$88,3,0)*0.475*44/12</f>
        <v>0</v>
      </c>
      <c r="FS78" s="23">
        <f>EXP(-LN(2)/2)*FS77+(1-EXP(-LN(2)/2))/(LN(2)/2)*FM78*FP78*VLOOKUP('Données projet'!$B$9,Paramètres!$A$1:$I$88,3,0)*0.475*44/12</f>
        <v>0</v>
      </c>
      <c r="FT78" s="24">
        <f t="shared" si="86"/>
        <v>0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IF(A78&lt;'Données projet'!$A$244,$FW$205^A78,IF(A78='Données projet'!$A$244,'Données projet'!$B$244,FZ77+FY78-GH77))</f>
        <v>0</v>
      </c>
      <c r="GA78" s="18" t="e">
        <f>FZ78*VLOOKUP('Données projet'!$B$17,Paramètres!$A$1:$I$88,3,0)*VLOOKUP('Données projet'!$B$17,Paramètres!$A$1:$I$88,5,0)</f>
        <v>#N/A</v>
      </c>
      <c r="GB78" s="14" t="e">
        <f t="shared" si="105"/>
        <v>#N/A</v>
      </c>
      <c r="GC78" s="22" t="e">
        <f t="shared" si="87"/>
        <v>#N/A</v>
      </c>
      <c r="GD78" s="62" t="e">
        <f t="shared" si="88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89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projet'!$B$17,Paramètres!$A$1:$I$88,7,0))</f>
        <v>0</v>
      </c>
      <c r="GJ78" s="17">
        <f>IF(ISNA(VLOOKUP(A78,'Données projet'!$A$243:$I$263,6,0)),0%,VLOOKUP(A78,'Données projet'!$A$243:$I$263,6,0)*VLOOKUP('Données projet'!$B$17,Paramètres!$A$1:$I$88,7,0))</f>
        <v>0</v>
      </c>
      <c r="GK78" s="17">
        <f>IF(ISNA(VLOOKUP(A78,'Données projet'!$A$243:$I$263,7,0)),0%,VLOOKUP(A78,'Données projet'!$A$243:$I$263,7,0))</f>
        <v>0</v>
      </c>
      <c r="GL78" s="23">
        <f>EXP(-LN(2)/35)*GL77+(1-EXP(-LN(2)/35))/(LN(2)/35)*GH78*GI78*VLOOKUP('Données projet'!$B$9,Paramètres!$A$1:$I$88,3,0)*0.475*44/12</f>
        <v>0</v>
      </c>
      <c r="GM78" s="23">
        <f>EXP(-LN(2)/25)*GM77+(1-EXP(-LN(2)/25))/(LN(2)/25)*Calculateur!GH78*Calculateur!GJ78*VLOOKUP('Données projet'!$B$9,Paramètres!$A$1:$I$88,3,0)*0.475*44/12</f>
        <v>0</v>
      </c>
      <c r="GN78" s="23">
        <f>EXP(-LN(2)/2)*GN77+(1-EXP(-LN(2)/2))/(LN(2)/2)*GH78*GK78*VLOOKUP('Données projet'!$B$9,Paramètres!$A$1:$I$88,3,0)*0.475*44/12</f>
        <v>0</v>
      </c>
      <c r="GO78" s="23">
        <f t="shared" si="90"/>
        <v>0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IF(A78&lt;'Données projet'!$A$270,$GR$205^A78,IF(A78='Données projet'!$A$270,'Données projet'!$B$270,GU77+GT78-HC77))</f>
        <v>0</v>
      </c>
      <c r="GV78" s="18" t="e">
        <f>GU78*VLOOKUP('Données projet'!$B$18,Paramètres!$A$1:$I$88,3,0)*VLOOKUP('Données projet'!$B$18,Paramètres!$A$1:$I$88,5,0)</f>
        <v>#N/A</v>
      </c>
      <c r="GW78" s="14" t="e">
        <f t="shared" si="106"/>
        <v>#N/A</v>
      </c>
      <c r="GX78" s="22" t="e">
        <f t="shared" si="91"/>
        <v>#N/A</v>
      </c>
      <c r="GY78" s="62" t="e">
        <f t="shared" si="92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93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projet'!$B$18,Paramètres!$A$1:$I$88,7,0))</f>
        <v>0</v>
      </c>
      <c r="HE78" s="17">
        <f>IF(ISNA(VLOOKUP(A78,'Données projet'!$A$269:$I$289,6,0)),0%,VLOOKUP(A78,'Données projet'!$A$269:$I$289,6,0)*VLOOKUP('Données projet'!$B$18,Paramètres!$A$1:$I$88,7,0))</f>
        <v>0</v>
      </c>
      <c r="HF78" s="17">
        <f>IF(ISNA(VLOOKUP(A78,'Données projet'!$A$269:$I$289,7,0)),0%,VLOOKUP(A78,'Données projet'!$A$269:$I$289,7,0))</f>
        <v>0</v>
      </c>
      <c r="HG78" s="23">
        <f>EXP(-LN(2)/35)*HG77+(1-EXP(-LN(2)/35))/(LN(2)/35)*HC78*HD78*VLOOKUP('Données projet'!$B$9,Paramètres!$A$1:$I$88,3,0)*0.475*44/12</f>
        <v>0</v>
      </c>
      <c r="HH78" s="23">
        <f>EXP(-LN(2)/25)*HH77+(1-EXP(-LN(2)/25))/(LN(2)/25)*Calculateur!HC78*Calculateur!HE78*VLOOKUP('Données projet'!$B$9,Paramètres!$A$1:$I$88,3,0)*0.475*44/12</f>
        <v>0</v>
      </c>
      <c r="HI78" s="23">
        <f>EXP(-LN(2)/2)*HI77+(1-EXP(-LN(2)/2))/(LN(2)/2)*HC78*HF78*VLOOKUP('Données projet'!$B$9,Paramètres!$A$1:$I$88,3,0)*0.475*44/12</f>
        <v>0</v>
      </c>
      <c r="HJ78" s="24">
        <f t="shared" si="94"/>
        <v>0</v>
      </c>
    </row>
    <row r="79" spans="1:218" s="5" customFormat="1" x14ac:dyDescent="0.25">
      <c r="A79" s="11">
        <f t="shared" si="95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79" s="12">
        <f t="shared" si="9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57"/>
        <v>135.66666666666666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1.5783333333333318</v>
      </c>
      <c r="N79" s="14">
        <f>IF(A79&lt;'Données projet'!$A$36,$K$205^A79,IF(A79='Données projet'!$A$36,'Données projet'!$B$36,N78+M79-V78))</f>
        <v>93.832499999999939</v>
      </c>
      <c r="O79" s="14">
        <f>N79*VLOOKUP('Données projet'!$B$9,Paramètres!$A$1:$I$88,3,0)*VLOOKUP('Données projet'!$B$9,Paramètres!$A$1:$I$88,5,0)</f>
        <v>108.09503999999993</v>
      </c>
      <c r="P79" s="14">
        <f t="shared" si="97"/>
        <v>28.881705828313297</v>
      </c>
      <c r="Q79" s="22">
        <f t="shared" si="54"/>
        <v>238.56783231764553</v>
      </c>
      <c r="R79" s="62">
        <f t="shared" si="55"/>
        <v>495.05066724320341</v>
      </c>
      <c r="S79" s="62">
        <f ca="1">AVERAGE(OFFSET($R$3,0,0,'Données projet'!$E$9+1,1))-AVERAGE(OFFSET($H$3,0,0,'Données projet'!$E$9+1,1))</f>
        <v>314.72063458462026</v>
      </c>
      <c r="T79" s="62">
        <f t="shared" si="56"/>
        <v>216.4380325968244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projet'!$B$9,Paramètres!$A$1:$I$88,7,0))</f>
        <v>0</v>
      </c>
      <c r="X79" s="17">
        <f>IF(ISNA(VLOOKUP(A79,'Données projet'!$A$35:$I$55,6,0)),0%,VLOOKUP(A79,'Données projet'!$A$35:$I$55,6,0)*VLOOKUP('Données projet'!$B$9,Paramètres!$A$1:$I$88,7,0))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projet'!$B$9,Paramètres!$A$1:$I$88,3,0)*0.475*44/12</f>
        <v>0</v>
      </c>
      <c r="AA79" s="23">
        <f>EXP(-LN(2)/25)*AA78+(1-EXP(-LN(2)/25))/(LN(2)/25)*Calculateur!V79*Calculateur!X79*VLOOKUP('Données projet'!$B$9,Paramètres!$A$1:$I$88,3,0)*0.475*44/12</f>
        <v>0</v>
      </c>
      <c r="AB79" s="23">
        <f>EXP(-LN(2)/2)*AB78+(1-EXP(-LN(2)/2))/(LN(2)/2)*V79*Y79*VLOOKUP('Données projet'!$B$9,Paramètres!$A$1:$I$88,3,0)*0.475*44/12</f>
        <v>0</v>
      </c>
      <c r="AC79" s="24">
        <f t="shared" si="58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3.6</v>
      </c>
      <c r="AI79" s="14">
        <f>IF(A79&lt;'Données projet'!$A$62,$AF$205^A79,IF(A79='Données projet'!$A$62,'Données projet'!$B$62,AI78+AH79-AQ78))</f>
        <v>206.59999999999997</v>
      </c>
      <c r="AJ79" s="14">
        <f>AI79*VLOOKUP('Données projet'!$B$10,Paramètres!$A$1:$I$88,3,0)*VLOOKUP('Données projet'!$B$10,Paramètres!$A$1:$I$88,5,0)</f>
        <v>215.93832</v>
      </c>
      <c r="AK79" s="14">
        <f t="shared" si="98"/>
        <v>53.231144506492122</v>
      </c>
      <c r="AL79" s="22">
        <f t="shared" si="59"/>
        <v>468.80348401547377</v>
      </c>
      <c r="AM79" s="62">
        <f t="shared" si="60"/>
        <v>725.2863189410316</v>
      </c>
      <c r="AN79" s="62">
        <f ca="1">AVERAGE(OFFSET($AM$3,0,0,'Données projet'!$E$10+1,1))-AVERAGE(OFFSET($H$3,0,0,'Données projet'!$E$10+1,1))</f>
        <v>458.33072853676879</v>
      </c>
      <c r="AO79" s="62">
        <f t="shared" si="61"/>
        <v>254.1734169352687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projet'!$B$10,Paramètres!$A$1:$I$88,7,0))</f>
        <v>0</v>
      </c>
      <c r="AS79" s="17">
        <f>IF(ISNA(VLOOKUP(A79,'Données projet'!$A$61:$I$81,6,0)),0%,VLOOKUP(A79,'Données projet'!$A$61:$I$81,6,0)*VLOOKUP('Données projet'!$B$10,Paramètres!$A$1:$I$88,7,0))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projet'!$B$9,Paramètres!$A$1:$I$88,3,0)*0.475*44/12</f>
        <v>0</v>
      </c>
      <c r="AV79" s="23">
        <f>EXP(-LN(2)/25)*AV78+(1-EXP(-LN(2)/25))/(LN(2)/25)*Calculateur!AQ79*Calculateur!AS79*VLOOKUP('Données projet'!$B$9,Paramètres!$A$1:$I$88,3,0)*0.475*44/12</f>
        <v>0</v>
      </c>
      <c r="AW79" s="23">
        <f>EXP(-LN(2)/2)*AW78+(1-EXP(-LN(2)/2))/(LN(2)/2)*AQ79*AT79*VLOOKUP('Données projet'!$B$9,Paramètres!$A$1:$I$88,3,0)*0.475*44/12</f>
        <v>0</v>
      </c>
      <c r="AX79" s="23">
        <f t="shared" si="62"/>
        <v>0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3.6</v>
      </c>
      <c r="BD79" s="13">
        <f>IF(A79&lt;'Données projet'!$A$88,$BA$205^A79,IF(A79='Données projet'!$A$88,'Données projet'!$B$88,BD78+BC79-BL78))</f>
        <v>206.59999999999997</v>
      </c>
      <c r="BE79" s="14">
        <f>BD79*VLOOKUP('Données projet'!$B$11,Paramètres!$A$1:$I$88,3,0)*VLOOKUP('Données projet'!$B$11,Paramètres!$A$1:$I$88,5,0)</f>
        <v>209.4924</v>
      </c>
      <c r="BF79" s="14">
        <f t="shared" si="99"/>
        <v>51.824646708770558</v>
      </c>
      <c r="BG79" s="22">
        <f t="shared" si="63"/>
        <v>455.1271896844421</v>
      </c>
      <c r="BH79" s="62">
        <f t="shared" si="64"/>
        <v>711.61002460999998</v>
      </c>
      <c r="BI79" s="62">
        <f ca="1">AVERAGE(OFFSET($BH$3,0,0,'Données projet'!$E$11+1,1))-AVERAGE(OFFSET($H$3,0,0,'Données projet'!$E$11+1,1))</f>
        <v>447.82618173893104</v>
      </c>
      <c r="BJ79" s="62">
        <f t="shared" si="65"/>
        <v>248.96509970783379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projet'!$B$11,Paramètres!$A$1:$I$88,7,0))</f>
        <v>0</v>
      </c>
      <c r="BN79" s="17">
        <f>IF(ISNA(VLOOKUP(A79,'Données projet'!$A$87:$I$107,6,0)),0%,VLOOKUP(A79,'Données projet'!$A$87:$I$107,6,0)*VLOOKUP('Données projet'!$B$11,Paramètres!$A$1:$I$88,7,0))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projet'!$B$9,Paramètres!$A$1:$I$88,3,0)*0.475*44/12</f>
        <v>0</v>
      </c>
      <c r="BQ79" s="23">
        <f>EXP(-LN(2)/25)*BQ78+(1-EXP(-LN(2)/25))/(LN(2)/25)*Calculateur!BL79*Calculateur!BN79*VLOOKUP('Données projet'!$B$9,Paramètres!$A$1:$I$88,3,0)*0.475*44/12</f>
        <v>0</v>
      </c>
      <c r="BR79" s="23">
        <f>EXP(-LN(2)/2)*BR78+(1-EXP(-LN(2)/2))/(LN(2)/2)*BL79*BO79*VLOOKUP('Données projet'!$B$9,Paramètres!$A$1:$I$88,3,0)*0.475*44/12</f>
        <v>0</v>
      </c>
      <c r="BS79" s="24">
        <f t="shared" si="66"/>
        <v>0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3.6</v>
      </c>
      <c r="BY79" s="13">
        <f>IF(A79&lt;'Données projet'!$A$114,$BV$205^A79,IF(A79='Données projet'!$A$114,'Données projet'!$B$114,BY78+BX79-CG78))</f>
        <v>206.59999999999997</v>
      </c>
      <c r="BZ79" s="14">
        <f>BY79*VLOOKUP('Données projet'!$B$12,Paramètres!$A$1:$I$88,3,0)*VLOOKUP('Données projet'!$B$12,Paramètres!$A$1:$I$88,5,0)</f>
        <v>222.38423999999998</v>
      </c>
      <c r="CA79" s="14">
        <f t="shared" si="100"/>
        <v>54.632762964056163</v>
      </c>
      <c r="CB79" s="22">
        <f t="shared" si="67"/>
        <v>482.47128016239776</v>
      </c>
      <c r="CC79" s="62">
        <f t="shared" si="68"/>
        <v>738.95411508795564</v>
      </c>
      <c r="CD79" s="62">
        <f ca="1">AVERAGE(OFFSET($CC$3,0,0,'Données projet'!$E$12+1,1))-AVERAGE(OFFSET($H$3,0,0,'Données projet'!$E$12+1,1))</f>
        <v>468.82871618425406</v>
      </c>
      <c r="CE79" s="62">
        <f t="shared" si="69"/>
        <v>259.37818128554397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projet'!$B$12,Paramètres!$A$1:$I$88,7,0))</f>
        <v>0</v>
      </c>
      <c r="CI79" s="17">
        <f>IF(ISNA(VLOOKUP(A79,'Données projet'!$A$113:$I$133,6,0)),0%,VLOOKUP(A79,'Données projet'!$A$113:$I$133,6,0)*VLOOKUP('Données projet'!$B$12,Paramètres!$A$1:$I$88,7,0))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projet'!$B$9,Paramètres!$A$1:$I$88,3,0)*0.475*44/12</f>
        <v>0</v>
      </c>
      <c r="CL79" s="23">
        <f>EXP(-LN(2)/25)*CL78+(1-EXP(-LN(2)/25))/(LN(2)/25)*Calculateur!CG79*Calculateur!CI79*VLOOKUP('Données projet'!$B$9,Paramètres!$A$1:$I$88,3,0)*0.475*44/12</f>
        <v>0</v>
      </c>
      <c r="CM79" s="23">
        <f>EXP(-LN(2)/2)*CM78+(1-EXP(-LN(2)/2))/(LN(2)/2)*CG79*CJ79*VLOOKUP('Données projet'!$B$9,Paramètres!$A$1:$I$88,3,0)*0.475*44/12</f>
        <v>0</v>
      </c>
      <c r="CN79" s="24">
        <f t="shared" si="70"/>
        <v>0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3.6</v>
      </c>
      <c r="CT79" s="13">
        <f>IF(A79&lt;'Données projet'!$A$140,$CQ$205^A79,IF(A79='Données projet'!$A$140,'Données projet'!$B$140,CT78+CS79-DB78))</f>
        <v>206.59999999999997</v>
      </c>
      <c r="CU79" s="18">
        <f>CT79*VLOOKUP('Données projet'!$B$13,Paramètres!$A$1:$I$88,3,0)*VLOOKUP('Données projet'!$B$13,Paramètres!$A$1:$I$88,5,0)</f>
        <v>177.2628</v>
      </c>
      <c r="CV79" s="14">
        <f t="shared" si="101"/>
        <v>44.712667560459252</v>
      </c>
      <c r="CW79" s="22">
        <f t="shared" si="71"/>
        <v>386.60727266779986</v>
      </c>
      <c r="CX79" s="62">
        <f t="shared" si="72"/>
        <v>643.09010759335774</v>
      </c>
      <c r="CY79" s="62">
        <f ca="1">AVERAGE(OFFSET($CX$3,0,0,'Données projet'!$E$13+1,1))-AVERAGE(OFFSET($H$3,0,0,'Données projet'!$E$13+1,1))</f>
        <v>395.19659151668884</v>
      </c>
      <c r="CZ79" s="62">
        <f t="shared" si="73"/>
        <v>222.86563304507339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projet'!$B$13,Paramètres!$A$1:$I$88,7,0))</f>
        <v>0</v>
      </c>
      <c r="DD79" s="17">
        <f>IF(ISNA(VLOOKUP(A79,'Données projet'!$A$139:$I$159,6,0)),0%,VLOOKUP(A79,'Données projet'!$A$139:$I$159,6,0)*VLOOKUP('Données projet'!$B$13,Paramètres!$A$1:$I$88,7,0))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projet'!$B$9,Paramètres!$A$1:$I$88,3,0)*0.475*44/12</f>
        <v>0</v>
      </c>
      <c r="DG79" s="23">
        <f>EXP(-LN(2)/25)*DG78+(1-EXP(-LN(2)/25))/(LN(2)/25)*Calculateur!DB79*Calculateur!DD79*VLOOKUP('Données projet'!$B$9,Paramètres!$A$1:$I$88,3,0)*0.475*44/12</f>
        <v>0</v>
      </c>
      <c r="DH79" s="23">
        <f>EXP(-LN(2)/2)*DH78+(1-EXP(-LN(2)/2))/(LN(2)/2)*DB79*DE79*VLOOKUP('Données projet'!$B$9,Paramètres!$A$1:$I$88,3,0)*0.475*44/12</f>
        <v>0</v>
      </c>
      <c r="DI79" s="24">
        <f t="shared" si="74"/>
        <v>0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4.5999999999999996</v>
      </c>
      <c r="DO79" s="13">
        <f>IF(A79&lt;'Données projet'!$A$166,$DL$205^A79,IF(A79='Données projet'!$A$166,'Données projet'!$B$166,DO78+DN79-DW78))</f>
        <v>70.599999999999994</v>
      </c>
      <c r="DP79" s="18">
        <f>DO79*VLOOKUP('Données projet'!$B$14,Paramètres!$A$1:$I$88,3,0)*VLOOKUP('Données projet'!$B$14,Paramètres!$A$1:$I$88,5,0)</f>
        <v>41.301000000000002</v>
      </c>
      <c r="DQ79" s="14">
        <f t="shared" si="102"/>
        <v>12.342832119347252</v>
      </c>
      <c r="DR79" s="22">
        <f t="shared" si="75"/>
        <v>93.429674274529773</v>
      </c>
      <c r="DS79" s="62">
        <f t="shared" si="76"/>
        <v>349.91250920008764</v>
      </c>
      <c r="DT79" s="62">
        <f ca="1">AVERAGE(OFFSET($DS$3,0,0,'Données projet'!$E$14+1,1))-AVERAGE(OFFSET($H$3,0,0,'Données projet'!$E$14+1,1))</f>
        <v>155.18073137151848</v>
      </c>
      <c r="DU79" s="62">
        <f t="shared" si="77"/>
        <v>115.19459155667272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projet'!$B$14,Paramètres!$A$1:$I$88,7,0))</f>
        <v>0</v>
      </c>
      <c r="DY79" s="17">
        <f>IF(ISNA(VLOOKUP(A79,'Données projet'!$A$165:$I$185,6,0)),0%,VLOOKUP(A79,'Données projet'!$A$165:$I$185,6,0)*VLOOKUP('Données projet'!$B$14,Paramètres!$A$1:$I$88,7,0))</f>
        <v>0</v>
      </c>
      <c r="DZ79" s="17">
        <f>IF(ISNA(VLOOKUP(A79,'Données projet'!$A$165:$I$185,7,0)),0%,VLOOKUP(A79,'Données projet'!$A$165:$I$185,7,0))</f>
        <v>0</v>
      </c>
      <c r="EA79" s="23">
        <f>EXP(-LN(2)/35)*EA78+(1-EXP(-LN(2)/35))/(LN(2)/35)*DW79*DX79*VLOOKUP('Données projet'!$B$9,Paramètres!$A$1:$I$88,3,0)*0.475*44/12</f>
        <v>0</v>
      </c>
      <c r="EB79" s="23">
        <f>EXP(-LN(2)/25)*EB78+(1-EXP(-LN(2)/25))/(LN(2)/25)*Calculateur!DW79*Calculateur!DY79*VLOOKUP('Données projet'!$B$9,Paramètres!$A$1:$I$88,3,0)*0.475*44/12</f>
        <v>0</v>
      </c>
      <c r="EC79" s="23">
        <f>EXP(-LN(2)/2)*EC78+(1-EXP(-LN(2)/2))/(LN(2)/2)*DW79*DZ79*VLOOKUP('Données projet'!$B$9,Paramètres!$A$1:$I$88,3,0)*0.475*44/12</f>
        <v>0</v>
      </c>
      <c r="ED79" s="24">
        <f t="shared" si="78"/>
        <v>0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8.0666666666666664</v>
      </c>
      <c r="EJ79" s="13">
        <f>IF(A79&lt;'Données projet'!$A$192,$EG$205^A79,IF(A79='Données projet'!$A$192,'Données projet'!$B$192,EJ78+EI79-ER78))</f>
        <v>197.06666666666672</v>
      </c>
      <c r="EK79" s="18">
        <f>EJ79*VLOOKUP('Données projet'!$B$15,Paramètres!$A$1:$I$88,3,0)*VLOOKUP('Données projet'!$B$15,Paramètres!$A$1:$I$88,5,0)</f>
        <v>92.227200000000025</v>
      </c>
      <c r="EL79" s="14">
        <f t="shared" si="103"/>
        <v>25.10160540637413</v>
      </c>
      <c r="EM79" s="22">
        <f t="shared" si="79"/>
        <v>204.34766941610164</v>
      </c>
      <c r="EN79" s="62">
        <f t="shared" si="80"/>
        <v>460.83050434165955</v>
      </c>
      <c r="EO79" s="62">
        <f ca="1">AVERAGE(OFFSET($EN$3,0,0,'Données projet'!$E$15+1,1))-AVERAGE(OFFSET($H$3,0,0,'Données projet'!$E$15+1,1))</f>
        <v>238.59014604384171</v>
      </c>
      <c r="EP79" s="62">
        <f t="shared" si="81"/>
        <v>90.841373219575217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projet'!$B$15,Paramètres!$A$1:$I$88,7,0))</f>
        <v>0</v>
      </c>
      <c r="ET79" s="17">
        <f>IF(ISNA(VLOOKUP(A79,'Données projet'!$A$191:$I$211,6,0)),0%,VLOOKUP(A79,'Données projet'!$A$191:$I$211,6,0)*VLOOKUP('Données projet'!$B$15,Paramètres!$A$1:$I$88,7,0))</f>
        <v>0</v>
      </c>
      <c r="EU79" s="17">
        <f>IF(ISNA(VLOOKUP(A79,'Données projet'!$A$191:$I$211,7,0)),0%,VLOOKUP(A79,'Données projet'!$A$191:$I$211,7,0))</f>
        <v>0</v>
      </c>
      <c r="EV79" s="23">
        <f>EXP(-LN(2)/35)*EV78+(1-EXP(-LN(2)/35))/(LN(2)/35)*ER79*ES79*VLOOKUP('Données projet'!$B$9,Paramètres!$A$1:$I$88,3,0)*0.475*44/12</f>
        <v>0</v>
      </c>
      <c r="EW79" s="23">
        <f>EXP(-LN(2)/25)*EW78+(1-EXP(-LN(2)/25))/(LN(2)/25)*Calculateur!ER79*Calculateur!ET79*VLOOKUP('Données projet'!$B$9,Paramètres!$A$1:$I$88,3,0)*0.475*44/12</f>
        <v>0</v>
      </c>
      <c r="EX79" s="23">
        <f>EXP(-LN(2)/2)*EX78+(1-EXP(-LN(2)/2))/(LN(2)/2)*ER79*EU79*VLOOKUP('Données projet'!$B$9,Paramètres!$A$1:$I$88,3,0)*0.475*44/12</f>
        <v>0</v>
      </c>
      <c r="EY79" s="24">
        <f t="shared" si="82"/>
        <v>0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IF(A79&lt;'Données projet'!$A$218,$FB$205^A79,IF(A79='Données projet'!$A$218,'Données projet'!$B$218,FE78+FD79-FM78))</f>
        <v>0</v>
      </c>
      <c r="FF79" s="18" t="e">
        <f>FE79*VLOOKUP('Données projet'!$B$16,Paramètres!$A$1:$I$88,3,0)*VLOOKUP('Données projet'!$B$16,Paramètres!$A$1:$I$88,5,0)</f>
        <v>#N/A</v>
      </c>
      <c r="FG79" s="14" t="e">
        <f t="shared" si="104"/>
        <v>#N/A</v>
      </c>
      <c r="FH79" s="22" t="e">
        <f t="shared" si="83"/>
        <v>#N/A</v>
      </c>
      <c r="FI79" s="62" t="e">
        <f t="shared" si="84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85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projet'!$B$16,Paramètres!$A$1:$I$88,7,0))</f>
        <v>0</v>
      </c>
      <c r="FO79" s="17">
        <f>IF(ISNA(VLOOKUP(A79,'Données projet'!$A$217:$I$237,6,0)),0%,VLOOKUP(A79,'Données projet'!$A$217:$I$237,6,0)*VLOOKUP('Données projet'!$B$16,Paramètres!$A$1:$I$88,7,0))</f>
        <v>0</v>
      </c>
      <c r="FP79" s="17">
        <f>IF(ISNA(VLOOKUP(A79,'Données projet'!$A$217:$I$237,7,0)),0%,VLOOKUP(A79,'Données projet'!$A$217:$I$237,7,0))</f>
        <v>0</v>
      </c>
      <c r="FQ79" s="23">
        <f>EXP(-LN(2)/35)*FQ78+(1-EXP(-LN(2)/35))/(LN(2)/35)*FM79*FN79*VLOOKUP('Données projet'!$B$9,Paramètres!$A$1:$I$88,3,0)*0.475*44/12</f>
        <v>0</v>
      </c>
      <c r="FR79" s="23">
        <f>EXP(-LN(2)/25)*FR78+(1-EXP(-LN(2)/25))/(LN(2)/25)*Calculateur!FM79*Calculateur!FO79*VLOOKUP('Données projet'!$B$9,Paramètres!$A$1:$I$88,3,0)*0.475*44/12</f>
        <v>0</v>
      </c>
      <c r="FS79" s="23">
        <f>EXP(-LN(2)/2)*FS78+(1-EXP(-LN(2)/2))/(LN(2)/2)*FM79*FP79*VLOOKUP('Données projet'!$B$9,Paramètres!$A$1:$I$88,3,0)*0.475*44/12</f>
        <v>0</v>
      </c>
      <c r="FT79" s="24">
        <f t="shared" si="86"/>
        <v>0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IF(A79&lt;'Données projet'!$A$244,$FW$205^A79,IF(A79='Données projet'!$A$244,'Données projet'!$B$244,FZ78+FY79-GH78))</f>
        <v>0</v>
      </c>
      <c r="GA79" s="18" t="e">
        <f>FZ79*VLOOKUP('Données projet'!$B$17,Paramètres!$A$1:$I$88,3,0)*VLOOKUP('Données projet'!$B$17,Paramètres!$A$1:$I$88,5,0)</f>
        <v>#N/A</v>
      </c>
      <c r="GB79" s="14" t="e">
        <f t="shared" si="105"/>
        <v>#N/A</v>
      </c>
      <c r="GC79" s="22" t="e">
        <f t="shared" si="87"/>
        <v>#N/A</v>
      </c>
      <c r="GD79" s="62" t="e">
        <f t="shared" si="88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89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projet'!$B$17,Paramètres!$A$1:$I$88,7,0))</f>
        <v>0</v>
      </c>
      <c r="GJ79" s="17">
        <f>IF(ISNA(VLOOKUP(A79,'Données projet'!$A$243:$I$263,6,0)),0%,VLOOKUP(A79,'Données projet'!$A$243:$I$263,6,0)*VLOOKUP('Données projet'!$B$17,Paramètres!$A$1:$I$88,7,0))</f>
        <v>0</v>
      </c>
      <c r="GK79" s="17">
        <f>IF(ISNA(VLOOKUP(A79,'Données projet'!$A$243:$I$263,7,0)),0%,VLOOKUP(A79,'Données projet'!$A$243:$I$263,7,0))</f>
        <v>0</v>
      </c>
      <c r="GL79" s="23">
        <f>EXP(-LN(2)/35)*GL78+(1-EXP(-LN(2)/35))/(LN(2)/35)*GH79*GI79*VLOOKUP('Données projet'!$B$9,Paramètres!$A$1:$I$88,3,0)*0.475*44/12</f>
        <v>0</v>
      </c>
      <c r="GM79" s="23">
        <f>EXP(-LN(2)/25)*GM78+(1-EXP(-LN(2)/25))/(LN(2)/25)*Calculateur!GH79*Calculateur!GJ79*VLOOKUP('Données projet'!$B$9,Paramètres!$A$1:$I$88,3,0)*0.475*44/12</f>
        <v>0</v>
      </c>
      <c r="GN79" s="23">
        <f>EXP(-LN(2)/2)*GN78+(1-EXP(-LN(2)/2))/(LN(2)/2)*GH79*GK79*VLOOKUP('Données projet'!$B$9,Paramètres!$A$1:$I$88,3,0)*0.475*44/12</f>
        <v>0</v>
      </c>
      <c r="GO79" s="23">
        <f t="shared" si="90"/>
        <v>0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IF(A79&lt;'Données projet'!$A$270,$GR$205^A79,IF(A79='Données projet'!$A$270,'Données projet'!$B$270,GU78+GT79-HC78))</f>
        <v>0</v>
      </c>
      <c r="GV79" s="18" t="e">
        <f>GU79*VLOOKUP('Données projet'!$B$18,Paramètres!$A$1:$I$88,3,0)*VLOOKUP('Données projet'!$B$18,Paramètres!$A$1:$I$88,5,0)</f>
        <v>#N/A</v>
      </c>
      <c r="GW79" s="14" t="e">
        <f t="shared" si="106"/>
        <v>#N/A</v>
      </c>
      <c r="GX79" s="22" t="e">
        <f t="shared" si="91"/>
        <v>#N/A</v>
      </c>
      <c r="GY79" s="62" t="e">
        <f t="shared" si="92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93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projet'!$B$18,Paramètres!$A$1:$I$88,7,0))</f>
        <v>0</v>
      </c>
      <c r="HE79" s="17">
        <f>IF(ISNA(VLOOKUP(A79,'Données projet'!$A$269:$I$289,6,0)),0%,VLOOKUP(A79,'Données projet'!$A$269:$I$289,6,0)*VLOOKUP('Données projet'!$B$18,Paramètres!$A$1:$I$88,7,0))</f>
        <v>0</v>
      </c>
      <c r="HF79" s="17">
        <f>IF(ISNA(VLOOKUP(A79,'Données projet'!$A$269:$I$289,7,0)),0%,VLOOKUP(A79,'Données projet'!$A$269:$I$289,7,0))</f>
        <v>0</v>
      </c>
      <c r="HG79" s="23">
        <f>EXP(-LN(2)/35)*HG78+(1-EXP(-LN(2)/35))/(LN(2)/35)*HC79*HD79*VLOOKUP('Données projet'!$B$9,Paramètres!$A$1:$I$88,3,0)*0.475*44/12</f>
        <v>0</v>
      </c>
      <c r="HH79" s="23">
        <f>EXP(-LN(2)/25)*HH78+(1-EXP(-LN(2)/25))/(LN(2)/25)*Calculateur!HC79*Calculateur!HE79*VLOOKUP('Données projet'!$B$9,Paramètres!$A$1:$I$88,3,0)*0.475*44/12</f>
        <v>0</v>
      </c>
      <c r="HI79" s="23">
        <f>EXP(-LN(2)/2)*HI78+(1-EXP(-LN(2)/2))/(LN(2)/2)*HC79*HF79*VLOOKUP('Données projet'!$B$9,Paramètres!$A$1:$I$88,3,0)*0.475*44/12</f>
        <v>0</v>
      </c>
      <c r="HJ79" s="24">
        <f t="shared" si="94"/>
        <v>0</v>
      </c>
    </row>
    <row r="80" spans="1:218" s="5" customFormat="1" x14ac:dyDescent="0.25">
      <c r="A80" s="11">
        <f t="shared" si="95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0" s="12">
        <f t="shared" si="9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57"/>
        <v>135.66666666666666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1.5783333333333318</v>
      </c>
      <c r="N80" s="14">
        <f>IF(A80&lt;'Données projet'!$A$36,$K$205^A80,IF(A80='Données projet'!$A$36,'Données projet'!$B$36,N79+M80-V79))</f>
        <v>95.410833333333272</v>
      </c>
      <c r="O80" s="14">
        <f>N80*VLOOKUP('Données projet'!$B$9,Paramètres!$A$1:$I$88,3,0)*VLOOKUP('Données projet'!$B$9,Paramètres!$A$1:$I$88,5,0)</f>
        <v>109.91327999999992</v>
      </c>
      <c r="P80" s="14">
        <f t="shared" si="97"/>
        <v>29.310551726420417</v>
      </c>
      <c r="Q80" s="22">
        <f t="shared" si="54"/>
        <v>242.48150692351541</v>
      </c>
      <c r="R80" s="62">
        <f t="shared" si="55"/>
        <v>499.60361561107595</v>
      </c>
      <c r="S80" s="62">
        <f ca="1">AVERAGE(OFFSET($R$3,0,0,'Données projet'!$E$9+1,1))-AVERAGE(OFFSET($H$3,0,0,'Données projet'!$E$9+1,1))</f>
        <v>314.72063458462026</v>
      </c>
      <c r="T80" s="62">
        <f t="shared" si="56"/>
        <v>216.4380325968244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projet'!$B$9,Paramètres!$A$1:$I$88,7,0))</f>
        <v>0</v>
      </c>
      <c r="X80" s="17">
        <f>IF(ISNA(VLOOKUP(A80,'Données projet'!$A$35:$I$55,6,0)),0%,VLOOKUP(A80,'Données projet'!$A$35:$I$55,6,0)*VLOOKUP('Données projet'!$B$9,Paramètres!$A$1:$I$88,7,0))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projet'!$B$9,Paramètres!$A$1:$I$88,3,0)*0.475*44/12</f>
        <v>0</v>
      </c>
      <c r="AA80" s="23">
        <f>EXP(-LN(2)/25)*AA79+(1-EXP(-LN(2)/25))/(LN(2)/25)*Calculateur!V80*Calculateur!X80*VLOOKUP('Données projet'!$B$9,Paramètres!$A$1:$I$88,3,0)*0.475*44/12</f>
        <v>0</v>
      </c>
      <c r="AB80" s="23">
        <f>EXP(-LN(2)/2)*AB79+(1-EXP(-LN(2)/2))/(LN(2)/2)*V80*Y80*VLOOKUP('Données projet'!$B$9,Paramètres!$A$1:$I$88,3,0)*0.475*44/12</f>
        <v>0</v>
      </c>
      <c r="AC80" s="24">
        <f t="shared" si="58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3.6</v>
      </c>
      <c r="AI80" s="14">
        <f>IF(A80&lt;'Données projet'!$A$62,$AF$205^A80,IF(A80='Données projet'!$A$62,'Données projet'!$B$62,AI79+AH80-AQ79))</f>
        <v>210.19999999999996</v>
      </c>
      <c r="AJ80" s="14">
        <f>AI80*VLOOKUP('Données projet'!$B$10,Paramètres!$A$1:$I$88,3,0)*VLOOKUP('Données projet'!$B$10,Paramètres!$A$1:$I$88,5,0)</f>
        <v>219.70103999999998</v>
      </c>
      <c r="AK80" s="14">
        <f t="shared" si="98"/>
        <v>54.049903100126734</v>
      </c>
      <c r="AL80" s="22">
        <f t="shared" si="59"/>
        <v>476.78289256605399</v>
      </c>
      <c r="AM80" s="62">
        <f t="shared" si="60"/>
        <v>733.9050012536145</v>
      </c>
      <c r="AN80" s="62">
        <f ca="1">AVERAGE(OFFSET($AM$3,0,0,'Données projet'!$E$10+1,1))-AVERAGE(OFFSET($H$3,0,0,'Données projet'!$E$10+1,1))</f>
        <v>458.33072853676879</v>
      </c>
      <c r="AO80" s="62">
        <f t="shared" si="61"/>
        <v>254.1734169352687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projet'!$B$10,Paramètres!$A$1:$I$88,7,0))</f>
        <v>0</v>
      </c>
      <c r="AS80" s="17">
        <f>IF(ISNA(VLOOKUP(A80,'Données projet'!$A$61:$I$81,6,0)),0%,VLOOKUP(A80,'Données projet'!$A$61:$I$81,6,0)*VLOOKUP('Données projet'!$B$10,Paramètres!$A$1:$I$88,7,0))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projet'!$B$9,Paramètres!$A$1:$I$88,3,0)*0.475*44/12</f>
        <v>0</v>
      </c>
      <c r="AV80" s="23">
        <f>EXP(-LN(2)/25)*AV79+(1-EXP(-LN(2)/25))/(LN(2)/25)*Calculateur!AQ80*Calculateur!AS80*VLOOKUP('Données projet'!$B$9,Paramètres!$A$1:$I$88,3,0)*0.475*44/12</f>
        <v>0</v>
      </c>
      <c r="AW80" s="23">
        <f>EXP(-LN(2)/2)*AW79+(1-EXP(-LN(2)/2))/(LN(2)/2)*AQ80*AT80*VLOOKUP('Données projet'!$B$9,Paramètres!$A$1:$I$88,3,0)*0.475*44/12</f>
        <v>0</v>
      </c>
      <c r="AX80" s="23">
        <f t="shared" si="62"/>
        <v>0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3.6</v>
      </c>
      <c r="BD80" s="13">
        <f>IF(A80&lt;'Données projet'!$A$88,$BA$205^A80,IF(A80='Données projet'!$A$88,'Données projet'!$B$88,BD79+BC80-BL79))</f>
        <v>210.19999999999996</v>
      </c>
      <c r="BE80" s="14">
        <f>BD80*VLOOKUP('Données projet'!$B$11,Paramètres!$A$1:$I$88,3,0)*VLOOKUP('Données projet'!$B$11,Paramètres!$A$1:$I$88,5,0)</f>
        <v>213.14279999999997</v>
      </c>
      <c r="BF80" s="14">
        <f t="shared" si="99"/>
        <v>52.621771686042251</v>
      </c>
      <c r="BG80" s="22">
        <f t="shared" si="63"/>
        <v>462.87329568652353</v>
      </c>
      <c r="BH80" s="62">
        <f t="shared" si="64"/>
        <v>719.99540437408405</v>
      </c>
      <c r="BI80" s="62">
        <f ca="1">AVERAGE(OFFSET($BH$3,0,0,'Données projet'!$E$11+1,1))-AVERAGE(OFFSET($H$3,0,0,'Données projet'!$E$11+1,1))</f>
        <v>447.82618173893104</v>
      </c>
      <c r="BJ80" s="62">
        <f t="shared" si="65"/>
        <v>248.96509970783379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projet'!$B$11,Paramètres!$A$1:$I$88,7,0))</f>
        <v>0</v>
      </c>
      <c r="BN80" s="17">
        <f>IF(ISNA(VLOOKUP(A80,'Données projet'!$A$87:$I$107,6,0)),0%,VLOOKUP(A80,'Données projet'!$A$87:$I$107,6,0)*VLOOKUP('Données projet'!$B$11,Paramètres!$A$1:$I$88,7,0))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projet'!$B$9,Paramètres!$A$1:$I$88,3,0)*0.475*44/12</f>
        <v>0</v>
      </c>
      <c r="BQ80" s="23">
        <f>EXP(-LN(2)/25)*BQ79+(1-EXP(-LN(2)/25))/(LN(2)/25)*Calculateur!BL80*Calculateur!BN80*VLOOKUP('Données projet'!$B$9,Paramètres!$A$1:$I$88,3,0)*0.475*44/12</f>
        <v>0</v>
      </c>
      <c r="BR80" s="23">
        <f>EXP(-LN(2)/2)*BR79+(1-EXP(-LN(2)/2))/(LN(2)/2)*BL80*BO80*VLOOKUP('Données projet'!$B$9,Paramètres!$A$1:$I$88,3,0)*0.475*44/12</f>
        <v>0</v>
      </c>
      <c r="BS80" s="24">
        <f t="shared" si="66"/>
        <v>0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3.6</v>
      </c>
      <c r="BY80" s="13">
        <f>IF(A80&lt;'Données projet'!$A$114,$BV$205^A80,IF(A80='Données projet'!$A$114,'Données projet'!$B$114,BY79+BX80-CG79))</f>
        <v>210.19999999999996</v>
      </c>
      <c r="BZ80" s="14">
        <f>BY80*VLOOKUP('Données projet'!$B$12,Paramètres!$A$1:$I$88,3,0)*VLOOKUP('Données projet'!$B$12,Paramètres!$A$1:$I$88,5,0)</f>
        <v>226.25927999999993</v>
      </c>
      <c r="CA80" s="14">
        <f t="shared" si="100"/>
        <v>55.473080123973105</v>
      </c>
      <c r="CB80" s="22">
        <f t="shared" si="67"/>
        <v>490.68386054925304</v>
      </c>
      <c r="CC80" s="62">
        <f t="shared" si="68"/>
        <v>747.80596923681355</v>
      </c>
      <c r="CD80" s="62">
        <f ca="1">AVERAGE(OFFSET($CC$3,0,0,'Données projet'!$E$12+1,1))-AVERAGE(OFFSET($H$3,0,0,'Données projet'!$E$12+1,1))</f>
        <v>468.82871618425406</v>
      </c>
      <c r="CE80" s="62">
        <f t="shared" si="69"/>
        <v>259.37818128554397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projet'!$B$12,Paramètres!$A$1:$I$88,7,0))</f>
        <v>0</v>
      </c>
      <c r="CI80" s="17">
        <f>IF(ISNA(VLOOKUP(A80,'Données projet'!$A$113:$I$133,6,0)),0%,VLOOKUP(A80,'Données projet'!$A$113:$I$133,6,0)*VLOOKUP('Données projet'!$B$12,Paramètres!$A$1:$I$88,7,0))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projet'!$B$9,Paramètres!$A$1:$I$88,3,0)*0.475*44/12</f>
        <v>0</v>
      </c>
      <c r="CL80" s="23">
        <f>EXP(-LN(2)/25)*CL79+(1-EXP(-LN(2)/25))/(LN(2)/25)*Calculateur!CG80*Calculateur!CI80*VLOOKUP('Données projet'!$B$9,Paramètres!$A$1:$I$88,3,0)*0.475*44/12</f>
        <v>0</v>
      </c>
      <c r="CM80" s="23">
        <f>EXP(-LN(2)/2)*CM79+(1-EXP(-LN(2)/2))/(LN(2)/2)*CG80*CJ80*VLOOKUP('Données projet'!$B$9,Paramètres!$A$1:$I$88,3,0)*0.475*44/12</f>
        <v>0</v>
      </c>
      <c r="CN80" s="24">
        <f t="shared" si="70"/>
        <v>0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3.6</v>
      </c>
      <c r="CT80" s="13">
        <f>IF(A80&lt;'Données projet'!$A$140,$CQ$205^A80,IF(A80='Données projet'!$A$140,'Données projet'!$B$140,CT79+CS80-DB79))</f>
        <v>210.19999999999996</v>
      </c>
      <c r="CU80" s="18">
        <f>CT80*VLOOKUP('Données projet'!$B$13,Paramètres!$A$1:$I$88,3,0)*VLOOKUP('Données projet'!$B$13,Paramètres!$A$1:$I$88,5,0)</f>
        <v>180.35159999999999</v>
      </c>
      <c r="CV80" s="14">
        <f t="shared" si="101"/>
        <v>45.400401802299356</v>
      </c>
      <c r="CW80" s="22">
        <f t="shared" si="71"/>
        <v>393.18473647233799</v>
      </c>
      <c r="CX80" s="62">
        <f t="shared" si="72"/>
        <v>650.30684515989856</v>
      </c>
      <c r="CY80" s="62">
        <f ca="1">AVERAGE(OFFSET($CX$3,0,0,'Données projet'!$E$13+1,1))-AVERAGE(OFFSET($H$3,0,0,'Données projet'!$E$13+1,1))</f>
        <v>395.19659151668884</v>
      </c>
      <c r="CZ80" s="62">
        <f t="shared" si="73"/>
        <v>222.86563304507339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projet'!$B$13,Paramètres!$A$1:$I$88,7,0))</f>
        <v>0</v>
      </c>
      <c r="DD80" s="17">
        <f>IF(ISNA(VLOOKUP(A80,'Données projet'!$A$139:$I$159,6,0)),0%,VLOOKUP(A80,'Données projet'!$A$139:$I$159,6,0)*VLOOKUP('Données projet'!$B$13,Paramètres!$A$1:$I$88,7,0))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projet'!$B$9,Paramètres!$A$1:$I$88,3,0)*0.475*44/12</f>
        <v>0</v>
      </c>
      <c r="DG80" s="23">
        <f>EXP(-LN(2)/25)*DG79+(1-EXP(-LN(2)/25))/(LN(2)/25)*Calculateur!DB80*Calculateur!DD80*VLOOKUP('Données projet'!$B$9,Paramètres!$A$1:$I$88,3,0)*0.475*44/12</f>
        <v>0</v>
      </c>
      <c r="DH80" s="23">
        <f>EXP(-LN(2)/2)*DH79+(1-EXP(-LN(2)/2))/(LN(2)/2)*DB80*DE80*VLOOKUP('Données projet'!$B$9,Paramètres!$A$1:$I$88,3,0)*0.475*44/12</f>
        <v>0</v>
      </c>
      <c r="DI80" s="24">
        <f t="shared" si="74"/>
        <v>0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4.5999999999999996</v>
      </c>
      <c r="DO80" s="13">
        <f>IF(A80&lt;'Données projet'!$A$166,$DL$205^A80,IF(A80='Données projet'!$A$166,'Données projet'!$B$166,DO79+DN80-DW79))</f>
        <v>75.199999999999989</v>
      </c>
      <c r="DP80" s="18">
        <f>DO80*VLOOKUP('Données projet'!$B$14,Paramètres!$A$1:$I$88,3,0)*VLOOKUP('Données projet'!$B$14,Paramètres!$A$1:$I$88,5,0)</f>
        <v>43.991999999999997</v>
      </c>
      <c r="DQ80" s="14">
        <f t="shared" si="102"/>
        <v>13.05079813120688</v>
      </c>
      <c r="DR80" s="22">
        <f t="shared" si="75"/>
        <v>99.349540078518643</v>
      </c>
      <c r="DS80" s="62">
        <f t="shared" si="76"/>
        <v>356.47164876607923</v>
      </c>
      <c r="DT80" s="62">
        <f ca="1">AVERAGE(OFFSET($DS$3,0,0,'Données projet'!$E$14+1,1))-AVERAGE(OFFSET($H$3,0,0,'Données projet'!$E$14+1,1))</f>
        <v>155.18073137151848</v>
      </c>
      <c r="DU80" s="62">
        <f t="shared" si="77"/>
        <v>115.19459155667272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projet'!$B$14,Paramètres!$A$1:$I$88,7,0))</f>
        <v>0</v>
      </c>
      <c r="DY80" s="17">
        <f>IF(ISNA(VLOOKUP(A80,'Données projet'!$A$165:$I$185,6,0)),0%,VLOOKUP(A80,'Données projet'!$A$165:$I$185,6,0)*VLOOKUP('Données projet'!$B$14,Paramètres!$A$1:$I$88,7,0))</f>
        <v>0</v>
      </c>
      <c r="DZ80" s="17">
        <f>IF(ISNA(VLOOKUP(A80,'Données projet'!$A$165:$I$185,7,0)),0%,VLOOKUP(A80,'Données projet'!$A$165:$I$185,7,0))</f>
        <v>0</v>
      </c>
      <c r="EA80" s="23">
        <f>EXP(-LN(2)/35)*EA79+(1-EXP(-LN(2)/35))/(LN(2)/35)*DW80*DX80*VLOOKUP('Données projet'!$B$9,Paramètres!$A$1:$I$88,3,0)*0.475*44/12</f>
        <v>0</v>
      </c>
      <c r="EB80" s="23">
        <f>EXP(-LN(2)/25)*EB79+(1-EXP(-LN(2)/25))/(LN(2)/25)*Calculateur!DW80*Calculateur!DY80*VLOOKUP('Données projet'!$B$9,Paramètres!$A$1:$I$88,3,0)*0.475*44/12</f>
        <v>0</v>
      </c>
      <c r="EC80" s="23">
        <f>EXP(-LN(2)/2)*EC79+(1-EXP(-LN(2)/2))/(LN(2)/2)*DW80*DZ80*VLOOKUP('Données projet'!$B$9,Paramètres!$A$1:$I$88,3,0)*0.475*44/12</f>
        <v>0</v>
      </c>
      <c r="ED80" s="24">
        <f t="shared" si="78"/>
        <v>0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8.0666666666666664</v>
      </c>
      <c r="EJ80" s="13">
        <f>IF(A80&lt;'Données projet'!$A$192,$EG$205^A80,IF(A80='Données projet'!$A$192,'Données projet'!$B$192,EJ79+EI80-ER79))</f>
        <v>205.13333333333338</v>
      </c>
      <c r="EK80" s="18">
        <f>EJ80*VLOOKUP('Données projet'!$B$15,Paramètres!$A$1:$I$88,3,0)*VLOOKUP('Données projet'!$B$15,Paramètres!$A$1:$I$88,5,0)</f>
        <v>96.002400000000023</v>
      </c>
      <c r="EL80" s="14">
        <f t="shared" si="103"/>
        <v>26.007375001544069</v>
      </c>
      <c r="EM80" s="22">
        <f t="shared" si="79"/>
        <v>212.50035812768928</v>
      </c>
      <c r="EN80" s="62">
        <f t="shared" si="80"/>
        <v>469.62246681524982</v>
      </c>
      <c r="EO80" s="62">
        <f ca="1">AVERAGE(OFFSET($EN$3,0,0,'Données projet'!$E$15+1,1))-AVERAGE(OFFSET($H$3,0,0,'Données projet'!$E$15+1,1))</f>
        <v>238.59014604384171</v>
      </c>
      <c r="EP80" s="62">
        <f t="shared" si="81"/>
        <v>90.841373219575217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projet'!$B$15,Paramètres!$A$1:$I$88,7,0))</f>
        <v>0</v>
      </c>
      <c r="ET80" s="17">
        <f>IF(ISNA(VLOOKUP(A80,'Données projet'!$A$191:$I$211,6,0)),0%,VLOOKUP(A80,'Données projet'!$A$191:$I$211,6,0)*VLOOKUP('Données projet'!$B$15,Paramètres!$A$1:$I$88,7,0))</f>
        <v>0</v>
      </c>
      <c r="EU80" s="17">
        <f>IF(ISNA(VLOOKUP(A80,'Données projet'!$A$191:$I$211,7,0)),0%,VLOOKUP(A80,'Données projet'!$A$191:$I$211,7,0))</f>
        <v>0</v>
      </c>
      <c r="EV80" s="23">
        <f>EXP(-LN(2)/35)*EV79+(1-EXP(-LN(2)/35))/(LN(2)/35)*ER80*ES80*VLOOKUP('Données projet'!$B$9,Paramètres!$A$1:$I$88,3,0)*0.475*44/12</f>
        <v>0</v>
      </c>
      <c r="EW80" s="23">
        <f>EXP(-LN(2)/25)*EW79+(1-EXP(-LN(2)/25))/(LN(2)/25)*Calculateur!ER80*Calculateur!ET80*VLOOKUP('Données projet'!$B$9,Paramètres!$A$1:$I$88,3,0)*0.475*44/12</f>
        <v>0</v>
      </c>
      <c r="EX80" s="23">
        <f>EXP(-LN(2)/2)*EX79+(1-EXP(-LN(2)/2))/(LN(2)/2)*ER80*EU80*VLOOKUP('Données projet'!$B$9,Paramètres!$A$1:$I$88,3,0)*0.475*44/12</f>
        <v>0</v>
      </c>
      <c r="EY80" s="24">
        <f t="shared" si="82"/>
        <v>0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IF(A80&lt;'Données projet'!$A$218,$FB$205^A80,IF(A80='Données projet'!$A$218,'Données projet'!$B$218,FE79+FD80-FM79))</f>
        <v>0</v>
      </c>
      <c r="FF80" s="18" t="e">
        <f>FE80*VLOOKUP('Données projet'!$B$16,Paramètres!$A$1:$I$88,3,0)*VLOOKUP('Données projet'!$B$16,Paramètres!$A$1:$I$88,5,0)</f>
        <v>#N/A</v>
      </c>
      <c r="FG80" s="14" t="e">
        <f t="shared" si="104"/>
        <v>#N/A</v>
      </c>
      <c r="FH80" s="22" t="e">
        <f t="shared" si="83"/>
        <v>#N/A</v>
      </c>
      <c r="FI80" s="62" t="e">
        <f t="shared" si="84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85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projet'!$B$16,Paramètres!$A$1:$I$88,7,0))</f>
        <v>0</v>
      </c>
      <c r="FO80" s="17">
        <f>IF(ISNA(VLOOKUP(A80,'Données projet'!$A$217:$I$237,6,0)),0%,VLOOKUP(A80,'Données projet'!$A$217:$I$237,6,0)*VLOOKUP('Données projet'!$B$16,Paramètres!$A$1:$I$88,7,0))</f>
        <v>0</v>
      </c>
      <c r="FP80" s="17">
        <f>IF(ISNA(VLOOKUP(A80,'Données projet'!$A$217:$I$237,7,0)),0%,VLOOKUP(A80,'Données projet'!$A$217:$I$237,7,0))</f>
        <v>0</v>
      </c>
      <c r="FQ80" s="23">
        <f>EXP(-LN(2)/35)*FQ79+(1-EXP(-LN(2)/35))/(LN(2)/35)*FM80*FN80*VLOOKUP('Données projet'!$B$9,Paramètres!$A$1:$I$88,3,0)*0.475*44/12</f>
        <v>0</v>
      </c>
      <c r="FR80" s="23">
        <f>EXP(-LN(2)/25)*FR79+(1-EXP(-LN(2)/25))/(LN(2)/25)*Calculateur!FM80*Calculateur!FO80*VLOOKUP('Données projet'!$B$9,Paramètres!$A$1:$I$88,3,0)*0.475*44/12</f>
        <v>0</v>
      </c>
      <c r="FS80" s="23">
        <f>EXP(-LN(2)/2)*FS79+(1-EXP(-LN(2)/2))/(LN(2)/2)*FM80*FP80*VLOOKUP('Données projet'!$B$9,Paramètres!$A$1:$I$88,3,0)*0.475*44/12</f>
        <v>0</v>
      </c>
      <c r="FT80" s="24">
        <f t="shared" si="86"/>
        <v>0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IF(A80&lt;'Données projet'!$A$244,$FW$205^A80,IF(A80='Données projet'!$A$244,'Données projet'!$B$244,FZ79+FY80-GH79))</f>
        <v>0</v>
      </c>
      <c r="GA80" s="18" t="e">
        <f>FZ80*VLOOKUP('Données projet'!$B$17,Paramètres!$A$1:$I$88,3,0)*VLOOKUP('Données projet'!$B$17,Paramètres!$A$1:$I$88,5,0)</f>
        <v>#N/A</v>
      </c>
      <c r="GB80" s="14" t="e">
        <f t="shared" si="105"/>
        <v>#N/A</v>
      </c>
      <c r="GC80" s="22" t="e">
        <f t="shared" si="87"/>
        <v>#N/A</v>
      </c>
      <c r="GD80" s="62" t="e">
        <f t="shared" si="88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89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projet'!$B$17,Paramètres!$A$1:$I$88,7,0))</f>
        <v>0</v>
      </c>
      <c r="GJ80" s="17">
        <f>IF(ISNA(VLOOKUP(A80,'Données projet'!$A$243:$I$263,6,0)),0%,VLOOKUP(A80,'Données projet'!$A$243:$I$263,6,0)*VLOOKUP('Données projet'!$B$17,Paramètres!$A$1:$I$88,7,0))</f>
        <v>0</v>
      </c>
      <c r="GK80" s="17">
        <f>IF(ISNA(VLOOKUP(A80,'Données projet'!$A$243:$I$263,7,0)),0%,VLOOKUP(A80,'Données projet'!$A$243:$I$263,7,0))</f>
        <v>0</v>
      </c>
      <c r="GL80" s="23">
        <f>EXP(-LN(2)/35)*GL79+(1-EXP(-LN(2)/35))/(LN(2)/35)*GH80*GI80*VLOOKUP('Données projet'!$B$9,Paramètres!$A$1:$I$88,3,0)*0.475*44/12</f>
        <v>0</v>
      </c>
      <c r="GM80" s="23">
        <f>EXP(-LN(2)/25)*GM79+(1-EXP(-LN(2)/25))/(LN(2)/25)*Calculateur!GH80*Calculateur!GJ80*VLOOKUP('Données projet'!$B$9,Paramètres!$A$1:$I$88,3,0)*0.475*44/12</f>
        <v>0</v>
      </c>
      <c r="GN80" s="23">
        <f>EXP(-LN(2)/2)*GN79+(1-EXP(-LN(2)/2))/(LN(2)/2)*GH80*GK80*VLOOKUP('Données projet'!$B$9,Paramètres!$A$1:$I$88,3,0)*0.475*44/12</f>
        <v>0</v>
      </c>
      <c r="GO80" s="23">
        <f t="shared" si="90"/>
        <v>0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IF(A80&lt;'Données projet'!$A$270,$GR$205^A80,IF(A80='Données projet'!$A$270,'Données projet'!$B$270,GU79+GT80-HC79))</f>
        <v>0</v>
      </c>
      <c r="GV80" s="18" t="e">
        <f>GU80*VLOOKUP('Données projet'!$B$18,Paramètres!$A$1:$I$88,3,0)*VLOOKUP('Données projet'!$B$18,Paramètres!$A$1:$I$88,5,0)</f>
        <v>#N/A</v>
      </c>
      <c r="GW80" s="14" t="e">
        <f t="shared" si="106"/>
        <v>#N/A</v>
      </c>
      <c r="GX80" s="22" t="e">
        <f t="shared" si="91"/>
        <v>#N/A</v>
      </c>
      <c r="GY80" s="62" t="e">
        <f t="shared" si="92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93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projet'!$B$18,Paramètres!$A$1:$I$88,7,0))</f>
        <v>0</v>
      </c>
      <c r="HE80" s="17">
        <f>IF(ISNA(VLOOKUP(A80,'Données projet'!$A$269:$I$289,6,0)),0%,VLOOKUP(A80,'Données projet'!$A$269:$I$289,6,0)*VLOOKUP('Données projet'!$B$18,Paramètres!$A$1:$I$88,7,0))</f>
        <v>0</v>
      </c>
      <c r="HF80" s="17">
        <f>IF(ISNA(VLOOKUP(A80,'Données projet'!$A$269:$I$289,7,0)),0%,VLOOKUP(A80,'Données projet'!$A$269:$I$289,7,0))</f>
        <v>0</v>
      </c>
      <c r="HG80" s="23">
        <f>EXP(-LN(2)/35)*HG79+(1-EXP(-LN(2)/35))/(LN(2)/35)*HC80*HD80*VLOOKUP('Données projet'!$B$9,Paramètres!$A$1:$I$88,3,0)*0.475*44/12</f>
        <v>0</v>
      </c>
      <c r="HH80" s="23">
        <f>EXP(-LN(2)/25)*HH79+(1-EXP(-LN(2)/25))/(LN(2)/25)*Calculateur!HC80*Calculateur!HE80*VLOOKUP('Données projet'!$B$9,Paramètres!$A$1:$I$88,3,0)*0.475*44/12</f>
        <v>0</v>
      </c>
      <c r="HI80" s="23">
        <f>EXP(-LN(2)/2)*HI79+(1-EXP(-LN(2)/2))/(LN(2)/2)*HC80*HF80*VLOOKUP('Données projet'!$B$9,Paramètres!$A$1:$I$88,3,0)*0.475*44/12</f>
        <v>0</v>
      </c>
      <c r="HJ80" s="24">
        <f t="shared" si="94"/>
        <v>0</v>
      </c>
    </row>
    <row r="81" spans="1:218" s="5" customFormat="1" x14ac:dyDescent="0.25">
      <c r="A81" s="11">
        <f t="shared" si="95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1" s="12">
        <f t="shared" si="9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57"/>
        <v>135.66666666666666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1.5783333333333318</v>
      </c>
      <c r="N81" s="14">
        <f>IF(A81&lt;'Données projet'!$A$36,$K$205^A81,IF(A81='Données projet'!$A$36,'Données projet'!$B$36,N80+M81-V80))</f>
        <v>96.989166666666605</v>
      </c>
      <c r="O81" s="14">
        <f>N81*VLOOKUP('Données projet'!$B$9,Paramètres!$A$1:$I$88,3,0)*VLOOKUP('Données projet'!$B$9,Paramètres!$A$1:$I$88,5,0)</f>
        <v>111.73151999999993</v>
      </c>
      <c r="P81" s="14">
        <f t="shared" si="97"/>
        <v>29.738572616522461</v>
      </c>
      <c r="Q81" s="22">
        <f t="shared" si="54"/>
        <v>246.39374464044309</v>
      </c>
      <c r="R81" s="62">
        <f t="shared" si="55"/>
        <v>504.1440371194376</v>
      </c>
      <c r="S81" s="62">
        <f ca="1">AVERAGE(OFFSET($R$3,0,0,'Données projet'!$E$9+1,1))-AVERAGE(OFFSET($H$3,0,0,'Données projet'!$E$9+1,1))</f>
        <v>314.72063458462026</v>
      </c>
      <c r="T81" s="62">
        <f t="shared" si="56"/>
        <v>216.4380325968244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projet'!$B$9,Paramètres!$A$1:$I$88,7,0))</f>
        <v>0</v>
      </c>
      <c r="X81" s="17">
        <f>IF(ISNA(VLOOKUP(A81,'Données projet'!$A$35:$I$55,6,0)),0%,VLOOKUP(A81,'Données projet'!$A$35:$I$55,6,0)*VLOOKUP('Données projet'!$B$9,Paramètres!$A$1:$I$88,7,0))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projet'!$B$9,Paramètres!$A$1:$I$88,3,0)*0.475*44/12</f>
        <v>0</v>
      </c>
      <c r="AA81" s="23">
        <f>EXP(-LN(2)/25)*AA80+(1-EXP(-LN(2)/25))/(LN(2)/25)*Calculateur!V81*Calculateur!X81*VLOOKUP('Données projet'!$B$9,Paramètres!$A$1:$I$88,3,0)*0.475*44/12</f>
        <v>0</v>
      </c>
      <c r="AB81" s="23">
        <f>EXP(-LN(2)/2)*AB80+(1-EXP(-LN(2)/2))/(LN(2)/2)*V81*Y81*VLOOKUP('Données projet'!$B$9,Paramètres!$A$1:$I$88,3,0)*0.475*44/12</f>
        <v>0</v>
      </c>
      <c r="AC81" s="24">
        <f t="shared" si="58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3.6</v>
      </c>
      <c r="AI81" s="14">
        <f>IF(A81&lt;'Données projet'!$A$62,$AF$205^A81,IF(A81='Données projet'!$A$62,'Données projet'!$B$62,AI80+AH81-AQ80))</f>
        <v>213.79999999999995</v>
      </c>
      <c r="AJ81" s="14">
        <f>AI81*VLOOKUP('Données projet'!$B$10,Paramètres!$A$1:$I$88,3,0)*VLOOKUP('Données projet'!$B$10,Paramètres!$A$1:$I$88,5,0)</f>
        <v>223.46375999999998</v>
      </c>
      <c r="AK81" s="14">
        <f t="shared" si="98"/>
        <v>54.867031015544953</v>
      </c>
      <c r="AL81" s="22">
        <f t="shared" si="59"/>
        <v>484.75946101874075</v>
      </c>
      <c r="AM81" s="62">
        <f t="shared" si="60"/>
        <v>742.50975349773523</v>
      </c>
      <c r="AN81" s="62">
        <f ca="1">AVERAGE(OFFSET($AM$3,0,0,'Données projet'!$E$10+1,1))-AVERAGE(OFFSET($H$3,0,0,'Données projet'!$E$10+1,1))</f>
        <v>458.33072853676879</v>
      </c>
      <c r="AO81" s="62">
        <f t="shared" si="61"/>
        <v>254.1734169352687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projet'!$B$10,Paramètres!$A$1:$I$88,7,0))</f>
        <v>0</v>
      </c>
      <c r="AS81" s="17">
        <f>IF(ISNA(VLOOKUP(A81,'Données projet'!$A$61:$I$81,6,0)),0%,VLOOKUP(A81,'Données projet'!$A$61:$I$81,6,0)*VLOOKUP('Données projet'!$B$10,Paramètres!$A$1:$I$88,7,0))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projet'!$B$9,Paramètres!$A$1:$I$88,3,0)*0.475*44/12</f>
        <v>0</v>
      </c>
      <c r="AV81" s="23">
        <f>EXP(-LN(2)/25)*AV80+(1-EXP(-LN(2)/25))/(LN(2)/25)*Calculateur!AQ81*Calculateur!AS81*VLOOKUP('Données projet'!$B$9,Paramètres!$A$1:$I$88,3,0)*0.475*44/12</f>
        <v>0</v>
      </c>
      <c r="AW81" s="23">
        <f>EXP(-LN(2)/2)*AW80+(1-EXP(-LN(2)/2))/(LN(2)/2)*AQ81*AT81*VLOOKUP('Données projet'!$B$9,Paramètres!$A$1:$I$88,3,0)*0.475*44/12</f>
        <v>0</v>
      </c>
      <c r="AX81" s="23">
        <f t="shared" si="62"/>
        <v>0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3.6</v>
      </c>
      <c r="BD81" s="13">
        <f>IF(A81&lt;'Données projet'!$A$88,$BA$205^A81,IF(A81='Données projet'!$A$88,'Données projet'!$B$88,BD80+BC81-BL80))</f>
        <v>213.79999999999995</v>
      </c>
      <c r="BE81" s="14">
        <f>BD81*VLOOKUP('Données projet'!$B$11,Paramètres!$A$1:$I$88,3,0)*VLOOKUP('Données projet'!$B$11,Paramètres!$A$1:$I$88,5,0)</f>
        <v>216.79319999999996</v>
      </c>
      <c r="BF81" s="14">
        <f t="shared" si="99"/>
        <v>53.417309071627834</v>
      </c>
      <c r="BG81" s="22">
        <f t="shared" si="63"/>
        <v>470.61663663308497</v>
      </c>
      <c r="BH81" s="62">
        <f t="shared" si="64"/>
        <v>728.36692911207945</v>
      </c>
      <c r="BI81" s="62">
        <f ca="1">AVERAGE(OFFSET($BH$3,0,0,'Données projet'!$E$11+1,1))-AVERAGE(OFFSET($H$3,0,0,'Données projet'!$E$11+1,1))</f>
        <v>447.82618173893104</v>
      </c>
      <c r="BJ81" s="62">
        <f t="shared" si="65"/>
        <v>248.96509970783379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projet'!$B$11,Paramètres!$A$1:$I$88,7,0))</f>
        <v>0</v>
      </c>
      <c r="BN81" s="17">
        <f>IF(ISNA(VLOOKUP(A81,'Données projet'!$A$87:$I$107,6,0)),0%,VLOOKUP(A81,'Données projet'!$A$87:$I$107,6,0)*VLOOKUP('Données projet'!$B$11,Paramètres!$A$1:$I$88,7,0))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projet'!$B$9,Paramètres!$A$1:$I$88,3,0)*0.475*44/12</f>
        <v>0</v>
      </c>
      <c r="BQ81" s="23">
        <f>EXP(-LN(2)/25)*BQ80+(1-EXP(-LN(2)/25))/(LN(2)/25)*Calculateur!BL81*Calculateur!BN81*VLOOKUP('Données projet'!$B$9,Paramètres!$A$1:$I$88,3,0)*0.475*44/12</f>
        <v>0</v>
      </c>
      <c r="BR81" s="23">
        <f>EXP(-LN(2)/2)*BR80+(1-EXP(-LN(2)/2))/(LN(2)/2)*BL81*BO81*VLOOKUP('Données projet'!$B$9,Paramètres!$A$1:$I$88,3,0)*0.475*44/12</f>
        <v>0</v>
      </c>
      <c r="BS81" s="24">
        <f t="shared" si="66"/>
        <v>0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3.6</v>
      </c>
      <c r="BY81" s="13">
        <f>IF(A81&lt;'Données projet'!$A$114,$BV$205^A81,IF(A81='Données projet'!$A$114,'Données projet'!$B$114,BY80+BX81-CG80))</f>
        <v>213.79999999999995</v>
      </c>
      <c r="BZ81" s="14">
        <f>BY81*VLOOKUP('Données projet'!$B$12,Paramètres!$A$1:$I$88,3,0)*VLOOKUP('Données projet'!$B$12,Paramètres!$A$1:$I$88,5,0)</f>
        <v>230.13431999999995</v>
      </c>
      <c r="CA81" s="14">
        <f t="shared" si="100"/>
        <v>56.311723668616686</v>
      </c>
      <c r="CB81" s="22">
        <f t="shared" si="67"/>
        <v>498.89352605617393</v>
      </c>
      <c r="CC81" s="62">
        <f t="shared" si="68"/>
        <v>756.64381853516841</v>
      </c>
      <c r="CD81" s="62">
        <f ca="1">AVERAGE(OFFSET($CC$3,0,0,'Données projet'!$E$12+1,1))-AVERAGE(OFFSET($H$3,0,0,'Données projet'!$E$12+1,1))</f>
        <v>468.82871618425406</v>
      </c>
      <c r="CE81" s="62">
        <f t="shared" si="69"/>
        <v>259.37818128554397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projet'!$B$12,Paramètres!$A$1:$I$88,7,0))</f>
        <v>0</v>
      </c>
      <c r="CI81" s="17">
        <f>IF(ISNA(VLOOKUP(A81,'Données projet'!$A$113:$I$133,6,0)),0%,VLOOKUP(A81,'Données projet'!$A$113:$I$133,6,0)*VLOOKUP('Données projet'!$B$12,Paramètres!$A$1:$I$88,7,0))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projet'!$B$9,Paramètres!$A$1:$I$88,3,0)*0.475*44/12</f>
        <v>0</v>
      </c>
      <c r="CL81" s="23">
        <f>EXP(-LN(2)/25)*CL80+(1-EXP(-LN(2)/25))/(LN(2)/25)*Calculateur!CG81*Calculateur!CI81*VLOOKUP('Données projet'!$B$9,Paramètres!$A$1:$I$88,3,0)*0.475*44/12</f>
        <v>0</v>
      </c>
      <c r="CM81" s="23">
        <f>EXP(-LN(2)/2)*CM80+(1-EXP(-LN(2)/2))/(LN(2)/2)*CG81*CJ81*VLOOKUP('Données projet'!$B$9,Paramètres!$A$1:$I$88,3,0)*0.475*44/12</f>
        <v>0</v>
      </c>
      <c r="CN81" s="24">
        <f t="shared" si="70"/>
        <v>0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3.6</v>
      </c>
      <c r="CT81" s="13">
        <f>IF(A81&lt;'Données projet'!$A$140,$CQ$205^A81,IF(A81='Données projet'!$A$140,'Données projet'!$B$140,CT80+CS81-DB80))</f>
        <v>213.79999999999995</v>
      </c>
      <c r="CU81" s="18">
        <f>CT81*VLOOKUP('Données projet'!$B$13,Paramètres!$A$1:$I$88,3,0)*VLOOKUP('Données projet'!$B$13,Paramètres!$A$1:$I$88,5,0)</f>
        <v>183.44039999999998</v>
      </c>
      <c r="CV81" s="14">
        <f t="shared" si="101"/>
        <v>46.086766320199438</v>
      </c>
      <c r="CW81" s="22">
        <f t="shared" si="71"/>
        <v>399.7598146743473</v>
      </c>
      <c r="CX81" s="62">
        <f t="shared" si="72"/>
        <v>657.51010715334178</v>
      </c>
      <c r="CY81" s="62">
        <f ca="1">AVERAGE(OFFSET($CX$3,0,0,'Données projet'!$E$13+1,1))-AVERAGE(OFFSET($H$3,0,0,'Données projet'!$E$13+1,1))</f>
        <v>395.19659151668884</v>
      </c>
      <c r="CZ81" s="62">
        <f t="shared" si="73"/>
        <v>222.86563304507339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projet'!$B$13,Paramètres!$A$1:$I$88,7,0))</f>
        <v>0</v>
      </c>
      <c r="DD81" s="17">
        <f>IF(ISNA(VLOOKUP(A81,'Données projet'!$A$139:$I$159,6,0)),0%,VLOOKUP(A81,'Données projet'!$A$139:$I$159,6,0)*VLOOKUP('Données projet'!$B$13,Paramètres!$A$1:$I$88,7,0))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projet'!$B$9,Paramètres!$A$1:$I$88,3,0)*0.475*44/12</f>
        <v>0</v>
      </c>
      <c r="DG81" s="23">
        <f>EXP(-LN(2)/25)*DG80+(1-EXP(-LN(2)/25))/(LN(2)/25)*Calculateur!DB81*Calculateur!DD81*VLOOKUP('Données projet'!$B$9,Paramètres!$A$1:$I$88,3,0)*0.475*44/12</f>
        <v>0</v>
      </c>
      <c r="DH81" s="23">
        <f>EXP(-LN(2)/2)*DH80+(1-EXP(-LN(2)/2))/(LN(2)/2)*DB81*DE81*VLOOKUP('Données projet'!$B$9,Paramètres!$A$1:$I$88,3,0)*0.475*44/12</f>
        <v>0</v>
      </c>
      <c r="DI81" s="24">
        <f t="shared" si="74"/>
        <v>0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4.5999999999999996</v>
      </c>
      <c r="DO81" s="13">
        <f>IF(A81&lt;'Données projet'!$A$166,$DL$205^A81,IF(A81='Données projet'!$A$166,'Données projet'!$B$166,DO80+DN81-DW80))</f>
        <v>79.799999999999983</v>
      </c>
      <c r="DP81" s="18">
        <f>DO81*VLOOKUP('Données projet'!$B$14,Paramètres!$A$1:$I$88,3,0)*VLOOKUP('Données projet'!$B$14,Paramètres!$A$1:$I$88,5,0)</f>
        <v>46.683</v>
      </c>
      <c r="DQ81" s="14">
        <f t="shared" si="102"/>
        <v>13.753737869755962</v>
      </c>
      <c r="DR81" s="22">
        <f t="shared" si="75"/>
        <v>105.26065178982496</v>
      </c>
      <c r="DS81" s="62">
        <f t="shared" si="76"/>
        <v>363.01094426881946</v>
      </c>
      <c r="DT81" s="62">
        <f ca="1">AVERAGE(OFFSET($DS$3,0,0,'Données projet'!$E$14+1,1))-AVERAGE(OFFSET($H$3,0,0,'Données projet'!$E$14+1,1))</f>
        <v>155.18073137151848</v>
      </c>
      <c r="DU81" s="62">
        <f t="shared" si="77"/>
        <v>115.19459155667272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projet'!$B$14,Paramètres!$A$1:$I$88,7,0))</f>
        <v>0</v>
      </c>
      <c r="DY81" s="17">
        <f>IF(ISNA(VLOOKUP(A81,'Données projet'!$A$165:$I$185,6,0)),0%,VLOOKUP(A81,'Données projet'!$A$165:$I$185,6,0)*VLOOKUP('Données projet'!$B$14,Paramètres!$A$1:$I$88,7,0))</f>
        <v>0</v>
      </c>
      <c r="DZ81" s="17">
        <f>IF(ISNA(VLOOKUP(A81,'Données projet'!$A$165:$I$185,7,0)),0%,VLOOKUP(A81,'Données projet'!$A$165:$I$185,7,0))</f>
        <v>0</v>
      </c>
      <c r="EA81" s="23">
        <f>EXP(-LN(2)/35)*EA80+(1-EXP(-LN(2)/35))/(LN(2)/35)*DW81*DX81*VLOOKUP('Données projet'!$B$9,Paramètres!$A$1:$I$88,3,0)*0.475*44/12</f>
        <v>0</v>
      </c>
      <c r="EB81" s="23">
        <f>EXP(-LN(2)/25)*EB80+(1-EXP(-LN(2)/25))/(LN(2)/25)*Calculateur!DW81*Calculateur!DY81*VLOOKUP('Données projet'!$B$9,Paramètres!$A$1:$I$88,3,0)*0.475*44/12</f>
        <v>0</v>
      </c>
      <c r="EC81" s="23">
        <f>EXP(-LN(2)/2)*EC80+(1-EXP(-LN(2)/2))/(LN(2)/2)*DW81*DZ81*VLOOKUP('Données projet'!$B$9,Paramètres!$A$1:$I$88,3,0)*0.475*44/12</f>
        <v>0</v>
      </c>
      <c r="ED81" s="24">
        <f t="shared" si="78"/>
        <v>0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8.0666666666666664</v>
      </c>
      <c r="EJ81" s="13">
        <f>IF(A81&lt;'Données projet'!$A$192,$EG$205^A81,IF(A81='Données projet'!$A$192,'Données projet'!$B$192,EJ80+EI81-ER80))</f>
        <v>213.20000000000005</v>
      </c>
      <c r="EK81" s="18">
        <f>EJ81*VLOOKUP('Données projet'!$B$15,Paramètres!$A$1:$I$88,3,0)*VLOOKUP('Données projet'!$B$15,Paramètres!$A$1:$I$88,5,0)</f>
        <v>99.777600000000021</v>
      </c>
      <c r="EL81" s="14">
        <f t="shared" si="103"/>
        <v>26.909006951444532</v>
      </c>
      <c r="EM81" s="22">
        <f t="shared" si="79"/>
        <v>220.64584044043261</v>
      </c>
      <c r="EN81" s="62">
        <f t="shared" si="80"/>
        <v>478.39613291942709</v>
      </c>
      <c r="EO81" s="62">
        <f ca="1">AVERAGE(OFFSET($EN$3,0,0,'Données projet'!$E$15+1,1))-AVERAGE(OFFSET($H$3,0,0,'Données projet'!$E$15+1,1))</f>
        <v>238.59014604384171</v>
      </c>
      <c r="EP81" s="62">
        <f t="shared" si="81"/>
        <v>90.841373219575217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projet'!$B$15,Paramètres!$A$1:$I$88,7,0))</f>
        <v>0</v>
      </c>
      <c r="ET81" s="17">
        <f>IF(ISNA(VLOOKUP(A81,'Données projet'!$A$191:$I$211,6,0)),0%,VLOOKUP(A81,'Données projet'!$A$191:$I$211,6,0)*VLOOKUP('Données projet'!$B$15,Paramètres!$A$1:$I$88,7,0))</f>
        <v>0</v>
      </c>
      <c r="EU81" s="17">
        <f>IF(ISNA(VLOOKUP(A81,'Données projet'!$A$191:$I$211,7,0)),0%,VLOOKUP(A81,'Données projet'!$A$191:$I$211,7,0))</f>
        <v>0</v>
      </c>
      <c r="EV81" s="23">
        <f>EXP(-LN(2)/35)*EV80+(1-EXP(-LN(2)/35))/(LN(2)/35)*ER81*ES81*VLOOKUP('Données projet'!$B$9,Paramètres!$A$1:$I$88,3,0)*0.475*44/12</f>
        <v>0</v>
      </c>
      <c r="EW81" s="23">
        <f>EXP(-LN(2)/25)*EW80+(1-EXP(-LN(2)/25))/(LN(2)/25)*Calculateur!ER81*Calculateur!ET81*VLOOKUP('Données projet'!$B$9,Paramètres!$A$1:$I$88,3,0)*0.475*44/12</f>
        <v>0</v>
      </c>
      <c r="EX81" s="23">
        <f>EXP(-LN(2)/2)*EX80+(1-EXP(-LN(2)/2))/(LN(2)/2)*ER81*EU81*VLOOKUP('Données projet'!$B$9,Paramètres!$A$1:$I$88,3,0)*0.475*44/12</f>
        <v>0</v>
      </c>
      <c r="EY81" s="24">
        <f t="shared" si="82"/>
        <v>0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IF(A81&lt;'Données projet'!$A$218,$FB$205^A81,IF(A81='Données projet'!$A$218,'Données projet'!$B$218,FE80+FD81-FM80))</f>
        <v>0</v>
      </c>
      <c r="FF81" s="18" t="e">
        <f>FE81*VLOOKUP('Données projet'!$B$16,Paramètres!$A$1:$I$88,3,0)*VLOOKUP('Données projet'!$B$16,Paramètres!$A$1:$I$88,5,0)</f>
        <v>#N/A</v>
      </c>
      <c r="FG81" s="14" t="e">
        <f t="shared" si="104"/>
        <v>#N/A</v>
      </c>
      <c r="FH81" s="22" t="e">
        <f t="shared" si="83"/>
        <v>#N/A</v>
      </c>
      <c r="FI81" s="62" t="e">
        <f t="shared" si="84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85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projet'!$B$16,Paramètres!$A$1:$I$88,7,0))</f>
        <v>0</v>
      </c>
      <c r="FO81" s="17">
        <f>IF(ISNA(VLOOKUP(A81,'Données projet'!$A$217:$I$237,6,0)),0%,VLOOKUP(A81,'Données projet'!$A$217:$I$237,6,0)*VLOOKUP('Données projet'!$B$16,Paramètres!$A$1:$I$88,7,0))</f>
        <v>0</v>
      </c>
      <c r="FP81" s="17">
        <f>IF(ISNA(VLOOKUP(A81,'Données projet'!$A$217:$I$237,7,0)),0%,VLOOKUP(A81,'Données projet'!$A$217:$I$237,7,0))</f>
        <v>0</v>
      </c>
      <c r="FQ81" s="23">
        <f>EXP(-LN(2)/35)*FQ80+(1-EXP(-LN(2)/35))/(LN(2)/35)*FM81*FN81*VLOOKUP('Données projet'!$B$9,Paramètres!$A$1:$I$88,3,0)*0.475*44/12</f>
        <v>0</v>
      </c>
      <c r="FR81" s="23">
        <f>EXP(-LN(2)/25)*FR80+(1-EXP(-LN(2)/25))/(LN(2)/25)*Calculateur!FM81*Calculateur!FO81*VLOOKUP('Données projet'!$B$9,Paramètres!$A$1:$I$88,3,0)*0.475*44/12</f>
        <v>0</v>
      </c>
      <c r="FS81" s="23">
        <f>EXP(-LN(2)/2)*FS80+(1-EXP(-LN(2)/2))/(LN(2)/2)*FM81*FP81*VLOOKUP('Données projet'!$B$9,Paramètres!$A$1:$I$88,3,0)*0.475*44/12</f>
        <v>0</v>
      </c>
      <c r="FT81" s="24">
        <f t="shared" si="86"/>
        <v>0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IF(A81&lt;'Données projet'!$A$244,$FW$205^A81,IF(A81='Données projet'!$A$244,'Données projet'!$B$244,FZ80+FY81-GH80))</f>
        <v>0</v>
      </c>
      <c r="GA81" s="18" t="e">
        <f>FZ81*VLOOKUP('Données projet'!$B$17,Paramètres!$A$1:$I$88,3,0)*VLOOKUP('Données projet'!$B$17,Paramètres!$A$1:$I$88,5,0)</f>
        <v>#N/A</v>
      </c>
      <c r="GB81" s="14" t="e">
        <f t="shared" si="105"/>
        <v>#N/A</v>
      </c>
      <c r="GC81" s="22" t="e">
        <f t="shared" si="87"/>
        <v>#N/A</v>
      </c>
      <c r="GD81" s="62" t="e">
        <f t="shared" si="88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89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projet'!$B$17,Paramètres!$A$1:$I$88,7,0))</f>
        <v>0</v>
      </c>
      <c r="GJ81" s="17">
        <f>IF(ISNA(VLOOKUP(A81,'Données projet'!$A$243:$I$263,6,0)),0%,VLOOKUP(A81,'Données projet'!$A$243:$I$263,6,0)*VLOOKUP('Données projet'!$B$17,Paramètres!$A$1:$I$88,7,0))</f>
        <v>0</v>
      </c>
      <c r="GK81" s="17">
        <f>IF(ISNA(VLOOKUP(A81,'Données projet'!$A$243:$I$263,7,0)),0%,VLOOKUP(A81,'Données projet'!$A$243:$I$263,7,0))</f>
        <v>0</v>
      </c>
      <c r="GL81" s="23">
        <f>EXP(-LN(2)/35)*GL80+(1-EXP(-LN(2)/35))/(LN(2)/35)*GH81*GI81*VLOOKUP('Données projet'!$B$9,Paramètres!$A$1:$I$88,3,0)*0.475*44/12</f>
        <v>0</v>
      </c>
      <c r="GM81" s="23">
        <f>EXP(-LN(2)/25)*GM80+(1-EXP(-LN(2)/25))/(LN(2)/25)*Calculateur!GH81*Calculateur!GJ81*VLOOKUP('Données projet'!$B$9,Paramètres!$A$1:$I$88,3,0)*0.475*44/12</f>
        <v>0</v>
      </c>
      <c r="GN81" s="23">
        <f>EXP(-LN(2)/2)*GN80+(1-EXP(-LN(2)/2))/(LN(2)/2)*GH81*GK81*VLOOKUP('Données projet'!$B$9,Paramètres!$A$1:$I$88,3,0)*0.475*44/12</f>
        <v>0</v>
      </c>
      <c r="GO81" s="23">
        <f t="shared" si="90"/>
        <v>0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IF(A81&lt;'Données projet'!$A$270,$GR$205^A81,IF(A81='Données projet'!$A$270,'Données projet'!$B$270,GU80+GT81-HC80))</f>
        <v>0</v>
      </c>
      <c r="GV81" s="18" t="e">
        <f>GU81*VLOOKUP('Données projet'!$B$18,Paramètres!$A$1:$I$88,3,0)*VLOOKUP('Données projet'!$B$18,Paramètres!$A$1:$I$88,5,0)</f>
        <v>#N/A</v>
      </c>
      <c r="GW81" s="14" t="e">
        <f t="shared" si="106"/>
        <v>#N/A</v>
      </c>
      <c r="GX81" s="22" t="e">
        <f t="shared" si="91"/>
        <v>#N/A</v>
      </c>
      <c r="GY81" s="62" t="e">
        <f t="shared" si="92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93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projet'!$B$18,Paramètres!$A$1:$I$88,7,0))</f>
        <v>0</v>
      </c>
      <c r="HE81" s="17">
        <f>IF(ISNA(VLOOKUP(A81,'Données projet'!$A$269:$I$289,6,0)),0%,VLOOKUP(A81,'Données projet'!$A$269:$I$289,6,0)*VLOOKUP('Données projet'!$B$18,Paramètres!$A$1:$I$88,7,0))</f>
        <v>0</v>
      </c>
      <c r="HF81" s="17">
        <f>IF(ISNA(VLOOKUP(A81,'Données projet'!$A$269:$I$289,7,0)),0%,VLOOKUP(A81,'Données projet'!$A$269:$I$289,7,0))</f>
        <v>0</v>
      </c>
      <c r="HG81" s="23">
        <f>EXP(-LN(2)/35)*HG80+(1-EXP(-LN(2)/35))/(LN(2)/35)*HC81*HD81*VLOOKUP('Données projet'!$B$9,Paramètres!$A$1:$I$88,3,0)*0.475*44/12</f>
        <v>0</v>
      </c>
      <c r="HH81" s="23">
        <f>EXP(-LN(2)/25)*HH80+(1-EXP(-LN(2)/25))/(LN(2)/25)*Calculateur!HC81*Calculateur!HE81*VLOOKUP('Données projet'!$B$9,Paramètres!$A$1:$I$88,3,0)*0.475*44/12</f>
        <v>0</v>
      </c>
      <c r="HI81" s="23">
        <f>EXP(-LN(2)/2)*HI80+(1-EXP(-LN(2)/2))/(LN(2)/2)*HC81*HF81*VLOOKUP('Données projet'!$B$9,Paramètres!$A$1:$I$88,3,0)*0.475*44/12</f>
        <v>0</v>
      </c>
      <c r="HJ81" s="24">
        <f t="shared" si="94"/>
        <v>0</v>
      </c>
    </row>
    <row r="82" spans="1:218" s="5" customFormat="1" x14ac:dyDescent="0.25">
      <c r="A82" s="11">
        <f t="shared" si="95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2" s="12">
        <f t="shared" si="9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57"/>
        <v>135.66666666666666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1.5783333333333318</v>
      </c>
      <c r="N82" s="14">
        <f>IF(A82&lt;'Données projet'!$A$36,$K$205^A82,IF(A82='Données projet'!$A$36,'Données projet'!$B$36,N81+M82-V81))</f>
        <v>98.567499999999939</v>
      </c>
      <c r="O82" s="14">
        <f>N82*VLOOKUP('Données projet'!$B$9,Paramètres!$A$1:$I$88,3,0)*VLOOKUP('Données projet'!$B$9,Paramètres!$A$1:$I$88,5,0)</f>
        <v>113.54975999999992</v>
      </c>
      <c r="P82" s="14">
        <f t="shared" si="97"/>
        <v>30.165783474102916</v>
      </c>
      <c r="Q82" s="22">
        <f t="shared" si="54"/>
        <v>250.30457155072909</v>
      </c>
      <c r="R82" s="62">
        <f t="shared" si="55"/>
        <v>508.67215023678477</v>
      </c>
      <c r="S82" s="62">
        <f ca="1">AVERAGE(OFFSET($R$3,0,0,'Données projet'!$E$9+1,1))-AVERAGE(OFFSET($H$3,0,0,'Données projet'!$E$9+1,1))</f>
        <v>314.72063458462026</v>
      </c>
      <c r="T82" s="62">
        <f t="shared" si="56"/>
        <v>216.4380325968244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projet'!$B$9,Paramètres!$A$1:$I$88,7,0))</f>
        <v>0</v>
      </c>
      <c r="X82" s="17">
        <f>IF(ISNA(VLOOKUP(A82,'Données projet'!$A$35:$I$55,6,0)),0%,VLOOKUP(A82,'Données projet'!$A$35:$I$55,6,0)*VLOOKUP('Données projet'!$B$9,Paramètres!$A$1:$I$88,7,0))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projet'!$B$9,Paramètres!$A$1:$I$88,3,0)*0.475*44/12</f>
        <v>0</v>
      </c>
      <c r="AA82" s="23">
        <f>EXP(-LN(2)/25)*AA81+(1-EXP(-LN(2)/25))/(LN(2)/25)*Calculateur!V82*Calculateur!X82*VLOOKUP('Données projet'!$B$9,Paramètres!$A$1:$I$88,3,0)*0.475*44/12</f>
        <v>0</v>
      </c>
      <c r="AB82" s="23">
        <f>EXP(-LN(2)/2)*AB81+(1-EXP(-LN(2)/2))/(LN(2)/2)*V82*Y82*VLOOKUP('Données projet'!$B$9,Paramètres!$A$1:$I$88,3,0)*0.475*44/12</f>
        <v>0</v>
      </c>
      <c r="AC82" s="24">
        <f t="shared" si="58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3.6</v>
      </c>
      <c r="AI82" s="14">
        <f>IF(A82&lt;'Données projet'!$A$62,$AF$205^A82,IF(A82='Données projet'!$A$62,'Données projet'!$B$62,AI81+AH82-AQ81))</f>
        <v>217.39999999999995</v>
      </c>
      <c r="AJ82" s="14">
        <f>AI82*VLOOKUP('Données projet'!$B$10,Paramètres!$A$1:$I$88,3,0)*VLOOKUP('Données projet'!$B$10,Paramètres!$A$1:$I$88,5,0)</f>
        <v>227.22647999999998</v>
      </c>
      <c r="AK82" s="14">
        <f t="shared" si="98"/>
        <v>55.682558879342537</v>
      </c>
      <c r="AL82" s="22">
        <f t="shared" si="59"/>
        <v>492.73324271485484</v>
      </c>
      <c r="AM82" s="62">
        <f t="shared" si="60"/>
        <v>751.10082140091049</v>
      </c>
      <c r="AN82" s="62">
        <f ca="1">AVERAGE(OFFSET($AM$3,0,0,'Données projet'!$E$10+1,1))-AVERAGE(OFFSET($H$3,0,0,'Données projet'!$E$10+1,1))</f>
        <v>458.33072853676879</v>
      </c>
      <c r="AO82" s="62">
        <f t="shared" si="61"/>
        <v>254.1734169352687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projet'!$B$10,Paramètres!$A$1:$I$88,7,0))</f>
        <v>0</v>
      </c>
      <c r="AS82" s="17">
        <f>IF(ISNA(VLOOKUP(A82,'Données projet'!$A$61:$I$81,6,0)),0%,VLOOKUP(A82,'Données projet'!$A$61:$I$81,6,0)*VLOOKUP('Données projet'!$B$10,Paramètres!$A$1:$I$88,7,0))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projet'!$B$9,Paramètres!$A$1:$I$88,3,0)*0.475*44/12</f>
        <v>0</v>
      </c>
      <c r="AV82" s="23">
        <f>EXP(-LN(2)/25)*AV81+(1-EXP(-LN(2)/25))/(LN(2)/25)*Calculateur!AQ82*Calculateur!AS82*VLOOKUP('Données projet'!$B$9,Paramètres!$A$1:$I$88,3,0)*0.475*44/12</f>
        <v>0</v>
      </c>
      <c r="AW82" s="23">
        <f>EXP(-LN(2)/2)*AW81+(1-EXP(-LN(2)/2))/(LN(2)/2)*AQ82*AT82*VLOOKUP('Données projet'!$B$9,Paramètres!$A$1:$I$88,3,0)*0.475*44/12</f>
        <v>0</v>
      </c>
      <c r="AX82" s="23">
        <f t="shared" si="62"/>
        <v>0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3.6</v>
      </c>
      <c r="BD82" s="13">
        <f>IF(A82&lt;'Données projet'!$A$88,$BA$205^A82,IF(A82='Données projet'!$A$88,'Données projet'!$B$88,BD81+BC82-BL81))</f>
        <v>217.39999999999995</v>
      </c>
      <c r="BE82" s="14">
        <f>BD82*VLOOKUP('Données projet'!$B$11,Paramètres!$A$1:$I$88,3,0)*VLOOKUP('Données projet'!$B$11,Paramètres!$A$1:$I$88,5,0)</f>
        <v>220.44359999999998</v>
      </c>
      <c r="BF82" s="14">
        <f t="shared" si="99"/>
        <v>54.211288682893063</v>
      </c>
      <c r="BG82" s="22">
        <f t="shared" si="63"/>
        <v>478.35726445603876</v>
      </c>
      <c r="BH82" s="62">
        <f t="shared" si="64"/>
        <v>736.72484314209441</v>
      </c>
      <c r="BI82" s="62">
        <f ca="1">AVERAGE(OFFSET($BH$3,0,0,'Données projet'!$E$11+1,1))-AVERAGE(OFFSET($H$3,0,0,'Données projet'!$E$11+1,1))</f>
        <v>447.82618173893104</v>
      </c>
      <c r="BJ82" s="62">
        <f t="shared" si="65"/>
        <v>248.96509970783379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projet'!$B$11,Paramètres!$A$1:$I$88,7,0))</f>
        <v>0</v>
      </c>
      <c r="BN82" s="17">
        <f>IF(ISNA(VLOOKUP(A82,'Données projet'!$A$87:$I$107,6,0)),0%,VLOOKUP(A82,'Données projet'!$A$87:$I$107,6,0)*VLOOKUP('Données projet'!$B$11,Paramètres!$A$1:$I$88,7,0))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projet'!$B$9,Paramètres!$A$1:$I$88,3,0)*0.475*44/12</f>
        <v>0</v>
      </c>
      <c r="BQ82" s="23">
        <f>EXP(-LN(2)/25)*BQ81+(1-EXP(-LN(2)/25))/(LN(2)/25)*Calculateur!BL82*Calculateur!BN82*VLOOKUP('Données projet'!$B$9,Paramètres!$A$1:$I$88,3,0)*0.475*44/12</f>
        <v>0</v>
      </c>
      <c r="BR82" s="23">
        <f>EXP(-LN(2)/2)*BR81+(1-EXP(-LN(2)/2))/(LN(2)/2)*BL82*BO82*VLOOKUP('Données projet'!$B$9,Paramètres!$A$1:$I$88,3,0)*0.475*44/12</f>
        <v>0</v>
      </c>
      <c r="BS82" s="24">
        <f t="shared" si="66"/>
        <v>0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3.6</v>
      </c>
      <c r="BY82" s="13">
        <f>IF(A82&lt;'Données projet'!$A$114,$BV$205^A82,IF(A82='Données projet'!$A$114,'Données projet'!$B$114,BY81+BX82-CG81))</f>
        <v>217.39999999999995</v>
      </c>
      <c r="BZ82" s="14">
        <f>BY82*VLOOKUP('Données projet'!$B$12,Paramètres!$A$1:$I$88,3,0)*VLOOKUP('Données projet'!$B$12,Paramètres!$A$1:$I$88,5,0)</f>
        <v>234.00935999999993</v>
      </c>
      <c r="CA82" s="14">
        <f t="shared" si="100"/>
        <v>57.148725031005199</v>
      </c>
      <c r="CB82" s="22">
        <f t="shared" si="67"/>
        <v>507.10033142900062</v>
      </c>
      <c r="CC82" s="62">
        <f t="shared" si="68"/>
        <v>765.46791011505627</v>
      </c>
      <c r="CD82" s="62">
        <f ca="1">AVERAGE(OFFSET($CC$3,0,0,'Données projet'!$E$12+1,1))-AVERAGE(OFFSET($H$3,0,0,'Données projet'!$E$12+1,1))</f>
        <v>468.82871618425406</v>
      </c>
      <c r="CE82" s="62">
        <f t="shared" si="69"/>
        <v>259.37818128554397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projet'!$B$12,Paramètres!$A$1:$I$88,7,0))</f>
        <v>0</v>
      </c>
      <c r="CI82" s="17">
        <f>IF(ISNA(VLOOKUP(A82,'Données projet'!$A$113:$I$133,6,0)),0%,VLOOKUP(A82,'Données projet'!$A$113:$I$133,6,0)*VLOOKUP('Données projet'!$B$12,Paramètres!$A$1:$I$88,7,0))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projet'!$B$9,Paramètres!$A$1:$I$88,3,0)*0.475*44/12</f>
        <v>0</v>
      </c>
      <c r="CL82" s="23">
        <f>EXP(-LN(2)/25)*CL81+(1-EXP(-LN(2)/25))/(LN(2)/25)*Calculateur!CG82*Calculateur!CI82*VLOOKUP('Données projet'!$B$9,Paramètres!$A$1:$I$88,3,0)*0.475*44/12</f>
        <v>0</v>
      </c>
      <c r="CM82" s="23">
        <f>EXP(-LN(2)/2)*CM81+(1-EXP(-LN(2)/2))/(LN(2)/2)*CG82*CJ82*VLOOKUP('Données projet'!$B$9,Paramètres!$A$1:$I$88,3,0)*0.475*44/12</f>
        <v>0</v>
      </c>
      <c r="CN82" s="24">
        <f t="shared" si="70"/>
        <v>0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3.6</v>
      </c>
      <c r="CT82" s="13">
        <f>IF(A82&lt;'Données projet'!$A$140,$CQ$205^A82,IF(A82='Données projet'!$A$140,'Données projet'!$B$140,CT81+CS82-DB81))</f>
        <v>217.39999999999995</v>
      </c>
      <c r="CU82" s="18">
        <f>CT82*VLOOKUP('Données projet'!$B$13,Paramètres!$A$1:$I$88,3,0)*VLOOKUP('Données projet'!$B$13,Paramètres!$A$1:$I$88,5,0)</f>
        <v>186.52919999999997</v>
      </c>
      <c r="CV82" s="14">
        <f t="shared" si="101"/>
        <v>46.771786839640335</v>
      </c>
      <c r="CW82" s="22">
        <f t="shared" si="71"/>
        <v>406.33255207904017</v>
      </c>
      <c r="CX82" s="62">
        <f t="shared" si="72"/>
        <v>664.70013076509576</v>
      </c>
      <c r="CY82" s="62">
        <f ca="1">AVERAGE(OFFSET($CX$3,0,0,'Données projet'!$E$13+1,1))-AVERAGE(OFFSET($H$3,0,0,'Données projet'!$E$13+1,1))</f>
        <v>395.19659151668884</v>
      </c>
      <c r="CZ82" s="62">
        <f t="shared" si="73"/>
        <v>222.86563304507339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projet'!$B$13,Paramètres!$A$1:$I$88,7,0))</f>
        <v>0</v>
      </c>
      <c r="DD82" s="17">
        <f>IF(ISNA(VLOOKUP(A82,'Données projet'!$A$139:$I$159,6,0)),0%,VLOOKUP(A82,'Données projet'!$A$139:$I$159,6,0)*VLOOKUP('Données projet'!$B$13,Paramètres!$A$1:$I$88,7,0))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projet'!$B$9,Paramètres!$A$1:$I$88,3,0)*0.475*44/12</f>
        <v>0</v>
      </c>
      <c r="DG82" s="23">
        <f>EXP(-LN(2)/25)*DG81+(1-EXP(-LN(2)/25))/(LN(2)/25)*Calculateur!DB82*Calculateur!DD82*VLOOKUP('Données projet'!$B$9,Paramètres!$A$1:$I$88,3,0)*0.475*44/12</f>
        <v>0</v>
      </c>
      <c r="DH82" s="23">
        <f>EXP(-LN(2)/2)*DH81+(1-EXP(-LN(2)/2))/(LN(2)/2)*DB82*DE82*VLOOKUP('Données projet'!$B$9,Paramètres!$A$1:$I$88,3,0)*0.475*44/12</f>
        <v>0</v>
      </c>
      <c r="DI82" s="24">
        <f t="shared" si="74"/>
        <v>0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4.5999999999999996</v>
      </c>
      <c r="DO82" s="13">
        <f>IF(A82&lt;'Données projet'!$A$166,$DL$205^A82,IF(A82='Données projet'!$A$166,'Données projet'!$B$166,DO81+DN82-DW81))</f>
        <v>84.399999999999977</v>
      </c>
      <c r="DP82" s="18">
        <f>DO82*VLOOKUP('Données projet'!$B$14,Paramètres!$A$1:$I$88,3,0)*VLOOKUP('Données projet'!$B$14,Paramètres!$A$1:$I$88,5,0)</f>
        <v>49.373999999999988</v>
      </c>
      <c r="DQ82" s="14">
        <f t="shared" si="102"/>
        <v>14.451974080007275</v>
      </c>
      <c r="DR82" s="22">
        <f t="shared" si="75"/>
        <v>111.16357152267931</v>
      </c>
      <c r="DS82" s="62">
        <f t="shared" si="76"/>
        <v>369.53115020873497</v>
      </c>
      <c r="DT82" s="62">
        <f ca="1">AVERAGE(OFFSET($DS$3,0,0,'Données projet'!$E$14+1,1))-AVERAGE(OFFSET($H$3,0,0,'Données projet'!$E$14+1,1))</f>
        <v>155.18073137151848</v>
      </c>
      <c r="DU82" s="62">
        <f t="shared" si="77"/>
        <v>115.19459155667272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projet'!$B$14,Paramètres!$A$1:$I$88,7,0))</f>
        <v>0</v>
      </c>
      <c r="DY82" s="17">
        <f>IF(ISNA(VLOOKUP(A82,'Données projet'!$A$165:$I$185,6,0)),0%,VLOOKUP(A82,'Données projet'!$A$165:$I$185,6,0)*VLOOKUP('Données projet'!$B$14,Paramètres!$A$1:$I$88,7,0))</f>
        <v>0</v>
      </c>
      <c r="DZ82" s="17">
        <f>IF(ISNA(VLOOKUP(A82,'Données projet'!$A$165:$I$185,7,0)),0%,VLOOKUP(A82,'Données projet'!$A$165:$I$185,7,0))</f>
        <v>0</v>
      </c>
      <c r="EA82" s="23">
        <f>EXP(-LN(2)/35)*EA81+(1-EXP(-LN(2)/35))/(LN(2)/35)*DW82*DX82*VLOOKUP('Données projet'!$B$9,Paramètres!$A$1:$I$88,3,0)*0.475*44/12</f>
        <v>0</v>
      </c>
      <c r="EB82" s="23">
        <f>EXP(-LN(2)/25)*EB81+(1-EXP(-LN(2)/25))/(LN(2)/25)*Calculateur!DW82*Calculateur!DY82*VLOOKUP('Données projet'!$B$9,Paramètres!$A$1:$I$88,3,0)*0.475*44/12</f>
        <v>0</v>
      </c>
      <c r="EC82" s="23">
        <f>EXP(-LN(2)/2)*EC81+(1-EXP(-LN(2)/2))/(LN(2)/2)*DW82*DZ82*VLOOKUP('Données projet'!$B$9,Paramètres!$A$1:$I$88,3,0)*0.475*44/12</f>
        <v>0</v>
      </c>
      <c r="ED82" s="24">
        <f t="shared" si="78"/>
        <v>0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8.0666666666666664</v>
      </c>
      <c r="EJ82" s="13">
        <f>IF(A82&lt;'Données projet'!$A$192,$EG$205^A82,IF(A82='Données projet'!$A$192,'Données projet'!$B$192,EJ81+EI82-ER81))</f>
        <v>221.26666666666671</v>
      </c>
      <c r="EK82" s="18">
        <f>EJ82*VLOOKUP('Données projet'!$B$15,Paramètres!$A$1:$I$88,3,0)*VLOOKUP('Données projet'!$B$15,Paramètres!$A$1:$I$88,5,0)</f>
        <v>103.5528</v>
      </c>
      <c r="EL82" s="14">
        <f t="shared" si="103"/>
        <v>27.806675731791195</v>
      </c>
      <c r="EM82" s="22">
        <f t="shared" si="79"/>
        <v>228.78442023286968</v>
      </c>
      <c r="EN82" s="62">
        <f t="shared" si="80"/>
        <v>487.1519989189253</v>
      </c>
      <c r="EO82" s="62">
        <f ca="1">AVERAGE(OFFSET($EN$3,0,0,'Données projet'!$E$15+1,1))-AVERAGE(OFFSET($H$3,0,0,'Données projet'!$E$15+1,1))</f>
        <v>238.59014604384171</v>
      </c>
      <c r="EP82" s="62">
        <f t="shared" si="81"/>
        <v>90.841373219575217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projet'!$B$15,Paramètres!$A$1:$I$88,7,0))</f>
        <v>0</v>
      </c>
      <c r="ET82" s="17">
        <f>IF(ISNA(VLOOKUP(A82,'Données projet'!$A$191:$I$211,6,0)),0%,VLOOKUP(A82,'Données projet'!$A$191:$I$211,6,0)*VLOOKUP('Données projet'!$B$15,Paramètres!$A$1:$I$88,7,0))</f>
        <v>0</v>
      </c>
      <c r="EU82" s="17">
        <f>IF(ISNA(VLOOKUP(A82,'Données projet'!$A$191:$I$211,7,0)),0%,VLOOKUP(A82,'Données projet'!$A$191:$I$211,7,0))</f>
        <v>0</v>
      </c>
      <c r="EV82" s="23">
        <f>EXP(-LN(2)/35)*EV81+(1-EXP(-LN(2)/35))/(LN(2)/35)*ER82*ES82*VLOOKUP('Données projet'!$B$9,Paramètres!$A$1:$I$88,3,0)*0.475*44/12</f>
        <v>0</v>
      </c>
      <c r="EW82" s="23">
        <f>EXP(-LN(2)/25)*EW81+(1-EXP(-LN(2)/25))/(LN(2)/25)*Calculateur!ER82*Calculateur!ET82*VLOOKUP('Données projet'!$B$9,Paramètres!$A$1:$I$88,3,0)*0.475*44/12</f>
        <v>0</v>
      </c>
      <c r="EX82" s="23">
        <f>EXP(-LN(2)/2)*EX81+(1-EXP(-LN(2)/2))/(LN(2)/2)*ER82*EU82*VLOOKUP('Données projet'!$B$9,Paramètres!$A$1:$I$88,3,0)*0.475*44/12</f>
        <v>0</v>
      </c>
      <c r="EY82" s="24">
        <f t="shared" si="82"/>
        <v>0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IF(A82&lt;'Données projet'!$A$218,$FB$205^A82,IF(A82='Données projet'!$A$218,'Données projet'!$B$218,FE81+FD82-FM81))</f>
        <v>0</v>
      </c>
      <c r="FF82" s="18" t="e">
        <f>FE82*VLOOKUP('Données projet'!$B$16,Paramètres!$A$1:$I$88,3,0)*VLOOKUP('Données projet'!$B$16,Paramètres!$A$1:$I$88,5,0)</f>
        <v>#N/A</v>
      </c>
      <c r="FG82" s="14" t="e">
        <f t="shared" si="104"/>
        <v>#N/A</v>
      </c>
      <c r="FH82" s="22" t="e">
        <f t="shared" si="83"/>
        <v>#N/A</v>
      </c>
      <c r="FI82" s="62" t="e">
        <f t="shared" si="84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85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projet'!$B$16,Paramètres!$A$1:$I$88,7,0))</f>
        <v>0</v>
      </c>
      <c r="FO82" s="17">
        <f>IF(ISNA(VLOOKUP(A82,'Données projet'!$A$217:$I$237,6,0)),0%,VLOOKUP(A82,'Données projet'!$A$217:$I$237,6,0)*VLOOKUP('Données projet'!$B$16,Paramètres!$A$1:$I$88,7,0))</f>
        <v>0</v>
      </c>
      <c r="FP82" s="17">
        <f>IF(ISNA(VLOOKUP(A82,'Données projet'!$A$217:$I$237,7,0)),0%,VLOOKUP(A82,'Données projet'!$A$217:$I$237,7,0))</f>
        <v>0</v>
      </c>
      <c r="FQ82" s="23">
        <f>EXP(-LN(2)/35)*FQ81+(1-EXP(-LN(2)/35))/(LN(2)/35)*FM82*FN82*VLOOKUP('Données projet'!$B$9,Paramètres!$A$1:$I$88,3,0)*0.475*44/12</f>
        <v>0</v>
      </c>
      <c r="FR82" s="23">
        <f>EXP(-LN(2)/25)*FR81+(1-EXP(-LN(2)/25))/(LN(2)/25)*Calculateur!FM82*Calculateur!FO82*VLOOKUP('Données projet'!$B$9,Paramètres!$A$1:$I$88,3,0)*0.475*44/12</f>
        <v>0</v>
      </c>
      <c r="FS82" s="23">
        <f>EXP(-LN(2)/2)*FS81+(1-EXP(-LN(2)/2))/(LN(2)/2)*FM82*FP82*VLOOKUP('Données projet'!$B$9,Paramètres!$A$1:$I$88,3,0)*0.475*44/12</f>
        <v>0</v>
      </c>
      <c r="FT82" s="24">
        <f t="shared" si="86"/>
        <v>0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IF(A82&lt;'Données projet'!$A$244,$FW$205^A82,IF(A82='Données projet'!$A$244,'Données projet'!$B$244,FZ81+FY82-GH81))</f>
        <v>0</v>
      </c>
      <c r="GA82" s="18" t="e">
        <f>FZ82*VLOOKUP('Données projet'!$B$17,Paramètres!$A$1:$I$88,3,0)*VLOOKUP('Données projet'!$B$17,Paramètres!$A$1:$I$88,5,0)</f>
        <v>#N/A</v>
      </c>
      <c r="GB82" s="14" t="e">
        <f t="shared" si="105"/>
        <v>#N/A</v>
      </c>
      <c r="GC82" s="22" t="e">
        <f t="shared" si="87"/>
        <v>#N/A</v>
      </c>
      <c r="GD82" s="62" t="e">
        <f t="shared" si="88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89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projet'!$B$17,Paramètres!$A$1:$I$88,7,0))</f>
        <v>0</v>
      </c>
      <c r="GJ82" s="17">
        <f>IF(ISNA(VLOOKUP(A82,'Données projet'!$A$243:$I$263,6,0)),0%,VLOOKUP(A82,'Données projet'!$A$243:$I$263,6,0)*VLOOKUP('Données projet'!$B$17,Paramètres!$A$1:$I$88,7,0))</f>
        <v>0</v>
      </c>
      <c r="GK82" s="17">
        <f>IF(ISNA(VLOOKUP(A82,'Données projet'!$A$243:$I$263,7,0)),0%,VLOOKUP(A82,'Données projet'!$A$243:$I$263,7,0))</f>
        <v>0</v>
      </c>
      <c r="GL82" s="23">
        <f>EXP(-LN(2)/35)*GL81+(1-EXP(-LN(2)/35))/(LN(2)/35)*GH82*GI82*VLOOKUP('Données projet'!$B$9,Paramètres!$A$1:$I$88,3,0)*0.475*44/12</f>
        <v>0</v>
      </c>
      <c r="GM82" s="23">
        <f>EXP(-LN(2)/25)*GM81+(1-EXP(-LN(2)/25))/(LN(2)/25)*Calculateur!GH82*Calculateur!GJ82*VLOOKUP('Données projet'!$B$9,Paramètres!$A$1:$I$88,3,0)*0.475*44/12</f>
        <v>0</v>
      </c>
      <c r="GN82" s="23">
        <f>EXP(-LN(2)/2)*GN81+(1-EXP(-LN(2)/2))/(LN(2)/2)*GH82*GK82*VLOOKUP('Données projet'!$B$9,Paramètres!$A$1:$I$88,3,0)*0.475*44/12</f>
        <v>0</v>
      </c>
      <c r="GO82" s="23">
        <f t="shared" si="90"/>
        <v>0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IF(A82&lt;'Données projet'!$A$270,$GR$205^A82,IF(A82='Données projet'!$A$270,'Données projet'!$B$270,GU81+GT82-HC81))</f>
        <v>0</v>
      </c>
      <c r="GV82" s="18" t="e">
        <f>GU82*VLOOKUP('Données projet'!$B$18,Paramètres!$A$1:$I$88,3,0)*VLOOKUP('Données projet'!$B$18,Paramètres!$A$1:$I$88,5,0)</f>
        <v>#N/A</v>
      </c>
      <c r="GW82" s="14" t="e">
        <f t="shared" si="106"/>
        <v>#N/A</v>
      </c>
      <c r="GX82" s="22" t="e">
        <f t="shared" si="91"/>
        <v>#N/A</v>
      </c>
      <c r="GY82" s="62" t="e">
        <f t="shared" si="92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93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projet'!$B$18,Paramètres!$A$1:$I$88,7,0))</f>
        <v>0</v>
      </c>
      <c r="HE82" s="17">
        <f>IF(ISNA(VLOOKUP(A82,'Données projet'!$A$269:$I$289,6,0)),0%,VLOOKUP(A82,'Données projet'!$A$269:$I$289,6,0)*VLOOKUP('Données projet'!$B$18,Paramètres!$A$1:$I$88,7,0))</f>
        <v>0</v>
      </c>
      <c r="HF82" s="17">
        <f>IF(ISNA(VLOOKUP(A82,'Données projet'!$A$269:$I$289,7,0)),0%,VLOOKUP(A82,'Données projet'!$A$269:$I$289,7,0))</f>
        <v>0</v>
      </c>
      <c r="HG82" s="23">
        <f>EXP(-LN(2)/35)*HG81+(1-EXP(-LN(2)/35))/(LN(2)/35)*HC82*HD82*VLOOKUP('Données projet'!$B$9,Paramètres!$A$1:$I$88,3,0)*0.475*44/12</f>
        <v>0</v>
      </c>
      <c r="HH82" s="23">
        <f>EXP(-LN(2)/25)*HH81+(1-EXP(-LN(2)/25))/(LN(2)/25)*Calculateur!HC82*Calculateur!HE82*VLOOKUP('Données projet'!$B$9,Paramètres!$A$1:$I$88,3,0)*0.475*44/12</f>
        <v>0</v>
      </c>
      <c r="HI82" s="23">
        <f>EXP(-LN(2)/2)*HI81+(1-EXP(-LN(2)/2))/(LN(2)/2)*HC82*HF82*VLOOKUP('Données projet'!$B$9,Paramètres!$A$1:$I$88,3,0)*0.475*44/12</f>
        <v>0</v>
      </c>
      <c r="HJ82" s="24">
        <f t="shared" si="94"/>
        <v>0</v>
      </c>
    </row>
    <row r="83" spans="1:218" s="5" customFormat="1" x14ac:dyDescent="0.25">
      <c r="A83" s="11">
        <f t="shared" si="95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3" s="12">
        <f t="shared" si="9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57"/>
        <v>135.66666666666666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100.14583333333333</v>
      </c>
      <c r="L83" s="13">
        <f>VLOOKUP(A83,'Données projet'!$A$35:$I$55,9,0)</f>
        <v>1.5783333333333318</v>
      </c>
      <c r="M83" s="13">
        <f t="array" ref="M83">INDEX(L:L,MIN(IF(ISNUMBER(L83:L279),ROW(L83:L279),"")))</f>
        <v>1.5783333333333318</v>
      </c>
      <c r="N83" s="14">
        <f>IF(A83&lt;'Données projet'!$A$36,$K$205^A83,IF(A83='Données projet'!$A$36,'Données projet'!$B$36,N82+M83-V82))</f>
        <v>100.14583333333327</v>
      </c>
      <c r="O83" s="14">
        <f>N83*VLOOKUP('Données projet'!$B$9,Paramètres!$A$1:$I$88,3,0)*VLOOKUP('Données projet'!$B$9,Paramètres!$A$1:$I$88,5,0)</f>
        <v>115.36799999999992</v>
      </c>
      <c r="P83" s="14">
        <f t="shared" si="97"/>
        <v>30.592198767544506</v>
      </c>
      <c r="Q83" s="22">
        <f t="shared" si="54"/>
        <v>254.21401285347324</v>
      </c>
      <c r="R83" s="62">
        <f t="shared" si="55"/>
        <v>513.18816921094276</v>
      </c>
      <c r="S83" s="62">
        <f ca="1">AVERAGE(OFFSET($R$3,0,0,'Données projet'!$E$9+1,1))-AVERAGE(OFFSET($H$3,0,0,'Données projet'!$E$9+1,1))</f>
        <v>314.72063458462026</v>
      </c>
      <c r="T83" s="62">
        <f t="shared" si="56"/>
        <v>216.4380325968244</v>
      </c>
      <c r="U83" s="16">
        <f>IF(ISNA(VLOOKUP(A83,'Données projet'!$A$35:$I$55,3,0)),0,VLOOKUP(A83,'Données projet'!$A$35:$I$55,3,0))</f>
        <v>6</v>
      </c>
      <c r="V83" s="16">
        <f>IF(ISNA(VLOOKUP(A83,'Données projet'!$A$35:$I$55,4,0)),0,VLOOKUP(A83,'Données projet'!$A$35:$I$55,4,0))</f>
        <v>9.1666666666666679</v>
      </c>
      <c r="W83" s="17">
        <f>IF(ISNA(VLOOKUP(A83,'Données projet'!$A$35:$I$55,5,0)),0%,VLOOKUP(A83,'Données projet'!$A$35:$I$55,5,0)*VLOOKUP('Données projet'!$B$9,Paramètres!$A$1:$I$88,7,0))</f>
        <v>0</v>
      </c>
      <c r="X83" s="17">
        <f>IF(ISNA(VLOOKUP(A83,'Données projet'!$A$35:$I$55,6,0)),0%,VLOOKUP(A83,'Données projet'!$A$35:$I$55,6,0)*VLOOKUP('Données projet'!$B$9,Paramètres!$A$1:$I$88,7,0))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projet'!$B$9,Paramètres!$A$1:$I$88,3,0)*0.475*44/12</f>
        <v>0</v>
      </c>
      <c r="AA83" s="23">
        <f>EXP(-LN(2)/25)*AA82+(1-EXP(-LN(2)/25))/(LN(2)/25)*Calculateur!V83*Calculateur!X83*VLOOKUP('Données projet'!$B$9,Paramètres!$A$1:$I$88,3,0)*0.475*44/12</f>
        <v>0</v>
      </c>
      <c r="AB83" s="23">
        <f>EXP(-LN(2)/2)*AB82+(1-EXP(-LN(2)/2))/(LN(2)/2)*V83*Y83*VLOOKUP('Données projet'!$B$9,Paramètres!$A$1:$I$88,3,0)*0.475*44/12</f>
        <v>0</v>
      </c>
      <c r="AC83" s="24">
        <f t="shared" si="58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221</v>
      </c>
      <c r="AG83" s="13">
        <f>VLOOKUP(A83,'Données projet'!$A$61:$I$81,9,0)</f>
        <v>3.6</v>
      </c>
      <c r="AH83" s="13">
        <f t="array" ref="AH83">INDEX(AG:AG,MIN(IF(ISNUMBER(AG83:AG279),ROW(AG83:AG279),"")))</f>
        <v>3.6</v>
      </c>
      <c r="AI83" s="14">
        <f>IF(A83&lt;'Données projet'!$A$62,$AF$205^A83,IF(A83='Données projet'!$A$62,'Données projet'!$B$62,AI82+AH83-AQ82))</f>
        <v>220.99999999999994</v>
      </c>
      <c r="AJ83" s="14">
        <f>AI83*VLOOKUP('Données projet'!$B$10,Paramètres!$A$1:$I$88,3,0)*VLOOKUP('Données projet'!$B$10,Paramètres!$A$1:$I$88,5,0)</f>
        <v>230.98919999999995</v>
      </c>
      <c r="AK83" s="14">
        <f t="shared" si="98"/>
        <v>56.496516245657226</v>
      </c>
      <c r="AL83" s="22">
        <f t="shared" si="59"/>
        <v>500.70428912785286</v>
      </c>
      <c r="AM83" s="62">
        <f t="shared" si="60"/>
        <v>759.67844548532241</v>
      </c>
      <c r="AN83" s="62">
        <f ca="1">AVERAGE(OFFSET($AM$3,0,0,'Données projet'!$E$10+1,1))-AVERAGE(OFFSET($H$3,0,0,'Données projet'!$E$10+1,1))</f>
        <v>458.33072853676879</v>
      </c>
      <c r="AO83" s="62">
        <f t="shared" si="61"/>
        <v>254.1734169352687</v>
      </c>
      <c r="AP83" s="16">
        <f>IF(ISNA(VLOOKUP(A83,'Données projet'!$A$61:$I$81,3,0)),0,VLOOKUP(A83,'Données projet'!$A$61:$I$81,3,0))</f>
        <v>6</v>
      </c>
      <c r="AQ83" s="16">
        <f>IF(ISNA(VLOOKUP(A83,'Données projet'!$A$61:$I$81,4,0)),0,VLOOKUP(A83,'Données projet'!$A$61:$I$81,4,0))</f>
        <v>20</v>
      </c>
      <c r="AR83" s="17">
        <f>IF(ISNA(VLOOKUP(A83,'Données projet'!$A$61:$I$81,5,0)),0%,VLOOKUP(A83,'Données projet'!$A$61:$I$81,5,0)*VLOOKUP('Données projet'!$B$10,Paramètres!$A$1:$I$88,7,0))</f>
        <v>0</v>
      </c>
      <c r="AS83" s="17">
        <f>IF(ISNA(VLOOKUP(A83,'Données projet'!$A$61:$I$81,6,0)),0%,VLOOKUP(A83,'Données projet'!$A$61:$I$81,6,0)*VLOOKUP('Données projet'!$B$10,Paramètres!$A$1:$I$88,7,0))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projet'!$B$9,Paramètres!$A$1:$I$88,3,0)*0.475*44/12</f>
        <v>0</v>
      </c>
      <c r="AV83" s="23">
        <f>EXP(-LN(2)/25)*AV82+(1-EXP(-LN(2)/25))/(LN(2)/25)*Calculateur!AQ83*Calculateur!AS83*VLOOKUP('Données projet'!$B$9,Paramètres!$A$1:$I$88,3,0)*0.475*44/12</f>
        <v>0</v>
      </c>
      <c r="AW83" s="23">
        <f>EXP(-LN(2)/2)*AW82+(1-EXP(-LN(2)/2))/(LN(2)/2)*AQ83*AT83*VLOOKUP('Données projet'!$B$9,Paramètres!$A$1:$I$88,3,0)*0.475*44/12</f>
        <v>0</v>
      </c>
      <c r="AX83" s="23">
        <f t="shared" si="62"/>
        <v>0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221</v>
      </c>
      <c r="BB83" s="13">
        <f>VLOOKUP(A83,'Données projet'!$A$87:$I$107,9,0)</f>
        <v>3.6</v>
      </c>
      <c r="BC83" s="13">
        <f t="array" ref="BC83">INDEX(BB:BB,MIN(IF(ISNUMBER(BB83:BB279),ROW(BB83:BB279),"")))</f>
        <v>3.6</v>
      </c>
      <c r="BD83" s="13">
        <f>IF(A83&lt;'Données projet'!$A$88,$BA$205^A83,IF(A83='Données projet'!$A$88,'Données projet'!$B$88,BD82+BC83-BL82))</f>
        <v>220.99999999999994</v>
      </c>
      <c r="BE83" s="14">
        <f>BD83*VLOOKUP('Données projet'!$B$11,Paramètres!$A$1:$I$88,3,0)*VLOOKUP('Données projet'!$B$11,Paramètres!$A$1:$I$88,5,0)</f>
        <v>224.09399999999997</v>
      </c>
      <c r="BF83" s="14">
        <f t="shared" si="99"/>
        <v>55.003739293082717</v>
      </c>
      <c r="BG83" s="22">
        <f t="shared" si="63"/>
        <v>486.09522926878566</v>
      </c>
      <c r="BH83" s="62">
        <f t="shared" si="64"/>
        <v>745.06938562625521</v>
      </c>
      <c r="BI83" s="62">
        <f ca="1">AVERAGE(OFFSET($BH$3,0,0,'Données projet'!$E$11+1,1))-AVERAGE(OFFSET($H$3,0,0,'Données projet'!$E$11+1,1))</f>
        <v>447.82618173893104</v>
      </c>
      <c r="BJ83" s="62">
        <f t="shared" si="65"/>
        <v>248.96509970783379</v>
      </c>
      <c r="BK83" s="16">
        <f>IF(ISNA(VLOOKUP(A83,'Données projet'!$A$87:$I$107,3,0)),0,VLOOKUP(A83,'Données projet'!$A$87:$I$107,3,0))</f>
        <v>6</v>
      </c>
      <c r="BL83" s="16">
        <f>IF(ISNA(VLOOKUP(A83,'Données projet'!$A$87:$I$107,4,0)),0,VLOOKUP(A83,'Données projet'!$A$87:$I$107,4,0))</f>
        <v>20</v>
      </c>
      <c r="BM83" s="17">
        <f>IF(ISNA(VLOOKUP(A83,'Données projet'!$A$87:$I$107,5,0)),0%,VLOOKUP(A83,'Données projet'!$A$87:$I$107,5,0)*VLOOKUP('Données projet'!$B$11,Paramètres!$A$1:$I$88,7,0))</f>
        <v>0</v>
      </c>
      <c r="BN83" s="17">
        <f>IF(ISNA(VLOOKUP(A83,'Données projet'!$A$87:$I$107,6,0)),0%,VLOOKUP(A83,'Données projet'!$A$87:$I$107,6,0)*VLOOKUP('Données projet'!$B$11,Paramètres!$A$1:$I$88,7,0))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projet'!$B$9,Paramètres!$A$1:$I$88,3,0)*0.475*44/12</f>
        <v>0</v>
      </c>
      <c r="BQ83" s="23">
        <f>EXP(-LN(2)/25)*BQ82+(1-EXP(-LN(2)/25))/(LN(2)/25)*Calculateur!BL83*Calculateur!BN83*VLOOKUP('Données projet'!$B$9,Paramètres!$A$1:$I$88,3,0)*0.475*44/12</f>
        <v>0</v>
      </c>
      <c r="BR83" s="23">
        <f>EXP(-LN(2)/2)*BR82+(1-EXP(-LN(2)/2))/(LN(2)/2)*BL83*BO83*VLOOKUP('Données projet'!$B$9,Paramètres!$A$1:$I$88,3,0)*0.475*44/12</f>
        <v>0</v>
      </c>
      <c r="BS83" s="24">
        <f t="shared" si="66"/>
        <v>0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>
        <f>VLOOKUP(A83,'Données projet'!$A$113:$I$133,2,0)</f>
        <v>221</v>
      </c>
      <c r="BW83" s="13">
        <f>VLOOKUP(A83,'Données projet'!$A$113:$I$133,9,0)</f>
        <v>3.6</v>
      </c>
      <c r="BX83" s="13">
        <f t="array" ref="BX83">INDEX(BW:BW,MIN(IF(ISNUMBER(BW83:BW279),ROW(BW83:BW279),"")))</f>
        <v>3.6</v>
      </c>
      <c r="BY83" s="13">
        <f>IF(A83&lt;'Données projet'!$A$114,$BV$205^A83,IF(A83='Données projet'!$A$114,'Données projet'!$B$114,BY82+BX83-CG82))</f>
        <v>220.99999999999994</v>
      </c>
      <c r="BZ83" s="14">
        <f>BY83*VLOOKUP('Données projet'!$B$12,Paramètres!$A$1:$I$88,3,0)*VLOOKUP('Données projet'!$B$12,Paramètres!$A$1:$I$88,5,0)</f>
        <v>237.88439999999994</v>
      </c>
      <c r="CA83" s="14">
        <f t="shared" si="100"/>
        <v>57.984114543460535</v>
      </c>
      <c r="CB83" s="22">
        <f t="shared" si="67"/>
        <v>515.30432949652698</v>
      </c>
      <c r="CC83" s="62">
        <f t="shared" si="68"/>
        <v>774.27848585399647</v>
      </c>
      <c r="CD83" s="62">
        <f ca="1">AVERAGE(OFFSET($CC$3,0,0,'Données projet'!$E$12+1,1))-AVERAGE(OFFSET($H$3,0,0,'Données projet'!$E$12+1,1))</f>
        <v>468.82871618425406</v>
      </c>
      <c r="CE83" s="62">
        <f t="shared" si="69"/>
        <v>259.37818128554397</v>
      </c>
      <c r="CF83" s="16">
        <f>IF(ISNA(VLOOKUP(A83,'Données projet'!$A$113:$I$133,3,0)),0,VLOOKUP(A83,'Données projet'!$A$113:$I$133,3,0))</f>
        <v>6</v>
      </c>
      <c r="CG83" s="16">
        <f>IF(ISNA(VLOOKUP(A83,'Données projet'!$A$113:$I$133,4,0)),0,VLOOKUP(A83,'Données projet'!$A$113:$I$133,4,0))</f>
        <v>20</v>
      </c>
      <c r="CH83" s="17">
        <f>IF(ISNA(VLOOKUP(A83,'Données projet'!$A$113:$I$133,5,0)),0%,VLOOKUP(A83,'Données projet'!$A$113:$I$133,5,0)*VLOOKUP('Données projet'!$B$12,Paramètres!$A$1:$I$88,7,0))</f>
        <v>0</v>
      </c>
      <c r="CI83" s="17">
        <f>IF(ISNA(VLOOKUP(A83,'Données projet'!$A$113:$I$133,6,0)),0%,VLOOKUP(A83,'Données projet'!$A$113:$I$133,6,0)*VLOOKUP('Données projet'!$B$12,Paramètres!$A$1:$I$88,7,0))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projet'!$B$9,Paramètres!$A$1:$I$88,3,0)*0.475*44/12</f>
        <v>0</v>
      </c>
      <c r="CL83" s="23">
        <f>EXP(-LN(2)/25)*CL82+(1-EXP(-LN(2)/25))/(LN(2)/25)*Calculateur!CG83*Calculateur!CI83*VLOOKUP('Données projet'!$B$9,Paramètres!$A$1:$I$88,3,0)*0.475*44/12</f>
        <v>0</v>
      </c>
      <c r="CM83" s="23">
        <f>EXP(-LN(2)/2)*CM82+(1-EXP(-LN(2)/2))/(LN(2)/2)*CG83*CJ83*VLOOKUP('Données projet'!$B$9,Paramètres!$A$1:$I$88,3,0)*0.475*44/12</f>
        <v>0</v>
      </c>
      <c r="CN83" s="24">
        <f t="shared" si="70"/>
        <v>0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>
        <f>VLOOKUP(A83,'Données projet'!$A$139:$I$159,2,0)</f>
        <v>221</v>
      </c>
      <c r="CR83" s="13">
        <f>VLOOKUP(A83,'Données projet'!$A$139:$I$159,9,0)</f>
        <v>3.6</v>
      </c>
      <c r="CS83" s="13">
        <f t="array" ref="CS83">INDEX(CR:CR,MIN(IF(ISNUMBER(CR83:CR279),ROW(CR83:CR279),"")))</f>
        <v>3.6</v>
      </c>
      <c r="CT83" s="13">
        <f>IF(A83&lt;'Données projet'!$A$140,$CQ$205^A83,IF(A83='Données projet'!$A$140,'Données projet'!$B$140,CT82+CS83-DB82))</f>
        <v>220.99999999999994</v>
      </c>
      <c r="CU83" s="18">
        <f>CT83*VLOOKUP('Données projet'!$B$13,Paramètres!$A$1:$I$88,3,0)*VLOOKUP('Données projet'!$B$13,Paramètres!$A$1:$I$88,5,0)</f>
        <v>189.61799999999997</v>
      </c>
      <c r="CV83" s="14">
        <f t="shared" si="101"/>
        <v>47.4554881852685</v>
      </c>
      <c r="CW83" s="22">
        <f t="shared" si="71"/>
        <v>412.90299192267588</v>
      </c>
      <c r="CX83" s="62">
        <f t="shared" si="72"/>
        <v>671.87714828014543</v>
      </c>
      <c r="CY83" s="62">
        <f ca="1">AVERAGE(OFFSET($CX$3,0,0,'Données projet'!$E$13+1,1))-AVERAGE(OFFSET($H$3,0,0,'Données projet'!$E$13+1,1))</f>
        <v>395.19659151668884</v>
      </c>
      <c r="CZ83" s="62">
        <f t="shared" si="73"/>
        <v>222.86563304507339</v>
      </c>
      <c r="DA83" s="16">
        <f>IF(ISNA(VLOOKUP(A83,'Données projet'!$A$139:$I$159,3,0)),0,VLOOKUP(A83,'Données projet'!$A$139:$I$159,3,0))</f>
        <v>6</v>
      </c>
      <c r="DB83" s="16">
        <f>IF(ISNA(VLOOKUP(A83,'Données projet'!$A$139:$I$159,4,0)),0,VLOOKUP(A83,'Données projet'!$A$139:$I$159,4,0))</f>
        <v>20</v>
      </c>
      <c r="DC83" s="17">
        <f>IF(ISNA(VLOOKUP(A83,'Données projet'!$A$139:$I$159,5,0)),0%,VLOOKUP(A83,'Données projet'!$A$139:$I$159,5,0)*VLOOKUP('Données projet'!$B$13,Paramètres!$A$1:$I$88,7,0))</f>
        <v>0</v>
      </c>
      <c r="DD83" s="17">
        <f>IF(ISNA(VLOOKUP(A83,'Données projet'!$A$139:$I$159,6,0)),0%,VLOOKUP(A83,'Données projet'!$A$139:$I$159,6,0)*VLOOKUP('Données projet'!$B$13,Paramètres!$A$1:$I$88,7,0))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projet'!$B$9,Paramètres!$A$1:$I$88,3,0)*0.475*44/12</f>
        <v>0</v>
      </c>
      <c r="DG83" s="23">
        <f>EXP(-LN(2)/25)*DG82+(1-EXP(-LN(2)/25))/(LN(2)/25)*Calculateur!DB83*Calculateur!DD83*VLOOKUP('Données projet'!$B$9,Paramètres!$A$1:$I$88,3,0)*0.475*44/12</f>
        <v>0</v>
      </c>
      <c r="DH83" s="23">
        <f>EXP(-LN(2)/2)*DH82+(1-EXP(-LN(2)/2))/(LN(2)/2)*DB83*DE83*VLOOKUP('Données projet'!$B$9,Paramètres!$A$1:$I$88,3,0)*0.475*44/12</f>
        <v>0</v>
      </c>
      <c r="DI83" s="24">
        <f t="shared" si="74"/>
        <v>0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4.5999999999999996</v>
      </c>
      <c r="DO83" s="13">
        <f>IF(A83&lt;'Données projet'!$A$166,$DL$205^A83,IF(A83='Données projet'!$A$166,'Données projet'!$B$166,DO82+DN83-DW82))</f>
        <v>88.999999999999972</v>
      </c>
      <c r="DP83" s="18">
        <f>DO83*VLOOKUP('Données projet'!$B$14,Paramètres!$A$1:$I$88,3,0)*VLOOKUP('Données projet'!$B$14,Paramètres!$A$1:$I$88,5,0)</f>
        <v>52.064999999999991</v>
      </c>
      <c r="DQ83" s="14">
        <f t="shared" si="102"/>
        <v>15.145792339299824</v>
      </c>
      <c r="DR83" s="22">
        <f t="shared" si="75"/>
        <v>117.05879665761385</v>
      </c>
      <c r="DS83" s="62">
        <f t="shared" si="76"/>
        <v>376.03295301508342</v>
      </c>
      <c r="DT83" s="62">
        <f ca="1">AVERAGE(OFFSET($DS$3,0,0,'Données projet'!$E$14+1,1))-AVERAGE(OFFSET($H$3,0,0,'Données projet'!$E$14+1,1))</f>
        <v>155.18073137151848</v>
      </c>
      <c r="DU83" s="62">
        <f t="shared" si="77"/>
        <v>115.19459155667272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projet'!$B$14,Paramètres!$A$1:$I$88,7,0))</f>
        <v>0</v>
      </c>
      <c r="DY83" s="17">
        <f>IF(ISNA(VLOOKUP(A83,'Données projet'!$A$165:$I$185,6,0)),0%,VLOOKUP(A83,'Données projet'!$A$165:$I$185,6,0)*VLOOKUP('Données projet'!$B$14,Paramètres!$A$1:$I$88,7,0))</f>
        <v>0</v>
      </c>
      <c r="DZ83" s="17">
        <f>IF(ISNA(VLOOKUP(A83,'Données projet'!$A$165:$I$185,7,0)),0%,VLOOKUP(A83,'Données projet'!$A$165:$I$185,7,0))</f>
        <v>0</v>
      </c>
      <c r="EA83" s="23">
        <f>EXP(-LN(2)/35)*EA82+(1-EXP(-LN(2)/35))/(LN(2)/35)*DW83*DX83*VLOOKUP('Données projet'!$B$9,Paramètres!$A$1:$I$88,3,0)*0.475*44/12</f>
        <v>0</v>
      </c>
      <c r="EB83" s="23">
        <f>EXP(-LN(2)/25)*EB82+(1-EXP(-LN(2)/25))/(LN(2)/25)*Calculateur!DW83*Calculateur!DY83*VLOOKUP('Données projet'!$B$9,Paramètres!$A$1:$I$88,3,0)*0.475*44/12</f>
        <v>0</v>
      </c>
      <c r="EC83" s="23">
        <f>EXP(-LN(2)/2)*EC82+(1-EXP(-LN(2)/2))/(LN(2)/2)*DW83*DZ83*VLOOKUP('Données projet'!$B$9,Paramètres!$A$1:$I$88,3,0)*0.475*44/12</f>
        <v>0</v>
      </c>
      <c r="ED83" s="24">
        <f t="shared" si="78"/>
        <v>0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8.0666666666666664</v>
      </c>
      <c r="EJ83" s="13">
        <f>IF(A83&lt;'Données projet'!$A$192,$EG$205^A83,IF(A83='Données projet'!$A$192,'Données projet'!$B$192,EJ82+EI83-ER82))</f>
        <v>229.33333333333337</v>
      </c>
      <c r="EK83" s="18">
        <f>EJ83*VLOOKUP('Données projet'!$B$15,Paramètres!$A$1:$I$88,3,0)*VLOOKUP('Données projet'!$B$15,Paramètres!$A$1:$I$88,5,0)</f>
        <v>107.32800000000003</v>
      </c>
      <c r="EL83" s="14">
        <f t="shared" si="103"/>
        <v>28.700542375698706</v>
      </c>
      <c r="EM83" s="22">
        <f t="shared" si="79"/>
        <v>236.91637797100864</v>
      </c>
      <c r="EN83" s="62">
        <f t="shared" si="80"/>
        <v>495.89053432847822</v>
      </c>
      <c r="EO83" s="62">
        <f ca="1">AVERAGE(OFFSET($EN$3,0,0,'Données projet'!$E$15+1,1))-AVERAGE(OFFSET($H$3,0,0,'Données projet'!$E$15+1,1))</f>
        <v>238.59014604384171</v>
      </c>
      <c r="EP83" s="62">
        <f t="shared" si="81"/>
        <v>90.841373219575217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projet'!$B$15,Paramètres!$A$1:$I$88,7,0))</f>
        <v>0</v>
      </c>
      <c r="ET83" s="17">
        <f>IF(ISNA(VLOOKUP(A83,'Données projet'!$A$191:$I$211,6,0)),0%,VLOOKUP(A83,'Données projet'!$A$191:$I$211,6,0)*VLOOKUP('Données projet'!$B$15,Paramètres!$A$1:$I$88,7,0))</f>
        <v>0</v>
      </c>
      <c r="EU83" s="17">
        <f>IF(ISNA(VLOOKUP(A83,'Données projet'!$A$191:$I$211,7,0)),0%,VLOOKUP(A83,'Données projet'!$A$191:$I$211,7,0))</f>
        <v>0</v>
      </c>
      <c r="EV83" s="23">
        <f>EXP(-LN(2)/35)*EV82+(1-EXP(-LN(2)/35))/(LN(2)/35)*ER83*ES83*VLOOKUP('Données projet'!$B$9,Paramètres!$A$1:$I$88,3,0)*0.475*44/12</f>
        <v>0</v>
      </c>
      <c r="EW83" s="23">
        <f>EXP(-LN(2)/25)*EW82+(1-EXP(-LN(2)/25))/(LN(2)/25)*Calculateur!ER83*Calculateur!ET83*VLOOKUP('Données projet'!$B$9,Paramètres!$A$1:$I$88,3,0)*0.475*44/12</f>
        <v>0</v>
      </c>
      <c r="EX83" s="23">
        <f>EXP(-LN(2)/2)*EX82+(1-EXP(-LN(2)/2))/(LN(2)/2)*ER83*EU83*VLOOKUP('Données projet'!$B$9,Paramètres!$A$1:$I$88,3,0)*0.475*44/12</f>
        <v>0</v>
      </c>
      <c r="EY83" s="24">
        <f t="shared" si="82"/>
        <v>0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IF(A83&lt;'Données projet'!$A$218,$FB$205^A83,IF(A83='Données projet'!$A$218,'Données projet'!$B$218,FE82+FD83-FM82))</f>
        <v>0</v>
      </c>
      <c r="FF83" s="18" t="e">
        <f>FE83*VLOOKUP('Données projet'!$B$16,Paramètres!$A$1:$I$88,3,0)*VLOOKUP('Données projet'!$B$16,Paramètres!$A$1:$I$88,5,0)</f>
        <v>#N/A</v>
      </c>
      <c r="FG83" s="14" t="e">
        <f t="shared" si="104"/>
        <v>#N/A</v>
      </c>
      <c r="FH83" s="22" t="e">
        <f t="shared" si="83"/>
        <v>#N/A</v>
      </c>
      <c r="FI83" s="62" t="e">
        <f t="shared" si="84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85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projet'!$B$16,Paramètres!$A$1:$I$88,7,0))</f>
        <v>0</v>
      </c>
      <c r="FO83" s="17">
        <f>IF(ISNA(VLOOKUP(A83,'Données projet'!$A$217:$I$237,6,0)),0%,VLOOKUP(A83,'Données projet'!$A$217:$I$237,6,0)*VLOOKUP('Données projet'!$B$16,Paramètres!$A$1:$I$88,7,0))</f>
        <v>0</v>
      </c>
      <c r="FP83" s="17">
        <f>IF(ISNA(VLOOKUP(A83,'Données projet'!$A$217:$I$237,7,0)),0%,VLOOKUP(A83,'Données projet'!$A$217:$I$237,7,0))</f>
        <v>0</v>
      </c>
      <c r="FQ83" s="23">
        <f>EXP(-LN(2)/35)*FQ82+(1-EXP(-LN(2)/35))/(LN(2)/35)*FM83*FN83*VLOOKUP('Données projet'!$B$9,Paramètres!$A$1:$I$88,3,0)*0.475*44/12</f>
        <v>0</v>
      </c>
      <c r="FR83" s="23">
        <f>EXP(-LN(2)/25)*FR82+(1-EXP(-LN(2)/25))/(LN(2)/25)*Calculateur!FM83*Calculateur!FO83*VLOOKUP('Données projet'!$B$9,Paramètres!$A$1:$I$88,3,0)*0.475*44/12</f>
        <v>0</v>
      </c>
      <c r="FS83" s="23">
        <f>EXP(-LN(2)/2)*FS82+(1-EXP(-LN(2)/2))/(LN(2)/2)*FM83*FP83*VLOOKUP('Données projet'!$B$9,Paramètres!$A$1:$I$88,3,0)*0.475*44/12</f>
        <v>0</v>
      </c>
      <c r="FT83" s="24">
        <f t="shared" si="86"/>
        <v>0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IF(A83&lt;'Données projet'!$A$244,$FW$205^A83,IF(A83='Données projet'!$A$244,'Données projet'!$B$244,FZ82+FY83-GH82))</f>
        <v>0</v>
      </c>
      <c r="GA83" s="18" t="e">
        <f>FZ83*VLOOKUP('Données projet'!$B$17,Paramètres!$A$1:$I$88,3,0)*VLOOKUP('Données projet'!$B$17,Paramètres!$A$1:$I$88,5,0)</f>
        <v>#N/A</v>
      </c>
      <c r="GB83" s="14" t="e">
        <f t="shared" si="105"/>
        <v>#N/A</v>
      </c>
      <c r="GC83" s="22" t="e">
        <f t="shared" si="87"/>
        <v>#N/A</v>
      </c>
      <c r="GD83" s="62" t="e">
        <f t="shared" si="88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89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projet'!$B$17,Paramètres!$A$1:$I$88,7,0))</f>
        <v>0</v>
      </c>
      <c r="GJ83" s="17">
        <f>IF(ISNA(VLOOKUP(A83,'Données projet'!$A$243:$I$263,6,0)),0%,VLOOKUP(A83,'Données projet'!$A$243:$I$263,6,0)*VLOOKUP('Données projet'!$B$17,Paramètres!$A$1:$I$88,7,0))</f>
        <v>0</v>
      </c>
      <c r="GK83" s="17">
        <f>IF(ISNA(VLOOKUP(A83,'Données projet'!$A$243:$I$263,7,0)),0%,VLOOKUP(A83,'Données projet'!$A$243:$I$263,7,0))</f>
        <v>0</v>
      </c>
      <c r="GL83" s="23">
        <f>EXP(-LN(2)/35)*GL82+(1-EXP(-LN(2)/35))/(LN(2)/35)*GH83*GI83*VLOOKUP('Données projet'!$B$9,Paramètres!$A$1:$I$88,3,0)*0.475*44/12</f>
        <v>0</v>
      </c>
      <c r="GM83" s="23">
        <f>EXP(-LN(2)/25)*GM82+(1-EXP(-LN(2)/25))/(LN(2)/25)*Calculateur!GH83*Calculateur!GJ83*VLOOKUP('Données projet'!$B$9,Paramètres!$A$1:$I$88,3,0)*0.475*44/12</f>
        <v>0</v>
      </c>
      <c r="GN83" s="23">
        <f>EXP(-LN(2)/2)*GN82+(1-EXP(-LN(2)/2))/(LN(2)/2)*GH83*GK83*VLOOKUP('Données projet'!$B$9,Paramètres!$A$1:$I$88,3,0)*0.475*44/12</f>
        <v>0</v>
      </c>
      <c r="GO83" s="23">
        <f t="shared" si="90"/>
        <v>0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IF(A83&lt;'Données projet'!$A$270,$GR$205^A83,IF(A83='Données projet'!$A$270,'Données projet'!$B$270,GU82+GT83-HC82))</f>
        <v>0</v>
      </c>
      <c r="GV83" s="18" t="e">
        <f>GU83*VLOOKUP('Données projet'!$B$18,Paramètres!$A$1:$I$88,3,0)*VLOOKUP('Données projet'!$B$18,Paramètres!$A$1:$I$88,5,0)</f>
        <v>#N/A</v>
      </c>
      <c r="GW83" s="14" t="e">
        <f t="shared" si="106"/>
        <v>#N/A</v>
      </c>
      <c r="GX83" s="22" t="e">
        <f t="shared" si="91"/>
        <v>#N/A</v>
      </c>
      <c r="GY83" s="62" t="e">
        <f t="shared" si="92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93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projet'!$B$18,Paramètres!$A$1:$I$88,7,0))</f>
        <v>0</v>
      </c>
      <c r="HE83" s="17">
        <f>IF(ISNA(VLOOKUP(A83,'Données projet'!$A$269:$I$289,6,0)),0%,VLOOKUP(A83,'Données projet'!$A$269:$I$289,6,0)*VLOOKUP('Données projet'!$B$18,Paramètres!$A$1:$I$88,7,0))</f>
        <v>0</v>
      </c>
      <c r="HF83" s="17">
        <f>IF(ISNA(VLOOKUP(A83,'Données projet'!$A$269:$I$289,7,0)),0%,VLOOKUP(A83,'Données projet'!$A$269:$I$289,7,0))</f>
        <v>0</v>
      </c>
      <c r="HG83" s="23">
        <f>EXP(-LN(2)/35)*HG82+(1-EXP(-LN(2)/35))/(LN(2)/35)*HC83*HD83*VLOOKUP('Données projet'!$B$9,Paramètres!$A$1:$I$88,3,0)*0.475*44/12</f>
        <v>0</v>
      </c>
      <c r="HH83" s="23">
        <f>EXP(-LN(2)/25)*HH82+(1-EXP(-LN(2)/25))/(LN(2)/25)*Calculateur!HC83*Calculateur!HE83*VLOOKUP('Données projet'!$B$9,Paramètres!$A$1:$I$88,3,0)*0.475*44/12</f>
        <v>0</v>
      </c>
      <c r="HI83" s="23">
        <f>EXP(-LN(2)/2)*HI82+(1-EXP(-LN(2)/2))/(LN(2)/2)*HC83*HF83*VLOOKUP('Données projet'!$B$9,Paramètres!$A$1:$I$88,3,0)*0.475*44/12</f>
        <v>0</v>
      </c>
      <c r="HJ83" s="24">
        <f t="shared" si="94"/>
        <v>0</v>
      </c>
    </row>
    <row r="84" spans="1:218" s="5" customFormat="1" x14ac:dyDescent="0.25">
      <c r="A84" s="11">
        <f t="shared" si="95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4" s="12">
        <f t="shared" si="9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57"/>
        <v>135.66666666666666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1.5429166666666674</v>
      </c>
      <c r="N84" s="14">
        <f>IF(A84&lt;'Données projet'!$A$36,$K$205^A84,IF(A84='Données projet'!$A$36,'Données projet'!$B$36,N83+M84-V83))</f>
        <v>92.522083333333271</v>
      </c>
      <c r="O84" s="14">
        <f>N84*VLOOKUP('Données projet'!$B$9,Paramètres!$A$1:$I$88,3,0)*VLOOKUP('Données projet'!$B$9,Paramètres!$A$1:$I$88,5,0)</f>
        <v>106.58543999999992</v>
      </c>
      <c r="P84" s="14">
        <f t="shared" si="97"/>
        <v>28.525017119169313</v>
      </c>
      <c r="Q84" s="22">
        <f t="shared" si="54"/>
        <v>235.31737948255306</v>
      </c>
      <c r="R84" s="62">
        <f t="shared" si="55"/>
        <v>494.88759074494186</v>
      </c>
      <c r="S84" s="62">
        <f ca="1">AVERAGE(OFFSET($R$3,0,0,'Données projet'!$E$9+1,1))-AVERAGE(OFFSET($H$3,0,0,'Données projet'!$E$9+1,1))</f>
        <v>314.72063458462026</v>
      </c>
      <c r="T84" s="62">
        <f t="shared" si="56"/>
        <v>216.4380325968244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projet'!$B$9,Paramètres!$A$1:$I$88,7,0))</f>
        <v>0</v>
      </c>
      <c r="X84" s="17">
        <f>IF(ISNA(VLOOKUP(A84,'Données projet'!$A$35:$I$55,6,0)),0%,VLOOKUP(A84,'Données projet'!$A$35:$I$55,6,0)*VLOOKUP('Données projet'!$B$9,Paramètres!$A$1:$I$88,7,0))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projet'!$B$9,Paramètres!$A$1:$I$88,3,0)*0.475*44/12</f>
        <v>0</v>
      </c>
      <c r="AA84" s="23">
        <f>EXP(-LN(2)/25)*AA83+(1-EXP(-LN(2)/25))/(LN(2)/25)*Calculateur!V84*Calculateur!X84*VLOOKUP('Données projet'!$B$9,Paramètres!$A$1:$I$88,3,0)*0.475*44/12</f>
        <v>0</v>
      </c>
      <c r="AB84" s="23">
        <f>EXP(-LN(2)/2)*AB83+(1-EXP(-LN(2)/2))/(LN(2)/2)*V84*Y84*VLOOKUP('Données projet'!$B$9,Paramètres!$A$1:$I$88,3,0)*0.475*44/12</f>
        <v>0</v>
      </c>
      <c r="AC84" s="24">
        <f t="shared" si="58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3.6</v>
      </c>
      <c r="AI84" s="14">
        <f>IF(A84&lt;'Données projet'!$A$62,$AF$205^A84,IF(A84='Données projet'!$A$62,'Données projet'!$B$62,AI83+AH84-AQ83))</f>
        <v>204.59999999999994</v>
      </c>
      <c r="AJ84" s="14">
        <f>AI84*VLOOKUP('Données projet'!$B$10,Paramètres!$A$1:$I$88,3,0)*VLOOKUP('Données projet'!$B$10,Paramètres!$A$1:$I$88,5,0)</f>
        <v>213.84791999999996</v>
      </c>
      <c r="AK84" s="14">
        <f t="shared" si="98"/>
        <v>52.77556236574889</v>
      </c>
      <c r="AL84" s="22">
        <f t="shared" si="59"/>
        <v>464.3692317870125</v>
      </c>
      <c r="AM84" s="62">
        <f t="shared" si="60"/>
        <v>723.93944304940123</v>
      </c>
      <c r="AN84" s="62">
        <f ca="1">AVERAGE(OFFSET($AM$3,0,0,'Données projet'!$E$10+1,1))-AVERAGE(OFFSET($H$3,0,0,'Données projet'!$E$10+1,1))</f>
        <v>458.33072853676879</v>
      </c>
      <c r="AO84" s="62">
        <f t="shared" si="61"/>
        <v>254.1734169352687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projet'!$B$10,Paramètres!$A$1:$I$88,7,0))</f>
        <v>0</v>
      </c>
      <c r="AS84" s="17">
        <f>IF(ISNA(VLOOKUP(A84,'Données projet'!$A$61:$I$81,6,0)),0%,VLOOKUP(A84,'Données projet'!$A$61:$I$81,6,0)*VLOOKUP('Données projet'!$B$10,Paramètres!$A$1:$I$88,7,0))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projet'!$B$9,Paramètres!$A$1:$I$88,3,0)*0.475*44/12</f>
        <v>0</v>
      </c>
      <c r="AV84" s="23">
        <f>EXP(-LN(2)/25)*AV83+(1-EXP(-LN(2)/25))/(LN(2)/25)*Calculateur!AQ84*Calculateur!AS84*VLOOKUP('Données projet'!$B$9,Paramètres!$A$1:$I$88,3,0)*0.475*44/12</f>
        <v>0</v>
      </c>
      <c r="AW84" s="23">
        <f>EXP(-LN(2)/2)*AW83+(1-EXP(-LN(2)/2))/(LN(2)/2)*AQ84*AT84*VLOOKUP('Données projet'!$B$9,Paramètres!$A$1:$I$88,3,0)*0.475*44/12</f>
        <v>0</v>
      </c>
      <c r="AX84" s="23">
        <f t="shared" si="62"/>
        <v>0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3.6</v>
      </c>
      <c r="BD84" s="13">
        <f>IF(A84&lt;'Données projet'!$A$88,$BA$205^A84,IF(A84='Données projet'!$A$88,'Données projet'!$B$88,BD83+BC84-BL83))</f>
        <v>204.59999999999994</v>
      </c>
      <c r="BE84" s="14">
        <f>BD84*VLOOKUP('Données projet'!$B$11,Paramètres!$A$1:$I$88,3,0)*VLOOKUP('Données projet'!$B$11,Paramètres!$A$1:$I$88,5,0)</f>
        <v>207.46439999999993</v>
      </c>
      <c r="BF84" s="14">
        <f t="shared" si="99"/>
        <v>51.381102169014063</v>
      </c>
      <c r="BG84" s="22">
        <f t="shared" si="63"/>
        <v>450.82258294436605</v>
      </c>
      <c r="BH84" s="62">
        <f t="shared" si="64"/>
        <v>710.39279420675484</v>
      </c>
      <c r="BI84" s="62">
        <f ca="1">AVERAGE(OFFSET($BH$3,0,0,'Données projet'!$E$11+1,1))-AVERAGE(OFFSET($H$3,0,0,'Données projet'!$E$11+1,1))</f>
        <v>447.82618173893104</v>
      </c>
      <c r="BJ84" s="62">
        <f t="shared" si="65"/>
        <v>248.96509970783379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projet'!$B$11,Paramètres!$A$1:$I$88,7,0))</f>
        <v>0</v>
      </c>
      <c r="BN84" s="17">
        <f>IF(ISNA(VLOOKUP(A84,'Données projet'!$A$87:$I$107,6,0)),0%,VLOOKUP(A84,'Données projet'!$A$87:$I$107,6,0)*VLOOKUP('Données projet'!$B$11,Paramètres!$A$1:$I$88,7,0))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projet'!$B$9,Paramètres!$A$1:$I$88,3,0)*0.475*44/12</f>
        <v>0</v>
      </c>
      <c r="BQ84" s="23">
        <f>EXP(-LN(2)/25)*BQ83+(1-EXP(-LN(2)/25))/(LN(2)/25)*Calculateur!BL84*Calculateur!BN84*VLOOKUP('Données projet'!$B$9,Paramètres!$A$1:$I$88,3,0)*0.475*44/12</f>
        <v>0</v>
      </c>
      <c r="BR84" s="23">
        <f>EXP(-LN(2)/2)*BR83+(1-EXP(-LN(2)/2))/(LN(2)/2)*BL84*BO84*VLOOKUP('Données projet'!$B$9,Paramètres!$A$1:$I$88,3,0)*0.475*44/12</f>
        <v>0</v>
      </c>
      <c r="BS84" s="24">
        <f t="shared" si="66"/>
        <v>0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3.6</v>
      </c>
      <c r="BY84" s="13">
        <f>IF(A84&lt;'Données projet'!$A$114,$BV$205^A84,IF(A84='Données projet'!$A$114,'Données projet'!$B$114,BY83+BX84-CG83))</f>
        <v>204.59999999999994</v>
      </c>
      <c r="BZ84" s="14">
        <f>BY84*VLOOKUP('Données projet'!$B$12,Paramètres!$A$1:$I$88,3,0)*VLOOKUP('Données projet'!$B$12,Paramètres!$A$1:$I$88,5,0)</f>
        <v>220.23143999999994</v>
      </c>
      <c r="CA84" s="14">
        <f t="shared" si="100"/>
        <v>54.165184982469711</v>
      </c>
      <c r="CB84" s="22">
        <f t="shared" si="67"/>
        <v>477.90745517780124</v>
      </c>
      <c r="CC84" s="62">
        <f t="shared" si="68"/>
        <v>737.47766644018998</v>
      </c>
      <c r="CD84" s="62">
        <f ca="1">AVERAGE(OFFSET($CC$3,0,0,'Données projet'!$E$12+1,1))-AVERAGE(OFFSET($H$3,0,0,'Données projet'!$E$12+1,1))</f>
        <v>468.82871618425406</v>
      </c>
      <c r="CE84" s="62">
        <f t="shared" si="69"/>
        <v>259.37818128554397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projet'!$B$12,Paramètres!$A$1:$I$88,7,0))</f>
        <v>0</v>
      </c>
      <c r="CI84" s="17">
        <f>IF(ISNA(VLOOKUP(A84,'Données projet'!$A$113:$I$133,6,0)),0%,VLOOKUP(A84,'Données projet'!$A$113:$I$133,6,0)*VLOOKUP('Données projet'!$B$12,Paramètres!$A$1:$I$88,7,0))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projet'!$B$9,Paramètres!$A$1:$I$88,3,0)*0.475*44/12</f>
        <v>0</v>
      </c>
      <c r="CL84" s="23">
        <f>EXP(-LN(2)/25)*CL83+(1-EXP(-LN(2)/25))/(LN(2)/25)*Calculateur!CG84*Calculateur!CI84*VLOOKUP('Données projet'!$B$9,Paramètres!$A$1:$I$88,3,0)*0.475*44/12</f>
        <v>0</v>
      </c>
      <c r="CM84" s="23">
        <f>EXP(-LN(2)/2)*CM83+(1-EXP(-LN(2)/2))/(LN(2)/2)*CG84*CJ84*VLOOKUP('Données projet'!$B$9,Paramètres!$A$1:$I$88,3,0)*0.475*44/12</f>
        <v>0</v>
      </c>
      <c r="CN84" s="24">
        <f t="shared" si="70"/>
        <v>0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3.6</v>
      </c>
      <c r="CT84" s="13">
        <f>IF(A84&lt;'Données projet'!$A$140,$CQ$205^A84,IF(A84='Données projet'!$A$140,'Données projet'!$B$140,CT83+CS84-DB83))</f>
        <v>204.59999999999994</v>
      </c>
      <c r="CU84" s="18">
        <f>CT84*VLOOKUP('Données projet'!$B$13,Paramètres!$A$1:$I$88,3,0)*VLOOKUP('Données projet'!$B$13,Paramètres!$A$1:$I$88,5,0)</f>
        <v>175.54679999999996</v>
      </c>
      <c r="CV84" s="14">
        <f t="shared" si="101"/>
        <v>44.329991347231292</v>
      </c>
      <c r="CW84" s="22">
        <f t="shared" si="71"/>
        <v>382.95207826309451</v>
      </c>
      <c r="CX84" s="62">
        <f t="shared" si="72"/>
        <v>642.5222895254833</v>
      </c>
      <c r="CY84" s="62">
        <f ca="1">AVERAGE(OFFSET($CX$3,0,0,'Données projet'!$E$13+1,1))-AVERAGE(OFFSET($H$3,0,0,'Données projet'!$E$13+1,1))</f>
        <v>395.19659151668884</v>
      </c>
      <c r="CZ84" s="62">
        <f t="shared" si="73"/>
        <v>222.86563304507339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projet'!$B$13,Paramètres!$A$1:$I$88,7,0))</f>
        <v>0</v>
      </c>
      <c r="DD84" s="17">
        <f>IF(ISNA(VLOOKUP(A84,'Données projet'!$A$139:$I$159,6,0)),0%,VLOOKUP(A84,'Données projet'!$A$139:$I$159,6,0)*VLOOKUP('Données projet'!$B$13,Paramètres!$A$1:$I$88,7,0))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projet'!$B$9,Paramètres!$A$1:$I$88,3,0)*0.475*44/12</f>
        <v>0</v>
      </c>
      <c r="DG84" s="23">
        <f>EXP(-LN(2)/25)*DG83+(1-EXP(-LN(2)/25))/(LN(2)/25)*Calculateur!DB84*Calculateur!DD84*VLOOKUP('Données projet'!$B$9,Paramètres!$A$1:$I$88,3,0)*0.475*44/12</f>
        <v>0</v>
      </c>
      <c r="DH84" s="23">
        <f>EXP(-LN(2)/2)*DH83+(1-EXP(-LN(2)/2))/(LN(2)/2)*DB84*DE84*VLOOKUP('Données projet'!$B$9,Paramètres!$A$1:$I$88,3,0)*0.475*44/12</f>
        <v>0</v>
      </c>
      <c r="DI84" s="24">
        <f t="shared" si="74"/>
        <v>0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4.5999999999999996</v>
      </c>
      <c r="DO84" s="13">
        <f>IF(A84&lt;'Données projet'!$A$166,$DL$205^A84,IF(A84='Données projet'!$A$166,'Données projet'!$B$166,DO83+DN84-DW83))</f>
        <v>93.599999999999966</v>
      </c>
      <c r="DP84" s="18">
        <f>DO84*VLOOKUP('Données projet'!$B$14,Paramètres!$A$1:$I$88,3,0)*VLOOKUP('Données projet'!$B$14,Paramètres!$A$1:$I$88,5,0)</f>
        <v>54.755999999999979</v>
      </c>
      <c r="DQ84" s="14">
        <f t="shared" si="102"/>
        <v>15.835447037242044</v>
      </c>
      <c r="DR84" s="22">
        <f t="shared" si="75"/>
        <v>122.94677025652986</v>
      </c>
      <c r="DS84" s="62">
        <f t="shared" si="76"/>
        <v>382.51698151891867</v>
      </c>
      <c r="DT84" s="62">
        <f ca="1">AVERAGE(OFFSET($DS$3,0,0,'Données projet'!$E$14+1,1))-AVERAGE(OFFSET($H$3,0,0,'Données projet'!$E$14+1,1))</f>
        <v>155.18073137151848</v>
      </c>
      <c r="DU84" s="62">
        <f t="shared" si="77"/>
        <v>115.19459155667272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projet'!$B$14,Paramètres!$A$1:$I$88,7,0))</f>
        <v>0</v>
      </c>
      <c r="DY84" s="17">
        <f>IF(ISNA(VLOOKUP(A84,'Données projet'!$A$165:$I$185,6,0)),0%,VLOOKUP(A84,'Données projet'!$A$165:$I$185,6,0)*VLOOKUP('Données projet'!$B$14,Paramètres!$A$1:$I$88,7,0))</f>
        <v>0</v>
      </c>
      <c r="DZ84" s="17">
        <f>IF(ISNA(VLOOKUP(A84,'Données projet'!$A$165:$I$185,7,0)),0%,VLOOKUP(A84,'Données projet'!$A$165:$I$185,7,0))</f>
        <v>0</v>
      </c>
      <c r="EA84" s="23">
        <f>EXP(-LN(2)/35)*EA83+(1-EXP(-LN(2)/35))/(LN(2)/35)*DW84*DX84*VLOOKUP('Données projet'!$B$9,Paramètres!$A$1:$I$88,3,0)*0.475*44/12</f>
        <v>0</v>
      </c>
      <c r="EB84" s="23">
        <f>EXP(-LN(2)/25)*EB83+(1-EXP(-LN(2)/25))/(LN(2)/25)*Calculateur!DW84*Calculateur!DY84*VLOOKUP('Données projet'!$B$9,Paramètres!$A$1:$I$88,3,0)*0.475*44/12</f>
        <v>0</v>
      </c>
      <c r="EC84" s="23">
        <f>EXP(-LN(2)/2)*EC83+(1-EXP(-LN(2)/2))/(LN(2)/2)*DW84*DZ84*VLOOKUP('Données projet'!$B$9,Paramètres!$A$1:$I$88,3,0)*0.475*44/12</f>
        <v>0</v>
      </c>
      <c r="ED84" s="24">
        <f t="shared" si="78"/>
        <v>0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8.0666666666666664</v>
      </c>
      <c r="EJ84" s="13">
        <f>IF(A84&lt;'Données projet'!$A$192,$EG$205^A84,IF(A84='Données projet'!$A$192,'Données projet'!$B$192,EJ83+EI84-ER83))</f>
        <v>237.40000000000003</v>
      </c>
      <c r="EK84" s="18">
        <f>EJ84*VLOOKUP('Données projet'!$B$15,Paramètres!$A$1:$I$88,3,0)*VLOOKUP('Données projet'!$B$15,Paramètres!$A$1:$I$88,5,0)</f>
        <v>111.10320000000002</v>
      </c>
      <c r="EL84" s="14">
        <f t="shared" si="103"/>
        <v>29.590755945457921</v>
      </c>
      <c r="EM84" s="22">
        <f t="shared" si="79"/>
        <v>245.04197327167253</v>
      </c>
      <c r="EN84" s="62">
        <f t="shared" si="80"/>
        <v>504.61218453406133</v>
      </c>
      <c r="EO84" s="62">
        <f ca="1">AVERAGE(OFFSET($EN$3,0,0,'Données projet'!$E$15+1,1))-AVERAGE(OFFSET($H$3,0,0,'Données projet'!$E$15+1,1))</f>
        <v>238.59014604384171</v>
      </c>
      <c r="EP84" s="62">
        <f t="shared" si="81"/>
        <v>90.841373219575217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projet'!$B$15,Paramètres!$A$1:$I$88,7,0))</f>
        <v>0</v>
      </c>
      <c r="ET84" s="17">
        <f>IF(ISNA(VLOOKUP(A84,'Données projet'!$A$191:$I$211,6,0)),0%,VLOOKUP(A84,'Données projet'!$A$191:$I$211,6,0)*VLOOKUP('Données projet'!$B$15,Paramètres!$A$1:$I$88,7,0))</f>
        <v>0</v>
      </c>
      <c r="EU84" s="17">
        <f>IF(ISNA(VLOOKUP(A84,'Données projet'!$A$191:$I$211,7,0)),0%,VLOOKUP(A84,'Données projet'!$A$191:$I$211,7,0))</f>
        <v>0</v>
      </c>
      <c r="EV84" s="23">
        <f>EXP(-LN(2)/35)*EV83+(1-EXP(-LN(2)/35))/(LN(2)/35)*ER84*ES84*VLOOKUP('Données projet'!$B$9,Paramètres!$A$1:$I$88,3,0)*0.475*44/12</f>
        <v>0</v>
      </c>
      <c r="EW84" s="23">
        <f>EXP(-LN(2)/25)*EW83+(1-EXP(-LN(2)/25))/(LN(2)/25)*Calculateur!ER84*Calculateur!ET84*VLOOKUP('Données projet'!$B$9,Paramètres!$A$1:$I$88,3,0)*0.475*44/12</f>
        <v>0</v>
      </c>
      <c r="EX84" s="23">
        <f>EXP(-LN(2)/2)*EX83+(1-EXP(-LN(2)/2))/(LN(2)/2)*ER84*EU84*VLOOKUP('Données projet'!$B$9,Paramètres!$A$1:$I$88,3,0)*0.475*44/12</f>
        <v>0</v>
      </c>
      <c r="EY84" s="24">
        <f t="shared" si="82"/>
        <v>0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IF(A84&lt;'Données projet'!$A$218,$FB$205^A84,IF(A84='Données projet'!$A$218,'Données projet'!$B$218,FE83+FD84-FM83))</f>
        <v>0</v>
      </c>
      <c r="FF84" s="18" t="e">
        <f>FE84*VLOOKUP('Données projet'!$B$16,Paramètres!$A$1:$I$88,3,0)*VLOOKUP('Données projet'!$B$16,Paramètres!$A$1:$I$88,5,0)</f>
        <v>#N/A</v>
      </c>
      <c r="FG84" s="14" t="e">
        <f t="shared" si="104"/>
        <v>#N/A</v>
      </c>
      <c r="FH84" s="22" t="e">
        <f t="shared" si="83"/>
        <v>#N/A</v>
      </c>
      <c r="FI84" s="62" t="e">
        <f t="shared" si="84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85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projet'!$B$16,Paramètres!$A$1:$I$88,7,0))</f>
        <v>0</v>
      </c>
      <c r="FO84" s="17">
        <f>IF(ISNA(VLOOKUP(A84,'Données projet'!$A$217:$I$237,6,0)),0%,VLOOKUP(A84,'Données projet'!$A$217:$I$237,6,0)*VLOOKUP('Données projet'!$B$16,Paramètres!$A$1:$I$88,7,0))</f>
        <v>0</v>
      </c>
      <c r="FP84" s="17">
        <f>IF(ISNA(VLOOKUP(A84,'Données projet'!$A$217:$I$237,7,0)),0%,VLOOKUP(A84,'Données projet'!$A$217:$I$237,7,0))</f>
        <v>0</v>
      </c>
      <c r="FQ84" s="23">
        <f>EXP(-LN(2)/35)*FQ83+(1-EXP(-LN(2)/35))/(LN(2)/35)*FM84*FN84*VLOOKUP('Données projet'!$B$9,Paramètres!$A$1:$I$88,3,0)*0.475*44/12</f>
        <v>0</v>
      </c>
      <c r="FR84" s="23">
        <f>EXP(-LN(2)/25)*FR83+(1-EXP(-LN(2)/25))/(LN(2)/25)*Calculateur!FM84*Calculateur!FO84*VLOOKUP('Données projet'!$B$9,Paramètres!$A$1:$I$88,3,0)*0.475*44/12</f>
        <v>0</v>
      </c>
      <c r="FS84" s="23">
        <f>EXP(-LN(2)/2)*FS83+(1-EXP(-LN(2)/2))/(LN(2)/2)*FM84*FP84*VLOOKUP('Données projet'!$B$9,Paramètres!$A$1:$I$88,3,0)*0.475*44/12</f>
        <v>0</v>
      </c>
      <c r="FT84" s="24">
        <f t="shared" si="86"/>
        <v>0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IF(A84&lt;'Données projet'!$A$244,$FW$205^A84,IF(A84='Données projet'!$A$244,'Données projet'!$B$244,FZ83+FY84-GH83))</f>
        <v>0</v>
      </c>
      <c r="GA84" s="18" t="e">
        <f>FZ84*VLOOKUP('Données projet'!$B$17,Paramètres!$A$1:$I$88,3,0)*VLOOKUP('Données projet'!$B$17,Paramètres!$A$1:$I$88,5,0)</f>
        <v>#N/A</v>
      </c>
      <c r="GB84" s="14" t="e">
        <f t="shared" si="105"/>
        <v>#N/A</v>
      </c>
      <c r="GC84" s="22" t="e">
        <f t="shared" si="87"/>
        <v>#N/A</v>
      </c>
      <c r="GD84" s="62" t="e">
        <f t="shared" si="88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89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projet'!$B$17,Paramètres!$A$1:$I$88,7,0))</f>
        <v>0</v>
      </c>
      <c r="GJ84" s="17">
        <f>IF(ISNA(VLOOKUP(A84,'Données projet'!$A$243:$I$263,6,0)),0%,VLOOKUP(A84,'Données projet'!$A$243:$I$263,6,0)*VLOOKUP('Données projet'!$B$17,Paramètres!$A$1:$I$88,7,0))</f>
        <v>0</v>
      </c>
      <c r="GK84" s="17">
        <f>IF(ISNA(VLOOKUP(A84,'Données projet'!$A$243:$I$263,7,0)),0%,VLOOKUP(A84,'Données projet'!$A$243:$I$263,7,0))</f>
        <v>0</v>
      </c>
      <c r="GL84" s="23">
        <f>EXP(-LN(2)/35)*GL83+(1-EXP(-LN(2)/35))/(LN(2)/35)*GH84*GI84*VLOOKUP('Données projet'!$B$9,Paramètres!$A$1:$I$88,3,0)*0.475*44/12</f>
        <v>0</v>
      </c>
      <c r="GM84" s="23">
        <f>EXP(-LN(2)/25)*GM83+(1-EXP(-LN(2)/25))/(LN(2)/25)*Calculateur!GH84*Calculateur!GJ84*VLOOKUP('Données projet'!$B$9,Paramètres!$A$1:$I$88,3,0)*0.475*44/12</f>
        <v>0</v>
      </c>
      <c r="GN84" s="23">
        <f>EXP(-LN(2)/2)*GN83+(1-EXP(-LN(2)/2))/(LN(2)/2)*GH84*GK84*VLOOKUP('Données projet'!$B$9,Paramètres!$A$1:$I$88,3,0)*0.475*44/12</f>
        <v>0</v>
      </c>
      <c r="GO84" s="23">
        <f t="shared" si="90"/>
        <v>0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IF(A84&lt;'Données projet'!$A$270,$GR$205^A84,IF(A84='Données projet'!$A$270,'Données projet'!$B$270,GU83+GT84-HC83))</f>
        <v>0</v>
      </c>
      <c r="GV84" s="18" t="e">
        <f>GU84*VLOOKUP('Données projet'!$B$18,Paramètres!$A$1:$I$88,3,0)*VLOOKUP('Données projet'!$B$18,Paramètres!$A$1:$I$88,5,0)</f>
        <v>#N/A</v>
      </c>
      <c r="GW84" s="14" t="e">
        <f t="shared" si="106"/>
        <v>#N/A</v>
      </c>
      <c r="GX84" s="22" t="e">
        <f t="shared" si="91"/>
        <v>#N/A</v>
      </c>
      <c r="GY84" s="62" t="e">
        <f t="shared" si="92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93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projet'!$B$18,Paramètres!$A$1:$I$88,7,0))</f>
        <v>0</v>
      </c>
      <c r="HE84" s="17">
        <f>IF(ISNA(VLOOKUP(A84,'Données projet'!$A$269:$I$289,6,0)),0%,VLOOKUP(A84,'Données projet'!$A$269:$I$289,6,0)*VLOOKUP('Données projet'!$B$18,Paramètres!$A$1:$I$88,7,0))</f>
        <v>0</v>
      </c>
      <c r="HF84" s="17">
        <f>IF(ISNA(VLOOKUP(A84,'Données projet'!$A$269:$I$289,7,0)),0%,VLOOKUP(A84,'Données projet'!$A$269:$I$289,7,0))</f>
        <v>0</v>
      </c>
      <c r="HG84" s="23">
        <f>EXP(-LN(2)/35)*HG83+(1-EXP(-LN(2)/35))/(LN(2)/35)*HC84*HD84*VLOOKUP('Données projet'!$B$9,Paramètres!$A$1:$I$88,3,0)*0.475*44/12</f>
        <v>0</v>
      </c>
      <c r="HH84" s="23">
        <f>EXP(-LN(2)/25)*HH83+(1-EXP(-LN(2)/25))/(LN(2)/25)*Calculateur!HC84*Calculateur!HE84*VLOOKUP('Données projet'!$B$9,Paramètres!$A$1:$I$88,3,0)*0.475*44/12</f>
        <v>0</v>
      </c>
      <c r="HI84" s="23">
        <f>EXP(-LN(2)/2)*HI83+(1-EXP(-LN(2)/2))/(LN(2)/2)*HC84*HF84*VLOOKUP('Données projet'!$B$9,Paramètres!$A$1:$I$88,3,0)*0.475*44/12</f>
        <v>0</v>
      </c>
      <c r="HJ84" s="24">
        <f t="shared" si="94"/>
        <v>0</v>
      </c>
    </row>
    <row r="85" spans="1:218" s="5" customFormat="1" x14ac:dyDescent="0.25">
      <c r="A85" s="11">
        <f t="shared" si="95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5" s="12">
        <f t="shared" si="9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57"/>
        <v>135.66666666666666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1.5429166666666674</v>
      </c>
      <c r="N85" s="14">
        <f>IF(A85&lt;'Données projet'!$A$36,$K$205^A85,IF(A85='Données projet'!$A$36,'Données projet'!$B$36,N84+M85-V84))</f>
        <v>94.064999999999941</v>
      </c>
      <c r="O85" s="14">
        <f>N85*VLOOKUP('Données projet'!$B$9,Paramètres!$A$1:$I$88,3,0)*VLOOKUP('Données projet'!$B$9,Paramètres!$A$1:$I$88,5,0)</f>
        <v>108.36287999999992</v>
      </c>
      <c r="P85" s="14">
        <f t="shared" si="97"/>
        <v>28.944930362905506</v>
      </c>
      <c r="Q85" s="22">
        <f t="shared" si="54"/>
        <v>239.14443638206026</v>
      </c>
      <c r="R85" s="62">
        <f t="shared" si="55"/>
        <v>499.30036232934719</v>
      </c>
      <c r="S85" s="62">
        <f ca="1">AVERAGE(OFFSET($R$3,0,0,'Données projet'!$E$9+1,1))-AVERAGE(OFFSET($H$3,0,0,'Données projet'!$E$9+1,1))</f>
        <v>314.72063458462026</v>
      </c>
      <c r="T85" s="62">
        <f t="shared" si="56"/>
        <v>216.4380325968244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projet'!$B$9,Paramètres!$A$1:$I$88,7,0))</f>
        <v>0</v>
      </c>
      <c r="X85" s="17">
        <f>IF(ISNA(VLOOKUP(A85,'Données projet'!$A$35:$I$55,6,0)),0%,VLOOKUP(A85,'Données projet'!$A$35:$I$55,6,0)*VLOOKUP('Données projet'!$B$9,Paramètres!$A$1:$I$88,7,0))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projet'!$B$9,Paramètres!$A$1:$I$88,3,0)*0.475*44/12</f>
        <v>0</v>
      </c>
      <c r="AA85" s="23">
        <f>EXP(-LN(2)/25)*AA84+(1-EXP(-LN(2)/25))/(LN(2)/25)*Calculateur!V85*Calculateur!X85*VLOOKUP('Données projet'!$B$9,Paramètres!$A$1:$I$88,3,0)*0.475*44/12</f>
        <v>0</v>
      </c>
      <c r="AB85" s="23">
        <f>EXP(-LN(2)/2)*AB84+(1-EXP(-LN(2)/2))/(LN(2)/2)*V85*Y85*VLOOKUP('Données projet'!$B$9,Paramètres!$A$1:$I$88,3,0)*0.475*44/12</f>
        <v>0</v>
      </c>
      <c r="AC85" s="24">
        <f t="shared" si="58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3.6</v>
      </c>
      <c r="AI85" s="14">
        <f>IF(A85&lt;'Données projet'!$A$62,$AF$205^A85,IF(A85='Données projet'!$A$62,'Données projet'!$B$62,AI84+AH85-AQ84))</f>
        <v>208.19999999999993</v>
      </c>
      <c r="AJ85" s="14">
        <f>AI85*VLOOKUP('Données projet'!$B$10,Paramètres!$A$1:$I$88,3,0)*VLOOKUP('Données projet'!$B$10,Paramètres!$A$1:$I$88,5,0)</f>
        <v>217.61063999999996</v>
      </c>
      <c r="AK85" s="14">
        <f t="shared" si="98"/>
        <v>53.595240539151249</v>
      </c>
      <c r="AL85" s="22">
        <f t="shared" si="59"/>
        <v>472.35024193902171</v>
      </c>
      <c r="AM85" s="62">
        <f t="shared" si="60"/>
        <v>732.50616788630873</v>
      </c>
      <c r="AN85" s="62">
        <f ca="1">AVERAGE(OFFSET($AM$3,0,0,'Données projet'!$E$10+1,1))-AVERAGE(OFFSET($H$3,0,0,'Données projet'!$E$10+1,1))</f>
        <v>458.33072853676879</v>
      </c>
      <c r="AO85" s="62">
        <f t="shared" si="61"/>
        <v>254.1734169352687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projet'!$B$10,Paramètres!$A$1:$I$88,7,0))</f>
        <v>0</v>
      </c>
      <c r="AS85" s="17">
        <f>IF(ISNA(VLOOKUP(A85,'Données projet'!$A$61:$I$81,6,0)),0%,VLOOKUP(A85,'Données projet'!$A$61:$I$81,6,0)*VLOOKUP('Données projet'!$B$10,Paramètres!$A$1:$I$88,7,0))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projet'!$B$9,Paramètres!$A$1:$I$88,3,0)*0.475*44/12</f>
        <v>0</v>
      </c>
      <c r="AV85" s="23">
        <f>EXP(-LN(2)/25)*AV84+(1-EXP(-LN(2)/25))/(LN(2)/25)*Calculateur!AQ85*Calculateur!AS85*VLOOKUP('Données projet'!$B$9,Paramètres!$A$1:$I$88,3,0)*0.475*44/12</f>
        <v>0</v>
      </c>
      <c r="AW85" s="23">
        <f>EXP(-LN(2)/2)*AW84+(1-EXP(-LN(2)/2))/(LN(2)/2)*AQ85*AT85*VLOOKUP('Données projet'!$B$9,Paramètres!$A$1:$I$88,3,0)*0.475*44/12</f>
        <v>0</v>
      </c>
      <c r="AX85" s="23">
        <f t="shared" si="62"/>
        <v>0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3.6</v>
      </c>
      <c r="BD85" s="13">
        <f>IF(A85&lt;'Données projet'!$A$88,$BA$205^A85,IF(A85='Données projet'!$A$88,'Données projet'!$B$88,BD84+BC85-BL84))</f>
        <v>208.19999999999993</v>
      </c>
      <c r="BE85" s="14">
        <f>BD85*VLOOKUP('Données projet'!$B$11,Paramètres!$A$1:$I$88,3,0)*VLOOKUP('Données projet'!$B$11,Paramètres!$A$1:$I$88,5,0)</f>
        <v>211.11479999999995</v>
      </c>
      <c r="BF85" s="14">
        <f t="shared" si="99"/>
        <v>52.179122428493677</v>
      </c>
      <c r="BG85" s="22">
        <f t="shared" si="63"/>
        <v>458.57024822962632</v>
      </c>
      <c r="BH85" s="62">
        <f t="shared" si="64"/>
        <v>718.72617417691322</v>
      </c>
      <c r="BI85" s="62">
        <f ca="1">AVERAGE(OFFSET($BH$3,0,0,'Données projet'!$E$11+1,1))-AVERAGE(OFFSET($H$3,0,0,'Données projet'!$E$11+1,1))</f>
        <v>447.82618173893104</v>
      </c>
      <c r="BJ85" s="62">
        <f t="shared" si="65"/>
        <v>248.96509970783379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projet'!$B$11,Paramètres!$A$1:$I$88,7,0))</f>
        <v>0</v>
      </c>
      <c r="BN85" s="17">
        <f>IF(ISNA(VLOOKUP(A85,'Données projet'!$A$87:$I$107,6,0)),0%,VLOOKUP(A85,'Données projet'!$A$87:$I$107,6,0)*VLOOKUP('Données projet'!$B$11,Paramètres!$A$1:$I$88,7,0))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projet'!$B$9,Paramètres!$A$1:$I$88,3,0)*0.475*44/12</f>
        <v>0</v>
      </c>
      <c r="BQ85" s="23">
        <f>EXP(-LN(2)/25)*BQ84+(1-EXP(-LN(2)/25))/(LN(2)/25)*Calculateur!BL85*Calculateur!BN85*VLOOKUP('Données projet'!$B$9,Paramètres!$A$1:$I$88,3,0)*0.475*44/12</f>
        <v>0</v>
      </c>
      <c r="BR85" s="23">
        <f>EXP(-LN(2)/2)*BR84+(1-EXP(-LN(2)/2))/(LN(2)/2)*BL85*BO85*VLOOKUP('Données projet'!$B$9,Paramètres!$A$1:$I$88,3,0)*0.475*44/12</f>
        <v>0</v>
      </c>
      <c r="BS85" s="24">
        <f t="shared" si="66"/>
        <v>0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3.6</v>
      </c>
      <c r="BY85" s="13">
        <f>IF(A85&lt;'Données projet'!$A$114,$BV$205^A85,IF(A85='Données projet'!$A$114,'Données projet'!$B$114,BY84+BX85-CG84))</f>
        <v>208.19999999999993</v>
      </c>
      <c r="BZ85" s="14">
        <f>BY85*VLOOKUP('Données projet'!$B$12,Paramètres!$A$1:$I$88,3,0)*VLOOKUP('Données projet'!$B$12,Paramètres!$A$1:$I$88,5,0)</f>
        <v>224.10647999999989</v>
      </c>
      <c r="CA85" s="14">
        <f t="shared" si="100"/>
        <v>55.006445935422541</v>
      </c>
      <c r="CB85" s="22">
        <f t="shared" si="67"/>
        <v>486.12167933752738</v>
      </c>
      <c r="CC85" s="62">
        <f t="shared" si="68"/>
        <v>746.2776052848144</v>
      </c>
      <c r="CD85" s="62">
        <f ca="1">AVERAGE(OFFSET($CC$3,0,0,'Données projet'!$E$12+1,1))-AVERAGE(OFFSET($H$3,0,0,'Données projet'!$E$12+1,1))</f>
        <v>468.82871618425406</v>
      </c>
      <c r="CE85" s="62">
        <f t="shared" si="69"/>
        <v>259.37818128554397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projet'!$B$12,Paramètres!$A$1:$I$88,7,0))</f>
        <v>0</v>
      </c>
      <c r="CI85" s="17">
        <f>IF(ISNA(VLOOKUP(A85,'Données projet'!$A$113:$I$133,6,0)),0%,VLOOKUP(A85,'Données projet'!$A$113:$I$133,6,0)*VLOOKUP('Données projet'!$B$12,Paramètres!$A$1:$I$88,7,0))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projet'!$B$9,Paramètres!$A$1:$I$88,3,0)*0.475*44/12</f>
        <v>0</v>
      </c>
      <c r="CL85" s="23">
        <f>EXP(-LN(2)/25)*CL84+(1-EXP(-LN(2)/25))/(LN(2)/25)*Calculateur!CG85*Calculateur!CI85*VLOOKUP('Données projet'!$B$9,Paramètres!$A$1:$I$88,3,0)*0.475*44/12</f>
        <v>0</v>
      </c>
      <c r="CM85" s="23">
        <f>EXP(-LN(2)/2)*CM84+(1-EXP(-LN(2)/2))/(LN(2)/2)*CG85*CJ85*VLOOKUP('Données projet'!$B$9,Paramètres!$A$1:$I$88,3,0)*0.475*44/12</f>
        <v>0</v>
      </c>
      <c r="CN85" s="24">
        <f t="shared" si="70"/>
        <v>0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3.6</v>
      </c>
      <c r="CT85" s="13">
        <f>IF(A85&lt;'Données projet'!$A$140,$CQ$205^A85,IF(A85='Données projet'!$A$140,'Données projet'!$B$140,CT84+CS85-DB84))</f>
        <v>208.19999999999993</v>
      </c>
      <c r="CU85" s="18">
        <f>CT85*VLOOKUP('Données projet'!$B$13,Paramètres!$A$1:$I$88,3,0)*VLOOKUP('Données projet'!$B$13,Paramètres!$A$1:$I$88,5,0)</f>
        <v>178.63559999999998</v>
      </c>
      <c r="CV85" s="14">
        <f t="shared" si="101"/>
        <v>45.01849801027015</v>
      </c>
      <c r="CW85" s="22">
        <f t="shared" si="71"/>
        <v>389.53088736788709</v>
      </c>
      <c r="CX85" s="62">
        <f t="shared" si="72"/>
        <v>649.68681331517405</v>
      </c>
      <c r="CY85" s="62">
        <f ca="1">AVERAGE(OFFSET($CX$3,0,0,'Données projet'!$E$13+1,1))-AVERAGE(OFFSET($H$3,0,0,'Données projet'!$E$13+1,1))</f>
        <v>395.19659151668884</v>
      </c>
      <c r="CZ85" s="62">
        <f t="shared" si="73"/>
        <v>222.86563304507339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projet'!$B$13,Paramètres!$A$1:$I$88,7,0))</f>
        <v>0</v>
      </c>
      <c r="DD85" s="17">
        <f>IF(ISNA(VLOOKUP(A85,'Données projet'!$A$139:$I$159,6,0)),0%,VLOOKUP(A85,'Données projet'!$A$139:$I$159,6,0)*VLOOKUP('Données projet'!$B$13,Paramètres!$A$1:$I$88,7,0))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projet'!$B$9,Paramètres!$A$1:$I$88,3,0)*0.475*44/12</f>
        <v>0</v>
      </c>
      <c r="DG85" s="23">
        <f>EXP(-LN(2)/25)*DG84+(1-EXP(-LN(2)/25))/(LN(2)/25)*Calculateur!DB85*Calculateur!DD85*VLOOKUP('Données projet'!$B$9,Paramètres!$A$1:$I$88,3,0)*0.475*44/12</f>
        <v>0</v>
      </c>
      <c r="DH85" s="23">
        <f>EXP(-LN(2)/2)*DH84+(1-EXP(-LN(2)/2))/(LN(2)/2)*DB85*DE85*VLOOKUP('Données projet'!$B$9,Paramètres!$A$1:$I$88,3,0)*0.475*44/12</f>
        <v>0</v>
      </c>
      <c r="DI85" s="24">
        <f t="shared" si="74"/>
        <v>0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4.5999999999999996</v>
      </c>
      <c r="DO85" s="13">
        <f>IF(A85&lt;'Données projet'!$A$166,$DL$205^A85,IF(A85='Données projet'!$A$166,'Données projet'!$B$166,DO84+DN85-DW84))</f>
        <v>98.19999999999996</v>
      </c>
      <c r="DP85" s="18">
        <f>DO85*VLOOKUP('Données projet'!$B$14,Paramètres!$A$1:$I$88,3,0)*VLOOKUP('Données projet'!$B$14,Paramètres!$A$1:$I$88,5,0)</f>
        <v>57.446999999999981</v>
      </c>
      <c r="DQ85" s="14">
        <f t="shared" si="102"/>
        <v>16.521166146741248</v>
      </c>
      <c r="DR85" s="22">
        <f t="shared" si="75"/>
        <v>128.82788937224097</v>
      </c>
      <c r="DS85" s="62">
        <f t="shared" si="76"/>
        <v>388.98381531952793</v>
      </c>
      <c r="DT85" s="62">
        <f ca="1">AVERAGE(OFFSET($DS$3,0,0,'Données projet'!$E$14+1,1))-AVERAGE(OFFSET($H$3,0,0,'Données projet'!$E$14+1,1))</f>
        <v>155.18073137151848</v>
      </c>
      <c r="DU85" s="62">
        <f t="shared" si="77"/>
        <v>115.19459155667272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projet'!$B$14,Paramètres!$A$1:$I$88,7,0))</f>
        <v>0</v>
      </c>
      <c r="DY85" s="17">
        <f>IF(ISNA(VLOOKUP(A85,'Données projet'!$A$165:$I$185,6,0)),0%,VLOOKUP(A85,'Données projet'!$A$165:$I$185,6,0)*VLOOKUP('Données projet'!$B$14,Paramètres!$A$1:$I$88,7,0))</f>
        <v>0</v>
      </c>
      <c r="DZ85" s="17">
        <f>IF(ISNA(VLOOKUP(A85,'Données projet'!$A$165:$I$185,7,0)),0%,VLOOKUP(A85,'Données projet'!$A$165:$I$185,7,0))</f>
        <v>0</v>
      </c>
      <c r="EA85" s="23">
        <f>EXP(-LN(2)/35)*EA84+(1-EXP(-LN(2)/35))/(LN(2)/35)*DW85*DX85*VLOOKUP('Données projet'!$B$9,Paramètres!$A$1:$I$88,3,0)*0.475*44/12</f>
        <v>0</v>
      </c>
      <c r="EB85" s="23">
        <f>EXP(-LN(2)/25)*EB84+(1-EXP(-LN(2)/25))/(LN(2)/25)*Calculateur!DW85*Calculateur!DY85*VLOOKUP('Données projet'!$B$9,Paramètres!$A$1:$I$88,3,0)*0.475*44/12</f>
        <v>0</v>
      </c>
      <c r="EC85" s="23">
        <f>EXP(-LN(2)/2)*EC84+(1-EXP(-LN(2)/2))/(LN(2)/2)*DW85*DZ85*VLOOKUP('Données projet'!$B$9,Paramètres!$A$1:$I$88,3,0)*0.475*44/12</f>
        <v>0</v>
      </c>
      <c r="ED85" s="24">
        <f t="shared" si="78"/>
        <v>0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8.0666666666666664</v>
      </c>
      <c r="EJ85" s="13">
        <f>IF(A85&lt;'Données projet'!$A$192,$EG$205^A85,IF(A85='Données projet'!$A$192,'Données projet'!$B$192,EJ84+EI85-ER84))</f>
        <v>245.4666666666667</v>
      </c>
      <c r="EK85" s="18">
        <f>EJ85*VLOOKUP('Données projet'!$B$15,Paramètres!$A$1:$I$88,3,0)*VLOOKUP('Données projet'!$B$15,Paramètres!$A$1:$I$88,5,0)</f>
        <v>114.87840000000001</v>
      </c>
      <c r="EL85" s="14">
        <f t="shared" si="103"/>
        <v>30.477454798653778</v>
      </c>
      <c r="EM85" s="22">
        <f t="shared" si="79"/>
        <v>253.16144710765533</v>
      </c>
      <c r="EN85" s="62">
        <f t="shared" si="80"/>
        <v>513.31737305494232</v>
      </c>
      <c r="EO85" s="62">
        <f ca="1">AVERAGE(OFFSET($EN$3,0,0,'Données projet'!$E$15+1,1))-AVERAGE(OFFSET($H$3,0,0,'Données projet'!$E$15+1,1))</f>
        <v>238.59014604384171</v>
      </c>
      <c r="EP85" s="62">
        <f t="shared" si="81"/>
        <v>90.841373219575217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projet'!$B$15,Paramètres!$A$1:$I$88,7,0))</f>
        <v>0</v>
      </c>
      <c r="ET85" s="17">
        <f>IF(ISNA(VLOOKUP(A85,'Données projet'!$A$191:$I$211,6,0)),0%,VLOOKUP(A85,'Données projet'!$A$191:$I$211,6,0)*VLOOKUP('Données projet'!$B$15,Paramètres!$A$1:$I$88,7,0))</f>
        <v>0</v>
      </c>
      <c r="EU85" s="17">
        <f>IF(ISNA(VLOOKUP(A85,'Données projet'!$A$191:$I$211,7,0)),0%,VLOOKUP(A85,'Données projet'!$A$191:$I$211,7,0))</f>
        <v>0</v>
      </c>
      <c r="EV85" s="23">
        <f>EXP(-LN(2)/35)*EV84+(1-EXP(-LN(2)/35))/(LN(2)/35)*ER85*ES85*VLOOKUP('Données projet'!$B$9,Paramètres!$A$1:$I$88,3,0)*0.475*44/12</f>
        <v>0</v>
      </c>
      <c r="EW85" s="23">
        <f>EXP(-LN(2)/25)*EW84+(1-EXP(-LN(2)/25))/(LN(2)/25)*Calculateur!ER85*Calculateur!ET85*VLOOKUP('Données projet'!$B$9,Paramètres!$A$1:$I$88,3,0)*0.475*44/12</f>
        <v>0</v>
      </c>
      <c r="EX85" s="23">
        <f>EXP(-LN(2)/2)*EX84+(1-EXP(-LN(2)/2))/(LN(2)/2)*ER85*EU85*VLOOKUP('Données projet'!$B$9,Paramètres!$A$1:$I$88,3,0)*0.475*44/12</f>
        <v>0</v>
      </c>
      <c r="EY85" s="24">
        <f t="shared" si="82"/>
        <v>0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IF(A85&lt;'Données projet'!$A$218,$FB$205^A85,IF(A85='Données projet'!$A$218,'Données projet'!$B$218,FE84+FD85-FM84))</f>
        <v>0</v>
      </c>
      <c r="FF85" s="18" t="e">
        <f>FE85*VLOOKUP('Données projet'!$B$16,Paramètres!$A$1:$I$88,3,0)*VLOOKUP('Données projet'!$B$16,Paramètres!$A$1:$I$88,5,0)</f>
        <v>#N/A</v>
      </c>
      <c r="FG85" s="14" t="e">
        <f t="shared" si="104"/>
        <v>#N/A</v>
      </c>
      <c r="FH85" s="22" t="e">
        <f t="shared" si="83"/>
        <v>#N/A</v>
      </c>
      <c r="FI85" s="62" t="e">
        <f t="shared" si="84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85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projet'!$B$16,Paramètres!$A$1:$I$88,7,0))</f>
        <v>0</v>
      </c>
      <c r="FO85" s="17">
        <f>IF(ISNA(VLOOKUP(A85,'Données projet'!$A$217:$I$237,6,0)),0%,VLOOKUP(A85,'Données projet'!$A$217:$I$237,6,0)*VLOOKUP('Données projet'!$B$16,Paramètres!$A$1:$I$88,7,0))</f>
        <v>0</v>
      </c>
      <c r="FP85" s="17">
        <f>IF(ISNA(VLOOKUP(A85,'Données projet'!$A$217:$I$237,7,0)),0%,VLOOKUP(A85,'Données projet'!$A$217:$I$237,7,0))</f>
        <v>0</v>
      </c>
      <c r="FQ85" s="23">
        <f>EXP(-LN(2)/35)*FQ84+(1-EXP(-LN(2)/35))/(LN(2)/35)*FM85*FN85*VLOOKUP('Données projet'!$B$9,Paramètres!$A$1:$I$88,3,0)*0.475*44/12</f>
        <v>0</v>
      </c>
      <c r="FR85" s="23">
        <f>EXP(-LN(2)/25)*FR84+(1-EXP(-LN(2)/25))/(LN(2)/25)*Calculateur!FM85*Calculateur!FO85*VLOOKUP('Données projet'!$B$9,Paramètres!$A$1:$I$88,3,0)*0.475*44/12</f>
        <v>0</v>
      </c>
      <c r="FS85" s="23">
        <f>EXP(-LN(2)/2)*FS84+(1-EXP(-LN(2)/2))/(LN(2)/2)*FM85*FP85*VLOOKUP('Données projet'!$B$9,Paramètres!$A$1:$I$88,3,0)*0.475*44/12</f>
        <v>0</v>
      </c>
      <c r="FT85" s="24">
        <f t="shared" si="86"/>
        <v>0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IF(A85&lt;'Données projet'!$A$244,$FW$205^A85,IF(A85='Données projet'!$A$244,'Données projet'!$B$244,FZ84+FY85-GH84))</f>
        <v>0</v>
      </c>
      <c r="GA85" s="18" t="e">
        <f>FZ85*VLOOKUP('Données projet'!$B$17,Paramètres!$A$1:$I$88,3,0)*VLOOKUP('Données projet'!$B$17,Paramètres!$A$1:$I$88,5,0)</f>
        <v>#N/A</v>
      </c>
      <c r="GB85" s="14" t="e">
        <f t="shared" si="105"/>
        <v>#N/A</v>
      </c>
      <c r="GC85" s="22" t="e">
        <f t="shared" si="87"/>
        <v>#N/A</v>
      </c>
      <c r="GD85" s="62" t="e">
        <f t="shared" si="88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89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projet'!$B$17,Paramètres!$A$1:$I$88,7,0))</f>
        <v>0</v>
      </c>
      <c r="GJ85" s="17">
        <f>IF(ISNA(VLOOKUP(A85,'Données projet'!$A$243:$I$263,6,0)),0%,VLOOKUP(A85,'Données projet'!$A$243:$I$263,6,0)*VLOOKUP('Données projet'!$B$17,Paramètres!$A$1:$I$88,7,0))</f>
        <v>0</v>
      </c>
      <c r="GK85" s="17">
        <f>IF(ISNA(VLOOKUP(A85,'Données projet'!$A$243:$I$263,7,0)),0%,VLOOKUP(A85,'Données projet'!$A$243:$I$263,7,0))</f>
        <v>0</v>
      </c>
      <c r="GL85" s="23">
        <f>EXP(-LN(2)/35)*GL84+(1-EXP(-LN(2)/35))/(LN(2)/35)*GH85*GI85*VLOOKUP('Données projet'!$B$9,Paramètres!$A$1:$I$88,3,0)*0.475*44/12</f>
        <v>0</v>
      </c>
      <c r="GM85" s="23">
        <f>EXP(-LN(2)/25)*GM84+(1-EXP(-LN(2)/25))/(LN(2)/25)*Calculateur!GH85*Calculateur!GJ85*VLOOKUP('Données projet'!$B$9,Paramètres!$A$1:$I$88,3,0)*0.475*44/12</f>
        <v>0</v>
      </c>
      <c r="GN85" s="23">
        <f>EXP(-LN(2)/2)*GN84+(1-EXP(-LN(2)/2))/(LN(2)/2)*GH85*GK85*VLOOKUP('Données projet'!$B$9,Paramètres!$A$1:$I$88,3,0)*0.475*44/12</f>
        <v>0</v>
      </c>
      <c r="GO85" s="23">
        <f t="shared" si="90"/>
        <v>0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IF(A85&lt;'Données projet'!$A$270,$GR$205^A85,IF(A85='Données projet'!$A$270,'Données projet'!$B$270,GU84+GT85-HC84))</f>
        <v>0</v>
      </c>
      <c r="GV85" s="18" t="e">
        <f>GU85*VLOOKUP('Données projet'!$B$18,Paramètres!$A$1:$I$88,3,0)*VLOOKUP('Données projet'!$B$18,Paramètres!$A$1:$I$88,5,0)</f>
        <v>#N/A</v>
      </c>
      <c r="GW85" s="14" t="e">
        <f t="shared" si="106"/>
        <v>#N/A</v>
      </c>
      <c r="GX85" s="22" t="e">
        <f t="shared" si="91"/>
        <v>#N/A</v>
      </c>
      <c r="GY85" s="62" t="e">
        <f t="shared" si="92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93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projet'!$B$18,Paramètres!$A$1:$I$88,7,0))</f>
        <v>0</v>
      </c>
      <c r="HE85" s="17">
        <f>IF(ISNA(VLOOKUP(A85,'Données projet'!$A$269:$I$289,6,0)),0%,VLOOKUP(A85,'Données projet'!$A$269:$I$289,6,0)*VLOOKUP('Données projet'!$B$18,Paramètres!$A$1:$I$88,7,0))</f>
        <v>0</v>
      </c>
      <c r="HF85" s="17">
        <f>IF(ISNA(VLOOKUP(A85,'Données projet'!$A$269:$I$289,7,0)),0%,VLOOKUP(A85,'Données projet'!$A$269:$I$289,7,0))</f>
        <v>0</v>
      </c>
      <c r="HG85" s="23">
        <f>EXP(-LN(2)/35)*HG84+(1-EXP(-LN(2)/35))/(LN(2)/35)*HC85*HD85*VLOOKUP('Données projet'!$B$9,Paramètres!$A$1:$I$88,3,0)*0.475*44/12</f>
        <v>0</v>
      </c>
      <c r="HH85" s="23">
        <f>EXP(-LN(2)/25)*HH84+(1-EXP(-LN(2)/25))/(LN(2)/25)*Calculateur!HC85*Calculateur!HE85*VLOOKUP('Données projet'!$B$9,Paramètres!$A$1:$I$88,3,0)*0.475*44/12</f>
        <v>0</v>
      </c>
      <c r="HI85" s="23">
        <f>EXP(-LN(2)/2)*HI84+(1-EXP(-LN(2)/2))/(LN(2)/2)*HC85*HF85*VLOOKUP('Données projet'!$B$9,Paramètres!$A$1:$I$88,3,0)*0.475*44/12</f>
        <v>0</v>
      </c>
      <c r="HJ85" s="24">
        <f t="shared" si="94"/>
        <v>0</v>
      </c>
    </row>
    <row r="86" spans="1:218" s="5" customFormat="1" x14ac:dyDescent="0.25">
      <c r="A86" s="11">
        <f t="shared" si="95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6" s="12">
        <f t="shared" si="9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57"/>
        <v>135.66666666666666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1.5429166666666674</v>
      </c>
      <c r="N86" s="14">
        <f>IF(A86&lt;'Données projet'!$A$36,$K$205^A86,IF(A86='Données projet'!$A$36,'Données projet'!$B$36,N85+M86-V85))</f>
        <v>95.607916666666611</v>
      </c>
      <c r="O86" s="14">
        <f>N86*VLOOKUP('Données projet'!$B$9,Paramètres!$A$1:$I$88,3,0)*VLOOKUP('Données projet'!$B$9,Paramètres!$A$1:$I$88,5,0)</f>
        <v>110.14031999999993</v>
      </c>
      <c r="P86" s="14">
        <f t="shared" si="97"/>
        <v>29.364042605701115</v>
      </c>
      <c r="Q86" s="22">
        <f t="shared" si="54"/>
        <v>242.97009820492926</v>
      </c>
      <c r="R86" s="62">
        <f t="shared" si="55"/>
        <v>503.70157799679316</v>
      </c>
      <c r="S86" s="62">
        <f ca="1">AVERAGE(OFFSET($R$3,0,0,'Données projet'!$E$9+1,1))-AVERAGE(OFFSET($H$3,0,0,'Données projet'!$E$9+1,1))</f>
        <v>314.72063458462026</v>
      </c>
      <c r="T86" s="62">
        <f t="shared" si="56"/>
        <v>216.4380325968244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projet'!$B$9,Paramètres!$A$1:$I$88,7,0))</f>
        <v>0</v>
      </c>
      <c r="X86" s="17">
        <f>IF(ISNA(VLOOKUP(A86,'Données projet'!$A$35:$I$55,6,0)),0%,VLOOKUP(A86,'Données projet'!$A$35:$I$55,6,0)*VLOOKUP('Données projet'!$B$9,Paramètres!$A$1:$I$88,7,0))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projet'!$B$9,Paramètres!$A$1:$I$88,3,0)*0.475*44/12</f>
        <v>0</v>
      </c>
      <c r="AA86" s="23">
        <f>EXP(-LN(2)/25)*AA85+(1-EXP(-LN(2)/25))/(LN(2)/25)*Calculateur!V86*Calculateur!X86*VLOOKUP('Données projet'!$B$9,Paramètres!$A$1:$I$88,3,0)*0.475*44/12</f>
        <v>0</v>
      </c>
      <c r="AB86" s="23">
        <f>EXP(-LN(2)/2)*AB85+(1-EXP(-LN(2)/2))/(LN(2)/2)*V86*Y86*VLOOKUP('Données projet'!$B$9,Paramètres!$A$1:$I$88,3,0)*0.475*44/12</f>
        <v>0</v>
      </c>
      <c r="AC86" s="24">
        <f t="shared" si="58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3.6</v>
      </c>
      <c r="AI86" s="14">
        <f>IF(A86&lt;'Données projet'!$A$62,$AF$205^A86,IF(A86='Données projet'!$A$62,'Données projet'!$B$62,AI85+AH86-AQ85))</f>
        <v>211.79999999999993</v>
      </c>
      <c r="AJ86" s="14">
        <f>AI86*VLOOKUP('Données projet'!$B$10,Paramètres!$A$1:$I$88,3,0)*VLOOKUP('Données projet'!$B$10,Paramètres!$A$1:$I$88,5,0)</f>
        <v>221.37335999999993</v>
      </c>
      <c r="AK86" s="14">
        <f t="shared" si="98"/>
        <v>54.413270534861574</v>
      </c>
      <c r="AL86" s="22">
        <f t="shared" si="59"/>
        <v>480.3283815148838</v>
      </c>
      <c r="AM86" s="62">
        <f t="shared" si="60"/>
        <v>741.05986130674773</v>
      </c>
      <c r="AN86" s="62">
        <f ca="1">AVERAGE(OFFSET($AM$3,0,0,'Données projet'!$E$10+1,1))-AVERAGE(OFFSET($H$3,0,0,'Données projet'!$E$10+1,1))</f>
        <v>458.33072853676879</v>
      </c>
      <c r="AO86" s="62">
        <f t="shared" si="61"/>
        <v>254.1734169352687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projet'!$B$10,Paramètres!$A$1:$I$88,7,0))</f>
        <v>0</v>
      </c>
      <c r="AS86" s="17">
        <f>IF(ISNA(VLOOKUP(A86,'Données projet'!$A$61:$I$81,6,0)),0%,VLOOKUP(A86,'Données projet'!$A$61:$I$81,6,0)*VLOOKUP('Données projet'!$B$10,Paramètres!$A$1:$I$88,7,0))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projet'!$B$9,Paramètres!$A$1:$I$88,3,0)*0.475*44/12</f>
        <v>0</v>
      </c>
      <c r="AV86" s="23">
        <f>EXP(-LN(2)/25)*AV85+(1-EXP(-LN(2)/25))/(LN(2)/25)*Calculateur!AQ86*Calculateur!AS86*VLOOKUP('Données projet'!$B$9,Paramètres!$A$1:$I$88,3,0)*0.475*44/12</f>
        <v>0</v>
      </c>
      <c r="AW86" s="23">
        <f>EXP(-LN(2)/2)*AW85+(1-EXP(-LN(2)/2))/(LN(2)/2)*AQ86*AT86*VLOOKUP('Données projet'!$B$9,Paramètres!$A$1:$I$88,3,0)*0.475*44/12</f>
        <v>0</v>
      </c>
      <c r="AX86" s="23">
        <f t="shared" si="62"/>
        <v>0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3.6</v>
      </c>
      <c r="BD86" s="13">
        <f>IF(A86&lt;'Données projet'!$A$88,$BA$205^A86,IF(A86='Données projet'!$A$88,'Données projet'!$B$88,BD85+BC86-BL85))</f>
        <v>211.79999999999993</v>
      </c>
      <c r="BE86" s="14">
        <f>BD86*VLOOKUP('Données projet'!$B$11,Paramètres!$A$1:$I$88,3,0)*VLOOKUP('Données projet'!$B$11,Paramètres!$A$1:$I$88,5,0)</f>
        <v>214.76519999999994</v>
      </c>
      <c r="BF86" s="14">
        <f t="shared" si="99"/>
        <v>52.975538059190747</v>
      </c>
      <c r="BG86" s="22">
        <f t="shared" si="63"/>
        <v>466.31511878642374</v>
      </c>
      <c r="BH86" s="62">
        <f t="shared" si="64"/>
        <v>727.04659857828767</v>
      </c>
      <c r="BI86" s="62">
        <f ca="1">AVERAGE(OFFSET($BH$3,0,0,'Données projet'!$E$11+1,1))-AVERAGE(OFFSET($H$3,0,0,'Données projet'!$E$11+1,1))</f>
        <v>447.82618173893104</v>
      </c>
      <c r="BJ86" s="62">
        <f t="shared" si="65"/>
        <v>248.96509970783379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projet'!$B$11,Paramètres!$A$1:$I$88,7,0))</f>
        <v>0</v>
      </c>
      <c r="BN86" s="17">
        <f>IF(ISNA(VLOOKUP(A86,'Données projet'!$A$87:$I$107,6,0)),0%,VLOOKUP(A86,'Données projet'!$A$87:$I$107,6,0)*VLOOKUP('Données projet'!$B$11,Paramètres!$A$1:$I$88,7,0))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projet'!$B$9,Paramètres!$A$1:$I$88,3,0)*0.475*44/12</f>
        <v>0</v>
      </c>
      <c r="BQ86" s="23">
        <f>EXP(-LN(2)/25)*BQ85+(1-EXP(-LN(2)/25))/(LN(2)/25)*Calculateur!BL86*Calculateur!BN86*VLOOKUP('Données projet'!$B$9,Paramètres!$A$1:$I$88,3,0)*0.475*44/12</f>
        <v>0</v>
      </c>
      <c r="BR86" s="23">
        <f>EXP(-LN(2)/2)*BR85+(1-EXP(-LN(2)/2))/(LN(2)/2)*BL86*BO86*VLOOKUP('Données projet'!$B$9,Paramètres!$A$1:$I$88,3,0)*0.475*44/12</f>
        <v>0</v>
      </c>
      <c r="BS86" s="24">
        <f t="shared" si="66"/>
        <v>0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3.6</v>
      </c>
      <c r="BY86" s="13">
        <f>IF(A86&lt;'Données projet'!$A$114,$BV$205^A86,IF(A86='Données projet'!$A$114,'Données projet'!$B$114,BY85+BX86-CG85))</f>
        <v>211.79999999999993</v>
      </c>
      <c r="BZ86" s="14">
        <f>BY86*VLOOKUP('Données projet'!$B$12,Paramètres!$A$1:$I$88,3,0)*VLOOKUP('Données projet'!$B$12,Paramètres!$A$1:$I$88,5,0)</f>
        <v>227.9815199999999</v>
      </c>
      <c r="CA86" s="14">
        <f t="shared" si="100"/>
        <v>55.846015312851193</v>
      </c>
      <c r="CB86" s="22">
        <f t="shared" si="67"/>
        <v>494.33295733654887</v>
      </c>
      <c r="CC86" s="62">
        <f t="shared" si="68"/>
        <v>755.06443712841281</v>
      </c>
      <c r="CD86" s="62">
        <f ca="1">AVERAGE(OFFSET($CC$3,0,0,'Données projet'!$E$12+1,1))-AVERAGE(OFFSET($H$3,0,0,'Données projet'!$E$12+1,1))</f>
        <v>468.82871618425406</v>
      </c>
      <c r="CE86" s="62">
        <f t="shared" si="69"/>
        <v>259.37818128554397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projet'!$B$12,Paramètres!$A$1:$I$88,7,0))</f>
        <v>0</v>
      </c>
      <c r="CI86" s="17">
        <f>IF(ISNA(VLOOKUP(A86,'Données projet'!$A$113:$I$133,6,0)),0%,VLOOKUP(A86,'Données projet'!$A$113:$I$133,6,0)*VLOOKUP('Données projet'!$B$12,Paramètres!$A$1:$I$88,7,0))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projet'!$B$9,Paramètres!$A$1:$I$88,3,0)*0.475*44/12</f>
        <v>0</v>
      </c>
      <c r="CL86" s="23">
        <f>EXP(-LN(2)/25)*CL85+(1-EXP(-LN(2)/25))/(LN(2)/25)*Calculateur!CG86*Calculateur!CI86*VLOOKUP('Données projet'!$B$9,Paramètres!$A$1:$I$88,3,0)*0.475*44/12</f>
        <v>0</v>
      </c>
      <c r="CM86" s="23">
        <f>EXP(-LN(2)/2)*CM85+(1-EXP(-LN(2)/2))/(LN(2)/2)*CG86*CJ86*VLOOKUP('Données projet'!$B$9,Paramètres!$A$1:$I$88,3,0)*0.475*44/12</f>
        <v>0</v>
      </c>
      <c r="CN86" s="24">
        <f t="shared" si="70"/>
        <v>0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3.6</v>
      </c>
      <c r="CT86" s="13">
        <f>IF(A86&lt;'Données projet'!$A$140,$CQ$205^A86,IF(A86='Données projet'!$A$140,'Données projet'!$B$140,CT85+CS86-DB85))</f>
        <v>211.79999999999993</v>
      </c>
      <c r="CU86" s="18">
        <f>CT86*VLOOKUP('Données projet'!$B$13,Paramètres!$A$1:$I$88,3,0)*VLOOKUP('Données projet'!$B$13,Paramètres!$A$1:$I$88,5,0)</f>
        <v>181.72439999999995</v>
      </c>
      <c r="CV86" s="14">
        <f t="shared" si="101"/>
        <v>45.705620250300498</v>
      </c>
      <c r="CW86" s="22">
        <f t="shared" si="71"/>
        <v>396.10728526927323</v>
      </c>
      <c r="CX86" s="62">
        <f t="shared" si="72"/>
        <v>656.83876506113711</v>
      </c>
      <c r="CY86" s="62">
        <f ca="1">AVERAGE(OFFSET($CX$3,0,0,'Données projet'!$E$13+1,1))-AVERAGE(OFFSET($H$3,0,0,'Données projet'!$E$13+1,1))</f>
        <v>395.19659151668884</v>
      </c>
      <c r="CZ86" s="62">
        <f t="shared" si="73"/>
        <v>222.86563304507339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projet'!$B$13,Paramètres!$A$1:$I$88,7,0))</f>
        <v>0</v>
      </c>
      <c r="DD86" s="17">
        <f>IF(ISNA(VLOOKUP(A86,'Données projet'!$A$139:$I$159,6,0)),0%,VLOOKUP(A86,'Données projet'!$A$139:$I$159,6,0)*VLOOKUP('Données projet'!$B$13,Paramètres!$A$1:$I$88,7,0))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projet'!$B$9,Paramètres!$A$1:$I$88,3,0)*0.475*44/12</f>
        <v>0</v>
      </c>
      <c r="DG86" s="23">
        <f>EXP(-LN(2)/25)*DG85+(1-EXP(-LN(2)/25))/(LN(2)/25)*Calculateur!DB86*Calculateur!DD86*VLOOKUP('Données projet'!$B$9,Paramètres!$A$1:$I$88,3,0)*0.475*44/12</f>
        <v>0</v>
      </c>
      <c r="DH86" s="23">
        <f>EXP(-LN(2)/2)*DH85+(1-EXP(-LN(2)/2))/(LN(2)/2)*DB86*DE86*VLOOKUP('Données projet'!$B$9,Paramètres!$A$1:$I$88,3,0)*0.475*44/12</f>
        <v>0</v>
      </c>
      <c r="DI86" s="24">
        <f t="shared" si="74"/>
        <v>0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4.5999999999999996</v>
      </c>
      <c r="DO86" s="13">
        <f>IF(A86&lt;'Données projet'!$A$166,$DL$205^A86,IF(A86='Données projet'!$A$166,'Données projet'!$B$166,DO85+DN86-DW85))</f>
        <v>102.79999999999995</v>
      </c>
      <c r="DP86" s="18">
        <f>DO86*VLOOKUP('Données projet'!$B$14,Paramètres!$A$1:$I$88,3,0)*VLOOKUP('Données projet'!$B$14,Paramètres!$A$1:$I$88,5,0)</f>
        <v>60.137999999999984</v>
      </c>
      <c r="DQ86" s="14">
        <f t="shared" si="102"/>
        <v>17.203155075765576</v>
      </c>
      <c r="DR86" s="22">
        <f t="shared" si="75"/>
        <v>134.70251175695833</v>
      </c>
      <c r="DS86" s="62">
        <f t="shared" si="76"/>
        <v>395.43399154882229</v>
      </c>
      <c r="DT86" s="62">
        <f ca="1">AVERAGE(OFFSET($DS$3,0,0,'Données projet'!$E$14+1,1))-AVERAGE(OFFSET($H$3,0,0,'Données projet'!$E$14+1,1))</f>
        <v>155.18073137151848</v>
      </c>
      <c r="DU86" s="62">
        <f t="shared" si="77"/>
        <v>115.19459155667272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projet'!$B$14,Paramètres!$A$1:$I$88,7,0))</f>
        <v>0</v>
      </c>
      <c r="DY86" s="17">
        <f>IF(ISNA(VLOOKUP(A86,'Données projet'!$A$165:$I$185,6,0)),0%,VLOOKUP(A86,'Données projet'!$A$165:$I$185,6,0)*VLOOKUP('Données projet'!$B$14,Paramètres!$A$1:$I$88,7,0))</f>
        <v>0</v>
      </c>
      <c r="DZ86" s="17">
        <f>IF(ISNA(VLOOKUP(A86,'Données projet'!$A$165:$I$185,7,0)),0%,VLOOKUP(A86,'Données projet'!$A$165:$I$185,7,0))</f>
        <v>0</v>
      </c>
      <c r="EA86" s="23">
        <f>EXP(-LN(2)/35)*EA85+(1-EXP(-LN(2)/35))/(LN(2)/35)*DW86*DX86*VLOOKUP('Données projet'!$B$9,Paramètres!$A$1:$I$88,3,0)*0.475*44/12</f>
        <v>0</v>
      </c>
      <c r="EB86" s="23">
        <f>EXP(-LN(2)/25)*EB85+(1-EXP(-LN(2)/25))/(LN(2)/25)*Calculateur!DW86*Calculateur!DY86*VLOOKUP('Données projet'!$B$9,Paramètres!$A$1:$I$88,3,0)*0.475*44/12</f>
        <v>0</v>
      </c>
      <c r="EC86" s="23">
        <f>EXP(-LN(2)/2)*EC85+(1-EXP(-LN(2)/2))/(LN(2)/2)*DW86*DZ86*VLOOKUP('Données projet'!$B$9,Paramètres!$A$1:$I$88,3,0)*0.475*44/12</f>
        <v>0</v>
      </c>
      <c r="ED86" s="24">
        <f t="shared" si="78"/>
        <v>0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8.0666666666666664</v>
      </c>
      <c r="EJ86" s="13">
        <f>IF(A86&lt;'Données projet'!$A$192,$EG$205^A86,IF(A86='Données projet'!$A$192,'Données projet'!$B$192,EJ85+EI86-ER85))</f>
        <v>253.53333333333336</v>
      </c>
      <c r="EK86" s="18">
        <f>EJ86*VLOOKUP('Données projet'!$B$15,Paramètres!$A$1:$I$88,3,0)*VLOOKUP('Données projet'!$B$15,Paramètres!$A$1:$I$88,5,0)</f>
        <v>118.65360000000001</v>
      </c>
      <c r="EL86" s="14">
        <f t="shared" si="103"/>
        <v>31.360767683176533</v>
      </c>
      <c r="EM86" s="22">
        <f t="shared" si="79"/>
        <v>261.27502371486582</v>
      </c>
      <c r="EN86" s="62">
        <f t="shared" si="80"/>
        <v>522.00650350672981</v>
      </c>
      <c r="EO86" s="62">
        <f ca="1">AVERAGE(OFFSET($EN$3,0,0,'Données projet'!$E$15+1,1))-AVERAGE(OFFSET($H$3,0,0,'Données projet'!$E$15+1,1))</f>
        <v>238.59014604384171</v>
      </c>
      <c r="EP86" s="62">
        <f t="shared" si="81"/>
        <v>90.841373219575217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projet'!$B$15,Paramètres!$A$1:$I$88,7,0))</f>
        <v>0</v>
      </c>
      <c r="ET86" s="17">
        <f>IF(ISNA(VLOOKUP(A86,'Données projet'!$A$191:$I$211,6,0)),0%,VLOOKUP(A86,'Données projet'!$A$191:$I$211,6,0)*VLOOKUP('Données projet'!$B$15,Paramètres!$A$1:$I$88,7,0))</f>
        <v>0</v>
      </c>
      <c r="EU86" s="17">
        <f>IF(ISNA(VLOOKUP(A86,'Données projet'!$A$191:$I$211,7,0)),0%,VLOOKUP(A86,'Données projet'!$A$191:$I$211,7,0))</f>
        <v>0</v>
      </c>
      <c r="EV86" s="23">
        <f>EXP(-LN(2)/35)*EV85+(1-EXP(-LN(2)/35))/(LN(2)/35)*ER86*ES86*VLOOKUP('Données projet'!$B$9,Paramètres!$A$1:$I$88,3,0)*0.475*44/12</f>
        <v>0</v>
      </c>
      <c r="EW86" s="23">
        <f>EXP(-LN(2)/25)*EW85+(1-EXP(-LN(2)/25))/(LN(2)/25)*Calculateur!ER86*Calculateur!ET86*VLOOKUP('Données projet'!$B$9,Paramètres!$A$1:$I$88,3,0)*0.475*44/12</f>
        <v>0</v>
      </c>
      <c r="EX86" s="23">
        <f>EXP(-LN(2)/2)*EX85+(1-EXP(-LN(2)/2))/(LN(2)/2)*ER86*EU86*VLOOKUP('Données projet'!$B$9,Paramètres!$A$1:$I$88,3,0)*0.475*44/12</f>
        <v>0</v>
      </c>
      <c r="EY86" s="24">
        <f t="shared" si="82"/>
        <v>0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IF(A86&lt;'Données projet'!$A$218,$FB$205^A86,IF(A86='Données projet'!$A$218,'Données projet'!$B$218,FE85+FD86-FM85))</f>
        <v>0</v>
      </c>
      <c r="FF86" s="18" t="e">
        <f>FE86*VLOOKUP('Données projet'!$B$16,Paramètres!$A$1:$I$88,3,0)*VLOOKUP('Données projet'!$B$16,Paramètres!$A$1:$I$88,5,0)</f>
        <v>#N/A</v>
      </c>
      <c r="FG86" s="14" t="e">
        <f t="shared" si="104"/>
        <v>#N/A</v>
      </c>
      <c r="FH86" s="22" t="e">
        <f t="shared" si="83"/>
        <v>#N/A</v>
      </c>
      <c r="FI86" s="62" t="e">
        <f t="shared" si="84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85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projet'!$B$16,Paramètres!$A$1:$I$88,7,0))</f>
        <v>0</v>
      </c>
      <c r="FO86" s="17">
        <f>IF(ISNA(VLOOKUP(A86,'Données projet'!$A$217:$I$237,6,0)),0%,VLOOKUP(A86,'Données projet'!$A$217:$I$237,6,0)*VLOOKUP('Données projet'!$B$16,Paramètres!$A$1:$I$88,7,0))</f>
        <v>0</v>
      </c>
      <c r="FP86" s="17">
        <f>IF(ISNA(VLOOKUP(A86,'Données projet'!$A$217:$I$237,7,0)),0%,VLOOKUP(A86,'Données projet'!$A$217:$I$237,7,0))</f>
        <v>0</v>
      </c>
      <c r="FQ86" s="23">
        <f>EXP(-LN(2)/35)*FQ85+(1-EXP(-LN(2)/35))/(LN(2)/35)*FM86*FN86*VLOOKUP('Données projet'!$B$9,Paramètres!$A$1:$I$88,3,0)*0.475*44/12</f>
        <v>0</v>
      </c>
      <c r="FR86" s="23">
        <f>EXP(-LN(2)/25)*FR85+(1-EXP(-LN(2)/25))/(LN(2)/25)*Calculateur!FM86*Calculateur!FO86*VLOOKUP('Données projet'!$B$9,Paramètres!$A$1:$I$88,3,0)*0.475*44/12</f>
        <v>0</v>
      </c>
      <c r="FS86" s="23">
        <f>EXP(-LN(2)/2)*FS85+(1-EXP(-LN(2)/2))/(LN(2)/2)*FM86*FP86*VLOOKUP('Données projet'!$B$9,Paramètres!$A$1:$I$88,3,0)*0.475*44/12</f>
        <v>0</v>
      </c>
      <c r="FT86" s="24">
        <f t="shared" si="86"/>
        <v>0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IF(A86&lt;'Données projet'!$A$244,$FW$205^A86,IF(A86='Données projet'!$A$244,'Données projet'!$B$244,FZ85+FY86-GH85))</f>
        <v>0</v>
      </c>
      <c r="GA86" s="18" t="e">
        <f>FZ86*VLOOKUP('Données projet'!$B$17,Paramètres!$A$1:$I$88,3,0)*VLOOKUP('Données projet'!$B$17,Paramètres!$A$1:$I$88,5,0)</f>
        <v>#N/A</v>
      </c>
      <c r="GB86" s="14" t="e">
        <f t="shared" si="105"/>
        <v>#N/A</v>
      </c>
      <c r="GC86" s="22" t="e">
        <f t="shared" si="87"/>
        <v>#N/A</v>
      </c>
      <c r="GD86" s="62" t="e">
        <f t="shared" si="88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89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projet'!$B$17,Paramètres!$A$1:$I$88,7,0))</f>
        <v>0</v>
      </c>
      <c r="GJ86" s="17">
        <f>IF(ISNA(VLOOKUP(A86,'Données projet'!$A$243:$I$263,6,0)),0%,VLOOKUP(A86,'Données projet'!$A$243:$I$263,6,0)*VLOOKUP('Données projet'!$B$17,Paramètres!$A$1:$I$88,7,0))</f>
        <v>0</v>
      </c>
      <c r="GK86" s="17">
        <f>IF(ISNA(VLOOKUP(A86,'Données projet'!$A$243:$I$263,7,0)),0%,VLOOKUP(A86,'Données projet'!$A$243:$I$263,7,0))</f>
        <v>0</v>
      </c>
      <c r="GL86" s="23">
        <f>EXP(-LN(2)/35)*GL85+(1-EXP(-LN(2)/35))/(LN(2)/35)*GH86*GI86*VLOOKUP('Données projet'!$B$9,Paramètres!$A$1:$I$88,3,0)*0.475*44/12</f>
        <v>0</v>
      </c>
      <c r="GM86" s="23">
        <f>EXP(-LN(2)/25)*GM85+(1-EXP(-LN(2)/25))/(LN(2)/25)*Calculateur!GH86*Calculateur!GJ86*VLOOKUP('Données projet'!$B$9,Paramètres!$A$1:$I$88,3,0)*0.475*44/12</f>
        <v>0</v>
      </c>
      <c r="GN86" s="23">
        <f>EXP(-LN(2)/2)*GN85+(1-EXP(-LN(2)/2))/(LN(2)/2)*GH86*GK86*VLOOKUP('Données projet'!$B$9,Paramètres!$A$1:$I$88,3,0)*0.475*44/12</f>
        <v>0</v>
      </c>
      <c r="GO86" s="23">
        <f t="shared" si="90"/>
        <v>0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IF(A86&lt;'Données projet'!$A$270,$GR$205^A86,IF(A86='Données projet'!$A$270,'Données projet'!$B$270,GU85+GT86-HC85))</f>
        <v>0</v>
      </c>
      <c r="GV86" s="18" t="e">
        <f>GU86*VLOOKUP('Données projet'!$B$18,Paramètres!$A$1:$I$88,3,0)*VLOOKUP('Données projet'!$B$18,Paramètres!$A$1:$I$88,5,0)</f>
        <v>#N/A</v>
      </c>
      <c r="GW86" s="14" t="e">
        <f t="shared" si="106"/>
        <v>#N/A</v>
      </c>
      <c r="GX86" s="22" t="e">
        <f t="shared" si="91"/>
        <v>#N/A</v>
      </c>
      <c r="GY86" s="62" t="e">
        <f t="shared" si="92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93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projet'!$B$18,Paramètres!$A$1:$I$88,7,0))</f>
        <v>0</v>
      </c>
      <c r="HE86" s="17">
        <f>IF(ISNA(VLOOKUP(A86,'Données projet'!$A$269:$I$289,6,0)),0%,VLOOKUP(A86,'Données projet'!$A$269:$I$289,6,0)*VLOOKUP('Données projet'!$B$18,Paramètres!$A$1:$I$88,7,0))</f>
        <v>0</v>
      </c>
      <c r="HF86" s="17">
        <f>IF(ISNA(VLOOKUP(A86,'Données projet'!$A$269:$I$289,7,0)),0%,VLOOKUP(A86,'Données projet'!$A$269:$I$289,7,0))</f>
        <v>0</v>
      </c>
      <c r="HG86" s="23">
        <f>EXP(-LN(2)/35)*HG85+(1-EXP(-LN(2)/35))/(LN(2)/35)*HC86*HD86*VLOOKUP('Données projet'!$B$9,Paramètres!$A$1:$I$88,3,0)*0.475*44/12</f>
        <v>0</v>
      </c>
      <c r="HH86" s="23">
        <f>EXP(-LN(2)/25)*HH85+(1-EXP(-LN(2)/25))/(LN(2)/25)*Calculateur!HC86*Calculateur!HE86*VLOOKUP('Données projet'!$B$9,Paramètres!$A$1:$I$88,3,0)*0.475*44/12</f>
        <v>0</v>
      </c>
      <c r="HI86" s="23">
        <f>EXP(-LN(2)/2)*HI85+(1-EXP(-LN(2)/2))/(LN(2)/2)*HC86*HF86*VLOOKUP('Données projet'!$B$9,Paramètres!$A$1:$I$88,3,0)*0.475*44/12</f>
        <v>0</v>
      </c>
      <c r="HJ86" s="24">
        <f t="shared" si="94"/>
        <v>0</v>
      </c>
    </row>
    <row r="87" spans="1:218" s="5" customFormat="1" x14ac:dyDescent="0.25">
      <c r="A87" s="11">
        <f t="shared" si="95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7" s="12">
        <f t="shared" si="9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57"/>
        <v>135.66666666666666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1.5429166666666674</v>
      </c>
      <c r="N87" s="14">
        <f>IF(A87&lt;'Données projet'!$A$36,$K$205^A87,IF(A87='Données projet'!$A$36,'Données projet'!$B$36,N86+M87-V86))</f>
        <v>97.150833333333281</v>
      </c>
      <c r="O87" s="14">
        <f>N87*VLOOKUP('Données projet'!$B$9,Paramètres!$A$1:$I$88,3,0)*VLOOKUP('Données projet'!$B$9,Paramètres!$A$1:$I$88,5,0)</f>
        <v>111.91775999999994</v>
      </c>
      <c r="P87" s="14">
        <f t="shared" si="97"/>
        <v>29.782368266438901</v>
      </c>
      <c r="Q87" s="22">
        <f t="shared" si="54"/>
        <v>246.79439006404766</v>
      </c>
      <c r="R87" s="62">
        <f t="shared" si="55"/>
        <v>508.0914391280308</v>
      </c>
      <c r="S87" s="62">
        <f ca="1">AVERAGE(OFFSET($R$3,0,0,'Données projet'!$E$9+1,1))-AVERAGE(OFFSET($H$3,0,0,'Données projet'!$E$9+1,1))</f>
        <v>314.72063458462026</v>
      </c>
      <c r="T87" s="62">
        <f t="shared" si="56"/>
        <v>216.4380325968244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projet'!$B$9,Paramètres!$A$1:$I$88,7,0))</f>
        <v>0</v>
      </c>
      <c r="X87" s="17">
        <f>IF(ISNA(VLOOKUP(A87,'Données projet'!$A$35:$I$55,6,0)),0%,VLOOKUP(A87,'Données projet'!$A$35:$I$55,6,0)*VLOOKUP('Données projet'!$B$9,Paramètres!$A$1:$I$88,7,0))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projet'!$B$9,Paramètres!$A$1:$I$88,3,0)*0.475*44/12</f>
        <v>0</v>
      </c>
      <c r="AA87" s="23">
        <f>EXP(-LN(2)/25)*AA86+(1-EXP(-LN(2)/25))/(LN(2)/25)*Calculateur!V87*Calculateur!X87*VLOOKUP('Données projet'!$B$9,Paramètres!$A$1:$I$88,3,0)*0.475*44/12</f>
        <v>0</v>
      </c>
      <c r="AB87" s="23">
        <f>EXP(-LN(2)/2)*AB86+(1-EXP(-LN(2)/2))/(LN(2)/2)*V87*Y87*VLOOKUP('Données projet'!$B$9,Paramètres!$A$1:$I$88,3,0)*0.475*44/12</f>
        <v>0</v>
      </c>
      <c r="AC87" s="24">
        <f t="shared" si="58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3.6</v>
      </c>
      <c r="AI87" s="14">
        <f>IF(A87&lt;'Données projet'!$A$62,$AF$205^A87,IF(A87='Données projet'!$A$62,'Données projet'!$B$62,AI86+AH87-AQ86))</f>
        <v>215.39999999999992</v>
      </c>
      <c r="AJ87" s="14">
        <f>AI87*VLOOKUP('Données projet'!$B$10,Paramètres!$A$1:$I$88,3,0)*VLOOKUP('Données projet'!$B$10,Paramètres!$A$1:$I$88,5,0)</f>
        <v>225.13607999999994</v>
      </c>
      <c r="AK87" s="14">
        <f t="shared" si="98"/>
        <v>55.229683600216262</v>
      </c>
      <c r="AL87" s="22">
        <f t="shared" si="59"/>
        <v>488.30370493704322</v>
      </c>
      <c r="AM87" s="62">
        <f t="shared" si="60"/>
        <v>749.60075400102642</v>
      </c>
      <c r="AN87" s="62">
        <f ca="1">AVERAGE(OFFSET($AM$3,0,0,'Données projet'!$E$10+1,1))-AVERAGE(OFFSET($H$3,0,0,'Données projet'!$E$10+1,1))</f>
        <v>458.33072853676879</v>
      </c>
      <c r="AO87" s="62">
        <f t="shared" si="61"/>
        <v>254.1734169352687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projet'!$B$10,Paramètres!$A$1:$I$88,7,0))</f>
        <v>0</v>
      </c>
      <c r="AS87" s="17">
        <f>IF(ISNA(VLOOKUP(A87,'Données projet'!$A$61:$I$81,6,0)),0%,VLOOKUP(A87,'Données projet'!$A$61:$I$81,6,0)*VLOOKUP('Données projet'!$B$10,Paramètres!$A$1:$I$88,7,0))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projet'!$B$9,Paramètres!$A$1:$I$88,3,0)*0.475*44/12</f>
        <v>0</v>
      </c>
      <c r="AV87" s="23">
        <f>EXP(-LN(2)/25)*AV86+(1-EXP(-LN(2)/25))/(LN(2)/25)*Calculateur!AQ87*Calculateur!AS87*VLOOKUP('Données projet'!$B$9,Paramètres!$A$1:$I$88,3,0)*0.475*44/12</f>
        <v>0</v>
      </c>
      <c r="AW87" s="23">
        <f>EXP(-LN(2)/2)*AW86+(1-EXP(-LN(2)/2))/(LN(2)/2)*AQ87*AT87*VLOOKUP('Données projet'!$B$9,Paramètres!$A$1:$I$88,3,0)*0.475*44/12</f>
        <v>0</v>
      </c>
      <c r="AX87" s="23">
        <f t="shared" si="62"/>
        <v>0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3.6</v>
      </c>
      <c r="BD87" s="13">
        <f>IF(A87&lt;'Données projet'!$A$88,$BA$205^A87,IF(A87='Données projet'!$A$88,'Données projet'!$B$88,BD86+BC87-BL86))</f>
        <v>215.39999999999992</v>
      </c>
      <c r="BE87" s="14">
        <f>BD87*VLOOKUP('Données projet'!$B$11,Paramètres!$A$1:$I$88,3,0)*VLOOKUP('Données projet'!$B$11,Paramètres!$A$1:$I$88,5,0)</f>
        <v>218.41559999999996</v>
      </c>
      <c r="BF87" s="14">
        <f t="shared" si="99"/>
        <v>53.770379482810164</v>
      </c>
      <c r="BG87" s="22">
        <f t="shared" si="63"/>
        <v>474.05724759922759</v>
      </c>
      <c r="BH87" s="62">
        <f t="shared" si="64"/>
        <v>735.35429666321079</v>
      </c>
      <c r="BI87" s="62">
        <f ca="1">AVERAGE(OFFSET($BH$3,0,0,'Données projet'!$E$11+1,1))-AVERAGE(OFFSET($H$3,0,0,'Données projet'!$E$11+1,1))</f>
        <v>447.82618173893104</v>
      </c>
      <c r="BJ87" s="62">
        <f t="shared" si="65"/>
        <v>248.96509970783379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projet'!$B$11,Paramètres!$A$1:$I$88,7,0))</f>
        <v>0</v>
      </c>
      <c r="BN87" s="17">
        <f>IF(ISNA(VLOOKUP(A87,'Données projet'!$A$87:$I$107,6,0)),0%,VLOOKUP(A87,'Données projet'!$A$87:$I$107,6,0)*VLOOKUP('Données projet'!$B$11,Paramètres!$A$1:$I$88,7,0))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projet'!$B$9,Paramètres!$A$1:$I$88,3,0)*0.475*44/12</f>
        <v>0</v>
      </c>
      <c r="BQ87" s="23">
        <f>EXP(-LN(2)/25)*BQ86+(1-EXP(-LN(2)/25))/(LN(2)/25)*Calculateur!BL87*Calculateur!BN87*VLOOKUP('Données projet'!$B$9,Paramètres!$A$1:$I$88,3,0)*0.475*44/12</f>
        <v>0</v>
      </c>
      <c r="BR87" s="23">
        <f>EXP(-LN(2)/2)*BR86+(1-EXP(-LN(2)/2))/(LN(2)/2)*BL87*BO87*VLOOKUP('Données projet'!$B$9,Paramètres!$A$1:$I$88,3,0)*0.475*44/12</f>
        <v>0</v>
      </c>
      <c r="BS87" s="24">
        <f t="shared" si="66"/>
        <v>0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3.6</v>
      </c>
      <c r="BY87" s="13">
        <f>IF(A87&lt;'Données projet'!$A$114,$BV$205^A87,IF(A87='Données projet'!$A$114,'Données projet'!$B$114,BY86+BX87-CG86))</f>
        <v>215.39999999999992</v>
      </c>
      <c r="BZ87" s="14">
        <f>BY87*VLOOKUP('Données projet'!$B$12,Paramètres!$A$1:$I$88,3,0)*VLOOKUP('Données projet'!$B$12,Paramètres!$A$1:$I$88,5,0)</f>
        <v>231.85655999999989</v>
      </c>
      <c r="CA87" s="14">
        <f t="shared" si="100"/>
        <v>56.683925184859319</v>
      </c>
      <c r="CB87" s="22">
        <f t="shared" si="67"/>
        <v>502.5413450302965</v>
      </c>
      <c r="CC87" s="62">
        <f t="shared" si="68"/>
        <v>763.83839409427969</v>
      </c>
      <c r="CD87" s="62">
        <f ca="1">AVERAGE(OFFSET($CC$3,0,0,'Données projet'!$E$12+1,1))-AVERAGE(OFFSET($H$3,0,0,'Données projet'!$E$12+1,1))</f>
        <v>468.82871618425406</v>
      </c>
      <c r="CE87" s="62">
        <f t="shared" si="69"/>
        <v>259.37818128554397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projet'!$B$12,Paramètres!$A$1:$I$88,7,0))</f>
        <v>0</v>
      </c>
      <c r="CI87" s="17">
        <f>IF(ISNA(VLOOKUP(A87,'Données projet'!$A$113:$I$133,6,0)),0%,VLOOKUP(A87,'Données projet'!$A$113:$I$133,6,0)*VLOOKUP('Données projet'!$B$12,Paramètres!$A$1:$I$88,7,0))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projet'!$B$9,Paramètres!$A$1:$I$88,3,0)*0.475*44/12</f>
        <v>0</v>
      </c>
      <c r="CL87" s="23">
        <f>EXP(-LN(2)/25)*CL86+(1-EXP(-LN(2)/25))/(LN(2)/25)*Calculateur!CG87*Calculateur!CI87*VLOOKUP('Données projet'!$B$9,Paramètres!$A$1:$I$88,3,0)*0.475*44/12</f>
        <v>0</v>
      </c>
      <c r="CM87" s="23">
        <f>EXP(-LN(2)/2)*CM86+(1-EXP(-LN(2)/2))/(LN(2)/2)*CG87*CJ87*VLOOKUP('Données projet'!$B$9,Paramètres!$A$1:$I$88,3,0)*0.475*44/12</f>
        <v>0</v>
      </c>
      <c r="CN87" s="24">
        <f t="shared" si="70"/>
        <v>0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3.6</v>
      </c>
      <c r="CT87" s="13">
        <f>IF(A87&lt;'Données projet'!$A$140,$CQ$205^A87,IF(A87='Données projet'!$A$140,'Données projet'!$B$140,CT86+CS87-DB86))</f>
        <v>215.39999999999992</v>
      </c>
      <c r="CU87" s="18">
        <f>CT87*VLOOKUP('Données projet'!$B$13,Paramètres!$A$1:$I$88,3,0)*VLOOKUP('Données projet'!$B$13,Paramètres!$A$1:$I$88,5,0)</f>
        <v>184.81319999999997</v>
      </c>
      <c r="CV87" s="14">
        <f t="shared" si="101"/>
        <v>46.39138431420804</v>
      </c>
      <c r="CW87" s="22">
        <f t="shared" si="71"/>
        <v>402.68131768057896</v>
      </c>
      <c r="CX87" s="62">
        <f t="shared" si="72"/>
        <v>663.97836674456209</v>
      </c>
      <c r="CY87" s="62">
        <f ca="1">AVERAGE(OFFSET($CX$3,0,0,'Données projet'!$E$13+1,1))-AVERAGE(OFFSET($H$3,0,0,'Données projet'!$E$13+1,1))</f>
        <v>395.19659151668884</v>
      </c>
      <c r="CZ87" s="62">
        <f t="shared" si="73"/>
        <v>222.86563304507339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projet'!$B$13,Paramètres!$A$1:$I$88,7,0))</f>
        <v>0</v>
      </c>
      <c r="DD87" s="17">
        <f>IF(ISNA(VLOOKUP(A87,'Données projet'!$A$139:$I$159,6,0)),0%,VLOOKUP(A87,'Données projet'!$A$139:$I$159,6,0)*VLOOKUP('Données projet'!$B$13,Paramètres!$A$1:$I$88,7,0))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projet'!$B$9,Paramètres!$A$1:$I$88,3,0)*0.475*44/12</f>
        <v>0</v>
      </c>
      <c r="DG87" s="23">
        <f>EXP(-LN(2)/25)*DG86+(1-EXP(-LN(2)/25))/(LN(2)/25)*Calculateur!DB87*Calculateur!DD87*VLOOKUP('Données projet'!$B$9,Paramètres!$A$1:$I$88,3,0)*0.475*44/12</f>
        <v>0</v>
      </c>
      <c r="DH87" s="23">
        <f>EXP(-LN(2)/2)*DH86+(1-EXP(-LN(2)/2))/(LN(2)/2)*DB87*DE87*VLOOKUP('Données projet'!$B$9,Paramètres!$A$1:$I$88,3,0)*0.475*44/12</f>
        <v>0</v>
      </c>
      <c r="DI87" s="24">
        <f t="shared" si="74"/>
        <v>0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4.5999999999999996</v>
      </c>
      <c r="DO87" s="13">
        <f>IF(A87&lt;'Données projet'!$A$166,$DL$205^A87,IF(A87='Données projet'!$A$166,'Données projet'!$B$166,DO86+DN87-DW86))</f>
        <v>107.39999999999995</v>
      </c>
      <c r="DP87" s="18">
        <f>DO87*VLOOKUP('Données projet'!$B$14,Paramètres!$A$1:$I$88,3,0)*VLOOKUP('Données projet'!$B$14,Paramètres!$A$1:$I$88,5,0)</f>
        <v>62.828999999999972</v>
      </c>
      <c r="DQ87" s="14">
        <f t="shared" si="102"/>
        <v>17.881599810210375</v>
      </c>
      <c r="DR87" s="22">
        <f t="shared" si="75"/>
        <v>140.57096133611631</v>
      </c>
      <c r="DS87" s="62">
        <f t="shared" si="76"/>
        <v>401.86801040009948</v>
      </c>
      <c r="DT87" s="62">
        <f ca="1">AVERAGE(OFFSET($DS$3,0,0,'Données projet'!$E$14+1,1))-AVERAGE(OFFSET($H$3,0,0,'Données projet'!$E$14+1,1))</f>
        <v>155.18073137151848</v>
      </c>
      <c r="DU87" s="62">
        <f t="shared" si="77"/>
        <v>115.19459155667272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projet'!$B$14,Paramètres!$A$1:$I$88,7,0))</f>
        <v>0</v>
      </c>
      <c r="DY87" s="17">
        <f>IF(ISNA(VLOOKUP(A87,'Données projet'!$A$165:$I$185,6,0)),0%,VLOOKUP(A87,'Données projet'!$A$165:$I$185,6,0)*VLOOKUP('Données projet'!$B$14,Paramètres!$A$1:$I$88,7,0))</f>
        <v>0</v>
      </c>
      <c r="DZ87" s="17">
        <f>IF(ISNA(VLOOKUP(A87,'Données projet'!$A$165:$I$185,7,0)),0%,VLOOKUP(A87,'Données projet'!$A$165:$I$185,7,0))</f>
        <v>0</v>
      </c>
      <c r="EA87" s="23">
        <f>EXP(-LN(2)/35)*EA86+(1-EXP(-LN(2)/35))/(LN(2)/35)*DW87*DX87*VLOOKUP('Données projet'!$B$9,Paramètres!$A$1:$I$88,3,0)*0.475*44/12</f>
        <v>0</v>
      </c>
      <c r="EB87" s="23">
        <f>EXP(-LN(2)/25)*EB86+(1-EXP(-LN(2)/25))/(LN(2)/25)*Calculateur!DW87*Calculateur!DY87*VLOOKUP('Données projet'!$B$9,Paramètres!$A$1:$I$88,3,0)*0.475*44/12</f>
        <v>0</v>
      </c>
      <c r="EC87" s="23">
        <f>EXP(-LN(2)/2)*EC86+(1-EXP(-LN(2)/2))/(LN(2)/2)*DW87*DZ87*VLOOKUP('Données projet'!$B$9,Paramètres!$A$1:$I$88,3,0)*0.475*44/12</f>
        <v>0</v>
      </c>
      <c r="ED87" s="24">
        <f t="shared" si="78"/>
        <v>0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8.0666666666666664</v>
      </c>
      <c r="EJ87" s="13">
        <f>IF(A87&lt;'Données projet'!$A$192,$EG$205^A87,IF(A87='Données projet'!$A$192,'Données projet'!$B$192,EJ86+EI87-ER86))</f>
        <v>261.60000000000002</v>
      </c>
      <c r="EK87" s="18">
        <f>EJ87*VLOOKUP('Données projet'!$B$15,Paramètres!$A$1:$I$88,3,0)*VLOOKUP('Données projet'!$B$15,Paramètres!$A$1:$I$88,5,0)</f>
        <v>122.42880000000001</v>
      </c>
      <c r="EL87" s="14">
        <f t="shared" si="103"/>
        <v>32.240814688958388</v>
      </c>
      <c r="EM87" s="22">
        <f t="shared" si="79"/>
        <v>269.38291224993583</v>
      </c>
      <c r="EN87" s="62">
        <f t="shared" si="80"/>
        <v>530.67996131391897</v>
      </c>
      <c r="EO87" s="62">
        <f ca="1">AVERAGE(OFFSET($EN$3,0,0,'Données projet'!$E$15+1,1))-AVERAGE(OFFSET($H$3,0,0,'Données projet'!$E$15+1,1))</f>
        <v>238.59014604384171</v>
      </c>
      <c r="EP87" s="62">
        <f t="shared" si="81"/>
        <v>90.841373219575217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projet'!$B$15,Paramètres!$A$1:$I$88,7,0))</f>
        <v>0</v>
      </c>
      <c r="ET87" s="17">
        <f>IF(ISNA(VLOOKUP(A87,'Données projet'!$A$191:$I$211,6,0)),0%,VLOOKUP(A87,'Données projet'!$A$191:$I$211,6,0)*VLOOKUP('Données projet'!$B$15,Paramètres!$A$1:$I$88,7,0))</f>
        <v>0</v>
      </c>
      <c r="EU87" s="17">
        <f>IF(ISNA(VLOOKUP(A87,'Données projet'!$A$191:$I$211,7,0)),0%,VLOOKUP(A87,'Données projet'!$A$191:$I$211,7,0))</f>
        <v>0</v>
      </c>
      <c r="EV87" s="23">
        <f>EXP(-LN(2)/35)*EV86+(1-EXP(-LN(2)/35))/(LN(2)/35)*ER87*ES87*VLOOKUP('Données projet'!$B$9,Paramètres!$A$1:$I$88,3,0)*0.475*44/12</f>
        <v>0</v>
      </c>
      <c r="EW87" s="23">
        <f>EXP(-LN(2)/25)*EW86+(1-EXP(-LN(2)/25))/(LN(2)/25)*Calculateur!ER87*Calculateur!ET87*VLOOKUP('Données projet'!$B$9,Paramètres!$A$1:$I$88,3,0)*0.475*44/12</f>
        <v>0</v>
      </c>
      <c r="EX87" s="23">
        <f>EXP(-LN(2)/2)*EX86+(1-EXP(-LN(2)/2))/(LN(2)/2)*ER87*EU87*VLOOKUP('Données projet'!$B$9,Paramètres!$A$1:$I$88,3,0)*0.475*44/12</f>
        <v>0</v>
      </c>
      <c r="EY87" s="24">
        <f t="shared" si="82"/>
        <v>0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IF(A87&lt;'Données projet'!$A$218,$FB$205^A87,IF(A87='Données projet'!$A$218,'Données projet'!$B$218,FE86+FD87-FM86))</f>
        <v>0</v>
      </c>
      <c r="FF87" s="18" t="e">
        <f>FE87*VLOOKUP('Données projet'!$B$16,Paramètres!$A$1:$I$88,3,0)*VLOOKUP('Données projet'!$B$16,Paramètres!$A$1:$I$88,5,0)</f>
        <v>#N/A</v>
      </c>
      <c r="FG87" s="14" t="e">
        <f t="shared" si="104"/>
        <v>#N/A</v>
      </c>
      <c r="FH87" s="22" t="e">
        <f t="shared" si="83"/>
        <v>#N/A</v>
      </c>
      <c r="FI87" s="62" t="e">
        <f t="shared" si="84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85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projet'!$B$16,Paramètres!$A$1:$I$88,7,0))</f>
        <v>0</v>
      </c>
      <c r="FO87" s="17">
        <f>IF(ISNA(VLOOKUP(A87,'Données projet'!$A$217:$I$237,6,0)),0%,VLOOKUP(A87,'Données projet'!$A$217:$I$237,6,0)*VLOOKUP('Données projet'!$B$16,Paramètres!$A$1:$I$88,7,0))</f>
        <v>0</v>
      </c>
      <c r="FP87" s="17">
        <f>IF(ISNA(VLOOKUP(A87,'Données projet'!$A$217:$I$237,7,0)),0%,VLOOKUP(A87,'Données projet'!$A$217:$I$237,7,0))</f>
        <v>0</v>
      </c>
      <c r="FQ87" s="23">
        <f>EXP(-LN(2)/35)*FQ86+(1-EXP(-LN(2)/35))/(LN(2)/35)*FM87*FN87*VLOOKUP('Données projet'!$B$9,Paramètres!$A$1:$I$88,3,0)*0.475*44/12</f>
        <v>0</v>
      </c>
      <c r="FR87" s="23">
        <f>EXP(-LN(2)/25)*FR86+(1-EXP(-LN(2)/25))/(LN(2)/25)*Calculateur!FM87*Calculateur!FO87*VLOOKUP('Données projet'!$B$9,Paramètres!$A$1:$I$88,3,0)*0.475*44/12</f>
        <v>0</v>
      </c>
      <c r="FS87" s="23">
        <f>EXP(-LN(2)/2)*FS86+(1-EXP(-LN(2)/2))/(LN(2)/2)*FM87*FP87*VLOOKUP('Données projet'!$B$9,Paramètres!$A$1:$I$88,3,0)*0.475*44/12</f>
        <v>0</v>
      </c>
      <c r="FT87" s="24">
        <f t="shared" si="86"/>
        <v>0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IF(A87&lt;'Données projet'!$A$244,$FW$205^A87,IF(A87='Données projet'!$A$244,'Données projet'!$B$244,FZ86+FY87-GH86))</f>
        <v>0</v>
      </c>
      <c r="GA87" s="18" t="e">
        <f>FZ87*VLOOKUP('Données projet'!$B$17,Paramètres!$A$1:$I$88,3,0)*VLOOKUP('Données projet'!$B$17,Paramètres!$A$1:$I$88,5,0)</f>
        <v>#N/A</v>
      </c>
      <c r="GB87" s="14" t="e">
        <f t="shared" si="105"/>
        <v>#N/A</v>
      </c>
      <c r="GC87" s="22" t="e">
        <f t="shared" si="87"/>
        <v>#N/A</v>
      </c>
      <c r="GD87" s="62" t="e">
        <f t="shared" si="88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89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projet'!$B$17,Paramètres!$A$1:$I$88,7,0))</f>
        <v>0</v>
      </c>
      <c r="GJ87" s="17">
        <f>IF(ISNA(VLOOKUP(A87,'Données projet'!$A$243:$I$263,6,0)),0%,VLOOKUP(A87,'Données projet'!$A$243:$I$263,6,0)*VLOOKUP('Données projet'!$B$17,Paramètres!$A$1:$I$88,7,0))</f>
        <v>0</v>
      </c>
      <c r="GK87" s="17">
        <f>IF(ISNA(VLOOKUP(A87,'Données projet'!$A$243:$I$263,7,0)),0%,VLOOKUP(A87,'Données projet'!$A$243:$I$263,7,0))</f>
        <v>0</v>
      </c>
      <c r="GL87" s="23">
        <f>EXP(-LN(2)/35)*GL86+(1-EXP(-LN(2)/35))/(LN(2)/35)*GH87*GI87*VLOOKUP('Données projet'!$B$9,Paramètres!$A$1:$I$88,3,0)*0.475*44/12</f>
        <v>0</v>
      </c>
      <c r="GM87" s="23">
        <f>EXP(-LN(2)/25)*GM86+(1-EXP(-LN(2)/25))/(LN(2)/25)*Calculateur!GH87*Calculateur!GJ87*VLOOKUP('Données projet'!$B$9,Paramètres!$A$1:$I$88,3,0)*0.475*44/12</f>
        <v>0</v>
      </c>
      <c r="GN87" s="23">
        <f>EXP(-LN(2)/2)*GN86+(1-EXP(-LN(2)/2))/(LN(2)/2)*GH87*GK87*VLOOKUP('Données projet'!$B$9,Paramètres!$A$1:$I$88,3,0)*0.475*44/12</f>
        <v>0</v>
      </c>
      <c r="GO87" s="23">
        <f t="shared" si="90"/>
        <v>0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IF(A87&lt;'Données projet'!$A$270,$GR$205^A87,IF(A87='Données projet'!$A$270,'Données projet'!$B$270,GU86+GT87-HC86))</f>
        <v>0</v>
      </c>
      <c r="GV87" s="18" t="e">
        <f>GU87*VLOOKUP('Données projet'!$B$18,Paramètres!$A$1:$I$88,3,0)*VLOOKUP('Données projet'!$B$18,Paramètres!$A$1:$I$88,5,0)</f>
        <v>#N/A</v>
      </c>
      <c r="GW87" s="14" t="e">
        <f t="shared" si="106"/>
        <v>#N/A</v>
      </c>
      <c r="GX87" s="22" t="e">
        <f t="shared" si="91"/>
        <v>#N/A</v>
      </c>
      <c r="GY87" s="62" t="e">
        <f t="shared" si="92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93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projet'!$B$18,Paramètres!$A$1:$I$88,7,0))</f>
        <v>0</v>
      </c>
      <c r="HE87" s="17">
        <f>IF(ISNA(VLOOKUP(A87,'Données projet'!$A$269:$I$289,6,0)),0%,VLOOKUP(A87,'Données projet'!$A$269:$I$289,6,0)*VLOOKUP('Données projet'!$B$18,Paramètres!$A$1:$I$88,7,0))</f>
        <v>0</v>
      </c>
      <c r="HF87" s="17">
        <f>IF(ISNA(VLOOKUP(A87,'Données projet'!$A$269:$I$289,7,0)),0%,VLOOKUP(A87,'Données projet'!$A$269:$I$289,7,0))</f>
        <v>0</v>
      </c>
      <c r="HG87" s="23">
        <f>EXP(-LN(2)/35)*HG86+(1-EXP(-LN(2)/35))/(LN(2)/35)*HC87*HD87*VLOOKUP('Données projet'!$B$9,Paramètres!$A$1:$I$88,3,0)*0.475*44/12</f>
        <v>0</v>
      </c>
      <c r="HH87" s="23">
        <f>EXP(-LN(2)/25)*HH86+(1-EXP(-LN(2)/25))/(LN(2)/25)*Calculateur!HC87*Calculateur!HE87*VLOOKUP('Données projet'!$B$9,Paramètres!$A$1:$I$88,3,0)*0.475*44/12</f>
        <v>0</v>
      </c>
      <c r="HI87" s="23">
        <f>EXP(-LN(2)/2)*HI86+(1-EXP(-LN(2)/2))/(LN(2)/2)*HC87*HF87*VLOOKUP('Données projet'!$B$9,Paramètres!$A$1:$I$88,3,0)*0.475*44/12</f>
        <v>0</v>
      </c>
      <c r="HJ87" s="24">
        <f t="shared" si="94"/>
        <v>0</v>
      </c>
    </row>
    <row r="88" spans="1:218" s="5" customFormat="1" x14ac:dyDescent="0.25">
      <c r="A88" s="11">
        <f t="shared" si="95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8" s="12">
        <f t="shared" si="9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57"/>
        <v>135.66666666666666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1.5429166666666674</v>
      </c>
      <c r="N88" s="14">
        <f>IF(A88&lt;'Données projet'!$A$36,$K$205^A88,IF(A88='Données projet'!$A$36,'Données projet'!$B$36,N87+M88-V87))</f>
        <v>98.693749999999952</v>
      </c>
      <c r="O88" s="14">
        <f>N88*VLOOKUP('Données projet'!$B$9,Paramètres!$A$1:$I$88,3,0)*VLOOKUP('Données projet'!$B$9,Paramètres!$A$1:$I$88,5,0)</f>
        <v>113.69519999999994</v>
      </c>
      <c r="P88" s="14">
        <f t="shared" si="97"/>
        <v>30.199921279741705</v>
      </c>
      <c r="Q88" s="22">
        <f t="shared" si="54"/>
        <v>250.61733622888337</v>
      </c>
      <c r="R88" s="62">
        <f t="shared" si="55"/>
        <v>512.470143202538</v>
      </c>
      <c r="S88" s="62">
        <f ca="1">AVERAGE(OFFSET($R$3,0,0,'Données projet'!$E$9+1,1))-AVERAGE(OFFSET($H$3,0,0,'Données projet'!$E$9+1,1))</f>
        <v>314.72063458462026</v>
      </c>
      <c r="T88" s="62">
        <f t="shared" si="56"/>
        <v>216.4380325968244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projet'!$B$9,Paramètres!$A$1:$I$88,7,0))</f>
        <v>0</v>
      </c>
      <c r="X88" s="17">
        <f>IF(ISNA(VLOOKUP(A88,'Données projet'!$A$35:$I$55,6,0)),0%,VLOOKUP(A88,'Données projet'!$A$35:$I$55,6,0)*VLOOKUP('Données projet'!$B$9,Paramètres!$A$1:$I$88,7,0))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projet'!$B$9,Paramètres!$A$1:$I$88,3,0)*0.475*44/12</f>
        <v>0</v>
      </c>
      <c r="AA88" s="23">
        <f>EXP(-LN(2)/25)*AA87+(1-EXP(-LN(2)/25))/(LN(2)/25)*Calculateur!V88*Calculateur!X88*VLOOKUP('Données projet'!$B$9,Paramètres!$A$1:$I$88,3,0)*0.475*44/12</f>
        <v>0</v>
      </c>
      <c r="AB88" s="23">
        <f>EXP(-LN(2)/2)*AB87+(1-EXP(-LN(2)/2))/(LN(2)/2)*V88*Y88*VLOOKUP('Données projet'!$B$9,Paramètres!$A$1:$I$88,3,0)*0.475*44/12</f>
        <v>0</v>
      </c>
      <c r="AC88" s="24">
        <f t="shared" si="58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>
        <f>VLOOKUP(A88,'Données projet'!$A$61:$I$81,2,0)</f>
        <v>219</v>
      </c>
      <c r="AG88" s="13">
        <f>VLOOKUP(A88,'Données projet'!$A$61:$I$81,9,0)</f>
        <v>3.6</v>
      </c>
      <c r="AH88" s="13">
        <f t="array" ref="AH88">INDEX(AG:AG,MIN(IF(ISNUMBER(AG88:AG284),ROW(AG88:AG284),"")))</f>
        <v>3.6</v>
      </c>
      <c r="AI88" s="14">
        <f>IF(A88&lt;'Données projet'!$A$62,$AF$205^A88,IF(A88='Données projet'!$A$62,'Données projet'!$B$62,AI87+AH88-AQ87))</f>
        <v>218.99999999999991</v>
      </c>
      <c r="AJ88" s="14">
        <f>AI88*VLOOKUP('Données projet'!$B$10,Paramètres!$A$1:$I$88,3,0)*VLOOKUP('Données projet'!$B$10,Paramètres!$A$1:$I$88,5,0)</f>
        <v>228.89879999999994</v>
      </c>
      <c r="AK88" s="14">
        <f t="shared" si="98"/>
        <v>56.044509878204664</v>
      </c>
      <c r="AL88" s="22">
        <f t="shared" si="59"/>
        <v>496.2762647045397</v>
      </c>
      <c r="AM88" s="62">
        <f t="shared" si="60"/>
        <v>758.12907167819435</v>
      </c>
      <c r="AN88" s="62">
        <f ca="1">AVERAGE(OFFSET($AM$3,0,0,'Données projet'!$E$10+1,1))-AVERAGE(OFFSET($H$3,0,0,'Données projet'!$E$10+1,1))</f>
        <v>458.33072853676879</v>
      </c>
      <c r="AO88" s="62">
        <f t="shared" si="61"/>
        <v>254.1734169352687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projet'!$B$10,Paramètres!$A$1:$I$88,7,0))</f>
        <v>0</v>
      </c>
      <c r="AS88" s="17">
        <f>IF(ISNA(VLOOKUP(A88,'Données projet'!$A$61:$I$81,6,0)),0%,VLOOKUP(A88,'Données projet'!$A$61:$I$81,6,0)*VLOOKUP('Données projet'!$B$10,Paramètres!$A$1:$I$88,7,0))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projet'!$B$9,Paramètres!$A$1:$I$88,3,0)*0.475*44/12</f>
        <v>0</v>
      </c>
      <c r="AV88" s="23">
        <f>EXP(-LN(2)/25)*AV87+(1-EXP(-LN(2)/25))/(LN(2)/25)*Calculateur!AQ88*Calculateur!AS88*VLOOKUP('Données projet'!$B$9,Paramètres!$A$1:$I$88,3,0)*0.475*44/12</f>
        <v>0</v>
      </c>
      <c r="AW88" s="23">
        <f>EXP(-LN(2)/2)*AW87+(1-EXP(-LN(2)/2))/(LN(2)/2)*AQ88*AT88*VLOOKUP('Données projet'!$B$9,Paramètres!$A$1:$I$88,3,0)*0.475*44/12</f>
        <v>0</v>
      </c>
      <c r="AX88" s="23">
        <f t="shared" si="62"/>
        <v>0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>
        <f>VLOOKUP(A88,'Données projet'!$A$87:$I$107,2,0)</f>
        <v>219</v>
      </c>
      <c r="BB88" s="13">
        <f>VLOOKUP(A88,'Données projet'!$A$87:$I$107,9,0)</f>
        <v>3.6</v>
      </c>
      <c r="BC88" s="13">
        <f t="array" ref="BC88">INDEX(BB:BB,MIN(IF(ISNUMBER(BB88:BB284),ROW(BB88:BB284),"")))</f>
        <v>3.6</v>
      </c>
      <c r="BD88" s="13">
        <f>IF(A88&lt;'Données projet'!$A$88,$BA$205^A88,IF(A88='Données projet'!$A$88,'Données projet'!$B$88,BD87+BC88-BL87))</f>
        <v>218.99999999999991</v>
      </c>
      <c r="BE88" s="14">
        <f>BD88*VLOOKUP('Données projet'!$B$11,Paramètres!$A$1:$I$88,3,0)*VLOOKUP('Données projet'!$B$11,Paramètres!$A$1:$I$88,5,0)</f>
        <v>222.06599999999992</v>
      </c>
      <c r="BF88" s="14">
        <f t="shared" si="99"/>
        <v>54.563676045889338</v>
      </c>
      <c r="BG88" s="22">
        <f t="shared" si="63"/>
        <v>481.79668577992373</v>
      </c>
      <c r="BH88" s="62">
        <f t="shared" si="64"/>
        <v>743.64949275357833</v>
      </c>
      <c r="BI88" s="62">
        <f ca="1">AVERAGE(OFFSET($BH$3,0,0,'Données projet'!$E$11+1,1))-AVERAGE(OFFSET($H$3,0,0,'Données projet'!$E$11+1,1))</f>
        <v>447.82618173893104</v>
      </c>
      <c r="BJ88" s="62">
        <f t="shared" si="65"/>
        <v>248.96509970783379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projet'!$B$11,Paramètres!$A$1:$I$88,7,0))</f>
        <v>0</v>
      </c>
      <c r="BN88" s="17">
        <f>IF(ISNA(VLOOKUP(A88,'Données projet'!$A$87:$I$107,6,0)),0%,VLOOKUP(A88,'Données projet'!$A$87:$I$107,6,0)*VLOOKUP('Données projet'!$B$11,Paramètres!$A$1:$I$88,7,0))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projet'!$B$9,Paramètres!$A$1:$I$88,3,0)*0.475*44/12</f>
        <v>0</v>
      </c>
      <c r="BQ88" s="23">
        <f>EXP(-LN(2)/25)*BQ87+(1-EXP(-LN(2)/25))/(LN(2)/25)*Calculateur!BL88*Calculateur!BN88*VLOOKUP('Données projet'!$B$9,Paramètres!$A$1:$I$88,3,0)*0.475*44/12</f>
        <v>0</v>
      </c>
      <c r="BR88" s="23">
        <f>EXP(-LN(2)/2)*BR87+(1-EXP(-LN(2)/2))/(LN(2)/2)*BL88*BO88*VLOOKUP('Données projet'!$B$9,Paramètres!$A$1:$I$88,3,0)*0.475*44/12</f>
        <v>0</v>
      </c>
      <c r="BS88" s="24">
        <f t="shared" si="66"/>
        <v>0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>
        <f>VLOOKUP(A88,'Données projet'!$A$113:$I$133,2,0)</f>
        <v>219</v>
      </c>
      <c r="BW88" s="13">
        <f>VLOOKUP(A88,'Données projet'!$A$113:$I$133,9,0)</f>
        <v>3.6</v>
      </c>
      <c r="BX88" s="13">
        <f t="array" ref="BX88">INDEX(BW:BW,MIN(IF(ISNUMBER(BW88:BW284),ROW(BW88:BW284),"")))</f>
        <v>3.6</v>
      </c>
      <c r="BY88" s="13">
        <f>IF(A88&lt;'Données projet'!$A$114,$BV$205^A88,IF(A88='Données projet'!$A$114,'Données projet'!$B$114,BY87+BX88-CG87))</f>
        <v>218.99999999999991</v>
      </c>
      <c r="BZ88" s="14">
        <f>BY88*VLOOKUP('Données projet'!$B$12,Paramètres!$A$1:$I$88,3,0)*VLOOKUP('Données projet'!$B$12,Paramètres!$A$1:$I$88,5,0)</f>
        <v>235.7315999999999</v>
      </c>
      <c r="CA88" s="14">
        <f t="shared" si="100"/>
        <v>57.520206488125218</v>
      </c>
      <c r="CB88" s="22">
        <f t="shared" si="67"/>
        <v>510.74689630015126</v>
      </c>
      <c r="CC88" s="62">
        <f t="shared" si="68"/>
        <v>772.59970327380586</v>
      </c>
      <c r="CD88" s="62">
        <f ca="1">AVERAGE(OFFSET($CC$3,0,0,'Données projet'!$E$12+1,1))-AVERAGE(OFFSET($H$3,0,0,'Données projet'!$E$12+1,1))</f>
        <v>468.82871618425406</v>
      </c>
      <c r="CE88" s="62">
        <f t="shared" si="69"/>
        <v>259.37818128554397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projet'!$B$12,Paramètres!$A$1:$I$88,7,0))</f>
        <v>0</v>
      </c>
      <c r="CI88" s="17">
        <f>IF(ISNA(VLOOKUP(A88,'Données projet'!$A$113:$I$133,6,0)),0%,VLOOKUP(A88,'Données projet'!$A$113:$I$133,6,0)*VLOOKUP('Données projet'!$B$12,Paramètres!$A$1:$I$88,7,0))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projet'!$B$9,Paramètres!$A$1:$I$88,3,0)*0.475*44/12</f>
        <v>0</v>
      </c>
      <c r="CL88" s="23">
        <f>EXP(-LN(2)/25)*CL87+(1-EXP(-LN(2)/25))/(LN(2)/25)*Calculateur!CG88*Calculateur!CI88*VLOOKUP('Données projet'!$B$9,Paramètres!$A$1:$I$88,3,0)*0.475*44/12</f>
        <v>0</v>
      </c>
      <c r="CM88" s="23">
        <f>EXP(-LN(2)/2)*CM87+(1-EXP(-LN(2)/2))/(LN(2)/2)*CG88*CJ88*VLOOKUP('Données projet'!$B$9,Paramètres!$A$1:$I$88,3,0)*0.475*44/12</f>
        <v>0</v>
      </c>
      <c r="CN88" s="24">
        <f t="shared" si="70"/>
        <v>0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>
        <f>VLOOKUP(A88,'Données projet'!$A$139:$I$159,2,0)</f>
        <v>219</v>
      </c>
      <c r="CR88" s="13">
        <f>VLOOKUP(A88,'Données projet'!$A$139:$I$159,9,0)</f>
        <v>3.6</v>
      </c>
      <c r="CS88" s="13">
        <f t="array" ref="CS88">INDEX(CR:CR,MIN(IF(ISNUMBER(CR88:CR284),ROW(CR88:CR284),"")))</f>
        <v>3.6</v>
      </c>
      <c r="CT88" s="13">
        <f>IF(A88&lt;'Données projet'!$A$140,$CQ$205^A88,IF(A88='Données projet'!$A$140,'Données projet'!$B$140,CT87+CS88-DB87))</f>
        <v>218.99999999999991</v>
      </c>
      <c r="CU88" s="18">
        <f>CT88*VLOOKUP('Données projet'!$B$13,Paramètres!$A$1:$I$88,3,0)*VLOOKUP('Données projet'!$B$13,Paramètres!$A$1:$I$88,5,0)</f>
        <v>187.90199999999996</v>
      </c>
      <c r="CV88" s="14">
        <f t="shared" si="101"/>
        <v>47.075815521257816</v>
      </c>
      <c r="CW88" s="22">
        <f t="shared" si="71"/>
        <v>409.25302869952401</v>
      </c>
      <c r="CX88" s="62">
        <f t="shared" si="72"/>
        <v>671.1058356731786</v>
      </c>
      <c r="CY88" s="62">
        <f ca="1">AVERAGE(OFFSET($CX$3,0,0,'Données projet'!$E$13+1,1))-AVERAGE(OFFSET($H$3,0,0,'Données projet'!$E$13+1,1))</f>
        <v>395.19659151668884</v>
      </c>
      <c r="CZ88" s="62">
        <f t="shared" si="73"/>
        <v>222.86563304507339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projet'!$B$13,Paramètres!$A$1:$I$88,7,0))</f>
        <v>0</v>
      </c>
      <c r="DD88" s="17">
        <f>IF(ISNA(VLOOKUP(A88,'Données projet'!$A$139:$I$159,6,0)),0%,VLOOKUP(A88,'Données projet'!$A$139:$I$159,6,0)*VLOOKUP('Données projet'!$B$13,Paramètres!$A$1:$I$88,7,0))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projet'!$B$9,Paramètres!$A$1:$I$88,3,0)*0.475*44/12</f>
        <v>0</v>
      </c>
      <c r="DG88" s="23">
        <f>EXP(-LN(2)/25)*DG87+(1-EXP(-LN(2)/25))/(LN(2)/25)*Calculateur!DB88*Calculateur!DD88*VLOOKUP('Données projet'!$B$9,Paramètres!$A$1:$I$88,3,0)*0.475*44/12</f>
        <v>0</v>
      </c>
      <c r="DH88" s="23">
        <f>EXP(-LN(2)/2)*DH87+(1-EXP(-LN(2)/2))/(LN(2)/2)*DB88*DE88*VLOOKUP('Données projet'!$B$9,Paramètres!$A$1:$I$88,3,0)*0.475*44/12</f>
        <v>0</v>
      </c>
      <c r="DI88" s="24">
        <f t="shared" si="74"/>
        <v>0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4.5999999999999996</v>
      </c>
      <c r="DO88" s="13">
        <f>IF(A88&lt;'Données projet'!$A$166,$DL$205^A88,IF(A88='Données projet'!$A$166,'Données projet'!$B$166,DO87+DN88-DW87))</f>
        <v>111.99999999999994</v>
      </c>
      <c r="DP88" s="18">
        <f>DO88*VLOOKUP('Données projet'!$B$14,Paramètres!$A$1:$I$88,3,0)*VLOOKUP('Données projet'!$B$14,Paramètres!$A$1:$I$88,5,0)</f>
        <v>65.519999999999968</v>
      </c>
      <c r="DQ88" s="14">
        <f t="shared" si="102"/>
        <v>18.556669503136707</v>
      </c>
      <c r="DR88" s="22">
        <f t="shared" si="75"/>
        <v>146.433532717963</v>
      </c>
      <c r="DS88" s="62">
        <f t="shared" si="76"/>
        <v>408.28633969161763</v>
      </c>
      <c r="DT88" s="62">
        <f ca="1">AVERAGE(OFFSET($DS$3,0,0,'Données projet'!$E$14+1,1))-AVERAGE(OFFSET($H$3,0,0,'Données projet'!$E$14+1,1))</f>
        <v>155.18073137151848</v>
      </c>
      <c r="DU88" s="62">
        <f t="shared" si="77"/>
        <v>115.19459155667272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projet'!$B$14,Paramètres!$A$1:$I$88,7,0))</f>
        <v>0</v>
      </c>
      <c r="DY88" s="17">
        <f>IF(ISNA(VLOOKUP(A88,'Données projet'!$A$165:$I$185,6,0)),0%,VLOOKUP(A88,'Données projet'!$A$165:$I$185,6,0)*VLOOKUP('Données projet'!$B$14,Paramètres!$A$1:$I$88,7,0))</f>
        <v>0</v>
      </c>
      <c r="DZ88" s="17">
        <f>IF(ISNA(VLOOKUP(A88,'Données projet'!$A$165:$I$185,7,0)),0%,VLOOKUP(A88,'Données projet'!$A$165:$I$185,7,0))</f>
        <v>0</v>
      </c>
      <c r="EA88" s="23">
        <f>EXP(-LN(2)/35)*EA87+(1-EXP(-LN(2)/35))/(LN(2)/35)*DW88*DX88*VLOOKUP('Données projet'!$B$9,Paramètres!$A$1:$I$88,3,0)*0.475*44/12</f>
        <v>0</v>
      </c>
      <c r="EB88" s="23">
        <f>EXP(-LN(2)/25)*EB87+(1-EXP(-LN(2)/25))/(LN(2)/25)*Calculateur!DW88*Calculateur!DY88*VLOOKUP('Données projet'!$B$9,Paramètres!$A$1:$I$88,3,0)*0.475*44/12</f>
        <v>0</v>
      </c>
      <c r="EC88" s="23">
        <f>EXP(-LN(2)/2)*EC87+(1-EXP(-LN(2)/2))/(LN(2)/2)*DW88*DZ88*VLOOKUP('Données projet'!$B$9,Paramètres!$A$1:$I$88,3,0)*0.475*44/12</f>
        <v>0</v>
      </c>
      <c r="ED88" s="24">
        <f t="shared" si="78"/>
        <v>0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8.0666666666666664</v>
      </c>
      <c r="EJ88" s="13">
        <f>IF(A88&lt;'Données projet'!$A$192,$EG$205^A88,IF(A88='Données projet'!$A$192,'Données projet'!$B$192,EJ87+EI88-ER87))</f>
        <v>269.66666666666669</v>
      </c>
      <c r="EK88" s="18">
        <f>EJ88*VLOOKUP('Données projet'!$B$15,Paramètres!$A$1:$I$88,3,0)*VLOOKUP('Données projet'!$B$15,Paramètres!$A$1:$I$88,5,0)</f>
        <v>126.20400000000001</v>
      </c>
      <c r="EL88" s="14">
        <f t="shared" si="103"/>
        <v>33.117708079021526</v>
      </c>
      <c r="EM88" s="22">
        <f t="shared" si="79"/>
        <v>277.48530823762917</v>
      </c>
      <c r="EN88" s="62">
        <f t="shared" si="80"/>
        <v>539.33811521128382</v>
      </c>
      <c r="EO88" s="62">
        <f ca="1">AVERAGE(OFFSET($EN$3,0,0,'Données projet'!$E$15+1,1))-AVERAGE(OFFSET($H$3,0,0,'Données projet'!$E$15+1,1))</f>
        <v>238.59014604384171</v>
      </c>
      <c r="EP88" s="62">
        <f t="shared" si="81"/>
        <v>90.841373219575217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projet'!$B$15,Paramètres!$A$1:$I$88,7,0))</f>
        <v>0</v>
      </c>
      <c r="ET88" s="17">
        <f>IF(ISNA(VLOOKUP(A88,'Données projet'!$A$191:$I$211,6,0)),0%,VLOOKUP(A88,'Données projet'!$A$191:$I$211,6,0)*VLOOKUP('Données projet'!$B$15,Paramètres!$A$1:$I$88,7,0))</f>
        <v>0</v>
      </c>
      <c r="EU88" s="17">
        <f>IF(ISNA(VLOOKUP(A88,'Données projet'!$A$191:$I$211,7,0)),0%,VLOOKUP(A88,'Données projet'!$A$191:$I$211,7,0))</f>
        <v>0</v>
      </c>
      <c r="EV88" s="23">
        <f>EXP(-LN(2)/35)*EV87+(1-EXP(-LN(2)/35))/(LN(2)/35)*ER88*ES88*VLOOKUP('Données projet'!$B$9,Paramètres!$A$1:$I$88,3,0)*0.475*44/12</f>
        <v>0</v>
      </c>
      <c r="EW88" s="23">
        <f>EXP(-LN(2)/25)*EW87+(1-EXP(-LN(2)/25))/(LN(2)/25)*Calculateur!ER88*Calculateur!ET88*VLOOKUP('Données projet'!$B$9,Paramètres!$A$1:$I$88,3,0)*0.475*44/12</f>
        <v>0</v>
      </c>
      <c r="EX88" s="23">
        <f>EXP(-LN(2)/2)*EX87+(1-EXP(-LN(2)/2))/(LN(2)/2)*ER88*EU88*VLOOKUP('Données projet'!$B$9,Paramètres!$A$1:$I$88,3,0)*0.475*44/12</f>
        <v>0</v>
      </c>
      <c r="EY88" s="24">
        <f t="shared" si="82"/>
        <v>0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IF(A88&lt;'Données projet'!$A$218,$FB$205^A88,IF(A88='Données projet'!$A$218,'Données projet'!$B$218,FE87+FD88-FM87))</f>
        <v>0</v>
      </c>
      <c r="FF88" s="18" t="e">
        <f>FE88*VLOOKUP('Données projet'!$B$16,Paramètres!$A$1:$I$88,3,0)*VLOOKUP('Données projet'!$B$16,Paramètres!$A$1:$I$88,5,0)</f>
        <v>#N/A</v>
      </c>
      <c r="FG88" s="14" t="e">
        <f t="shared" si="104"/>
        <v>#N/A</v>
      </c>
      <c r="FH88" s="22" t="e">
        <f t="shared" si="83"/>
        <v>#N/A</v>
      </c>
      <c r="FI88" s="62" t="e">
        <f t="shared" si="84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85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projet'!$B$16,Paramètres!$A$1:$I$88,7,0))</f>
        <v>0</v>
      </c>
      <c r="FO88" s="17">
        <f>IF(ISNA(VLOOKUP(A88,'Données projet'!$A$217:$I$237,6,0)),0%,VLOOKUP(A88,'Données projet'!$A$217:$I$237,6,0)*VLOOKUP('Données projet'!$B$16,Paramètres!$A$1:$I$88,7,0))</f>
        <v>0</v>
      </c>
      <c r="FP88" s="17">
        <f>IF(ISNA(VLOOKUP(A88,'Données projet'!$A$217:$I$237,7,0)),0%,VLOOKUP(A88,'Données projet'!$A$217:$I$237,7,0))</f>
        <v>0</v>
      </c>
      <c r="FQ88" s="23">
        <f>EXP(-LN(2)/35)*FQ87+(1-EXP(-LN(2)/35))/(LN(2)/35)*FM88*FN88*VLOOKUP('Données projet'!$B$9,Paramètres!$A$1:$I$88,3,0)*0.475*44/12</f>
        <v>0</v>
      </c>
      <c r="FR88" s="23">
        <f>EXP(-LN(2)/25)*FR87+(1-EXP(-LN(2)/25))/(LN(2)/25)*Calculateur!FM88*Calculateur!FO88*VLOOKUP('Données projet'!$B$9,Paramètres!$A$1:$I$88,3,0)*0.475*44/12</f>
        <v>0</v>
      </c>
      <c r="FS88" s="23">
        <f>EXP(-LN(2)/2)*FS87+(1-EXP(-LN(2)/2))/(LN(2)/2)*FM88*FP88*VLOOKUP('Données projet'!$B$9,Paramètres!$A$1:$I$88,3,0)*0.475*44/12</f>
        <v>0</v>
      </c>
      <c r="FT88" s="24">
        <f t="shared" si="86"/>
        <v>0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IF(A88&lt;'Données projet'!$A$244,$FW$205^A88,IF(A88='Données projet'!$A$244,'Données projet'!$B$244,FZ87+FY88-GH87))</f>
        <v>0</v>
      </c>
      <c r="GA88" s="18" t="e">
        <f>FZ88*VLOOKUP('Données projet'!$B$17,Paramètres!$A$1:$I$88,3,0)*VLOOKUP('Données projet'!$B$17,Paramètres!$A$1:$I$88,5,0)</f>
        <v>#N/A</v>
      </c>
      <c r="GB88" s="14" t="e">
        <f t="shared" si="105"/>
        <v>#N/A</v>
      </c>
      <c r="GC88" s="22" t="e">
        <f t="shared" si="87"/>
        <v>#N/A</v>
      </c>
      <c r="GD88" s="62" t="e">
        <f t="shared" si="88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89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projet'!$B$17,Paramètres!$A$1:$I$88,7,0))</f>
        <v>0</v>
      </c>
      <c r="GJ88" s="17">
        <f>IF(ISNA(VLOOKUP(A88,'Données projet'!$A$243:$I$263,6,0)),0%,VLOOKUP(A88,'Données projet'!$A$243:$I$263,6,0)*VLOOKUP('Données projet'!$B$17,Paramètres!$A$1:$I$88,7,0))</f>
        <v>0</v>
      </c>
      <c r="GK88" s="17">
        <f>IF(ISNA(VLOOKUP(A88,'Données projet'!$A$243:$I$263,7,0)),0%,VLOOKUP(A88,'Données projet'!$A$243:$I$263,7,0))</f>
        <v>0</v>
      </c>
      <c r="GL88" s="23">
        <f>EXP(-LN(2)/35)*GL87+(1-EXP(-LN(2)/35))/(LN(2)/35)*GH88*GI88*VLOOKUP('Données projet'!$B$9,Paramètres!$A$1:$I$88,3,0)*0.475*44/12</f>
        <v>0</v>
      </c>
      <c r="GM88" s="23">
        <f>EXP(-LN(2)/25)*GM87+(1-EXP(-LN(2)/25))/(LN(2)/25)*Calculateur!GH88*Calculateur!GJ88*VLOOKUP('Données projet'!$B$9,Paramètres!$A$1:$I$88,3,0)*0.475*44/12</f>
        <v>0</v>
      </c>
      <c r="GN88" s="23">
        <f>EXP(-LN(2)/2)*GN87+(1-EXP(-LN(2)/2))/(LN(2)/2)*GH88*GK88*VLOOKUP('Données projet'!$B$9,Paramètres!$A$1:$I$88,3,0)*0.475*44/12</f>
        <v>0</v>
      </c>
      <c r="GO88" s="23">
        <f t="shared" si="90"/>
        <v>0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IF(A88&lt;'Données projet'!$A$270,$GR$205^A88,IF(A88='Données projet'!$A$270,'Données projet'!$B$270,GU87+GT88-HC87))</f>
        <v>0</v>
      </c>
      <c r="GV88" s="18" t="e">
        <f>GU88*VLOOKUP('Données projet'!$B$18,Paramètres!$A$1:$I$88,3,0)*VLOOKUP('Données projet'!$B$18,Paramètres!$A$1:$I$88,5,0)</f>
        <v>#N/A</v>
      </c>
      <c r="GW88" s="14" t="e">
        <f t="shared" si="106"/>
        <v>#N/A</v>
      </c>
      <c r="GX88" s="22" t="e">
        <f t="shared" si="91"/>
        <v>#N/A</v>
      </c>
      <c r="GY88" s="62" t="e">
        <f t="shared" si="92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93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projet'!$B$18,Paramètres!$A$1:$I$88,7,0))</f>
        <v>0</v>
      </c>
      <c r="HE88" s="17">
        <f>IF(ISNA(VLOOKUP(A88,'Données projet'!$A$269:$I$289,6,0)),0%,VLOOKUP(A88,'Données projet'!$A$269:$I$289,6,0)*VLOOKUP('Données projet'!$B$18,Paramètres!$A$1:$I$88,7,0))</f>
        <v>0</v>
      </c>
      <c r="HF88" s="17">
        <f>IF(ISNA(VLOOKUP(A88,'Données projet'!$A$269:$I$289,7,0)),0%,VLOOKUP(A88,'Données projet'!$A$269:$I$289,7,0))</f>
        <v>0</v>
      </c>
      <c r="HG88" s="23">
        <f>EXP(-LN(2)/35)*HG87+(1-EXP(-LN(2)/35))/(LN(2)/35)*HC88*HD88*VLOOKUP('Données projet'!$B$9,Paramètres!$A$1:$I$88,3,0)*0.475*44/12</f>
        <v>0</v>
      </c>
      <c r="HH88" s="23">
        <f>EXP(-LN(2)/25)*HH87+(1-EXP(-LN(2)/25))/(LN(2)/25)*Calculateur!HC88*Calculateur!HE88*VLOOKUP('Données projet'!$B$9,Paramètres!$A$1:$I$88,3,0)*0.475*44/12</f>
        <v>0</v>
      </c>
      <c r="HI88" s="23">
        <f>EXP(-LN(2)/2)*HI87+(1-EXP(-LN(2)/2))/(LN(2)/2)*HC88*HF88*VLOOKUP('Données projet'!$B$9,Paramètres!$A$1:$I$88,3,0)*0.475*44/12</f>
        <v>0</v>
      </c>
      <c r="HJ88" s="24">
        <f t="shared" si="94"/>
        <v>0</v>
      </c>
    </row>
    <row r="89" spans="1:218" s="5" customFormat="1" x14ac:dyDescent="0.25">
      <c r="A89" s="11">
        <f t="shared" si="95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89" s="12">
        <f t="shared" si="9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57"/>
        <v>135.66666666666666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1.5429166666666674</v>
      </c>
      <c r="N89" s="14">
        <f>IF(A89&lt;'Données projet'!$A$36,$K$205^A89,IF(A89='Données projet'!$A$36,'Données projet'!$B$36,N88+M89-V88))</f>
        <v>100.23666666666662</v>
      </c>
      <c r="O89" s="14">
        <f>N89*VLOOKUP('Données projet'!$B$9,Paramètres!$A$1:$I$88,3,0)*VLOOKUP('Données projet'!$B$9,Paramètres!$A$1:$I$88,5,0)</f>
        <v>115.47263999999994</v>
      </c>
      <c r="P89" s="14">
        <f t="shared" si="97"/>
        <v>30.616715119547948</v>
      </c>
      <c r="Q89" s="22">
        <f t="shared" si="54"/>
        <v>254.43896016654585</v>
      </c>
      <c r="R89" s="62">
        <f t="shared" si="55"/>
        <v>516.83788389262759</v>
      </c>
      <c r="S89" s="62">
        <f ca="1">AVERAGE(OFFSET($R$3,0,0,'Données projet'!$E$9+1,1))-AVERAGE(OFFSET($H$3,0,0,'Données projet'!$E$9+1,1))</f>
        <v>314.72063458462026</v>
      </c>
      <c r="T89" s="62">
        <f t="shared" si="56"/>
        <v>216.4380325968244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projet'!$B$9,Paramètres!$A$1:$I$88,7,0))</f>
        <v>0</v>
      </c>
      <c r="X89" s="17">
        <f>IF(ISNA(VLOOKUP(A89,'Données projet'!$A$35:$I$55,6,0)),0%,VLOOKUP(A89,'Données projet'!$A$35:$I$55,6,0)*VLOOKUP('Données projet'!$B$9,Paramètres!$A$1:$I$88,7,0))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projet'!$B$9,Paramètres!$A$1:$I$88,3,0)*0.475*44/12</f>
        <v>0</v>
      </c>
      <c r="AA89" s="23">
        <f>EXP(-LN(2)/25)*AA88+(1-EXP(-LN(2)/25))/(LN(2)/25)*Calculateur!V89*Calculateur!X89*VLOOKUP('Données projet'!$B$9,Paramètres!$A$1:$I$88,3,0)*0.475*44/12</f>
        <v>0</v>
      </c>
      <c r="AB89" s="23">
        <f>EXP(-LN(2)/2)*AB88+(1-EXP(-LN(2)/2))/(LN(2)/2)*V89*Y89*VLOOKUP('Données projet'!$B$9,Paramètres!$A$1:$I$88,3,0)*0.475*44/12</f>
        <v>0</v>
      </c>
      <c r="AC89" s="24">
        <f t="shared" si="58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3.4</v>
      </c>
      <c r="AI89" s="14">
        <f>IF(A89&lt;'Données projet'!$A$62,$AF$205^A89,IF(A89='Données projet'!$A$62,'Données projet'!$B$62,AI88+AH89-AQ88))</f>
        <v>222.39999999999992</v>
      </c>
      <c r="AJ89" s="14">
        <f>AI89*VLOOKUP('Données projet'!$B$10,Paramètres!$A$1:$I$88,3,0)*VLOOKUP('Données projet'!$B$10,Paramètres!$A$1:$I$88,5,0)</f>
        <v>232.45247999999992</v>
      </c>
      <c r="AK89" s="14">
        <f t="shared" si="98"/>
        <v>56.812637259137787</v>
      </c>
      <c r="AL89" s="22">
        <f t="shared" si="59"/>
        <v>503.80341255966482</v>
      </c>
      <c r="AM89" s="62">
        <f t="shared" si="60"/>
        <v>766.20233628574647</v>
      </c>
      <c r="AN89" s="62">
        <f ca="1">AVERAGE(OFFSET($AM$3,0,0,'Données projet'!$E$10+1,1))-AVERAGE(OFFSET($H$3,0,0,'Données projet'!$E$10+1,1))</f>
        <v>458.33072853676879</v>
      </c>
      <c r="AO89" s="62">
        <f t="shared" si="61"/>
        <v>254.1734169352687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projet'!$B$10,Paramètres!$A$1:$I$88,7,0))</f>
        <v>0</v>
      </c>
      <c r="AS89" s="17">
        <f>IF(ISNA(VLOOKUP(A89,'Données projet'!$A$61:$I$81,6,0)),0%,VLOOKUP(A89,'Données projet'!$A$61:$I$81,6,0)*VLOOKUP('Données projet'!$B$10,Paramètres!$A$1:$I$88,7,0))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projet'!$B$9,Paramètres!$A$1:$I$88,3,0)*0.475*44/12</f>
        <v>0</v>
      </c>
      <c r="AV89" s="23">
        <f>EXP(-LN(2)/25)*AV88+(1-EXP(-LN(2)/25))/(LN(2)/25)*Calculateur!AQ89*Calculateur!AS89*VLOOKUP('Données projet'!$B$9,Paramètres!$A$1:$I$88,3,0)*0.475*44/12</f>
        <v>0</v>
      </c>
      <c r="AW89" s="23">
        <f>EXP(-LN(2)/2)*AW88+(1-EXP(-LN(2)/2))/(LN(2)/2)*AQ89*AT89*VLOOKUP('Données projet'!$B$9,Paramètres!$A$1:$I$88,3,0)*0.475*44/12</f>
        <v>0</v>
      </c>
      <c r="AX89" s="23">
        <f t="shared" si="62"/>
        <v>0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3.4</v>
      </c>
      <c r="BD89" s="13">
        <f>IF(A89&lt;'Données projet'!$A$88,$BA$205^A89,IF(A89='Données projet'!$A$88,'Données projet'!$B$88,BD88+BC89-BL88))</f>
        <v>222.39999999999992</v>
      </c>
      <c r="BE89" s="14">
        <f>BD89*VLOOKUP('Données projet'!$B$11,Paramètres!$A$1:$I$88,3,0)*VLOOKUP('Données projet'!$B$11,Paramètres!$A$1:$I$88,5,0)</f>
        <v>225.51359999999991</v>
      </c>
      <c r="BF89" s="14">
        <f t="shared" si="99"/>
        <v>55.311507611662591</v>
      </c>
      <c r="BG89" s="22">
        <f t="shared" si="63"/>
        <v>489.10372909031207</v>
      </c>
      <c r="BH89" s="62">
        <f t="shared" si="64"/>
        <v>751.50265281639372</v>
      </c>
      <c r="BI89" s="62">
        <f ca="1">AVERAGE(OFFSET($BH$3,0,0,'Données projet'!$E$11+1,1))-AVERAGE(OFFSET($H$3,0,0,'Données projet'!$E$11+1,1))</f>
        <v>447.82618173893104</v>
      </c>
      <c r="BJ89" s="62">
        <f t="shared" si="65"/>
        <v>248.96509970783379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projet'!$B$11,Paramètres!$A$1:$I$88,7,0))</f>
        <v>0</v>
      </c>
      <c r="BN89" s="17">
        <f>IF(ISNA(VLOOKUP(A89,'Données projet'!$A$87:$I$107,6,0)),0%,VLOOKUP(A89,'Données projet'!$A$87:$I$107,6,0)*VLOOKUP('Données projet'!$B$11,Paramètres!$A$1:$I$88,7,0))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projet'!$B$9,Paramètres!$A$1:$I$88,3,0)*0.475*44/12</f>
        <v>0</v>
      </c>
      <c r="BQ89" s="23">
        <f>EXP(-LN(2)/25)*BQ88+(1-EXP(-LN(2)/25))/(LN(2)/25)*Calculateur!BL89*Calculateur!BN89*VLOOKUP('Données projet'!$B$9,Paramètres!$A$1:$I$88,3,0)*0.475*44/12</f>
        <v>0</v>
      </c>
      <c r="BR89" s="23">
        <f>EXP(-LN(2)/2)*BR88+(1-EXP(-LN(2)/2))/(LN(2)/2)*BL89*BO89*VLOOKUP('Données projet'!$B$9,Paramètres!$A$1:$I$88,3,0)*0.475*44/12</f>
        <v>0</v>
      </c>
      <c r="BS89" s="24">
        <f t="shared" si="66"/>
        <v>0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3.4</v>
      </c>
      <c r="BY89" s="13">
        <f>IF(A89&lt;'Données projet'!$A$114,$BV$205^A89,IF(A89='Données projet'!$A$114,'Données projet'!$B$114,BY88+BX89-CG88))</f>
        <v>222.39999999999992</v>
      </c>
      <c r="BZ89" s="14">
        <f>BY89*VLOOKUP('Données projet'!$B$12,Paramètres!$A$1:$I$88,3,0)*VLOOKUP('Données projet'!$B$12,Paramètres!$A$1:$I$88,5,0)</f>
        <v>239.39135999999991</v>
      </c>
      <c r="CA89" s="14">
        <f t="shared" si="100"/>
        <v>58.308559275159553</v>
      </c>
      <c r="CB89" s="22">
        <f t="shared" si="67"/>
        <v>518.49402607090269</v>
      </c>
      <c r="CC89" s="62">
        <f t="shared" si="68"/>
        <v>780.89294979698434</v>
      </c>
      <c r="CD89" s="62">
        <f ca="1">AVERAGE(OFFSET($CC$3,0,0,'Données projet'!$E$12+1,1))-AVERAGE(OFFSET($H$3,0,0,'Données projet'!$E$12+1,1))</f>
        <v>468.82871618425406</v>
      </c>
      <c r="CE89" s="62">
        <f t="shared" si="69"/>
        <v>259.37818128554397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projet'!$B$12,Paramètres!$A$1:$I$88,7,0))</f>
        <v>0</v>
      </c>
      <c r="CI89" s="17">
        <f>IF(ISNA(VLOOKUP(A89,'Données projet'!$A$113:$I$133,6,0)),0%,VLOOKUP(A89,'Données projet'!$A$113:$I$133,6,0)*VLOOKUP('Données projet'!$B$12,Paramètres!$A$1:$I$88,7,0))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projet'!$B$9,Paramètres!$A$1:$I$88,3,0)*0.475*44/12</f>
        <v>0</v>
      </c>
      <c r="CL89" s="23">
        <f>EXP(-LN(2)/25)*CL88+(1-EXP(-LN(2)/25))/(LN(2)/25)*Calculateur!CG89*Calculateur!CI89*VLOOKUP('Données projet'!$B$9,Paramètres!$A$1:$I$88,3,0)*0.475*44/12</f>
        <v>0</v>
      </c>
      <c r="CM89" s="23">
        <f>EXP(-LN(2)/2)*CM88+(1-EXP(-LN(2)/2))/(LN(2)/2)*CG89*CJ89*VLOOKUP('Données projet'!$B$9,Paramètres!$A$1:$I$88,3,0)*0.475*44/12</f>
        <v>0</v>
      </c>
      <c r="CN89" s="24">
        <f t="shared" si="70"/>
        <v>0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3.4</v>
      </c>
      <c r="CT89" s="13">
        <f>IF(A89&lt;'Données projet'!$A$140,$CQ$205^A89,IF(A89='Données projet'!$A$140,'Données projet'!$B$140,CT88+CS89-DB88))</f>
        <v>222.39999999999992</v>
      </c>
      <c r="CU89" s="18">
        <f>CT89*VLOOKUP('Données projet'!$B$13,Paramètres!$A$1:$I$88,3,0)*VLOOKUP('Données projet'!$B$13,Paramètres!$A$1:$I$88,5,0)</f>
        <v>190.81919999999994</v>
      </c>
      <c r="CV89" s="14">
        <f t="shared" si="101"/>
        <v>47.721020965291814</v>
      </c>
      <c r="CW89" s="22">
        <f t="shared" si="71"/>
        <v>415.45755151454978</v>
      </c>
      <c r="CX89" s="62">
        <f t="shared" si="72"/>
        <v>677.85647524063143</v>
      </c>
      <c r="CY89" s="62">
        <f ca="1">AVERAGE(OFFSET($CX$3,0,0,'Données projet'!$E$13+1,1))-AVERAGE(OFFSET($H$3,0,0,'Données projet'!$E$13+1,1))</f>
        <v>395.19659151668884</v>
      </c>
      <c r="CZ89" s="62">
        <f t="shared" si="73"/>
        <v>222.86563304507339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projet'!$B$13,Paramètres!$A$1:$I$88,7,0))</f>
        <v>0</v>
      </c>
      <c r="DD89" s="17">
        <f>IF(ISNA(VLOOKUP(A89,'Données projet'!$A$139:$I$159,6,0)),0%,VLOOKUP(A89,'Données projet'!$A$139:$I$159,6,0)*VLOOKUP('Données projet'!$B$13,Paramètres!$A$1:$I$88,7,0))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projet'!$B$9,Paramètres!$A$1:$I$88,3,0)*0.475*44/12</f>
        <v>0</v>
      </c>
      <c r="DG89" s="23">
        <f>EXP(-LN(2)/25)*DG88+(1-EXP(-LN(2)/25))/(LN(2)/25)*Calculateur!DB89*Calculateur!DD89*VLOOKUP('Données projet'!$B$9,Paramètres!$A$1:$I$88,3,0)*0.475*44/12</f>
        <v>0</v>
      </c>
      <c r="DH89" s="23">
        <f>EXP(-LN(2)/2)*DH88+(1-EXP(-LN(2)/2))/(LN(2)/2)*DB89*DE89*VLOOKUP('Données projet'!$B$9,Paramètres!$A$1:$I$88,3,0)*0.475*44/12</f>
        <v>0</v>
      </c>
      <c r="DI89" s="24">
        <f t="shared" si="74"/>
        <v>0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4.5999999999999996</v>
      </c>
      <c r="DO89" s="13">
        <f>IF(A89&lt;'Données projet'!$A$166,$DL$205^A89,IF(A89='Données projet'!$A$166,'Données projet'!$B$166,DO88+DN89-DW88))</f>
        <v>116.59999999999994</v>
      </c>
      <c r="DP89" s="18">
        <f>DO89*VLOOKUP('Données projet'!$B$14,Paramètres!$A$1:$I$88,3,0)*VLOOKUP('Données projet'!$B$14,Paramètres!$A$1:$I$88,5,0)</f>
        <v>68.21099999999997</v>
      </c>
      <c r="DQ89" s="14">
        <f t="shared" si="102"/>
        <v>19.228518626653386</v>
      </c>
      <c r="DR89" s="22">
        <f t="shared" si="75"/>
        <v>152.29049494142126</v>
      </c>
      <c r="DS89" s="62">
        <f t="shared" si="76"/>
        <v>414.68941866750299</v>
      </c>
      <c r="DT89" s="62">
        <f ca="1">AVERAGE(OFFSET($DS$3,0,0,'Données projet'!$E$14+1,1))-AVERAGE(OFFSET($H$3,0,0,'Données projet'!$E$14+1,1))</f>
        <v>155.18073137151848</v>
      </c>
      <c r="DU89" s="62">
        <f t="shared" si="77"/>
        <v>115.19459155667272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projet'!$B$14,Paramètres!$A$1:$I$88,7,0))</f>
        <v>0</v>
      </c>
      <c r="DY89" s="17">
        <f>IF(ISNA(VLOOKUP(A89,'Données projet'!$A$165:$I$185,6,0)),0%,VLOOKUP(A89,'Données projet'!$A$165:$I$185,6,0)*VLOOKUP('Données projet'!$B$14,Paramètres!$A$1:$I$88,7,0))</f>
        <v>0</v>
      </c>
      <c r="DZ89" s="17">
        <f>IF(ISNA(VLOOKUP(A89,'Données projet'!$A$165:$I$185,7,0)),0%,VLOOKUP(A89,'Données projet'!$A$165:$I$185,7,0))</f>
        <v>0</v>
      </c>
      <c r="EA89" s="23">
        <f>EXP(-LN(2)/35)*EA88+(1-EXP(-LN(2)/35))/(LN(2)/35)*DW89*DX89*VLOOKUP('Données projet'!$B$9,Paramètres!$A$1:$I$88,3,0)*0.475*44/12</f>
        <v>0</v>
      </c>
      <c r="EB89" s="23">
        <f>EXP(-LN(2)/25)*EB88+(1-EXP(-LN(2)/25))/(LN(2)/25)*Calculateur!DW89*Calculateur!DY89*VLOOKUP('Données projet'!$B$9,Paramètres!$A$1:$I$88,3,0)*0.475*44/12</f>
        <v>0</v>
      </c>
      <c r="EC89" s="23">
        <f>EXP(-LN(2)/2)*EC88+(1-EXP(-LN(2)/2))/(LN(2)/2)*DW89*DZ89*VLOOKUP('Données projet'!$B$9,Paramètres!$A$1:$I$88,3,0)*0.475*44/12</f>
        <v>0</v>
      </c>
      <c r="ED89" s="24">
        <f t="shared" si="78"/>
        <v>0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8.0666666666666664</v>
      </c>
      <c r="EJ89" s="13">
        <f>IF(A89&lt;'Données projet'!$A$192,$EG$205^A89,IF(A89='Données projet'!$A$192,'Données projet'!$B$192,EJ88+EI89-ER88))</f>
        <v>277.73333333333335</v>
      </c>
      <c r="EK89" s="18">
        <f>EJ89*VLOOKUP('Données projet'!$B$15,Paramètres!$A$1:$I$88,3,0)*VLOOKUP('Données projet'!$B$15,Paramètres!$A$1:$I$88,5,0)</f>
        <v>129.97919999999999</v>
      </c>
      <c r="EL89" s="14">
        <f t="shared" si="103"/>
        <v>33.991553018294141</v>
      </c>
      <c r="EM89" s="22">
        <f t="shared" si="79"/>
        <v>285.5823948401956</v>
      </c>
      <c r="EN89" s="62">
        <f t="shared" si="80"/>
        <v>547.98131856627731</v>
      </c>
      <c r="EO89" s="62">
        <f ca="1">AVERAGE(OFFSET($EN$3,0,0,'Données projet'!$E$15+1,1))-AVERAGE(OFFSET($H$3,0,0,'Données projet'!$E$15+1,1))</f>
        <v>238.59014604384171</v>
      </c>
      <c r="EP89" s="62">
        <f t="shared" si="81"/>
        <v>90.841373219575217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projet'!$B$15,Paramètres!$A$1:$I$88,7,0))</f>
        <v>0</v>
      </c>
      <c r="ET89" s="17">
        <f>IF(ISNA(VLOOKUP(A89,'Données projet'!$A$191:$I$211,6,0)),0%,VLOOKUP(A89,'Données projet'!$A$191:$I$211,6,0)*VLOOKUP('Données projet'!$B$15,Paramètres!$A$1:$I$88,7,0))</f>
        <v>0</v>
      </c>
      <c r="EU89" s="17">
        <f>IF(ISNA(VLOOKUP(A89,'Données projet'!$A$191:$I$211,7,0)),0%,VLOOKUP(A89,'Données projet'!$A$191:$I$211,7,0))</f>
        <v>0</v>
      </c>
      <c r="EV89" s="23">
        <f>EXP(-LN(2)/35)*EV88+(1-EXP(-LN(2)/35))/(LN(2)/35)*ER89*ES89*VLOOKUP('Données projet'!$B$9,Paramètres!$A$1:$I$88,3,0)*0.475*44/12</f>
        <v>0</v>
      </c>
      <c r="EW89" s="23">
        <f>EXP(-LN(2)/25)*EW88+(1-EXP(-LN(2)/25))/(LN(2)/25)*Calculateur!ER89*Calculateur!ET89*VLOOKUP('Données projet'!$B$9,Paramètres!$A$1:$I$88,3,0)*0.475*44/12</f>
        <v>0</v>
      </c>
      <c r="EX89" s="23">
        <f>EXP(-LN(2)/2)*EX88+(1-EXP(-LN(2)/2))/(LN(2)/2)*ER89*EU89*VLOOKUP('Données projet'!$B$9,Paramètres!$A$1:$I$88,3,0)*0.475*44/12</f>
        <v>0</v>
      </c>
      <c r="EY89" s="24">
        <f t="shared" si="82"/>
        <v>0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IF(A89&lt;'Données projet'!$A$218,$FB$205^A89,IF(A89='Données projet'!$A$218,'Données projet'!$B$218,FE88+FD89-FM88))</f>
        <v>0</v>
      </c>
      <c r="FF89" s="18" t="e">
        <f>FE89*VLOOKUP('Données projet'!$B$16,Paramètres!$A$1:$I$88,3,0)*VLOOKUP('Données projet'!$B$16,Paramètres!$A$1:$I$88,5,0)</f>
        <v>#N/A</v>
      </c>
      <c r="FG89" s="14" t="e">
        <f t="shared" si="104"/>
        <v>#N/A</v>
      </c>
      <c r="FH89" s="22" t="e">
        <f t="shared" si="83"/>
        <v>#N/A</v>
      </c>
      <c r="FI89" s="62" t="e">
        <f t="shared" si="84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85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projet'!$B$16,Paramètres!$A$1:$I$88,7,0))</f>
        <v>0</v>
      </c>
      <c r="FO89" s="17">
        <f>IF(ISNA(VLOOKUP(A89,'Données projet'!$A$217:$I$237,6,0)),0%,VLOOKUP(A89,'Données projet'!$A$217:$I$237,6,0)*VLOOKUP('Données projet'!$B$16,Paramètres!$A$1:$I$88,7,0))</f>
        <v>0</v>
      </c>
      <c r="FP89" s="17">
        <f>IF(ISNA(VLOOKUP(A89,'Données projet'!$A$217:$I$237,7,0)),0%,VLOOKUP(A89,'Données projet'!$A$217:$I$237,7,0))</f>
        <v>0</v>
      </c>
      <c r="FQ89" s="23">
        <f>EXP(-LN(2)/35)*FQ88+(1-EXP(-LN(2)/35))/(LN(2)/35)*FM89*FN89*VLOOKUP('Données projet'!$B$9,Paramètres!$A$1:$I$88,3,0)*0.475*44/12</f>
        <v>0</v>
      </c>
      <c r="FR89" s="23">
        <f>EXP(-LN(2)/25)*FR88+(1-EXP(-LN(2)/25))/(LN(2)/25)*Calculateur!FM89*Calculateur!FO89*VLOOKUP('Données projet'!$B$9,Paramètres!$A$1:$I$88,3,0)*0.475*44/12</f>
        <v>0</v>
      </c>
      <c r="FS89" s="23">
        <f>EXP(-LN(2)/2)*FS88+(1-EXP(-LN(2)/2))/(LN(2)/2)*FM89*FP89*VLOOKUP('Données projet'!$B$9,Paramètres!$A$1:$I$88,3,0)*0.475*44/12</f>
        <v>0</v>
      </c>
      <c r="FT89" s="24">
        <f t="shared" si="86"/>
        <v>0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IF(A89&lt;'Données projet'!$A$244,$FW$205^A89,IF(A89='Données projet'!$A$244,'Données projet'!$B$244,FZ88+FY89-GH88))</f>
        <v>0</v>
      </c>
      <c r="GA89" s="18" t="e">
        <f>FZ89*VLOOKUP('Données projet'!$B$17,Paramètres!$A$1:$I$88,3,0)*VLOOKUP('Données projet'!$B$17,Paramètres!$A$1:$I$88,5,0)</f>
        <v>#N/A</v>
      </c>
      <c r="GB89" s="14" t="e">
        <f t="shared" si="105"/>
        <v>#N/A</v>
      </c>
      <c r="GC89" s="22" t="e">
        <f t="shared" si="87"/>
        <v>#N/A</v>
      </c>
      <c r="GD89" s="62" t="e">
        <f t="shared" si="88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89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projet'!$B$17,Paramètres!$A$1:$I$88,7,0))</f>
        <v>0</v>
      </c>
      <c r="GJ89" s="17">
        <f>IF(ISNA(VLOOKUP(A89,'Données projet'!$A$243:$I$263,6,0)),0%,VLOOKUP(A89,'Données projet'!$A$243:$I$263,6,0)*VLOOKUP('Données projet'!$B$17,Paramètres!$A$1:$I$88,7,0))</f>
        <v>0</v>
      </c>
      <c r="GK89" s="17">
        <f>IF(ISNA(VLOOKUP(A89,'Données projet'!$A$243:$I$263,7,0)),0%,VLOOKUP(A89,'Données projet'!$A$243:$I$263,7,0))</f>
        <v>0</v>
      </c>
      <c r="GL89" s="23">
        <f>EXP(-LN(2)/35)*GL88+(1-EXP(-LN(2)/35))/(LN(2)/35)*GH89*GI89*VLOOKUP('Données projet'!$B$9,Paramètres!$A$1:$I$88,3,0)*0.475*44/12</f>
        <v>0</v>
      </c>
      <c r="GM89" s="23">
        <f>EXP(-LN(2)/25)*GM88+(1-EXP(-LN(2)/25))/(LN(2)/25)*Calculateur!GH89*Calculateur!GJ89*VLOOKUP('Données projet'!$B$9,Paramètres!$A$1:$I$88,3,0)*0.475*44/12</f>
        <v>0</v>
      </c>
      <c r="GN89" s="23">
        <f>EXP(-LN(2)/2)*GN88+(1-EXP(-LN(2)/2))/(LN(2)/2)*GH89*GK89*VLOOKUP('Données projet'!$B$9,Paramètres!$A$1:$I$88,3,0)*0.475*44/12</f>
        <v>0</v>
      </c>
      <c r="GO89" s="23">
        <f t="shared" si="90"/>
        <v>0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IF(A89&lt;'Données projet'!$A$270,$GR$205^A89,IF(A89='Données projet'!$A$270,'Données projet'!$B$270,GU88+GT89-HC88))</f>
        <v>0</v>
      </c>
      <c r="GV89" s="18" t="e">
        <f>GU89*VLOOKUP('Données projet'!$B$18,Paramètres!$A$1:$I$88,3,0)*VLOOKUP('Données projet'!$B$18,Paramètres!$A$1:$I$88,5,0)</f>
        <v>#N/A</v>
      </c>
      <c r="GW89" s="14" t="e">
        <f t="shared" si="106"/>
        <v>#N/A</v>
      </c>
      <c r="GX89" s="22" t="e">
        <f t="shared" si="91"/>
        <v>#N/A</v>
      </c>
      <c r="GY89" s="62" t="e">
        <f t="shared" si="92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93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projet'!$B$18,Paramètres!$A$1:$I$88,7,0))</f>
        <v>0</v>
      </c>
      <c r="HE89" s="17">
        <f>IF(ISNA(VLOOKUP(A89,'Données projet'!$A$269:$I$289,6,0)),0%,VLOOKUP(A89,'Données projet'!$A$269:$I$289,6,0)*VLOOKUP('Données projet'!$B$18,Paramètres!$A$1:$I$88,7,0))</f>
        <v>0</v>
      </c>
      <c r="HF89" s="17">
        <f>IF(ISNA(VLOOKUP(A89,'Données projet'!$A$269:$I$289,7,0)),0%,VLOOKUP(A89,'Données projet'!$A$269:$I$289,7,0))</f>
        <v>0</v>
      </c>
      <c r="HG89" s="23">
        <f>EXP(-LN(2)/35)*HG88+(1-EXP(-LN(2)/35))/(LN(2)/35)*HC89*HD89*VLOOKUP('Données projet'!$B$9,Paramètres!$A$1:$I$88,3,0)*0.475*44/12</f>
        <v>0</v>
      </c>
      <c r="HH89" s="23">
        <f>EXP(-LN(2)/25)*HH88+(1-EXP(-LN(2)/25))/(LN(2)/25)*Calculateur!HC89*Calculateur!HE89*VLOOKUP('Données projet'!$B$9,Paramètres!$A$1:$I$88,3,0)*0.475*44/12</f>
        <v>0</v>
      </c>
      <c r="HI89" s="23">
        <f>EXP(-LN(2)/2)*HI88+(1-EXP(-LN(2)/2))/(LN(2)/2)*HC89*HF89*VLOOKUP('Données projet'!$B$9,Paramètres!$A$1:$I$88,3,0)*0.475*44/12</f>
        <v>0</v>
      </c>
      <c r="HJ89" s="24">
        <f t="shared" si="94"/>
        <v>0</v>
      </c>
    </row>
    <row r="90" spans="1:218" s="5" customFormat="1" x14ac:dyDescent="0.25">
      <c r="A90" s="11">
        <f t="shared" si="95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0" s="12">
        <f t="shared" si="9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57"/>
        <v>135.66666666666666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1.5429166666666674</v>
      </c>
      <c r="N90" s="14">
        <f>IF(A90&lt;'Données projet'!$A$36,$K$205^A90,IF(A90='Données projet'!$A$36,'Données projet'!$B$36,N89+M90-V89))</f>
        <v>101.77958333333329</v>
      </c>
      <c r="O90" s="14">
        <f>N90*VLOOKUP('Données projet'!$B$9,Paramètres!$A$1:$I$88,3,0)*VLOOKUP('Données projet'!$B$9,Paramètres!$A$1:$I$88,5,0)</f>
        <v>117.25007999999994</v>
      </c>
      <c r="P90" s="14">
        <f t="shared" si="97"/>
        <v>31.032762821194346</v>
      </c>
      <c r="Q90" s="22">
        <f t="shared" si="54"/>
        <v>258.25928458024669</v>
      </c>
      <c r="R90" s="62">
        <f t="shared" si="55"/>
        <v>521.19485115403518</v>
      </c>
      <c r="S90" s="62">
        <f ca="1">AVERAGE(OFFSET($R$3,0,0,'Données projet'!$E$9+1,1))-AVERAGE(OFFSET($H$3,0,0,'Données projet'!$E$9+1,1))</f>
        <v>314.72063458462026</v>
      </c>
      <c r="T90" s="62">
        <f t="shared" si="56"/>
        <v>216.4380325968244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projet'!$B$9,Paramètres!$A$1:$I$88,7,0))</f>
        <v>0</v>
      </c>
      <c r="X90" s="17">
        <f>IF(ISNA(VLOOKUP(A90,'Données projet'!$A$35:$I$55,6,0)),0%,VLOOKUP(A90,'Données projet'!$A$35:$I$55,6,0)*VLOOKUP('Données projet'!$B$9,Paramètres!$A$1:$I$88,7,0))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projet'!$B$9,Paramètres!$A$1:$I$88,3,0)*0.475*44/12</f>
        <v>0</v>
      </c>
      <c r="AA90" s="23">
        <f>EXP(-LN(2)/25)*AA89+(1-EXP(-LN(2)/25))/(LN(2)/25)*Calculateur!V90*Calculateur!X90*VLOOKUP('Données projet'!$B$9,Paramètres!$A$1:$I$88,3,0)*0.475*44/12</f>
        <v>0</v>
      </c>
      <c r="AB90" s="23">
        <f>EXP(-LN(2)/2)*AB89+(1-EXP(-LN(2)/2))/(LN(2)/2)*V90*Y90*VLOOKUP('Données projet'!$B$9,Paramètres!$A$1:$I$88,3,0)*0.475*44/12</f>
        <v>0</v>
      </c>
      <c r="AC90" s="24">
        <f t="shared" si="58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3.4</v>
      </c>
      <c r="AI90" s="14">
        <f>IF(A90&lt;'Données projet'!$A$62,$AF$205^A90,IF(A90='Données projet'!$A$62,'Données projet'!$B$62,AI89+AH90-AQ89))</f>
        <v>225.79999999999993</v>
      </c>
      <c r="AJ90" s="14">
        <f>AI90*VLOOKUP('Données projet'!$B$10,Paramètres!$A$1:$I$88,3,0)*VLOOKUP('Données projet'!$B$10,Paramètres!$A$1:$I$88,5,0)</f>
        <v>236.00615999999997</v>
      </c>
      <c r="AK90" s="14">
        <f t="shared" si="98"/>
        <v>57.579398919369801</v>
      </c>
      <c r="AL90" s="22">
        <f t="shared" si="59"/>
        <v>511.32818178456893</v>
      </c>
      <c r="AM90" s="62">
        <f t="shared" si="60"/>
        <v>774.26374835835736</v>
      </c>
      <c r="AN90" s="62">
        <f ca="1">AVERAGE(OFFSET($AM$3,0,0,'Données projet'!$E$10+1,1))-AVERAGE(OFFSET($H$3,0,0,'Données projet'!$E$10+1,1))</f>
        <v>458.33072853676879</v>
      </c>
      <c r="AO90" s="62">
        <f t="shared" si="61"/>
        <v>254.1734169352687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projet'!$B$10,Paramètres!$A$1:$I$88,7,0))</f>
        <v>0</v>
      </c>
      <c r="AS90" s="17">
        <f>IF(ISNA(VLOOKUP(A90,'Données projet'!$A$61:$I$81,6,0)),0%,VLOOKUP(A90,'Données projet'!$A$61:$I$81,6,0)*VLOOKUP('Données projet'!$B$10,Paramètres!$A$1:$I$88,7,0))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projet'!$B$9,Paramètres!$A$1:$I$88,3,0)*0.475*44/12</f>
        <v>0</v>
      </c>
      <c r="AV90" s="23">
        <f>EXP(-LN(2)/25)*AV89+(1-EXP(-LN(2)/25))/(LN(2)/25)*Calculateur!AQ90*Calculateur!AS90*VLOOKUP('Données projet'!$B$9,Paramètres!$A$1:$I$88,3,0)*0.475*44/12</f>
        <v>0</v>
      </c>
      <c r="AW90" s="23">
        <f>EXP(-LN(2)/2)*AW89+(1-EXP(-LN(2)/2))/(LN(2)/2)*AQ90*AT90*VLOOKUP('Données projet'!$B$9,Paramètres!$A$1:$I$88,3,0)*0.475*44/12</f>
        <v>0</v>
      </c>
      <c r="AX90" s="23">
        <f t="shared" si="62"/>
        <v>0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3.4</v>
      </c>
      <c r="BD90" s="13">
        <f>IF(A90&lt;'Données projet'!$A$88,$BA$205^A90,IF(A90='Données projet'!$A$88,'Données projet'!$B$88,BD89+BC90-BL89))</f>
        <v>225.79999999999993</v>
      </c>
      <c r="BE90" s="14">
        <f>BD90*VLOOKUP('Données projet'!$B$11,Paramètres!$A$1:$I$88,3,0)*VLOOKUP('Données projet'!$B$11,Paramètres!$A$1:$I$88,5,0)</f>
        <v>228.96119999999993</v>
      </c>
      <c r="BF90" s="14">
        <f t="shared" si="99"/>
        <v>56.058009542435578</v>
      </c>
      <c r="BG90" s="22">
        <f t="shared" si="63"/>
        <v>496.40845661974186</v>
      </c>
      <c r="BH90" s="62">
        <f t="shared" si="64"/>
        <v>759.34402319353035</v>
      </c>
      <c r="BI90" s="62">
        <f ca="1">AVERAGE(OFFSET($BH$3,0,0,'Données projet'!$E$11+1,1))-AVERAGE(OFFSET($H$3,0,0,'Données projet'!$E$11+1,1))</f>
        <v>447.82618173893104</v>
      </c>
      <c r="BJ90" s="62">
        <f t="shared" si="65"/>
        <v>248.96509970783379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projet'!$B$11,Paramètres!$A$1:$I$88,7,0))</f>
        <v>0</v>
      </c>
      <c r="BN90" s="17">
        <f>IF(ISNA(VLOOKUP(A90,'Données projet'!$A$87:$I$107,6,0)),0%,VLOOKUP(A90,'Données projet'!$A$87:$I$107,6,0)*VLOOKUP('Données projet'!$B$11,Paramètres!$A$1:$I$88,7,0))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projet'!$B$9,Paramètres!$A$1:$I$88,3,0)*0.475*44/12</f>
        <v>0</v>
      </c>
      <c r="BQ90" s="23">
        <f>EXP(-LN(2)/25)*BQ89+(1-EXP(-LN(2)/25))/(LN(2)/25)*Calculateur!BL90*Calculateur!BN90*VLOOKUP('Données projet'!$B$9,Paramètres!$A$1:$I$88,3,0)*0.475*44/12</f>
        <v>0</v>
      </c>
      <c r="BR90" s="23">
        <f>EXP(-LN(2)/2)*BR89+(1-EXP(-LN(2)/2))/(LN(2)/2)*BL90*BO90*VLOOKUP('Données projet'!$B$9,Paramètres!$A$1:$I$88,3,0)*0.475*44/12</f>
        <v>0</v>
      </c>
      <c r="BS90" s="24">
        <f t="shared" si="66"/>
        <v>0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3.4</v>
      </c>
      <c r="BY90" s="13">
        <f>IF(A90&lt;'Données projet'!$A$114,$BV$205^A90,IF(A90='Données projet'!$A$114,'Données projet'!$B$114,BY89+BX90-CG89))</f>
        <v>225.79999999999993</v>
      </c>
      <c r="BZ90" s="14">
        <f>BY90*VLOOKUP('Données projet'!$B$12,Paramètres!$A$1:$I$88,3,0)*VLOOKUP('Données projet'!$B$12,Paramètres!$A$1:$I$88,5,0)</f>
        <v>243.05111999999991</v>
      </c>
      <c r="CA90" s="14">
        <f t="shared" si="100"/>
        <v>59.095510380978311</v>
      </c>
      <c r="CB90" s="22">
        <f t="shared" si="67"/>
        <v>526.23871458020369</v>
      </c>
      <c r="CC90" s="62">
        <f t="shared" si="68"/>
        <v>789.17428115399207</v>
      </c>
      <c r="CD90" s="62">
        <f ca="1">AVERAGE(OFFSET($CC$3,0,0,'Données projet'!$E$12+1,1))-AVERAGE(OFFSET($H$3,0,0,'Données projet'!$E$12+1,1))</f>
        <v>468.82871618425406</v>
      </c>
      <c r="CE90" s="62">
        <f t="shared" si="69"/>
        <v>259.37818128554397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projet'!$B$12,Paramètres!$A$1:$I$88,7,0))</f>
        <v>0</v>
      </c>
      <c r="CI90" s="17">
        <f>IF(ISNA(VLOOKUP(A90,'Données projet'!$A$113:$I$133,6,0)),0%,VLOOKUP(A90,'Données projet'!$A$113:$I$133,6,0)*VLOOKUP('Données projet'!$B$12,Paramètres!$A$1:$I$88,7,0))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projet'!$B$9,Paramètres!$A$1:$I$88,3,0)*0.475*44/12</f>
        <v>0</v>
      </c>
      <c r="CL90" s="23">
        <f>EXP(-LN(2)/25)*CL89+(1-EXP(-LN(2)/25))/(LN(2)/25)*Calculateur!CG90*Calculateur!CI90*VLOOKUP('Données projet'!$B$9,Paramètres!$A$1:$I$88,3,0)*0.475*44/12</f>
        <v>0</v>
      </c>
      <c r="CM90" s="23">
        <f>EXP(-LN(2)/2)*CM89+(1-EXP(-LN(2)/2))/(LN(2)/2)*CG90*CJ90*VLOOKUP('Données projet'!$B$9,Paramètres!$A$1:$I$88,3,0)*0.475*44/12</f>
        <v>0</v>
      </c>
      <c r="CN90" s="24">
        <f t="shared" si="70"/>
        <v>0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3.4</v>
      </c>
      <c r="CT90" s="13">
        <f>IF(A90&lt;'Données projet'!$A$140,$CQ$205^A90,IF(A90='Données projet'!$A$140,'Données projet'!$B$140,CT89+CS90-DB89))</f>
        <v>225.79999999999993</v>
      </c>
      <c r="CU90" s="18">
        <f>CT90*VLOOKUP('Données projet'!$B$13,Paramètres!$A$1:$I$88,3,0)*VLOOKUP('Données projet'!$B$13,Paramètres!$A$1:$I$88,5,0)</f>
        <v>193.73639999999995</v>
      </c>
      <c r="CV90" s="14">
        <f t="shared" si="101"/>
        <v>48.365079242263079</v>
      </c>
      <c r="CW90" s="22">
        <f t="shared" si="71"/>
        <v>421.66007634694142</v>
      </c>
      <c r="CX90" s="62">
        <f t="shared" si="72"/>
        <v>684.59564292072992</v>
      </c>
      <c r="CY90" s="62">
        <f ca="1">AVERAGE(OFFSET($CX$3,0,0,'Données projet'!$E$13+1,1))-AVERAGE(OFFSET($H$3,0,0,'Données projet'!$E$13+1,1))</f>
        <v>395.19659151668884</v>
      </c>
      <c r="CZ90" s="62">
        <f t="shared" si="73"/>
        <v>222.86563304507339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projet'!$B$13,Paramètres!$A$1:$I$88,7,0))</f>
        <v>0</v>
      </c>
      <c r="DD90" s="17">
        <f>IF(ISNA(VLOOKUP(A90,'Données projet'!$A$139:$I$159,6,0)),0%,VLOOKUP(A90,'Données projet'!$A$139:$I$159,6,0)*VLOOKUP('Données projet'!$B$13,Paramètres!$A$1:$I$88,7,0))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projet'!$B$9,Paramètres!$A$1:$I$88,3,0)*0.475*44/12</f>
        <v>0</v>
      </c>
      <c r="DG90" s="23">
        <f>EXP(-LN(2)/25)*DG89+(1-EXP(-LN(2)/25))/(LN(2)/25)*Calculateur!DB90*Calculateur!DD90*VLOOKUP('Données projet'!$B$9,Paramètres!$A$1:$I$88,3,0)*0.475*44/12</f>
        <v>0</v>
      </c>
      <c r="DH90" s="23">
        <f>EXP(-LN(2)/2)*DH89+(1-EXP(-LN(2)/2))/(LN(2)/2)*DB90*DE90*VLOOKUP('Données projet'!$B$9,Paramètres!$A$1:$I$88,3,0)*0.475*44/12</f>
        <v>0</v>
      </c>
      <c r="DI90" s="24">
        <f t="shared" si="74"/>
        <v>0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4.5999999999999996</v>
      </c>
      <c r="DO90" s="13">
        <f>IF(A90&lt;'Données projet'!$A$166,$DL$205^A90,IF(A90='Données projet'!$A$166,'Données projet'!$B$166,DO89+DN90-DW89))</f>
        <v>121.19999999999993</v>
      </c>
      <c r="DP90" s="18">
        <f>DO90*VLOOKUP('Données projet'!$B$14,Paramètres!$A$1:$I$88,3,0)*VLOOKUP('Données projet'!$B$14,Paramètres!$A$1:$I$88,5,0)</f>
        <v>70.901999999999958</v>
      </c>
      <c r="DQ90" s="14">
        <f t="shared" si="102"/>
        <v>19.897288774666499</v>
      </c>
      <c r="DR90" s="22">
        <f t="shared" si="75"/>
        <v>158.1420946158774</v>
      </c>
      <c r="DS90" s="62">
        <f t="shared" si="76"/>
        <v>421.07766118966583</v>
      </c>
      <c r="DT90" s="62">
        <f ca="1">AVERAGE(OFFSET($DS$3,0,0,'Données projet'!$E$14+1,1))-AVERAGE(OFFSET($H$3,0,0,'Données projet'!$E$14+1,1))</f>
        <v>155.18073137151848</v>
      </c>
      <c r="DU90" s="62">
        <f t="shared" si="77"/>
        <v>115.19459155667272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projet'!$B$14,Paramètres!$A$1:$I$88,7,0))</f>
        <v>0</v>
      </c>
      <c r="DY90" s="17">
        <f>IF(ISNA(VLOOKUP(A90,'Données projet'!$A$165:$I$185,6,0)),0%,VLOOKUP(A90,'Données projet'!$A$165:$I$185,6,0)*VLOOKUP('Données projet'!$B$14,Paramètres!$A$1:$I$88,7,0))</f>
        <v>0</v>
      </c>
      <c r="DZ90" s="17">
        <f>IF(ISNA(VLOOKUP(A90,'Données projet'!$A$165:$I$185,7,0)),0%,VLOOKUP(A90,'Données projet'!$A$165:$I$185,7,0))</f>
        <v>0</v>
      </c>
      <c r="EA90" s="23">
        <f>EXP(-LN(2)/35)*EA89+(1-EXP(-LN(2)/35))/(LN(2)/35)*DW90*DX90*VLOOKUP('Données projet'!$B$9,Paramètres!$A$1:$I$88,3,0)*0.475*44/12</f>
        <v>0</v>
      </c>
      <c r="EB90" s="23">
        <f>EXP(-LN(2)/25)*EB89+(1-EXP(-LN(2)/25))/(LN(2)/25)*Calculateur!DW90*Calculateur!DY90*VLOOKUP('Données projet'!$B$9,Paramètres!$A$1:$I$88,3,0)*0.475*44/12</f>
        <v>0</v>
      </c>
      <c r="EC90" s="23">
        <f>EXP(-LN(2)/2)*EC89+(1-EXP(-LN(2)/2))/(LN(2)/2)*DW90*DZ90*VLOOKUP('Données projet'!$B$9,Paramètres!$A$1:$I$88,3,0)*0.475*44/12</f>
        <v>0</v>
      </c>
      <c r="ED90" s="24">
        <f t="shared" si="78"/>
        <v>0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8.0666666666666664</v>
      </c>
      <c r="EJ90" s="13">
        <f>IF(A90&lt;'Données projet'!$A$192,$EG$205^A90,IF(A90='Données projet'!$A$192,'Données projet'!$B$192,EJ89+EI90-ER89))</f>
        <v>285.8</v>
      </c>
      <c r="EK90" s="18">
        <f>EJ90*VLOOKUP('Données projet'!$B$15,Paramètres!$A$1:$I$88,3,0)*VLOOKUP('Données projet'!$B$15,Paramètres!$A$1:$I$88,5,0)</f>
        <v>133.7544</v>
      </c>
      <c r="EL90" s="14">
        <f t="shared" si="103"/>
        <v>34.862448215373981</v>
      </c>
      <c r="EM90" s="22">
        <f t="shared" si="79"/>
        <v>293.67434397510965</v>
      </c>
      <c r="EN90" s="62">
        <f t="shared" si="80"/>
        <v>556.60991054889814</v>
      </c>
      <c r="EO90" s="62">
        <f ca="1">AVERAGE(OFFSET($EN$3,0,0,'Données projet'!$E$15+1,1))-AVERAGE(OFFSET($H$3,0,0,'Données projet'!$E$15+1,1))</f>
        <v>238.59014604384171</v>
      </c>
      <c r="EP90" s="62">
        <f t="shared" si="81"/>
        <v>90.841373219575217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projet'!$B$15,Paramètres!$A$1:$I$88,7,0))</f>
        <v>0</v>
      </c>
      <c r="ET90" s="17">
        <f>IF(ISNA(VLOOKUP(A90,'Données projet'!$A$191:$I$211,6,0)),0%,VLOOKUP(A90,'Données projet'!$A$191:$I$211,6,0)*VLOOKUP('Données projet'!$B$15,Paramètres!$A$1:$I$88,7,0))</f>
        <v>0</v>
      </c>
      <c r="EU90" s="17">
        <f>IF(ISNA(VLOOKUP(A90,'Données projet'!$A$191:$I$211,7,0)),0%,VLOOKUP(A90,'Données projet'!$A$191:$I$211,7,0))</f>
        <v>0</v>
      </c>
      <c r="EV90" s="23">
        <f>EXP(-LN(2)/35)*EV89+(1-EXP(-LN(2)/35))/(LN(2)/35)*ER90*ES90*VLOOKUP('Données projet'!$B$9,Paramètres!$A$1:$I$88,3,0)*0.475*44/12</f>
        <v>0</v>
      </c>
      <c r="EW90" s="23">
        <f>EXP(-LN(2)/25)*EW89+(1-EXP(-LN(2)/25))/(LN(2)/25)*Calculateur!ER90*Calculateur!ET90*VLOOKUP('Données projet'!$B$9,Paramètres!$A$1:$I$88,3,0)*0.475*44/12</f>
        <v>0</v>
      </c>
      <c r="EX90" s="23">
        <f>EXP(-LN(2)/2)*EX89+(1-EXP(-LN(2)/2))/(LN(2)/2)*ER90*EU90*VLOOKUP('Données projet'!$B$9,Paramètres!$A$1:$I$88,3,0)*0.475*44/12</f>
        <v>0</v>
      </c>
      <c r="EY90" s="24">
        <f t="shared" si="82"/>
        <v>0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IF(A90&lt;'Données projet'!$A$218,$FB$205^A90,IF(A90='Données projet'!$A$218,'Données projet'!$B$218,FE89+FD90-FM89))</f>
        <v>0</v>
      </c>
      <c r="FF90" s="18" t="e">
        <f>FE90*VLOOKUP('Données projet'!$B$16,Paramètres!$A$1:$I$88,3,0)*VLOOKUP('Données projet'!$B$16,Paramètres!$A$1:$I$88,5,0)</f>
        <v>#N/A</v>
      </c>
      <c r="FG90" s="14" t="e">
        <f t="shared" si="104"/>
        <v>#N/A</v>
      </c>
      <c r="FH90" s="22" t="e">
        <f t="shared" si="83"/>
        <v>#N/A</v>
      </c>
      <c r="FI90" s="62" t="e">
        <f t="shared" si="84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85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projet'!$B$16,Paramètres!$A$1:$I$88,7,0))</f>
        <v>0</v>
      </c>
      <c r="FO90" s="17">
        <f>IF(ISNA(VLOOKUP(A90,'Données projet'!$A$217:$I$237,6,0)),0%,VLOOKUP(A90,'Données projet'!$A$217:$I$237,6,0)*VLOOKUP('Données projet'!$B$16,Paramètres!$A$1:$I$88,7,0))</f>
        <v>0</v>
      </c>
      <c r="FP90" s="17">
        <f>IF(ISNA(VLOOKUP(A90,'Données projet'!$A$217:$I$237,7,0)),0%,VLOOKUP(A90,'Données projet'!$A$217:$I$237,7,0))</f>
        <v>0</v>
      </c>
      <c r="FQ90" s="23">
        <f>EXP(-LN(2)/35)*FQ89+(1-EXP(-LN(2)/35))/(LN(2)/35)*FM90*FN90*VLOOKUP('Données projet'!$B$9,Paramètres!$A$1:$I$88,3,0)*0.475*44/12</f>
        <v>0</v>
      </c>
      <c r="FR90" s="23">
        <f>EXP(-LN(2)/25)*FR89+(1-EXP(-LN(2)/25))/(LN(2)/25)*Calculateur!FM90*Calculateur!FO90*VLOOKUP('Données projet'!$B$9,Paramètres!$A$1:$I$88,3,0)*0.475*44/12</f>
        <v>0</v>
      </c>
      <c r="FS90" s="23">
        <f>EXP(-LN(2)/2)*FS89+(1-EXP(-LN(2)/2))/(LN(2)/2)*FM90*FP90*VLOOKUP('Données projet'!$B$9,Paramètres!$A$1:$I$88,3,0)*0.475*44/12</f>
        <v>0</v>
      </c>
      <c r="FT90" s="24">
        <f t="shared" si="86"/>
        <v>0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IF(A90&lt;'Données projet'!$A$244,$FW$205^A90,IF(A90='Données projet'!$A$244,'Données projet'!$B$244,FZ89+FY90-GH89))</f>
        <v>0</v>
      </c>
      <c r="GA90" s="18" t="e">
        <f>FZ90*VLOOKUP('Données projet'!$B$17,Paramètres!$A$1:$I$88,3,0)*VLOOKUP('Données projet'!$B$17,Paramètres!$A$1:$I$88,5,0)</f>
        <v>#N/A</v>
      </c>
      <c r="GB90" s="14" t="e">
        <f t="shared" si="105"/>
        <v>#N/A</v>
      </c>
      <c r="GC90" s="22" t="e">
        <f t="shared" si="87"/>
        <v>#N/A</v>
      </c>
      <c r="GD90" s="62" t="e">
        <f t="shared" si="88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89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projet'!$B$17,Paramètres!$A$1:$I$88,7,0))</f>
        <v>0</v>
      </c>
      <c r="GJ90" s="17">
        <f>IF(ISNA(VLOOKUP(A90,'Données projet'!$A$243:$I$263,6,0)),0%,VLOOKUP(A90,'Données projet'!$A$243:$I$263,6,0)*VLOOKUP('Données projet'!$B$17,Paramètres!$A$1:$I$88,7,0))</f>
        <v>0</v>
      </c>
      <c r="GK90" s="17">
        <f>IF(ISNA(VLOOKUP(A90,'Données projet'!$A$243:$I$263,7,0)),0%,VLOOKUP(A90,'Données projet'!$A$243:$I$263,7,0))</f>
        <v>0</v>
      </c>
      <c r="GL90" s="23">
        <f>EXP(-LN(2)/35)*GL89+(1-EXP(-LN(2)/35))/(LN(2)/35)*GH90*GI90*VLOOKUP('Données projet'!$B$9,Paramètres!$A$1:$I$88,3,0)*0.475*44/12</f>
        <v>0</v>
      </c>
      <c r="GM90" s="23">
        <f>EXP(-LN(2)/25)*GM89+(1-EXP(-LN(2)/25))/(LN(2)/25)*Calculateur!GH90*Calculateur!GJ90*VLOOKUP('Données projet'!$B$9,Paramètres!$A$1:$I$88,3,0)*0.475*44/12</f>
        <v>0</v>
      </c>
      <c r="GN90" s="23">
        <f>EXP(-LN(2)/2)*GN89+(1-EXP(-LN(2)/2))/(LN(2)/2)*GH90*GK90*VLOOKUP('Données projet'!$B$9,Paramètres!$A$1:$I$88,3,0)*0.475*44/12</f>
        <v>0</v>
      </c>
      <c r="GO90" s="23">
        <f t="shared" si="90"/>
        <v>0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IF(A90&lt;'Données projet'!$A$270,$GR$205^A90,IF(A90='Données projet'!$A$270,'Données projet'!$B$270,GU89+GT90-HC89))</f>
        <v>0</v>
      </c>
      <c r="GV90" s="18" t="e">
        <f>GU90*VLOOKUP('Données projet'!$B$18,Paramètres!$A$1:$I$88,3,0)*VLOOKUP('Données projet'!$B$18,Paramètres!$A$1:$I$88,5,0)</f>
        <v>#N/A</v>
      </c>
      <c r="GW90" s="14" t="e">
        <f t="shared" si="106"/>
        <v>#N/A</v>
      </c>
      <c r="GX90" s="22" t="e">
        <f t="shared" si="91"/>
        <v>#N/A</v>
      </c>
      <c r="GY90" s="62" t="e">
        <f t="shared" si="92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93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projet'!$B$18,Paramètres!$A$1:$I$88,7,0))</f>
        <v>0</v>
      </c>
      <c r="HE90" s="17">
        <f>IF(ISNA(VLOOKUP(A90,'Données projet'!$A$269:$I$289,6,0)),0%,VLOOKUP(A90,'Données projet'!$A$269:$I$289,6,0)*VLOOKUP('Données projet'!$B$18,Paramètres!$A$1:$I$88,7,0))</f>
        <v>0</v>
      </c>
      <c r="HF90" s="17">
        <f>IF(ISNA(VLOOKUP(A90,'Données projet'!$A$269:$I$289,7,0)),0%,VLOOKUP(A90,'Données projet'!$A$269:$I$289,7,0))</f>
        <v>0</v>
      </c>
      <c r="HG90" s="23">
        <f>EXP(-LN(2)/35)*HG89+(1-EXP(-LN(2)/35))/(LN(2)/35)*HC90*HD90*VLOOKUP('Données projet'!$B$9,Paramètres!$A$1:$I$88,3,0)*0.475*44/12</f>
        <v>0</v>
      </c>
      <c r="HH90" s="23">
        <f>EXP(-LN(2)/25)*HH89+(1-EXP(-LN(2)/25))/(LN(2)/25)*Calculateur!HC90*Calculateur!HE90*VLOOKUP('Données projet'!$B$9,Paramètres!$A$1:$I$88,3,0)*0.475*44/12</f>
        <v>0</v>
      </c>
      <c r="HI90" s="23">
        <f>EXP(-LN(2)/2)*HI89+(1-EXP(-LN(2)/2))/(LN(2)/2)*HC90*HF90*VLOOKUP('Données projet'!$B$9,Paramètres!$A$1:$I$88,3,0)*0.475*44/12</f>
        <v>0</v>
      </c>
      <c r="HJ90" s="24">
        <f t="shared" si="94"/>
        <v>0</v>
      </c>
    </row>
    <row r="91" spans="1:218" s="5" customFormat="1" x14ac:dyDescent="0.25">
      <c r="A91" s="11">
        <f t="shared" si="95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1" s="12">
        <f t="shared" si="9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57"/>
        <v>135.66666666666666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1.5429166666666674</v>
      </c>
      <c r="N91" s="14">
        <f>IF(A91&lt;'Données projet'!$A$36,$K$205^A91,IF(A91='Données projet'!$A$36,'Données projet'!$B$36,N90+M91-V90))</f>
        <v>103.32249999999996</v>
      </c>
      <c r="O91" s="14">
        <f>N91*VLOOKUP('Données projet'!$B$9,Paramètres!$A$1:$I$88,3,0)*VLOOKUP('Données projet'!$B$9,Paramètres!$A$1:$I$88,5,0)</f>
        <v>119.02751999999994</v>
      </c>
      <c r="P91" s="14">
        <f t="shared" si="97"/>
        <v>31.448077002121423</v>
      </c>
      <c r="Q91" s="22">
        <f t="shared" si="54"/>
        <v>262.07833144536136</v>
      </c>
      <c r="R91" s="62">
        <f t="shared" si="55"/>
        <v>525.54123131320239</v>
      </c>
      <c r="S91" s="62">
        <f ca="1">AVERAGE(OFFSET($R$3,0,0,'Données projet'!$E$9+1,1))-AVERAGE(OFFSET($H$3,0,0,'Données projet'!$E$9+1,1))</f>
        <v>314.72063458462026</v>
      </c>
      <c r="T91" s="62">
        <f t="shared" si="56"/>
        <v>216.4380325968244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projet'!$B$9,Paramètres!$A$1:$I$88,7,0))</f>
        <v>0</v>
      </c>
      <c r="X91" s="17">
        <f>IF(ISNA(VLOOKUP(A91,'Données projet'!$A$35:$I$55,6,0)),0%,VLOOKUP(A91,'Données projet'!$A$35:$I$55,6,0)*VLOOKUP('Données projet'!$B$9,Paramètres!$A$1:$I$88,7,0))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projet'!$B$9,Paramètres!$A$1:$I$88,3,0)*0.475*44/12</f>
        <v>0</v>
      </c>
      <c r="AA91" s="23">
        <f>EXP(-LN(2)/25)*AA90+(1-EXP(-LN(2)/25))/(LN(2)/25)*Calculateur!V91*Calculateur!X91*VLOOKUP('Données projet'!$B$9,Paramètres!$A$1:$I$88,3,0)*0.475*44/12</f>
        <v>0</v>
      </c>
      <c r="AB91" s="23">
        <f>EXP(-LN(2)/2)*AB90+(1-EXP(-LN(2)/2))/(LN(2)/2)*V91*Y91*VLOOKUP('Données projet'!$B$9,Paramètres!$A$1:$I$88,3,0)*0.475*44/12</f>
        <v>0</v>
      </c>
      <c r="AC91" s="24">
        <f t="shared" si="58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3.4</v>
      </c>
      <c r="AI91" s="14">
        <f>IF(A91&lt;'Données projet'!$A$62,$AF$205^A91,IF(A91='Données projet'!$A$62,'Données projet'!$B$62,AI90+AH91-AQ90))</f>
        <v>229.19999999999993</v>
      </c>
      <c r="AJ91" s="14">
        <f>AI91*VLOOKUP('Données projet'!$B$10,Paramètres!$A$1:$I$88,3,0)*VLOOKUP('Données projet'!$B$10,Paramètres!$A$1:$I$88,5,0)</f>
        <v>239.55983999999995</v>
      </c>
      <c r="AK91" s="14">
        <f t="shared" si="98"/>
        <v>58.344817798678484</v>
      </c>
      <c r="AL91" s="22">
        <f t="shared" si="59"/>
        <v>518.85061233269823</v>
      </c>
      <c r="AM91" s="62">
        <f t="shared" si="60"/>
        <v>782.31351220053932</v>
      </c>
      <c r="AN91" s="62">
        <f ca="1">AVERAGE(OFFSET($AM$3,0,0,'Données projet'!$E$10+1,1))-AVERAGE(OFFSET($H$3,0,0,'Données projet'!$E$10+1,1))</f>
        <v>458.33072853676879</v>
      </c>
      <c r="AO91" s="62">
        <f t="shared" si="61"/>
        <v>254.1734169352687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projet'!$B$10,Paramètres!$A$1:$I$88,7,0))</f>
        <v>0</v>
      </c>
      <c r="AS91" s="17">
        <f>IF(ISNA(VLOOKUP(A91,'Données projet'!$A$61:$I$81,6,0)),0%,VLOOKUP(A91,'Données projet'!$A$61:$I$81,6,0)*VLOOKUP('Données projet'!$B$10,Paramètres!$A$1:$I$88,7,0))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projet'!$B$9,Paramètres!$A$1:$I$88,3,0)*0.475*44/12</f>
        <v>0</v>
      </c>
      <c r="AV91" s="23">
        <f>EXP(-LN(2)/25)*AV90+(1-EXP(-LN(2)/25))/(LN(2)/25)*Calculateur!AQ91*Calculateur!AS91*VLOOKUP('Données projet'!$B$9,Paramètres!$A$1:$I$88,3,0)*0.475*44/12</f>
        <v>0</v>
      </c>
      <c r="AW91" s="23">
        <f>EXP(-LN(2)/2)*AW90+(1-EXP(-LN(2)/2))/(LN(2)/2)*AQ91*AT91*VLOOKUP('Données projet'!$B$9,Paramètres!$A$1:$I$88,3,0)*0.475*44/12</f>
        <v>0</v>
      </c>
      <c r="AX91" s="23">
        <f t="shared" si="62"/>
        <v>0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3.4</v>
      </c>
      <c r="BD91" s="13">
        <f>IF(A91&lt;'Données projet'!$A$88,$BA$205^A91,IF(A91='Données projet'!$A$88,'Données projet'!$B$88,BD90+BC91-BL90))</f>
        <v>229.19999999999993</v>
      </c>
      <c r="BE91" s="14">
        <f>BD91*VLOOKUP('Données projet'!$B$11,Paramètres!$A$1:$I$88,3,0)*VLOOKUP('Données projet'!$B$11,Paramètres!$A$1:$I$88,5,0)</f>
        <v>232.40879999999996</v>
      </c>
      <c r="BF91" s="14">
        <f t="shared" si="99"/>
        <v>56.803204171860841</v>
      </c>
      <c r="BG91" s="22">
        <f t="shared" si="63"/>
        <v>503.7109072659909</v>
      </c>
      <c r="BH91" s="62">
        <f t="shared" si="64"/>
        <v>767.17380713383204</v>
      </c>
      <c r="BI91" s="62">
        <f ca="1">AVERAGE(OFFSET($BH$3,0,0,'Données projet'!$E$11+1,1))-AVERAGE(OFFSET($H$3,0,0,'Données projet'!$E$11+1,1))</f>
        <v>447.82618173893104</v>
      </c>
      <c r="BJ91" s="62">
        <f t="shared" si="65"/>
        <v>248.96509970783379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projet'!$B$11,Paramètres!$A$1:$I$88,7,0))</f>
        <v>0</v>
      </c>
      <c r="BN91" s="17">
        <f>IF(ISNA(VLOOKUP(A91,'Données projet'!$A$87:$I$107,6,0)),0%,VLOOKUP(A91,'Données projet'!$A$87:$I$107,6,0)*VLOOKUP('Données projet'!$B$11,Paramètres!$A$1:$I$88,7,0))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projet'!$B$9,Paramètres!$A$1:$I$88,3,0)*0.475*44/12</f>
        <v>0</v>
      </c>
      <c r="BQ91" s="23">
        <f>EXP(-LN(2)/25)*BQ90+(1-EXP(-LN(2)/25))/(LN(2)/25)*Calculateur!BL91*Calculateur!BN91*VLOOKUP('Données projet'!$B$9,Paramètres!$A$1:$I$88,3,0)*0.475*44/12</f>
        <v>0</v>
      </c>
      <c r="BR91" s="23">
        <f>EXP(-LN(2)/2)*BR90+(1-EXP(-LN(2)/2))/(LN(2)/2)*BL91*BO91*VLOOKUP('Données projet'!$B$9,Paramètres!$A$1:$I$88,3,0)*0.475*44/12</f>
        <v>0</v>
      </c>
      <c r="BS91" s="24">
        <f t="shared" si="66"/>
        <v>0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3.4</v>
      </c>
      <c r="BY91" s="13">
        <f>IF(A91&lt;'Données projet'!$A$114,$BV$205^A91,IF(A91='Données projet'!$A$114,'Données projet'!$B$114,BY90+BX91-CG90))</f>
        <v>229.19999999999993</v>
      </c>
      <c r="BZ91" s="14">
        <f>BY91*VLOOKUP('Données projet'!$B$12,Paramètres!$A$1:$I$88,3,0)*VLOOKUP('Données projet'!$B$12,Paramètres!$A$1:$I$88,5,0)</f>
        <v>246.71087999999992</v>
      </c>
      <c r="CA91" s="14">
        <f t="shared" si="100"/>
        <v>59.881083349381889</v>
      </c>
      <c r="CB91" s="22">
        <f t="shared" si="67"/>
        <v>533.98100283350652</v>
      </c>
      <c r="CC91" s="62">
        <f t="shared" si="68"/>
        <v>797.44390270134761</v>
      </c>
      <c r="CD91" s="62">
        <f ca="1">AVERAGE(OFFSET($CC$3,0,0,'Données projet'!$E$12+1,1))-AVERAGE(OFFSET($H$3,0,0,'Données projet'!$E$12+1,1))</f>
        <v>468.82871618425406</v>
      </c>
      <c r="CE91" s="62">
        <f t="shared" si="69"/>
        <v>259.37818128554397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projet'!$B$12,Paramètres!$A$1:$I$88,7,0))</f>
        <v>0</v>
      </c>
      <c r="CI91" s="17">
        <f>IF(ISNA(VLOOKUP(A91,'Données projet'!$A$113:$I$133,6,0)),0%,VLOOKUP(A91,'Données projet'!$A$113:$I$133,6,0)*VLOOKUP('Données projet'!$B$12,Paramètres!$A$1:$I$88,7,0))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projet'!$B$9,Paramètres!$A$1:$I$88,3,0)*0.475*44/12</f>
        <v>0</v>
      </c>
      <c r="CL91" s="23">
        <f>EXP(-LN(2)/25)*CL90+(1-EXP(-LN(2)/25))/(LN(2)/25)*Calculateur!CG91*Calculateur!CI91*VLOOKUP('Données projet'!$B$9,Paramètres!$A$1:$I$88,3,0)*0.475*44/12</f>
        <v>0</v>
      </c>
      <c r="CM91" s="23">
        <f>EXP(-LN(2)/2)*CM90+(1-EXP(-LN(2)/2))/(LN(2)/2)*CG91*CJ91*VLOOKUP('Données projet'!$B$9,Paramètres!$A$1:$I$88,3,0)*0.475*44/12</f>
        <v>0</v>
      </c>
      <c r="CN91" s="24">
        <f t="shared" si="70"/>
        <v>0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3.4</v>
      </c>
      <c r="CT91" s="13">
        <f>IF(A91&lt;'Données projet'!$A$140,$CQ$205^A91,IF(A91='Données projet'!$A$140,'Données projet'!$B$140,CT90+CS91-DB90))</f>
        <v>229.19999999999993</v>
      </c>
      <c r="CU91" s="18">
        <f>CT91*VLOOKUP('Données projet'!$B$13,Paramètres!$A$1:$I$88,3,0)*VLOOKUP('Données projet'!$B$13,Paramètres!$A$1:$I$88,5,0)</f>
        <v>196.65359999999995</v>
      </c>
      <c r="CV91" s="14">
        <f t="shared" si="101"/>
        <v>49.008009620941195</v>
      </c>
      <c r="CW91" s="22">
        <f t="shared" si="71"/>
        <v>427.86063675647239</v>
      </c>
      <c r="CX91" s="62">
        <f t="shared" si="72"/>
        <v>691.32353662431342</v>
      </c>
      <c r="CY91" s="62">
        <f ca="1">AVERAGE(OFFSET($CX$3,0,0,'Données projet'!$E$13+1,1))-AVERAGE(OFFSET($H$3,0,0,'Données projet'!$E$13+1,1))</f>
        <v>395.19659151668884</v>
      </c>
      <c r="CZ91" s="62">
        <f t="shared" si="73"/>
        <v>222.86563304507339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projet'!$B$13,Paramètres!$A$1:$I$88,7,0))</f>
        <v>0</v>
      </c>
      <c r="DD91" s="17">
        <f>IF(ISNA(VLOOKUP(A91,'Données projet'!$A$139:$I$159,6,0)),0%,VLOOKUP(A91,'Données projet'!$A$139:$I$159,6,0)*VLOOKUP('Données projet'!$B$13,Paramètres!$A$1:$I$88,7,0))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projet'!$B$9,Paramètres!$A$1:$I$88,3,0)*0.475*44/12</f>
        <v>0</v>
      </c>
      <c r="DG91" s="23">
        <f>EXP(-LN(2)/25)*DG90+(1-EXP(-LN(2)/25))/(LN(2)/25)*Calculateur!DB91*Calculateur!DD91*VLOOKUP('Données projet'!$B$9,Paramètres!$A$1:$I$88,3,0)*0.475*44/12</f>
        <v>0</v>
      </c>
      <c r="DH91" s="23">
        <f>EXP(-LN(2)/2)*DH90+(1-EXP(-LN(2)/2))/(LN(2)/2)*DB91*DE91*VLOOKUP('Données projet'!$B$9,Paramètres!$A$1:$I$88,3,0)*0.475*44/12</f>
        <v>0</v>
      </c>
      <c r="DI91" s="24">
        <f t="shared" si="74"/>
        <v>0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4.5999999999999996</v>
      </c>
      <c r="DO91" s="13">
        <f>IF(A91&lt;'Données projet'!$A$166,$DL$205^A91,IF(A91='Données projet'!$A$166,'Données projet'!$B$166,DO90+DN91-DW90))</f>
        <v>125.79999999999993</v>
      </c>
      <c r="DP91" s="18">
        <f>DO91*VLOOKUP('Données projet'!$B$14,Paramètres!$A$1:$I$88,3,0)*VLOOKUP('Données projet'!$B$14,Paramètres!$A$1:$I$88,5,0)</f>
        <v>73.592999999999961</v>
      </c>
      <c r="DQ91" s="14">
        <f t="shared" si="102"/>
        <v>20.56311018424794</v>
      </c>
      <c r="DR91" s="22">
        <f t="shared" si="75"/>
        <v>163.98855857089842</v>
      </c>
      <c r="DS91" s="62">
        <f t="shared" si="76"/>
        <v>427.45145843873951</v>
      </c>
      <c r="DT91" s="62">
        <f ca="1">AVERAGE(OFFSET($DS$3,0,0,'Données projet'!$E$14+1,1))-AVERAGE(OFFSET($H$3,0,0,'Données projet'!$E$14+1,1))</f>
        <v>155.18073137151848</v>
      </c>
      <c r="DU91" s="62">
        <f t="shared" si="77"/>
        <v>115.19459155667272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projet'!$B$14,Paramètres!$A$1:$I$88,7,0))</f>
        <v>0</v>
      </c>
      <c r="DY91" s="17">
        <f>IF(ISNA(VLOOKUP(A91,'Données projet'!$A$165:$I$185,6,0)),0%,VLOOKUP(A91,'Données projet'!$A$165:$I$185,6,0)*VLOOKUP('Données projet'!$B$14,Paramètres!$A$1:$I$88,7,0))</f>
        <v>0</v>
      </c>
      <c r="DZ91" s="17">
        <f>IF(ISNA(VLOOKUP(A91,'Données projet'!$A$165:$I$185,7,0)),0%,VLOOKUP(A91,'Données projet'!$A$165:$I$185,7,0))</f>
        <v>0</v>
      </c>
      <c r="EA91" s="23">
        <f>EXP(-LN(2)/35)*EA90+(1-EXP(-LN(2)/35))/(LN(2)/35)*DW91*DX91*VLOOKUP('Données projet'!$B$9,Paramètres!$A$1:$I$88,3,0)*0.475*44/12</f>
        <v>0</v>
      </c>
      <c r="EB91" s="23">
        <f>EXP(-LN(2)/25)*EB90+(1-EXP(-LN(2)/25))/(LN(2)/25)*Calculateur!DW91*Calculateur!DY91*VLOOKUP('Données projet'!$B$9,Paramètres!$A$1:$I$88,3,0)*0.475*44/12</f>
        <v>0</v>
      </c>
      <c r="EC91" s="23">
        <f>EXP(-LN(2)/2)*EC90+(1-EXP(-LN(2)/2))/(LN(2)/2)*DW91*DZ91*VLOOKUP('Données projet'!$B$9,Paramètres!$A$1:$I$88,3,0)*0.475*44/12</f>
        <v>0</v>
      </c>
      <c r="ED91" s="24">
        <f t="shared" si="78"/>
        <v>0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8.0666666666666664</v>
      </c>
      <c r="EJ91" s="13">
        <f>IF(A91&lt;'Données projet'!$A$192,$EG$205^A91,IF(A91='Données projet'!$A$192,'Données projet'!$B$192,EJ90+EI91-ER90))</f>
        <v>293.86666666666667</v>
      </c>
      <c r="EK91" s="18">
        <f>EJ91*VLOOKUP('Données projet'!$B$15,Paramètres!$A$1:$I$88,3,0)*VLOOKUP('Données projet'!$B$15,Paramètres!$A$1:$I$88,5,0)</f>
        <v>137.52960000000002</v>
      </c>
      <c r="EL91" s="14">
        <f t="shared" si="103"/>
        <v>35.730486489800548</v>
      </c>
      <c r="EM91" s="22">
        <f t="shared" si="79"/>
        <v>301.76131730306929</v>
      </c>
      <c r="EN91" s="62">
        <f t="shared" si="80"/>
        <v>565.22421717091038</v>
      </c>
      <c r="EO91" s="62">
        <f ca="1">AVERAGE(OFFSET($EN$3,0,0,'Données projet'!$E$15+1,1))-AVERAGE(OFFSET($H$3,0,0,'Données projet'!$E$15+1,1))</f>
        <v>238.59014604384171</v>
      </c>
      <c r="EP91" s="62">
        <f t="shared" si="81"/>
        <v>90.841373219575217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projet'!$B$15,Paramètres!$A$1:$I$88,7,0))</f>
        <v>0</v>
      </c>
      <c r="ET91" s="17">
        <f>IF(ISNA(VLOOKUP(A91,'Données projet'!$A$191:$I$211,6,0)),0%,VLOOKUP(A91,'Données projet'!$A$191:$I$211,6,0)*VLOOKUP('Données projet'!$B$15,Paramètres!$A$1:$I$88,7,0))</f>
        <v>0</v>
      </c>
      <c r="EU91" s="17">
        <f>IF(ISNA(VLOOKUP(A91,'Données projet'!$A$191:$I$211,7,0)),0%,VLOOKUP(A91,'Données projet'!$A$191:$I$211,7,0))</f>
        <v>0</v>
      </c>
      <c r="EV91" s="23">
        <f>EXP(-LN(2)/35)*EV90+(1-EXP(-LN(2)/35))/(LN(2)/35)*ER91*ES91*VLOOKUP('Données projet'!$B$9,Paramètres!$A$1:$I$88,3,0)*0.475*44/12</f>
        <v>0</v>
      </c>
      <c r="EW91" s="23">
        <f>EXP(-LN(2)/25)*EW90+(1-EXP(-LN(2)/25))/(LN(2)/25)*Calculateur!ER91*Calculateur!ET91*VLOOKUP('Données projet'!$B$9,Paramètres!$A$1:$I$88,3,0)*0.475*44/12</f>
        <v>0</v>
      </c>
      <c r="EX91" s="23">
        <f>EXP(-LN(2)/2)*EX90+(1-EXP(-LN(2)/2))/(LN(2)/2)*ER91*EU91*VLOOKUP('Données projet'!$B$9,Paramètres!$A$1:$I$88,3,0)*0.475*44/12</f>
        <v>0</v>
      </c>
      <c r="EY91" s="24">
        <f t="shared" si="82"/>
        <v>0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IF(A91&lt;'Données projet'!$A$218,$FB$205^A91,IF(A91='Données projet'!$A$218,'Données projet'!$B$218,FE90+FD91-FM90))</f>
        <v>0</v>
      </c>
      <c r="FF91" s="18" t="e">
        <f>FE91*VLOOKUP('Données projet'!$B$16,Paramètres!$A$1:$I$88,3,0)*VLOOKUP('Données projet'!$B$16,Paramètres!$A$1:$I$88,5,0)</f>
        <v>#N/A</v>
      </c>
      <c r="FG91" s="14" t="e">
        <f t="shared" si="104"/>
        <v>#N/A</v>
      </c>
      <c r="FH91" s="22" t="e">
        <f t="shared" si="83"/>
        <v>#N/A</v>
      </c>
      <c r="FI91" s="62" t="e">
        <f t="shared" si="84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85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projet'!$B$16,Paramètres!$A$1:$I$88,7,0))</f>
        <v>0</v>
      </c>
      <c r="FO91" s="17">
        <f>IF(ISNA(VLOOKUP(A91,'Données projet'!$A$217:$I$237,6,0)),0%,VLOOKUP(A91,'Données projet'!$A$217:$I$237,6,0)*VLOOKUP('Données projet'!$B$16,Paramètres!$A$1:$I$88,7,0))</f>
        <v>0</v>
      </c>
      <c r="FP91" s="17">
        <f>IF(ISNA(VLOOKUP(A91,'Données projet'!$A$217:$I$237,7,0)),0%,VLOOKUP(A91,'Données projet'!$A$217:$I$237,7,0))</f>
        <v>0</v>
      </c>
      <c r="FQ91" s="23">
        <f>EXP(-LN(2)/35)*FQ90+(1-EXP(-LN(2)/35))/(LN(2)/35)*FM91*FN91*VLOOKUP('Données projet'!$B$9,Paramètres!$A$1:$I$88,3,0)*0.475*44/12</f>
        <v>0</v>
      </c>
      <c r="FR91" s="23">
        <f>EXP(-LN(2)/25)*FR90+(1-EXP(-LN(2)/25))/(LN(2)/25)*Calculateur!FM91*Calculateur!FO91*VLOOKUP('Données projet'!$B$9,Paramètres!$A$1:$I$88,3,0)*0.475*44/12</f>
        <v>0</v>
      </c>
      <c r="FS91" s="23">
        <f>EXP(-LN(2)/2)*FS90+(1-EXP(-LN(2)/2))/(LN(2)/2)*FM91*FP91*VLOOKUP('Données projet'!$B$9,Paramètres!$A$1:$I$88,3,0)*0.475*44/12</f>
        <v>0</v>
      </c>
      <c r="FT91" s="24">
        <f t="shared" si="86"/>
        <v>0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IF(A91&lt;'Données projet'!$A$244,$FW$205^A91,IF(A91='Données projet'!$A$244,'Données projet'!$B$244,FZ90+FY91-GH90))</f>
        <v>0</v>
      </c>
      <c r="GA91" s="18" t="e">
        <f>FZ91*VLOOKUP('Données projet'!$B$17,Paramètres!$A$1:$I$88,3,0)*VLOOKUP('Données projet'!$B$17,Paramètres!$A$1:$I$88,5,0)</f>
        <v>#N/A</v>
      </c>
      <c r="GB91" s="14" t="e">
        <f t="shared" si="105"/>
        <v>#N/A</v>
      </c>
      <c r="GC91" s="22" t="e">
        <f t="shared" si="87"/>
        <v>#N/A</v>
      </c>
      <c r="GD91" s="62" t="e">
        <f t="shared" si="88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89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projet'!$B$17,Paramètres!$A$1:$I$88,7,0))</f>
        <v>0</v>
      </c>
      <c r="GJ91" s="17">
        <f>IF(ISNA(VLOOKUP(A91,'Données projet'!$A$243:$I$263,6,0)),0%,VLOOKUP(A91,'Données projet'!$A$243:$I$263,6,0)*VLOOKUP('Données projet'!$B$17,Paramètres!$A$1:$I$88,7,0))</f>
        <v>0</v>
      </c>
      <c r="GK91" s="17">
        <f>IF(ISNA(VLOOKUP(A91,'Données projet'!$A$243:$I$263,7,0)),0%,VLOOKUP(A91,'Données projet'!$A$243:$I$263,7,0))</f>
        <v>0</v>
      </c>
      <c r="GL91" s="23">
        <f>EXP(-LN(2)/35)*GL90+(1-EXP(-LN(2)/35))/(LN(2)/35)*GH91*GI91*VLOOKUP('Données projet'!$B$9,Paramètres!$A$1:$I$88,3,0)*0.475*44/12</f>
        <v>0</v>
      </c>
      <c r="GM91" s="23">
        <f>EXP(-LN(2)/25)*GM90+(1-EXP(-LN(2)/25))/(LN(2)/25)*Calculateur!GH91*Calculateur!GJ91*VLOOKUP('Données projet'!$B$9,Paramètres!$A$1:$I$88,3,0)*0.475*44/12</f>
        <v>0</v>
      </c>
      <c r="GN91" s="23">
        <f>EXP(-LN(2)/2)*GN90+(1-EXP(-LN(2)/2))/(LN(2)/2)*GH91*GK91*VLOOKUP('Données projet'!$B$9,Paramètres!$A$1:$I$88,3,0)*0.475*44/12</f>
        <v>0</v>
      </c>
      <c r="GO91" s="23">
        <f t="shared" si="90"/>
        <v>0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IF(A91&lt;'Données projet'!$A$270,$GR$205^A91,IF(A91='Données projet'!$A$270,'Données projet'!$B$270,GU90+GT91-HC90))</f>
        <v>0</v>
      </c>
      <c r="GV91" s="18" t="e">
        <f>GU91*VLOOKUP('Données projet'!$B$18,Paramètres!$A$1:$I$88,3,0)*VLOOKUP('Données projet'!$B$18,Paramètres!$A$1:$I$88,5,0)</f>
        <v>#N/A</v>
      </c>
      <c r="GW91" s="14" t="e">
        <f t="shared" si="106"/>
        <v>#N/A</v>
      </c>
      <c r="GX91" s="22" t="e">
        <f t="shared" si="91"/>
        <v>#N/A</v>
      </c>
      <c r="GY91" s="62" t="e">
        <f t="shared" si="92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93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projet'!$B$18,Paramètres!$A$1:$I$88,7,0))</f>
        <v>0</v>
      </c>
      <c r="HE91" s="17">
        <f>IF(ISNA(VLOOKUP(A91,'Données projet'!$A$269:$I$289,6,0)),0%,VLOOKUP(A91,'Données projet'!$A$269:$I$289,6,0)*VLOOKUP('Données projet'!$B$18,Paramètres!$A$1:$I$88,7,0))</f>
        <v>0</v>
      </c>
      <c r="HF91" s="17">
        <f>IF(ISNA(VLOOKUP(A91,'Données projet'!$A$269:$I$289,7,0)),0%,VLOOKUP(A91,'Données projet'!$A$269:$I$289,7,0))</f>
        <v>0</v>
      </c>
      <c r="HG91" s="23">
        <f>EXP(-LN(2)/35)*HG90+(1-EXP(-LN(2)/35))/(LN(2)/35)*HC91*HD91*VLOOKUP('Données projet'!$B$9,Paramètres!$A$1:$I$88,3,0)*0.475*44/12</f>
        <v>0</v>
      </c>
      <c r="HH91" s="23">
        <f>EXP(-LN(2)/25)*HH90+(1-EXP(-LN(2)/25))/(LN(2)/25)*Calculateur!HC91*Calculateur!HE91*VLOOKUP('Données projet'!$B$9,Paramètres!$A$1:$I$88,3,0)*0.475*44/12</f>
        <v>0</v>
      </c>
      <c r="HI91" s="23">
        <f>EXP(-LN(2)/2)*HI90+(1-EXP(-LN(2)/2))/(LN(2)/2)*HC91*HF91*VLOOKUP('Données projet'!$B$9,Paramètres!$A$1:$I$88,3,0)*0.475*44/12</f>
        <v>0</v>
      </c>
      <c r="HJ91" s="24">
        <f t="shared" si="94"/>
        <v>0</v>
      </c>
    </row>
    <row r="92" spans="1:218" s="5" customFormat="1" x14ac:dyDescent="0.25">
      <c r="A92" s="11">
        <f t="shared" si="95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2" s="12">
        <f t="shared" si="9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57"/>
        <v>135.66666666666666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1.5429166666666674</v>
      </c>
      <c r="N92" s="14">
        <f>IF(A92&lt;'Données projet'!$A$36,$K$205^A92,IF(A92='Données projet'!$A$36,'Données projet'!$B$36,N91+M92-V91))</f>
        <v>104.86541666666663</v>
      </c>
      <c r="O92" s="14">
        <f>N92*VLOOKUP('Données projet'!$B$9,Paramètres!$A$1:$I$88,3,0)*VLOOKUP('Données projet'!$B$9,Paramètres!$A$1:$I$88,5,0)</f>
        <v>120.80495999999994</v>
      </c>
      <c r="P92" s="14">
        <f t="shared" si="97"/>
        <v>31.862669881307355</v>
      </c>
      <c r="Q92" s="22">
        <f t="shared" si="54"/>
        <v>265.89612204327688</v>
      </c>
      <c r="R92" s="62">
        <f t="shared" si="55"/>
        <v>529.8772071514594</v>
      </c>
      <c r="S92" s="62">
        <f ca="1">AVERAGE(OFFSET($R$3,0,0,'Données projet'!$E$9+1,1))-AVERAGE(OFFSET($H$3,0,0,'Données projet'!$E$9+1,1))</f>
        <v>314.72063458462026</v>
      </c>
      <c r="T92" s="62">
        <f t="shared" si="56"/>
        <v>216.4380325968244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projet'!$B$9,Paramètres!$A$1:$I$88,7,0))</f>
        <v>0</v>
      </c>
      <c r="X92" s="17">
        <f>IF(ISNA(VLOOKUP(A92,'Données projet'!$A$35:$I$55,6,0)),0%,VLOOKUP(A92,'Données projet'!$A$35:$I$55,6,0)*VLOOKUP('Données projet'!$B$9,Paramètres!$A$1:$I$88,7,0))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projet'!$B$9,Paramètres!$A$1:$I$88,3,0)*0.475*44/12</f>
        <v>0</v>
      </c>
      <c r="AA92" s="23">
        <f>EXP(-LN(2)/25)*AA91+(1-EXP(-LN(2)/25))/(LN(2)/25)*Calculateur!V92*Calculateur!X92*VLOOKUP('Données projet'!$B$9,Paramètres!$A$1:$I$88,3,0)*0.475*44/12</f>
        <v>0</v>
      </c>
      <c r="AB92" s="23">
        <f>EXP(-LN(2)/2)*AB91+(1-EXP(-LN(2)/2))/(LN(2)/2)*V92*Y92*VLOOKUP('Données projet'!$B$9,Paramètres!$A$1:$I$88,3,0)*0.475*44/12</f>
        <v>0</v>
      </c>
      <c r="AC92" s="24">
        <f t="shared" si="58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3.4</v>
      </c>
      <c r="AI92" s="14">
        <f>IF(A92&lt;'Données projet'!$A$62,$AF$205^A92,IF(A92='Données projet'!$A$62,'Données projet'!$B$62,AI91+AH92-AQ91))</f>
        <v>232.59999999999994</v>
      </c>
      <c r="AJ92" s="14">
        <f>AI92*VLOOKUP('Données projet'!$B$10,Paramètres!$A$1:$I$88,3,0)*VLOOKUP('Données projet'!$B$10,Paramètres!$A$1:$I$88,5,0)</f>
        <v>243.11351999999994</v>
      </c>
      <c r="AK92" s="14">
        <f t="shared" si="98"/>
        <v>59.108916117187469</v>
      </c>
      <c r="AL92" s="22">
        <f t="shared" si="59"/>
        <v>526.37074290410135</v>
      </c>
      <c r="AM92" s="62">
        <f t="shared" si="60"/>
        <v>790.35182801228393</v>
      </c>
      <c r="AN92" s="62">
        <f ca="1">AVERAGE(OFFSET($AM$3,0,0,'Données projet'!$E$10+1,1))-AVERAGE(OFFSET($H$3,0,0,'Données projet'!$E$10+1,1))</f>
        <v>458.33072853676879</v>
      </c>
      <c r="AO92" s="62">
        <f t="shared" si="61"/>
        <v>254.1734169352687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projet'!$B$10,Paramètres!$A$1:$I$88,7,0))</f>
        <v>0</v>
      </c>
      <c r="AS92" s="17">
        <f>IF(ISNA(VLOOKUP(A92,'Données projet'!$A$61:$I$81,6,0)),0%,VLOOKUP(A92,'Données projet'!$A$61:$I$81,6,0)*VLOOKUP('Données projet'!$B$10,Paramètres!$A$1:$I$88,7,0))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projet'!$B$9,Paramètres!$A$1:$I$88,3,0)*0.475*44/12</f>
        <v>0</v>
      </c>
      <c r="AV92" s="23">
        <f>EXP(-LN(2)/25)*AV91+(1-EXP(-LN(2)/25))/(LN(2)/25)*Calculateur!AQ92*Calculateur!AS92*VLOOKUP('Données projet'!$B$9,Paramètres!$A$1:$I$88,3,0)*0.475*44/12</f>
        <v>0</v>
      </c>
      <c r="AW92" s="23">
        <f>EXP(-LN(2)/2)*AW91+(1-EXP(-LN(2)/2))/(LN(2)/2)*AQ92*AT92*VLOOKUP('Données projet'!$B$9,Paramètres!$A$1:$I$88,3,0)*0.475*44/12</f>
        <v>0</v>
      </c>
      <c r="AX92" s="23">
        <f t="shared" si="62"/>
        <v>0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3.4</v>
      </c>
      <c r="BD92" s="13">
        <f>IF(A92&lt;'Données projet'!$A$88,$BA$205^A92,IF(A92='Données projet'!$A$88,'Données projet'!$B$88,BD91+BC92-BL91))</f>
        <v>232.59999999999994</v>
      </c>
      <c r="BE92" s="14">
        <f>BD92*VLOOKUP('Données projet'!$B$11,Paramètres!$A$1:$I$88,3,0)*VLOOKUP('Données projet'!$B$11,Paramètres!$A$1:$I$88,5,0)</f>
        <v>235.85639999999995</v>
      </c>
      <c r="BF92" s="14">
        <f t="shared" si="99"/>
        <v>57.547113132951552</v>
      </c>
      <c r="BG92" s="22">
        <f t="shared" si="63"/>
        <v>511.01111870655717</v>
      </c>
      <c r="BH92" s="62">
        <f t="shared" si="64"/>
        <v>774.9922038147397</v>
      </c>
      <c r="BI92" s="62">
        <f ca="1">AVERAGE(OFFSET($BH$3,0,0,'Données projet'!$E$11+1,1))-AVERAGE(OFFSET($H$3,0,0,'Données projet'!$E$11+1,1))</f>
        <v>447.82618173893104</v>
      </c>
      <c r="BJ92" s="62">
        <f t="shared" si="65"/>
        <v>248.96509970783379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projet'!$B$11,Paramètres!$A$1:$I$88,7,0))</f>
        <v>0</v>
      </c>
      <c r="BN92" s="17">
        <f>IF(ISNA(VLOOKUP(A92,'Données projet'!$A$87:$I$107,6,0)),0%,VLOOKUP(A92,'Données projet'!$A$87:$I$107,6,0)*VLOOKUP('Données projet'!$B$11,Paramètres!$A$1:$I$88,7,0))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projet'!$B$9,Paramètres!$A$1:$I$88,3,0)*0.475*44/12</f>
        <v>0</v>
      </c>
      <c r="BQ92" s="23">
        <f>EXP(-LN(2)/25)*BQ91+(1-EXP(-LN(2)/25))/(LN(2)/25)*Calculateur!BL92*Calculateur!BN92*VLOOKUP('Données projet'!$B$9,Paramètres!$A$1:$I$88,3,0)*0.475*44/12</f>
        <v>0</v>
      </c>
      <c r="BR92" s="23">
        <f>EXP(-LN(2)/2)*BR91+(1-EXP(-LN(2)/2))/(LN(2)/2)*BL92*BO92*VLOOKUP('Données projet'!$B$9,Paramètres!$A$1:$I$88,3,0)*0.475*44/12</f>
        <v>0</v>
      </c>
      <c r="BS92" s="24">
        <f t="shared" si="66"/>
        <v>0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3.4</v>
      </c>
      <c r="BY92" s="13">
        <f>IF(A92&lt;'Données projet'!$A$114,$BV$205^A92,IF(A92='Données projet'!$A$114,'Données projet'!$B$114,BY91+BX92-CG91))</f>
        <v>232.59999999999994</v>
      </c>
      <c r="BZ92" s="14">
        <f>BY92*VLOOKUP('Données projet'!$B$12,Paramètres!$A$1:$I$88,3,0)*VLOOKUP('Données projet'!$B$12,Paramètres!$A$1:$I$88,5,0)</f>
        <v>250.37063999999992</v>
      </c>
      <c r="CA92" s="14">
        <f t="shared" si="100"/>
        <v>60.665300985567484</v>
      </c>
      <c r="CB92" s="22">
        <f t="shared" si="67"/>
        <v>541.72093054986328</v>
      </c>
      <c r="CC92" s="62">
        <f t="shared" si="68"/>
        <v>805.70201565804587</v>
      </c>
      <c r="CD92" s="62">
        <f ca="1">AVERAGE(OFFSET($CC$3,0,0,'Données projet'!$E$12+1,1))-AVERAGE(OFFSET($H$3,0,0,'Données projet'!$E$12+1,1))</f>
        <v>468.82871618425406</v>
      </c>
      <c r="CE92" s="62">
        <f t="shared" si="69"/>
        <v>259.37818128554397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projet'!$B$12,Paramètres!$A$1:$I$88,7,0))</f>
        <v>0</v>
      </c>
      <c r="CI92" s="17">
        <f>IF(ISNA(VLOOKUP(A92,'Données projet'!$A$113:$I$133,6,0)),0%,VLOOKUP(A92,'Données projet'!$A$113:$I$133,6,0)*VLOOKUP('Données projet'!$B$12,Paramètres!$A$1:$I$88,7,0))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projet'!$B$9,Paramètres!$A$1:$I$88,3,0)*0.475*44/12</f>
        <v>0</v>
      </c>
      <c r="CL92" s="23">
        <f>EXP(-LN(2)/25)*CL91+(1-EXP(-LN(2)/25))/(LN(2)/25)*Calculateur!CG92*Calculateur!CI92*VLOOKUP('Données projet'!$B$9,Paramètres!$A$1:$I$88,3,0)*0.475*44/12</f>
        <v>0</v>
      </c>
      <c r="CM92" s="23">
        <f>EXP(-LN(2)/2)*CM91+(1-EXP(-LN(2)/2))/(LN(2)/2)*CG92*CJ92*VLOOKUP('Données projet'!$B$9,Paramètres!$A$1:$I$88,3,0)*0.475*44/12</f>
        <v>0</v>
      </c>
      <c r="CN92" s="24">
        <f t="shared" si="70"/>
        <v>0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3.4</v>
      </c>
      <c r="CT92" s="13">
        <f>IF(A92&lt;'Données projet'!$A$140,$CQ$205^A92,IF(A92='Données projet'!$A$140,'Données projet'!$B$140,CT91+CS92-DB91))</f>
        <v>232.59999999999994</v>
      </c>
      <c r="CU92" s="18">
        <f>CT92*VLOOKUP('Données projet'!$B$13,Paramètres!$A$1:$I$88,3,0)*VLOOKUP('Données projet'!$B$13,Paramètres!$A$1:$I$88,5,0)</f>
        <v>199.57079999999996</v>
      </c>
      <c r="CV92" s="14">
        <f t="shared" si="101"/>
        <v>49.649830765606488</v>
      </c>
      <c r="CW92" s="22">
        <f t="shared" si="71"/>
        <v>434.05926525009789</v>
      </c>
      <c r="CX92" s="62">
        <f t="shared" si="72"/>
        <v>698.04035035828042</v>
      </c>
      <c r="CY92" s="62">
        <f ca="1">AVERAGE(OFFSET($CX$3,0,0,'Données projet'!$E$13+1,1))-AVERAGE(OFFSET($H$3,0,0,'Données projet'!$E$13+1,1))</f>
        <v>395.19659151668884</v>
      </c>
      <c r="CZ92" s="62">
        <f t="shared" si="73"/>
        <v>222.86563304507339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projet'!$B$13,Paramètres!$A$1:$I$88,7,0))</f>
        <v>0</v>
      </c>
      <c r="DD92" s="17">
        <f>IF(ISNA(VLOOKUP(A92,'Données projet'!$A$139:$I$159,6,0)),0%,VLOOKUP(A92,'Données projet'!$A$139:$I$159,6,0)*VLOOKUP('Données projet'!$B$13,Paramètres!$A$1:$I$88,7,0))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projet'!$B$9,Paramètres!$A$1:$I$88,3,0)*0.475*44/12</f>
        <v>0</v>
      </c>
      <c r="DG92" s="23">
        <f>EXP(-LN(2)/25)*DG91+(1-EXP(-LN(2)/25))/(LN(2)/25)*Calculateur!DB92*Calculateur!DD92*VLOOKUP('Données projet'!$B$9,Paramètres!$A$1:$I$88,3,0)*0.475*44/12</f>
        <v>0</v>
      </c>
      <c r="DH92" s="23">
        <f>EXP(-LN(2)/2)*DH91+(1-EXP(-LN(2)/2))/(LN(2)/2)*DB92*DE92*VLOOKUP('Données projet'!$B$9,Paramètres!$A$1:$I$88,3,0)*0.475*44/12</f>
        <v>0</v>
      </c>
      <c r="DI92" s="24">
        <f t="shared" si="74"/>
        <v>0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4.5999999999999996</v>
      </c>
      <c r="DO92" s="13">
        <f>IF(A92&lt;'Données projet'!$A$166,$DL$205^A92,IF(A92='Données projet'!$A$166,'Données projet'!$B$166,DO91+DN92-DW91))</f>
        <v>130.39999999999992</v>
      </c>
      <c r="DP92" s="18">
        <f>DO92*VLOOKUP('Données projet'!$B$14,Paramètres!$A$1:$I$88,3,0)*VLOOKUP('Données projet'!$B$14,Paramètres!$A$1:$I$88,5,0)</f>
        <v>76.283999999999949</v>
      </c>
      <c r="DQ92" s="14">
        <f t="shared" si="102"/>
        <v>21.226103028228078</v>
      </c>
      <c r="DR92" s="22">
        <f t="shared" si="75"/>
        <v>169.83009610749716</v>
      </c>
      <c r="DS92" s="62">
        <f t="shared" si="76"/>
        <v>433.81118121567965</v>
      </c>
      <c r="DT92" s="62">
        <f ca="1">AVERAGE(OFFSET($DS$3,0,0,'Données projet'!$E$14+1,1))-AVERAGE(OFFSET($H$3,0,0,'Données projet'!$E$14+1,1))</f>
        <v>155.18073137151848</v>
      </c>
      <c r="DU92" s="62">
        <f t="shared" si="77"/>
        <v>115.19459155667272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projet'!$B$14,Paramètres!$A$1:$I$88,7,0))</f>
        <v>0</v>
      </c>
      <c r="DY92" s="17">
        <f>IF(ISNA(VLOOKUP(A92,'Données projet'!$A$165:$I$185,6,0)),0%,VLOOKUP(A92,'Données projet'!$A$165:$I$185,6,0)*VLOOKUP('Données projet'!$B$14,Paramètres!$A$1:$I$88,7,0))</f>
        <v>0</v>
      </c>
      <c r="DZ92" s="17">
        <f>IF(ISNA(VLOOKUP(A92,'Données projet'!$A$165:$I$185,7,0)),0%,VLOOKUP(A92,'Données projet'!$A$165:$I$185,7,0))</f>
        <v>0</v>
      </c>
      <c r="EA92" s="23">
        <f>EXP(-LN(2)/35)*EA91+(1-EXP(-LN(2)/35))/(LN(2)/35)*DW92*DX92*VLOOKUP('Données projet'!$B$9,Paramètres!$A$1:$I$88,3,0)*0.475*44/12</f>
        <v>0</v>
      </c>
      <c r="EB92" s="23">
        <f>EXP(-LN(2)/25)*EB91+(1-EXP(-LN(2)/25))/(LN(2)/25)*Calculateur!DW92*Calculateur!DY92*VLOOKUP('Données projet'!$B$9,Paramètres!$A$1:$I$88,3,0)*0.475*44/12</f>
        <v>0</v>
      </c>
      <c r="EC92" s="23">
        <f>EXP(-LN(2)/2)*EC91+(1-EXP(-LN(2)/2))/(LN(2)/2)*DW92*DZ92*VLOOKUP('Données projet'!$B$9,Paramètres!$A$1:$I$88,3,0)*0.475*44/12</f>
        <v>0</v>
      </c>
      <c r="ED92" s="24">
        <f t="shared" si="78"/>
        <v>0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8.0666666666666664</v>
      </c>
      <c r="EJ92" s="13">
        <f>IF(A92&lt;'Données projet'!$A$192,$EG$205^A92,IF(A92='Données projet'!$A$192,'Données projet'!$B$192,EJ91+EI92-ER91))</f>
        <v>301.93333333333334</v>
      </c>
      <c r="EK92" s="18">
        <f>EJ92*VLOOKUP('Données projet'!$B$15,Paramètres!$A$1:$I$88,3,0)*VLOOKUP('Données projet'!$B$15,Paramètres!$A$1:$I$88,5,0)</f>
        <v>141.3048</v>
      </c>
      <c r="EL92" s="14">
        <f t="shared" si="103"/>
        <v>36.595755275288994</v>
      </c>
      <c r="EM92" s="22">
        <f t="shared" si="79"/>
        <v>309.84346710446158</v>
      </c>
      <c r="EN92" s="62">
        <f t="shared" si="80"/>
        <v>573.82455221264411</v>
      </c>
      <c r="EO92" s="62">
        <f ca="1">AVERAGE(OFFSET($EN$3,0,0,'Données projet'!$E$15+1,1))-AVERAGE(OFFSET($H$3,0,0,'Données projet'!$E$15+1,1))</f>
        <v>238.59014604384171</v>
      </c>
      <c r="EP92" s="62">
        <f t="shared" si="81"/>
        <v>90.841373219575217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projet'!$B$15,Paramètres!$A$1:$I$88,7,0))</f>
        <v>0</v>
      </c>
      <c r="ET92" s="17">
        <f>IF(ISNA(VLOOKUP(A92,'Données projet'!$A$191:$I$211,6,0)),0%,VLOOKUP(A92,'Données projet'!$A$191:$I$211,6,0)*VLOOKUP('Données projet'!$B$15,Paramètres!$A$1:$I$88,7,0))</f>
        <v>0</v>
      </c>
      <c r="EU92" s="17">
        <f>IF(ISNA(VLOOKUP(A92,'Données projet'!$A$191:$I$211,7,0)),0%,VLOOKUP(A92,'Données projet'!$A$191:$I$211,7,0))</f>
        <v>0</v>
      </c>
      <c r="EV92" s="23">
        <f>EXP(-LN(2)/35)*EV91+(1-EXP(-LN(2)/35))/(LN(2)/35)*ER92*ES92*VLOOKUP('Données projet'!$B$9,Paramètres!$A$1:$I$88,3,0)*0.475*44/12</f>
        <v>0</v>
      </c>
      <c r="EW92" s="23">
        <f>EXP(-LN(2)/25)*EW91+(1-EXP(-LN(2)/25))/(LN(2)/25)*Calculateur!ER92*Calculateur!ET92*VLOOKUP('Données projet'!$B$9,Paramètres!$A$1:$I$88,3,0)*0.475*44/12</f>
        <v>0</v>
      </c>
      <c r="EX92" s="23">
        <f>EXP(-LN(2)/2)*EX91+(1-EXP(-LN(2)/2))/(LN(2)/2)*ER92*EU92*VLOOKUP('Données projet'!$B$9,Paramètres!$A$1:$I$88,3,0)*0.475*44/12</f>
        <v>0</v>
      </c>
      <c r="EY92" s="24">
        <f t="shared" si="82"/>
        <v>0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IF(A92&lt;'Données projet'!$A$218,$FB$205^A92,IF(A92='Données projet'!$A$218,'Données projet'!$B$218,FE91+FD92-FM91))</f>
        <v>0</v>
      </c>
      <c r="FF92" s="18" t="e">
        <f>FE92*VLOOKUP('Données projet'!$B$16,Paramètres!$A$1:$I$88,3,0)*VLOOKUP('Données projet'!$B$16,Paramètres!$A$1:$I$88,5,0)</f>
        <v>#N/A</v>
      </c>
      <c r="FG92" s="14" t="e">
        <f t="shared" si="104"/>
        <v>#N/A</v>
      </c>
      <c r="FH92" s="22" t="e">
        <f t="shared" si="83"/>
        <v>#N/A</v>
      </c>
      <c r="FI92" s="62" t="e">
        <f t="shared" si="84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85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projet'!$B$16,Paramètres!$A$1:$I$88,7,0))</f>
        <v>0</v>
      </c>
      <c r="FO92" s="17">
        <f>IF(ISNA(VLOOKUP(A92,'Données projet'!$A$217:$I$237,6,0)),0%,VLOOKUP(A92,'Données projet'!$A$217:$I$237,6,0)*VLOOKUP('Données projet'!$B$16,Paramètres!$A$1:$I$88,7,0))</f>
        <v>0</v>
      </c>
      <c r="FP92" s="17">
        <f>IF(ISNA(VLOOKUP(A92,'Données projet'!$A$217:$I$237,7,0)),0%,VLOOKUP(A92,'Données projet'!$A$217:$I$237,7,0))</f>
        <v>0</v>
      </c>
      <c r="FQ92" s="23">
        <f>EXP(-LN(2)/35)*FQ91+(1-EXP(-LN(2)/35))/(LN(2)/35)*FM92*FN92*VLOOKUP('Données projet'!$B$9,Paramètres!$A$1:$I$88,3,0)*0.475*44/12</f>
        <v>0</v>
      </c>
      <c r="FR92" s="23">
        <f>EXP(-LN(2)/25)*FR91+(1-EXP(-LN(2)/25))/(LN(2)/25)*Calculateur!FM92*Calculateur!FO92*VLOOKUP('Données projet'!$B$9,Paramètres!$A$1:$I$88,3,0)*0.475*44/12</f>
        <v>0</v>
      </c>
      <c r="FS92" s="23">
        <f>EXP(-LN(2)/2)*FS91+(1-EXP(-LN(2)/2))/(LN(2)/2)*FM92*FP92*VLOOKUP('Données projet'!$B$9,Paramètres!$A$1:$I$88,3,0)*0.475*44/12</f>
        <v>0</v>
      </c>
      <c r="FT92" s="24">
        <f t="shared" si="86"/>
        <v>0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IF(A92&lt;'Données projet'!$A$244,$FW$205^A92,IF(A92='Données projet'!$A$244,'Données projet'!$B$244,FZ91+FY92-GH91))</f>
        <v>0</v>
      </c>
      <c r="GA92" s="18" t="e">
        <f>FZ92*VLOOKUP('Données projet'!$B$17,Paramètres!$A$1:$I$88,3,0)*VLOOKUP('Données projet'!$B$17,Paramètres!$A$1:$I$88,5,0)</f>
        <v>#N/A</v>
      </c>
      <c r="GB92" s="14" t="e">
        <f t="shared" si="105"/>
        <v>#N/A</v>
      </c>
      <c r="GC92" s="22" t="e">
        <f t="shared" si="87"/>
        <v>#N/A</v>
      </c>
      <c r="GD92" s="62" t="e">
        <f t="shared" si="88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89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projet'!$B$17,Paramètres!$A$1:$I$88,7,0))</f>
        <v>0</v>
      </c>
      <c r="GJ92" s="17">
        <f>IF(ISNA(VLOOKUP(A92,'Données projet'!$A$243:$I$263,6,0)),0%,VLOOKUP(A92,'Données projet'!$A$243:$I$263,6,0)*VLOOKUP('Données projet'!$B$17,Paramètres!$A$1:$I$88,7,0))</f>
        <v>0</v>
      </c>
      <c r="GK92" s="17">
        <f>IF(ISNA(VLOOKUP(A92,'Données projet'!$A$243:$I$263,7,0)),0%,VLOOKUP(A92,'Données projet'!$A$243:$I$263,7,0))</f>
        <v>0</v>
      </c>
      <c r="GL92" s="23">
        <f>EXP(-LN(2)/35)*GL91+(1-EXP(-LN(2)/35))/(LN(2)/35)*GH92*GI92*VLOOKUP('Données projet'!$B$9,Paramètres!$A$1:$I$88,3,0)*0.475*44/12</f>
        <v>0</v>
      </c>
      <c r="GM92" s="23">
        <f>EXP(-LN(2)/25)*GM91+(1-EXP(-LN(2)/25))/(LN(2)/25)*Calculateur!GH92*Calculateur!GJ92*VLOOKUP('Données projet'!$B$9,Paramètres!$A$1:$I$88,3,0)*0.475*44/12</f>
        <v>0</v>
      </c>
      <c r="GN92" s="23">
        <f>EXP(-LN(2)/2)*GN91+(1-EXP(-LN(2)/2))/(LN(2)/2)*GH92*GK92*VLOOKUP('Données projet'!$B$9,Paramètres!$A$1:$I$88,3,0)*0.475*44/12</f>
        <v>0</v>
      </c>
      <c r="GO92" s="23">
        <f t="shared" si="90"/>
        <v>0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IF(A92&lt;'Données projet'!$A$270,$GR$205^A92,IF(A92='Données projet'!$A$270,'Données projet'!$B$270,GU91+GT92-HC91))</f>
        <v>0</v>
      </c>
      <c r="GV92" s="18" t="e">
        <f>GU92*VLOOKUP('Données projet'!$B$18,Paramètres!$A$1:$I$88,3,0)*VLOOKUP('Données projet'!$B$18,Paramètres!$A$1:$I$88,5,0)</f>
        <v>#N/A</v>
      </c>
      <c r="GW92" s="14" t="e">
        <f t="shared" si="106"/>
        <v>#N/A</v>
      </c>
      <c r="GX92" s="22" t="e">
        <f t="shared" si="91"/>
        <v>#N/A</v>
      </c>
      <c r="GY92" s="62" t="e">
        <f t="shared" si="92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93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projet'!$B$18,Paramètres!$A$1:$I$88,7,0))</f>
        <v>0</v>
      </c>
      <c r="HE92" s="17">
        <f>IF(ISNA(VLOOKUP(A92,'Données projet'!$A$269:$I$289,6,0)),0%,VLOOKUP(A92,'Données projet'!$A$269:$I$289,6,0)*VLOOKUP('Données projet'!$B$18,Paramètres!$A$1:$I$88,7,0))</f>
        <v>0</v>
      </c>
      <c r="HF92" s="17">
        <f>IF(ISNA(VLOOKUP(A92,'Données projet'!$A$269:$I$289,7,0)),0%,VLOOKUP(A92,'Données projet'!$A$269:$I$289,7,0))</f>
        <v>0</v>
      </c>
      <c r="HG92" s="23">
        <f>EXP(-LN(2)/35)*HG91+(1-EXP(-LN(2)/35))/(LN(2)/35)*HC92*HD92*VLOOKUP('Données projet'!$B$9,Paramètres!$A$1:$I$88,3,0)*0.475*44/12</f>
        <v>0</v>
      </c>
      <c r="HH92" s="23">
        <f>EXP(-LN(2)/25)*HH91+(1-EXP(-LN(2)/25))/(LN(2)/25)*Calculateur!HC92*Calculateur!HE92*VLOOKUP('Données projet'!$B$9,Paramètres!$A$1:$I$88,3,0)*0.475*44/12</f>
        <v>0</v>
      </c>
      <c r="HI92" s="23">
        <f>EXP(-LN(2)/2)*HI91+(1-EXP(-LN(2)/2))/(LN(2)/2)*HC92*HF92*VLOOKUP('Données projet'!$B$9,Paramètres!$A$1:$I$88,3,0)*0.475*44/12</f>
        <v>0</v>
      </c>
      <c r="HJ92" s="24">
        <f t="shared" si="94"/>
        <v>0</v>
      </c>
    </row>
    <row r="93" spans="1:218" s="5" customFormat="1" x14ac:dyDescent="0.25">
      <c r="A93" s="11">
        <f t="shared" si="95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3" s="12">
        <f t="shared" si="9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57"/>
        <v>135.66666666666666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106.40833333333333</v>
      </c>
      <c r="L93" s="13">
        <f>VLOOKUP(A93,'Données projet'!$A$35:$I$55,9,0)</f>
        <v>1.5429166666666674</v>
      </c>
      <c r="M93" s="13">
        <f t="array" ref="M93">INDEX(L:L,MIN(IF(ISNUMBER(L93:L289),ROW(L93:L289),"")))</f>
        <v>1.5429166666666674</v>
      </c>
      <c r="N93" s="14">
        <f>IF(A93&lt;'Données projet'!$A$36,$K$205^A93,IF(A93='Données projet'!$A$36,'Données projet'!$B$36,N92+M93-V92))</f>
        <v>106.4083333333333</v>
      </c>
      <c r="O93" s="14">
        <f>N93*VLOOKUP('Données projet'!$B$9,Paramètres!$A$1:$I$88,3,0)*VLOOKUP('Données projet'!$B$9,Paramètres!$A$1:$I$88,5,0)</f>
        <v>122.58239999999996</v>
      </c>
      <c r="P93" s="14">
        <f t="shared" si="97"/>
        <v>32.276553297525268</v>
      </c>
      <c r="Q93" s="22">
        <f t="shared" si="54"/>
        <v>269.7126769931898</v>
      </c>
      <c r="R93" s="62">
        <f t="shared" si="55"/>
        <v>534.20295798628263</v>
      </c>
      <c r="S93" s="62">
        <f ca="1">AVERAGE(OFFSET($R$3,0,0,'Données projet'!$E$9+1,1))-AVERAGE(OFFSET($H$3,0,0,'Données projet'!$E$9+1,1))</f>
        <v>314.72063458462026</v>
      </c>
      <c r="T93" s="62">
        <f t="shared" si="56"/>
        <v>216.4380325968244</v>
      </c>
      <c r="U93" s="16">
        <f>IF(ISNA(VLOOKUP(A93,'Données projet'!$A$35:$I$55,3,0)),0,VLOOKUP(A93,'Données projet'!$A$35:$I$55,3,0))</f>
        <v>7</v>
      </c>
      <c r="V93" s="16">
        <f>IF(ISNA(VLOOKUP(A93,'Données projet'!$A$35:$I$55,4,0)),0,VLOOKUP(A93,'Données projet'!$A$35:$I$55,4,0))</f>
        <v>9.1666666666666679</v>
      </c>
      <c r="W93" s="17">
        <f>IF(ISNA(VLOOKUP(A93,'Données projet'!$A$35:$I$55,5,0)),0%,VLOOKUP(A93,'Données projet'!$A$35:$I$55,5,0)*VLOOKUP('Données projet'!$B$9,Paramètres!$A$1:$I$88,7,0))</f>
        <v>0</v>
      </c>
      <c r="X93" s="17">
        <f>IF(ISNA(VLOOKUP(A93,'Données projet'!$A$35:$I$55,6,0)),0%,VLOOKUP(A93,'Données projet'!$A$35:$I$55,6,0)*VLOOKUP('Données projet'!$B$9,Paramètres!$A$1:$I$88,7,0))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projet'!$B$9,Paramètres!$A$1:$I$88,3,0)*0.475*44/12</f>
        <v>0</v>
      </c>
      <c r="AA93" s="23">
        <f>EXP(-LN(2)/25)*AA92+(1-EXP(-LN(2)/25))/(LN(2)/25)*Calculateur!V93*Calculateur!X93*VLOOKUP('Données projet'!$B$9,Paramètres!$A$1:$I$88,3,0)*0.475*44/12</f>
        <v>0</v>
      </c>
      <c r="AB93" s="23">
        <f>EXP(-LN(2)/2)*AB92+(1-EXP(-LN(2)/2))/(LN(2)/2)*V93*Y93*VLOOKUP('Données projet'!$B$9,Paramètres!$A$1:$I$88,3,0)*0.475*44/12</f>
        <v>0</v>
      </c>
      <c r="AC93" s="24">
        <f t="shared" si="58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>
        <f>VLOOKUP(A93,'Données projet'!$A$61:$I$81,2,0)</f>
        <v>236</v>
      </c>
      <c r="AG93" s="13">
        <f>VLOOKUP(A93,'Données projet'!$A$61:$I$81,9,0)</f>
        <v>3.4</v>
      </c>
      <c r="AH93" s="13">
        <f t="array" ref="AH93">INDEX(AG:AG,MIN(IF(ISNUMBER(AG93:AG289),ROW(AG93:AG289),"")))</f>
        <v>3.4</v>
      </c>
      <c r="AI93" s="14">
        <f>IF(A93&lt;'Données projet'!$A$62,$AF$205^A93,IF(A93='Données projet'!$A$62,'Données projet'!$B$62,AI92+AH93-AQ92))</f>
        <v>235.99999999999994</v>
      </c>
      <c r="AJ93" s="14">
        <f>AI93*VLOOKUP('Données projet'!$B$10,Paramètres!$A$1:$I$88,3,0)*VLOOKUP('Données projet'!$B$10,Paramètres!$A$1:$I$88,5,0)</f>
        <v>246.66719999999998</v>
      </c>
      <c r="AK93" s="14">
        <f t="shared" si="98"/>
        <v>59.871715408125738</v>
      </c>
      <c r="AL93" s="22">
        <f t="shared" si="59"/>
        <v>533.88861100248562</v>
      </c>
      <c r="AM93" s="62">
        <f t="shared" si="60"/>
        <v>798.37889199557844</v>
      </c>
      <c r="AN93" s="62">
        <f ca="1">AVERAGE(OFFSET($AM$3,0,0,'Données projet'!$E$10+1,1))-AVERAGE(OFFSET($H$3,0,0,'Données projet'!$E$10+1,1))</f>
        <v>458.33072853676879</v>
      </c>
      <c r="AO93" s="62">
        <f t="shared" si="61"/>
        <v>254.1734169352687</v>
      </c>
      <c r="AP93" s="16">
        <f>IF(ISNA(VLOOKUP(A93,'Données projet'!$A$61:$I$81,3,0)),0,VLOOKUP(A93,'Données projet'!$A$61:$I$81,3,0))</f>
        <v>7</v>
      </c>
      <c r="AQ93" s="16">
        <f>IF(ISNA(VLOOKUP(A93,'Données projet'!$A$61:$I$81,4,0)),0,VLOOKUP(A93,'Données projet'!$A$61:$I$81,4,0))</f>
        <v>20</v>
      </c>
      <c r="AR93" s="17">
        <f>IF(ISNA(VLOOKUP(A93,'Données projet'!$A$61:$I$81,5,0)),0%,VLOOKUP(A93,'Données projet'!$A$61:$I$81,5,0)*VLOOKUP('Données projet'!$B$10,Paramètres!$A$1:$I$88,7,0))</f>
        <v>0</v>
      </c>
      <c r="AS93" s="17">
        <f>IF(ISNA(VLOOKUP(A93,'Données projet'!$A$61:$I$81,6,0)),0%,VLOOKUP(A93,'Données projet'!$A$61:$I$81,6,0)*VLOOKUP('Données projet'!$B$10,Paramètres!$A$1:$I$88,7,0))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projet'!$B$9,Paramètres!$A$1:$I$88,3,0)*0.475*44/12</f>
        <v>0</v>
      </c>
      <c r="AV93" s="23">
        <f>EXP(-LN(2)/25)*AV92+(1-EXP(-LN(2)/25))/(LN(2)/25)*Calculateur!AQ93*Calculateur!AS93*VLOOKUP('Données projet'!$B$9,Paramètres!$A$1:$I$88,3,0)*0.475*44/12</f>
        <v>0</v>
      </c>
      <c r="AW93" s="23">
        <f>EXP(-LN(2)/2)*AW92+(1-EXP(-LN(2)/2))/(LN(2)/2)*AQ93*AT93*VLOOKUP('Données projet'!$B$9,Paramètres!$A$1:$I$88,3,0)*0.475*44/12</f>
        <v>0</v>
      </c>
      <c r="AX93" s="23">
        <f t="shared" si="62"/>
        <v>0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>
        <f>VLOOKUP(A93,'Données projet'!$A$87:$I$107,2,0)</f>
        <v>236</v>
      </c>
      <c r="BB93" s="13">
        <f>VLOOKUP(A93,'Données projet'!$A$87:$I$107,9,0)</f>
        <v>3.4</v>
      </c>
      <c r="BC93" s="13">
        <f t="array" ref="BC93">INDEX(BB:BB,MIN(IF(ISNUMBER(BB93:BB289),ROW(BB93:BB289),"")))</f>
        <v>3.4</v>
      </c>
      <c r="BD93" s="13">
        <f>IF(A93&lt;'Données projet'!$A$88,$BA$205^A93,IF(A93='Données projet'!$A$88,'Données projet'!$B$88,BD92+BC93-BL92))</f>
        <v>235.99999999999994</v>
      </c>
      <c r="BE93" s="14">
        <f>BD93*VLOOKUP('Données projet'!$B$11,Paramètres!$A$1:$I$88,3,0)*VLOOKUP('Données projet'!$B$11,Paramètres!$A$1:$I$88,5,0)</f>
        <v>239.30399999999997</v>
      </c>
      <c r="BF93" s="14">
        <f t="shared" si="99"/>
        <v>58.28975738997584</v>
      </c>
      <c r="BG93" s="22">
        <f t="shared" si="63"/>
        <v>518.30912745420778</v>
      </c>
      <c r="BH93" s="62">
        <f t="shared" si="64"/>
        <v>782.79940844730049</v>
      </c>
      <c r="BI93" s="62">
        <f ca="1">AVERAGE(OFFSET($BH$3,0,0,'Données projet'!$E$11+1,1))-AVERAGE(OFFSET($H$3,0,0,'Données projet'!$E$11+1,1))</f>
        <v>447.82618173893104</v>
      </c>
      <c r="BJ93" s="62">
        <f t="shared" si="65"/>
        <v>248.96509970783379</v>
      </c>
      <c r="BK93" s="16">
        <f>IF(ISNA(VLOOKUP(A93,'Données projet'!$A$87:$I$107,3,0)),0,VLOOKUP(A93,'Données projet'!$A$87:$I$107,3,0))</f>
        <v>7</v>
      </c>
      <c r="BL93" s="16">
        <f>IF(ISNA(VLOOKUP(A93,'Données projet'!$A$87:$I$107,4,0)),0,VLOOKUP(A93,'Données projet'!$A$87:$I$107,4,0))</f>
        <v>20</v>
      </c>
      <c r="BM93" s="17">
        <f>IF(ISNA(VLOOKUP(A93,'Données projet'!$A$87:$I$107,5,0)),0%,VLOOKUP(A93,'Données projet'!$A$87:$I$107,5,0)*VLOOKUP('Données projet'!$B$11,Paramètres!$A$1:$I$88,7,0))</f>
        <v>0</v>
      </c>
      <c r="BN93" s="17">
        <f>IF(ISNA(VLOOKUP(A93,'Données projet'!$A$87:$I$107,6,0)),0%,VLOOKUP(A93,'Données projet'!$A$87:$I$107,6,0)*VLOOKUP('Données projet'!$B$11,Paramètres!$A$1:$I$88,7,0))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projet'!$B$9,Paramètres!$A$1:$I$88,3,0)*0.475*44/12</f>
        <v>0</v>
      </c>
      <c r="BQ93" s="23">
        <f>EXP(-LN(2)/25)*BQ92+(1-EXP(-LN(2)/25))/(LN(2)/25)*Calculateur!BL93*Calculateur!BN93*VLOOKUP('Données projet'!$B$9,Paramètres!$A$1:$I$88,3,0)*0.475*44/12</f>
        <v>0</v>
      </c>
      <c r="BR93" s="23">
        <f>EXP(-LN(2)/2)*BR92+(1-EXP(-LN(2)/2))/(LN(2)/2)*BL93*BO93*VLOOKUP('Données projet'!$B$9,Paramètres!$A$1:$I$88,3,0)*0.475*44/12</f>
        <v>0</v>
      </c>
      <c r="BS93" s="24">
        <f t="shared" si="66"/>
        <v>0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>
        <f>VLOOKUP(A93,'Données projet'!$A$113:$I$133,2,0)</f>
        <v>236</v>
      </c>
      <c r="BW93" s="13">
        <f>VLOOKUP(A93,'Données projet'!$A$113:$I$133,9,0)</f>
        <v>3.4</v>
      </c>
      <c r="BX93" s="13">
        <f t="array" ref="BX93">INDEX(BW:BW,MIN(IF(ISNUMBER(BW93:BW289),ROW(BW93:BW289),"")))</f>
        <v>3.4</v>
      </c>
      <c r="BY93" s="13">
        <f>IF(A93&lt;'Données projet'!$A$114,$BV$205^A93,IF(A93='Données projet'!$A$114,'Données projet'!$B$114,BY92+BX93-CG92))</f>
        <v>235.99999999999994</v>
      </c>
      <c r="BZ93" s="14">
        <f>BY93*VLOOKUP('Données projet'!$B$12,Paramètres!$A$1:$I$88,3,0)*VLOOKUP('Données projet'!$B$12,Paramètres!$A$1:$I$88,5,0)</f>
        <v>254.03039999999993</v>
      </c>
      <c r="CA93" s="14">
        <f t="shared" si="100"/>
        <v>61.448185389751167</v>
      </c>
      <c r="CB93" s="22">
        <f t="shared" si="67"/>
        <v>549.45853622048321</v>
      </c>
      <c r="CC93" s="62">
        <f t="shared" si="68"/>
        <v>813.94881721357592</v>
      </c>
      <c r="CD93" s="62">
        <f ca="1">AVERAGE(OFFSET($CC$3,0,0,'Données projet'!$E$12+1,1))-AVERAGE(OFFSET($H$3,0,0,'Données projet'!$E$12+1,1))</f>
        <v>468.82871618425406</v>
      </c>
      <c r="CE93" s="62">
        <f t="shared" si="69"/>
        <v>259.37818128554397</v>
      </c>
      <c r="CF93" s="16">
        <f>IF(ISNA(VLOOKUP(A93,'Données projet'!$A$113:$I$133,3,0)),0,VLOOKUP(A93,'Données projet'!$A$113:$I$133,3,0))</f>
        <v>7</v>
      </c>
      <c r="CG93" s="16">
        <f>IF(ISNA(VLOOKUP(A93,'Données projet'!$A$113:$I$133,4,0)),0,VLOOKUP(A93,'Données projet'!$A$113:$I$133,4,0))</f>
        <v>20</v>
      </c>
      <c r="CH93" s="17">
        <f>IF(ISNA(VLOOKUP(A93,'Données projet'!$A$113:$I$133,5,0)),0%,VLOOKUP(A93,'Données projet'!$A$113:$I$133,5,0)*VLOOKUP('Données projet'!$B$12,Paramètres!$A$1:$I$88,7,0))</f>
        <v>0</v>
      </c>
      <c r="CI93" s="17">
        <f>IF(ISNA(VLOOKUP(A93,'Données projet'!$A$113:$I$133,6,0)),0%,VLOOKUP(A93,'Données projet'!$A$113:$I$133,6,0)*VLOOKUP('Données projet'!$B$12,Paramètres!$A$1:$I$88,7,0))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projet'!$B$9,Paramètres!$A$1:$I$88,3,0)*0.475*44/12</f>
        <v>0</v>
      </c>
      <c r="CL93" s="23">
        <f>EXP(-LN(2)/25)*CL92+(1-EXP(-LN(2)/25))/(LN(2)/25)*Calculateur!CG93*Calculateur!CI93*VLOOKUP('Données projet'!$B$9,Paramètres!$A$1:$I$88,3,0)*0.475*44/12</f>
        <v>0</v>
      </c>
      <c r="CM93" s="23">
        <f>EXP(-LN(2)/2)*CM92+(1-EXP(-LN(2)/2))/(LN(2)/2)*CG93*CJ93*VLOOKUP('Données projet'!$B$9,Paramètres!$A$1:$I$88,3,0)*0.475*44/12</f>
        <v>0</v>
      </c>
      <c r="CN93" s="24">
        <f t="shared" si="70"/>
        <v>0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>
        <f>VLOOKUP(A93,'Données projet'!$A$139:$I$159,2,0)</f>
        <v>236</v>
      </c>
      <c r="CR93" s="13">
        <f>VLOOKUP(A93,'Données projet'!$A$139:$I$159,9,0)</f>
        <v>3.4</v>
      </c>
      <c r="CS93" s="13">
        <f t="array" ref="CS93">INDEX(CR:CR,MIN(IF(ISNUMBER(CR93:CR289),ROW(CR93:CR289),"")))</f>
        <v>3.4</v>
      </c>
      <c r="CT93" s="13">
        <f>IF(A93&lt;'Données projet'!$A$140,$CQ$205^A93,IF(A93='Données projet'!$A$140,'Données projet'!$B$140,CT92+CS93-DB92))</f>
        <v>235.99999999999994</v>
      </c>
      <c r="CU93" s="18">
        <f>CT93*VLOOKUP('Données projet'!$B$13,Paramètres!$A$1:$I$88,3,0)*VLOOKUP('Données projet'!$B$13,Paramètres!$A$1:$I$88,5,0)</f>
        <v>202.48799999999997</v>
      </c>
      <c r="CV93" s="14">
        <f t="shared" si="101"/>
        <v>50.290560763566887</v>
      </c>
      <c r="CW93" s="22">
        <f t="shared" si="71"/>
        <v>440.25599332987895</v>
      </c>
      <c r="CX93" s="62">
        <f t="shared" si="72"/>
        <v>704.74627432297166</v>
      </c>
      <c r="CY93" s="62">
        <f ca="1">AVERAGE(OFFSET($CX$3,0,0,'Données projet'!$E$13+1,1))-AVERAGE(OFFSET($H$3,0,0,'Données projet'!$E$13+1,1))</f>
        <v>395.19659151668884</v>
      </c>
      <c r="CZ93" s="62">
        <f t="shared" si="73"/>
        <v>222.86563304507339</v>
      </c>
      <c r="DA93" s="16">
        <f>IF(ISNA(VLOOKUP(A93,'Données projet'!$A$139:$I$159,3,0)),0,VLOOKUP(A93,'Données projet'!$A$139:$I$159,3,0))</f>
        <v>7</v>
      </c>
      <c r="DB93" s="16">
        <f>IF(ISNA(VLOOKUP(A93,'Données projet'!$A$139:$I$159,4,0)),0,VLOOKUP(A93,'Données projet'!$A$139:$I$159,4,0))</f>
        <v>20</v>
      </c>
      <c r="DC93" s="17">
        <f>IF(ISNA(VLOOKUP(A93,'Données projet'!$A$139:$I$159,5,0)),0%,VLOOKUP(A93,'Données projet'!$A$139:$I$159,5,0)*VLOOKUP('Données projet'!$B$13,Paramètres!$A$1:$I$88,7,0))</f>
        <v>0</v>
      </c>
      <c r="DD93" s="17">
        <f>IF(ISNA(VLOOKUP(A93,'Données projet'!$A$139:$I$159,6,0)),0%,VLOOKUP(A93,'Données projet'!$A$139:$I$159,6,0)*VLOOKUP('Données projet'!$B$13,Paramètres!$A$1:$I$88,7,0))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projet'!$B$9,Paramètres!$A$1:$I$88,3,0)*0.475*44/12</f>
        <v>0</v>
      </c>
      <c r="DG93" s="23">
        <f>EXP(-LN(2)/25)*DG92+(1-EXP(-LN(2)/25))/(LN(2)/25)*Calculateur!DB93*Calculateur!DD93*VLOOKUP('Données projet'!$B$9,Paramètres!$A$1:$I$88,3,0)*0.475*44/12</f>
        <v>0</v>
      </c>
      <c r="DH93" s="23">
        <f>EXP(-LN(2)/2)*DH92+(1-EXP(-LN(2)/2))/(LN(2)/2)*DB93*DE93*VLOOKUP('Données projet'!$B$9,Paramètres!$A$1:$I$88,3,0)*0.475*44/12</f>
        <v>0</v>
      </c>
      <c r="DI93" s="24">
        <f t="shared" si="74"/>
        <v>0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>
        <f>VLOOKUP(A93,'Données projet'!$A$165:$I$185,2,0)</f>
        <v>135</v>
      </c>
      <c r="DM93" s="13">
        <f>VLOOKUP(A93,'Données projet'!$A$165:$I$185,9,0)</f>
        <v>4.5999999999999996</v>
      </c>
      <c r="DN93" s="13">
        <f t="array" ref="DN93">INDEX(DM:DM,MIN(IF(ISNUMBER(DM93:DM289),ROW(DM93:DM289),"")))</f>
        <v>4.5999999999999996</v>
      </c>
      <c r="DO93" s="13">
        <f>IF(A93&lt;'Données projet'!$A$166,$DL$205^A93,IF(A93='Données projet'!$A$166,'Données projet'!$B$166,DO92+DN93-DW92))</f>
        <v>134.99999999999991</v>
      </c>
      <c r="DP93" s="18">
        <f>DO93*VLOOKUP('Données projet'!$B$14,Paramètres!$A$1:$I$88,3,0)*VLOOKUP('Données projet'!$B$14,Paramètres!$A$1:$I$88,5,0)</f>
        <v>78.974999999999952</v>
      </c>
      <c r="DQ93" s="14">
        <f t="shared" si="102"/>
        <v>21.886378520273084</v>
      </c>
      <c r="DR93" s="22">
        <f t="shared" si="75"/>
        <v>175.66690092280885</v>
      </c>
      <c r="DS93" s="62">
        <f t="shared" si="76"/>
        <v>440.15718191590162</v>
      </c>
      <c r="DT93" s="62">
        <f ca="1">AVERAGE(OFFSET($DS$3,0,0,'Données projet'!$E$14+1,1))-AVERAGE(OFFSET($H$3,0,0,'Données projet'!$E$14+1,1))</f>
        <v>155.18073137151848</v>
      </c>
      <c r="DU93" s="62">
        <f t="shared" si="77"/>
        <v>115.19459155667272</v>
      </c>
      <c r="DV93" s="16">
        <f>IF(ISNA(VLOOKUP(A93,'Données projet'!$A$165:$I$185,3,0)),0,VLOOKUP(A93,'Données projet'!$A$165:$I$185,3,0))</f>
        <v>4</v>
      </c>
      <c r="DW93" s="16">
        <f>IF(ISNA(VLOOKUP(A93,'Données projet'!$A$165:$I$185,4,0)),0,VLOOKUP(A93,'Données projet'!$A$165:$I$185,4,0))</f>
        <v>135</v>
      </c>
      <c r="DX93" s="17">
        <f>IF(ISNA(VLOOKUP(A93,'Données projet'!$A$165:$I$185,5,0)),0%,VLOOKUP(A93,'Données projet'!$A$165:$I$185,5,0)*VLOOKUP('Données projet'!$B$14,Paramètres!$A$1:$I$88,7,0))</f>
        <v>0</v>
      </c>
      <c r="DY93" s="17">
        <f>IF(ISNA(VLOOKUP(A93,'Données projet'!$A$165:$I$185,6,0)),0%,VLOOKUP(A93,'Données projet'!$A$165:$I$185,6,0)*VLOOKUP('Données projet'!$B$14,Paramètres!$A$1:$I$88,7,0))</f>
        <v>0</v>
      </c>
      <c r="DZ93" s="17">
        <f>IF(ISNA(VLOOKUP(A93,'Données projet'!$A$165:$I$185,7,0)),0%,VLOOKUP(A93,'Données projet'!$A$165:$I$185,7,0))</f>
        <v>0</v>
      </c>
      <c r="EA93" s="23">
        <f>EXP(-LN(2)/35)*EA92+(1-EXP(-LN(2)/35))/(LN(2)/35)*DW93*DX93*VLOOKUP('Données projet'!$B$9,Paramètres!$A$1:$I$88,3,0)*0.475*44/12</f>
        <v>0</v>
      </c>
      <c r="EB93" s="23">
        <f>EXP(-LN(2)/25)*EB92+(1-EXP(-LN(2)/25))/(LN(2)/25)*Calculateur!DW93*Calculateur!DY93*VLOOKUP('Données projet'!$B$9,Paramètres!$A$1:$I$88,3,0)*0.475*44/12</f>
        <v>0</v>
      </c>
      <c r="EC93" s="23">
        <f>EXP(-LN(2)/2)*EC92+(1-EXP(-LN(2)/2))/(LN(2)/2)*DW93*DZ93*VLOOKUP('Données projet'!$B$9,Paramètres!$A$1:$I$88,3,0)*0.475*44/12</f>
        <v>0</v>
      </c>
      <c r="ED93" s="24">
        <f t="shared" si="78"/>
        <v>0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>
        <f>VLOOKUP(A93,'Données projet'!$A$191:$I$211,2,0)</f>
        <v>310</v>
      </c>
      <c r="EH93" s="13">
        <f>VLOOKUP(A93,'Données projet'!$A$191:$I$211,9,0)</f>
        <v>8.0666666666666664</v>
      </c>
      <c r="EI93" s="13">
        <f t="array" ref="EI93">INDEX(EH:EH,MIN(IF(ISNUMBER(EH93:EH289),ROW(EH93:EH289),"")))</f>
        <v>8.0666666666666664</v>
      </c>
      <c r="EJ93" s="13">
        <f>IF(A93&lt;'Données projet'!$A$192,$EG$205^A93,IF(A93='Données projet'!$A$192,'Données projet'!$B$192,EJ92+EI93-ER92))</f>
        <v>310</v>
      </c>
      <c r="EK93" s="18">
        <f>EJ93*VLOOKUP('Données projet'!$B$15,Paramètres!$A$1:$I$88,3,0)*VLOOKUP('Données projet'!$B$15,Paramètres!$A$1:$I$88,5,0)</f>
        <v>145.07999999999998</v>
      </c>
      <c r="EL93" s="14">
        <f t="shared" si="103"/>
        <v>37.458337067672986</v>
      </c>
      <c r="EM93" s="22">
        <f t="shared" si="79"/>
        <v>317.92093705953039</v>
      </c>
      <c r="EN93" s="62">
        <f t="shared" si="80"/>
        <v>582.4112180526231</v>
      </c>
      <c r="EO93" s="62">
        <f ca="1">AVERAGE(OFFSET($EN$3,0,0,'Données projet'!$E$15+1,1))-AVERAGE(OFFSET($H$3,0,0,'Données projet'!$E$15+1,1))</f>
        <v>238.59014604384171</v>
      </c>
      <c r="EP93" s="62">
        <f t="shared" si="81"/>
        <v>90.841373219575217</v>
      </c>
      <c r="EQ93" s="16">
        <f>IF(ISNA(VLOOKUP(A93,'Données projet'!$A$191:$I$211,3,0)),0,VLOOKUP(A93,'Données projet'!$A$191:$I$211,3,0))</f>
        <v>3</v>
      </c>
      <c r="ER93" s="16">
        <f>IF(ISNA(VLOOKUP(A93,'Données projet'!$A$191:$I$211,4,0)),0,VLOOKUP(A93,'Données projet'!$A$191:$I$211,4,0))</f>
        <v>76</v>
      </c>
      <c r="ES93" s="17">
        <f>IF(ISNA(VLOOKUP(A93,'Données projet'!$A$191:$I$211,5,0)),0%,VLOOKUP(A93,'Données projet'!$A$191:$I$211,5,0)*VLOOKUP('Données projet'!$B$15,Paramètres!$A$1:$I$88,7,0))</f>
        <v>0</v>
      </c>
      <c r="ET93" s="17">
        <f>IF(ISNA(VLOOKUP(A93,'Données projet'!$A$191:$I$211,6,0)),0%,VLOOKUP(A93,'Données projet'!$A$191:$I$211,6,0)*VLOOKUP('Données projet'!$B$15,Paramètres!$A$1:$I$88,7,0))</f>
        <v>0</v>
      </c>
      <c r="EU93" s="17">
        <f>IF(ISNA(VLOOKUP(A93,'Données projet'!$A$191:$I$211,7,0)),0%,VLOOKUP(A93,'Données projet'!$A$191:$I$211,7,0))</f>
        <v>0</v>
      </c>
      <c r="EV93" s="23">
        <f>EXP(-LN(2)/35)*EV92+(1-EXP(-LN(2)/35))/(LN(2)/35)*ER93*ES93*VLOOKUP('Données projet'!$B$9,Paramètres!$A$1:$I$88,3,0)*0.475*44/12</f>
        <v>0</v>
      </c>
      <c r="EW93" s="23">
        <f>EXP(-LN(2)/25)*EW92+(1-EXP(-LN(2)/25))/(LN(2)/25)*Calculateur!ER93*Calculateur!ET93*VLOOKUP('Données projet'!$B$9,Paramètres!$A$1:$I$88,3,0)*0.475*44/12</f>
        <v>0</v>
      </c>
      <c r="EX93" s="23">
        <f>EXP(-LN(2)/2)*EX92+(1-EXP(-LN(2)/2))/(LN(2)/2)*ER93*EU93*VLOOKUP('Données projet'!$B$9,Paramètres!$A$1:$I$88,3,0)*0.475*44/12</f>
        <v>0</v>
      </c>
      <c r="EY93" s="24">
        <f t="shared" si="82"/>
        <v>0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IF(A93&lt;'Données projet'!$A$218,$FB$205^A93,IF(A93='Données projet'!$A$218,'Données projet'!$B$218,FE92+FD93-FM92))</f>
        <v>0</v>
      </c>
      <c r="FF93" s="18" t="e">
        <f>FE93*VLOOKUP('Données projet'!$B$16,Paramètres!$A$1:$I$88,3,0)*VLOOKUP('Données projet'!$B$16,Paramètres!$A$1:$I$88,5,0)</f>
        <v>#N/A</v>
      </c>
      <c r="FG93" s="14" t="e">
        <f t="shared" si="104"/>
        <v>#N/A</v>
      </c>
      <c r="FH93" s="22" t="e">
        <f t="shared" si="83"/>
        <v>#N/A</v>
      </c>
      <c r="FI93" s="62" t="e">
        <f t="shared" si="84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85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projet'!$B$16,Paramètres!$A$1:$I$88,7,0))</f>
        <v>0</v>
      </c>
      <c r="FO93" s="17">
        <f>IF(ISNA(VLOOKUP(A93,'Données projet'!$A$217:$I$237,6,0)),0%,VLOOKUP(A93,'Données projet'!$A$217:$I$237,6,0)*VLOOKUP('Données projet'!$B$16,Paramètres!$A$1:$I$88,7,0))</f>
        <v>0</v>
      </c>
      <c r="FP93" s="17">
        <f>IF(ISNA(VLOOKUP(A93,'Données projet'!$A$217:$I$237,7,0)),0%,VLOOKUP(A93,'Données projet'!$A$217:$I$237,7,0))</f>
        <v>0</v>
      </c>
      <c r="FQ93" s="23">
        <f>EXP(-LN(2)/35)*FQ92+(1-EXP(-LN(2)/35))/(LN(2)/35)*FM93*FN93*VLOOKUP('Données projet'!$B$9,Paramètres!$A$1:$I$88,3,0)*0.475*44/12</f>
        <v>0</v>
      </c>
      <c r="FR93" s="23">
        <f>EXP(-LN(2)/25)*FR92+(1-EXP(-LN(2)/25))/(LN(2)/25)*Calculateur!FM93*Calculateur!FO93*VLOOKUP('Données projet'!$B$9,Paramètres!$A$1:$I$88,3,0)*0.475*44/12</f>
        <v>0</v>
      </c>
      <c r="FS93" s="23">
        <f>EXP(-LN(2)/2)*FS92+(1-EXP(-LN(2)/2))/(LN(2)/2)*FM93*FP93*VLOOKUP('Données projet'!$B$9,Paramètres!$A$1:$I$88,3,0)*0.475*44/12</f>
        <v>0</v>
      </c>
      <c r="FT93" s="24">
        <f t="shared" si="86"/>
        <v>0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IF(A93&lt;'Données projet'!$A$244,$FW$205^A93,IF(A93='Données projet'!$A$244,'Données projet'!$B$244,FZ92+FY93-GH92))</f>
        <v>0</v>
      </c>
      <c r="GA93" s="18" t="e">
        <f>FZ93*VLOOKUP('Données projet'!$B$17,Paramètres!$A$1:$I$88,3,0)*VLOOKUP('Données projet'!$B$17,Paramètres!$A$1:$I$88,5,0)</f>
        <v>#N/A</v>
      </c>
      <c r="GB93" s="14" t="e">
        <f t="shared" si="105"/>
        <v>#N/A</v>
      </c>
      <c r="GC93" s="22" t="e">
        <f t="shared" si="87"/>
        <v>#N/A</v>
      </c>
      <c r="GD93" s="62" t="e">
        <f t="shared" si="88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89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projet'!$B$17,Paramètres!$A$1:$I$88,7,0))</f>
        <v>0</v>
      </c>
      <c r="GJ93" s="17">
        <f>IF(ISNA(VLOOKUP(A93,'Données projet'!$A$243:$I$263,6,0)),0%,VLOOKUP(A93,'Données projet'!$A$243:$I$263,6,0)*VLOOKUP('Données projet'!$B$17,Paramètres!$A$1:$I$88,7,0))</f>
        <v>0</v>
      </c>
      <c r="GK93" s="17">
        <f>IF(ISNA(VLOOKUP(A93,'Données projet'!$A$243:$I$263,7,0)),0%,VLOOKUP(A93,'Données projet'!$A$243:$I$263,7,0))</f>
        <v>0</v>
      </c>
      <c r="GL93" s="23">
        <f>EXP(-LN(2)/35)*GL92+(1-EXP(-LN(2)/35))/(LN(2)/35)*GH93*GI93*VLOOKUP('Données projet'!$B$9,Paramètres!$A$1:$I$88,3,0)*0.475*44/12</f>
        <v>0</v>
      </c>
      <c r="GM93" s="23">
        <f>EXP(-LN(2)/25)*GM92+(1-EXP(-LN(2)/25))/(LN(2)/25)*Calculateur!GH93*Calculateur!GJ93*VLOOKUP('Données projet'!$B$9,Paramètres!$A$1:$I$88,3,0)*0.475*44/12</f>
        <v>0</v>
      </c>
      <c r="GN93" s="23">
        <f>EXP(-LN(2)/2)*GN92+(1-EXP(-LN(2)/2))/(LN(2)/2)*GH93*GK93*VLOOKUP('Données projet'!$B$9,Paramètres!$A$1:$I$88,3,0)*0.475*44/12</f>
        <v>0</v>
      </c>
      <c r="GO93" s="23">
        <f t="shared" si="90"/>
        <v>0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IF(A93&lt;'Données projet'!$A$270,$GR$205^A93,IF(A93='Données projet'!$A$270,'Données projet'!$B$270,GU92+GT93-HC92))</f>
        <v>0</v>
      </c>
      <c r="GV93" s="18" t="e">
        <f>GU93*VLOOKUP('Données projet'!$B$18,Paramètres!$A$1:$I$88,3,0)*VLOOKUP('Données projet'!$B$18,Paramètres!$A$1:$I$88,5,0)</f>
        <v>#N/A</v>
      </c>
      <c r="GW93" s="14" t="e">
        <f t="shared" si="106"/>
        <v>#N/A</v>
      </c>
      <c r="GX93" s="22" t="e">
        <f t="shared" si="91"/>
        <v>#N/A</v>
      </c>
      <c r="GY93" s="62" t="e">
        <f t="shared" si="92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93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projet'!$B$18,Paramètres!$A$1:$I$88,7,0))</f>
        <v>0</v>
      </c>
      <c r="HE93" s="17">
        <f>IF(ISNA(VLOOKUP(A93,'Données projet'!$A$269:$I$289,6,0)),0%,VLOOKUP(A93,'Données projet'!$A$269:$I$289,6,0)*VLOOKUP('Données projet'!$B$18,Paramètres!$A$1:$I$88,7,0))</f>
        <v>0</v>
      </c>
      <c r="HF93" s="17">
        <f>IF(ISNA(VLOOKUP(A93,'Données projet'!$A$269:$I$289,7,0)),0%,VLOOKUP(A93,'Données projet'!$A$269:$I$289,7,0))</f>
        <v>0</v>
      </c>
      <c r="HG93" s="23">
        <f>EXP(-LN(2)/35)*HG92+(1-EXP(-LN(2)/35))/(LN(2)/35)*HC93*HD93*VLOOKUP('Données projet'!$B$9,Paramètres!$A$1:$I$88,3,0)*0.475*44/12</f>
        <v>0</v>
      </c>
      <c r="HH93" s="23">
        <f>EXP(-LN(2)/25)*HH92+(1-EXP(-LN(2)/25))/(LN(2)/25)*Calculateur!HC93*Calculateur!HE93*VLOOKUP('Données projet'!$B$9,Paramètres!$A$1:$I$88,3,0)*0.475*44/12</f>
        <v>0</v>
      </c>
      <c r="HI93" s="23">
        <f>EXP(-LN(2)/2)*HI92+(1-EXP(-LN(2)/2))/(LN(2)/2)*HC93*HF93*VLOOKUP('Données projet'!$B$9,Paramètres!$A$1:$I$88,3,0)*0.475*44/12</f>
        <v>0</v>
      </c>
      <c r="HJ93" s="24">
        <f t="shared" si="94"/>
        <v>0</v>
      </c>
    </row>
    <row r="94" spans="1:218" s="5" customFormat="1" x14ac:dyDescent="0.25">
      <c r="A94" s="11">
        <f t="shared" si="95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4" s="12">
        <f t="shared" si="9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57"/>
        <v>135.66666666666666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1.4583333333333344</v>
      </c>
      <c r="N94" s="14">
        <f>IF(A94&lt;'Données projet'!$A$36,$K$205^A94,IF(A94='Données projet'!$A$36,'Données projet'!$B$36,N93+M94-V93))</f>
        <v>98.69999999999996</v>
      </c>
      <c r="O94" s="14">
        <f>N94*VLOOKUP('Données projet'!$B$9,Paramètres!$A$1:$I$88,3,0)*VLOOKUP('Données projet'!$B$9,Paramètres!$A$1:$I$88,5,0)</f>
        <v>113.70239999999994</v>
      </c>
      <c r="P94" s="14">
        <f t="shared" si="97"/>
        <v>30.20161113802142</v>
      </c>
      <c r="Q94" s="22">
        <f t="shared" si="54"/>
        <v>250.6328193987205</v>
      </c>
      <c r="R94" s="62">
        <f t="shared" si="55"/>
        <v>515.62346286651166</v>
      </c>
      <c r="S94" s="62">
        <f ca="1">AVERAGE(OFFSET($R$3,0,0,'Données projet'!$E$9+1,1))-AVERAGE(OFFSET($H$3,0,0,'Données projet'!$E$9+1,1))</f>
        <v>314.72063458462026</v>
      </c>
      <c r="T94" s="62">
        <f t="shared" si="56"/>
        <v>216.4380325968244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projet'!$B$9,Paramètres!$A$1:$I$88,7,0))</f>
        <v>0</v>
      </c>
      <c r="X94" s="17">
        <f>IF(ISNA(VLOOKUP(A94,'Données projet'!$A$35:$I$55,6,0)),0%,VLOOKUP(A94,'Données projet'!$A$35:$I$55,6,0)*VLOOKUP('Données projet'!$B$9,Paramètres!$A$1:$I$88,7,0))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projet'!$B$9,Paramètres!$A$1:$I$88,3,0)*0.475*44/12</f>
        <v>0</v>
      </c>
      <c r="AA94" s="23">
        <f>EXP(-LN(2)/25)*AA93+(1-EXP(-LN(2)/25))/(LN(2)/25)*Calculateur!V94*Calculateur!X94*VLOOKUP('Données projet'!$B$9,Paramètres!$A$1:$I$88,3,0)*0.475*44/12</f>
        <v>0</v>
      </c>
      <c r="AB94" s="23">
        <f>EXP(-LN(2)/2)*AB93+(1-EXP(-LN(2)/2))/(LN(2)/2)*V94*Y94*VLOOKUP('Données projet'!$B$9,Paramètres!$A$1:$I$88,3,0)*0.475*44/12</f>
        <v>0</v>
      </c>
      <c r="AC94" s="24">
        <f t="shared" si="58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3.4</v>
      </c>
      <c r="AI94" s="14">
        <f>IF(A94&lt;'Données projet'!$A$62,$AF$205^A94,IF(A94='Données projet'!$A$62,'Données projet'!$B$62,AI93+AH94-AQ93))</f>
        <v>219.39999999999995</v>
      </c>
      <c r="AJ94" s="14">
        <f>AI94*VLOOKUP('Données projet'!$B$10,Paramètres!$A$1:$I$88,3,0)*VLOOKUP('Données projet'!$B$10,Paramètres!$A$1:$I$88,5,0)</f>
        <v>229.31687999999994</v>
      </c>
      <c r="AK94" s="14">
        <f t="shared" si="98"/>
        <v>56.13494945511853</v>
      </c>
      <c r="AL94" s="22">
        <f t="shared" si="59"/>
        <v>497.16193630099792</v>
      </c>
      <c r="AM94" s="62">
        <f t="shared" si="60"/>
        <v>762.15257976878911</v>
      </c>
      <c r="AN94" s="62">
        <f ca="1">AVERAGE(OFFSET($AM$3,0,0,'Données projet'!$E$10+1,1))-AVERAGE(OFFSET($H$3,0,0,'Données projet'!$E$10+1,1))</f>
        <v>458.33072853676879</v>
      </c>
      <c r="AO94" s="62">
        <f t="shared" si="61"/>
        <v>254.1734169352687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projet'!$B$10,Paramètres!$A$1:$I$88,7,0))</f>
        <v>0</v>
      </c>
      <c r="AS94" s="17">
        <f>IF(ISNA(VLOOKUP(A94,'Données projet'!$A$61:$I$81,6,0)),0%,VLOOKUP(A94,'Données projet'!$A$61:$I$81,6,0)*VLOOKUP('Données projet'!$B$10,Paramètres!$A$1:$I$88,7,0))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projet'!$B$9,Paramètres!$A$1:$I$88,3,0)*0.475*44/12</f>
        <v>0</v>
      </c>
      <c r="AV94" s="23">
        <f>EXP(-LN(2)/25)*AV93+(1-EXP(-LN(2)/25))/(LN(2)/25)*Calculateur!AQ94*Calculateur!AS94*VLOOKUP('Données projet'!$B$9,Paramètres!$A$1:$I$88,3,0)*0.475*44/12</f>
        <v>0</v>
      </c>
      <c r="AW94" s="23">
        <f>EXP(-LN(2)/2)*AW93+(1-EXP(-LN(2)/2))/(LN(2)/2)*AQ94*AT94*VLOOKUP('Données projet'!$B$9,Paramètres!$A$1:$I$88,3,0)*0.475*44/12</f>
        <v>0</v>
      </c>
      <c r="AX94" s="23">
        <f t="shared" si="62"/>
        <v>0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3.4</v>
      </c>
      <c r="BD94" s="13">
        <f>IF(A94&lt;'Données projet'!$A$88,$BA$205^A94,IF(A94='Données projet'!$A$88,'Données projet'!$B$88,BD93+BC94-BL93))</f>
        <v>219.39999999999995</v>
      </c>
      <c r="BE94" s="14">
        <f>BD94*VLOOKUP('Données projet'!$B$11,Paramètres!$A$1:$I$88,3,0)*VLOOKUP('Données projet'!$B$11,Paramètres!$A$1:$I$88,5,0)</f>
        <v>222.4716</v>
      </c>
      <c r="BF94" s="14">
        <f t="shared" si="99"/>
        <v>54.651725986680731</v>
      </c>
      <c r="BG94" s="22">
        <f t="shared" si="63"/>
        <v>482.6564594268022</v>
      </c>
      <c r="BH94" s="62">
        <f t="shared" si="64"/>
        <v>747.64710289459344</v>
      </c>
      <c r="BI94" s="62">
        <f ca="1">AVERAGE(OFFSET($BH$3,0,0,'Données projet'!$E$11+1,1))-AVERAGE(OFFSET($H$3,0,0,'Données projet'!$E$11+1,1))</f>
        <v>447.82618173893104</v>
      </c>
      <c r="BJ94" s="62">
        <f t="shared" si="65"/>
        <v>248.96509970783379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projet'!$B$11,Paramètres!$A$1:$I$88,7,0))</f>
        <v>0</v>
      </c>
      <c r="BN94" s="17">
        <f>IF(ISNA(VLOOKUP(A94,'Données projet'!$A$87:$I$107,6,0)),0%,VLOOKUP(A94,'Données projet'!$A$87:$I$107,6,0)*VLOOKUP('Données projet'!$B$11,Paramètres!$A$1:$I$88,7,0))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projet'!$B$9,Paramètres!$A$1:$I$88,3,0)*0.475*44/12</f>
        <v>0</v>
      </c>
      <c r="BQ94" s="23">
        <f>EXP(-LN(2)/25)*BQ93+(1-EXP(-LN(2)/25))/(LN(2)/25)*Calculateur!BL94*Calculateur!BN94*VLOOKUP('Données projet'!$B$9,Paramètres!$A$1:$I$88,3,0)*0.475*44/12</f>
        <v>0</v>
      </c>
      <c r="BR94" s="23">
        <f>EXP(-LN(2)/2)*BR93+(1-EXP(-LN(2)/2))/(LN(2)/2)*BL94*BO94*VLOOKUP('Données projet'!$B$9,Paramètres!$A$1:$I$88,3,0)*0.475*44/12</f>
        <v>0</v>
      </c>
      <c r="BS94" s="24">
        <f t="shared" si="66"/>
        <v>0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3.4</v>
      </c>
      <c r="BY94" s="13">
        <f>IF(A94&lt;'Données projet'!$A$114,$BV$205^A94,IF(A94='Données projet'!$A$114,'Données projet'!$B$114,BY93+BX94-CG93))</f>
        <v>219.39999999999995</v>
      </c>
      <c r="BZ94" s="14">
        <f>BY94*VLOOKUP('Données projet'!$B$12,Paramètres!$A$1:$I$88,3,0)*VLOOKUP('Données projet'!$B$12,Paramètres!$A$1:$I$88,5,0)</f>
        <v>236.16215999999991</v>
      </c>
      <c r="CA94" s="14">
        <f t="shared" si="100"/>
        <v>57.613027411175352</v>
      </c>
      <c r="CB94" s="22">
        <f t="shared" si="67"/>
        <v>511.6584514077968</v>
      </c>
      <c r="CC94" s="62">
        <f t="shared" si="68"/>
        <v>776.64909487558793</v>
      </c>
      <c r="CD94" s="62">
        <f ca="1">AVERAGE(OFFSET($CC$3,0,0,'Données projet'!$E$12+1,1))-AVERAGE(OFFSET($H$3,0,0,'Données projet'!$E$12+1,1))</f>
        <v>468.82871618425406</v>
      </c>
      <c r="CE94" s="62">
        <f t="shared" si="69"/>
        <v>259.37818128554397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projet'!$B$12,Paramètres!$A$1:$I$88,7,0))</f>
        <v>0</v>
      </c>
      <c r="CI94" s="17">
        <f>IF(ISNA(VLOOKUP(A94,'Données projet'!$A$113:$I$133,6,0)),0%,VLOOKUP(A94,'Données projet'!$A$113:$I$133,6,0)*VLOOKUP('Données projet'!$B$12,Paramètres!$A$1:$I$88,7,0))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projet'!$B$9,Paramètres!$A$1:$I$88,3,0)*0.475*44/12</f>
        <v>0</v>
      </c>
      <c r="CL94" s="23">
        <f>EXP(-LN(2)/25)*CL93+(1-EXP(-LN(2)/25))/(LN(2)/25)*Calculateur!CG94*Calculateur!CI94*VLOOKUP('Données projet'!$B$9,Paramètres!$A$1:$I$88,3,0)*0.475*44/12</f>
        <v>0</v>
      </c>
      <c r="CM94" s="23">
        <f>EXP(-LN(2)/2)*CM93+(1-EXP(-LN(2)/2))/(LN(2)/2)*CG94*CJ94*VLOOKUP('Données projet'!$B$9,Paramètres!$A$1:$I$88,3,0)*0.475*44/12</f>
        <v>0</v>
      </c>
      <c r="CN94" s="24">
        <f t="shared" si="70"/>
        <v>0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3.4</v>
      </c>
      <c r="CT94" s="13">
        <f>IF(A94&lt;'Données projet'!$A$140,$CQ$205^A94,IF(A94='Données projet'!$A$140,'Données projet'!$B$140,CT93+CS94-DB93))</f>
        <v>219.39999999999995</v>
      </c>
      <c r="CU94" s="18">
        <f>CT94*VLOOKUP('Données projet'!$B$13,Paramètres!$A$1:$I$88,3,0)*VLOOKUP('Données projet'!$B$13,Paramètres!$A$1:$I$88,5,0)</f>
        <v>188.24519999999998</v>
      </c>
      <c r="CV94" s="14">
        <f t="shared" si="101"/>
        <v>47.151782227860707</v>
      </c>
      <c r="CW94" s="22">
        <f t="shared" si="71"/>
        <v>409.98307738019065</v>
      </c>
      <c r="CX94" s="62">
        <f t="shared" si="72"/>
        <v>674.97372084798189</v>
      </c>
      <c r="CY94" s="62">
        <f ca="1">AVERAGE(OFFSET($CX$3,0,0,'Données projet'!$E$13+1,1))-AVERAGE(OFFSET($H$3,0,0,'Données projet'!$E$13+1,1))</f>
        <v>395.19659151668884</v>
      </c>
      <c r="CZ94" s="62">
        <f t="shared" si="73"/>
        <v>222.86563304507339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projet'!$B$13,Paramètres!$A$1:$I$88,7,0))</f>
        <v>0</v>
      </c>
      <c r="DD94" s="17">
        <f>IF(ISNA(VLOOKUP(A94,'Données projet'!$A$139:$I$159,6,0)),0%,VLOOKUP(A94,'Données projet'!$A$139:$I$159,6,0)*VLOOKUP('Données projet'!$B$13,Paramètres!$A$1:$I$88,7,0))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projet'!$B$9,Paramètres!$A$1:$I$88,3,0)*0.475*44/12</f>
        <v>0</v>
      </c>
      <c r="DG94" s="23">
        <f>EXP(-LN(2)/25)*DG93+(1-EXP(-LN(2)/25))/(LN(2)/25)*Calculateur!DB94*Calculateur!DD94*VLOOKUP('Données projet'!$B$9,Paramètres!$A$1:$I$88,3,0)*0.475*44/12</f>
        <v>0</v>
      </c>
      <c r="DH94" s="23">
        <f>EXP(-LN(2)/2)*DH93+(1-EXP(-LN(2)/2))/(LN(2)/2)*DB94*DE94*VLOOKUP('Données projet'!$B$9,Paramètres!$A$1:$I$88,3,0)*0.475*44/12</f>
        <v>0</v>
      </c>
      <c r="DI94" s="24">
        <f t="shared" si="74"/>
        <v>0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IF(A94&lt;'Données projet'!$A$166,$DL$205^A94,IF(A94='Données projet'!$A$166,'Données projet'!$B$166,DO93+DN94-DW93))</f>
        <v>-8.5265128291212022E-14</v>
      </c>
      <c r="DP94" s="18">
        <f>DO94*VLOOKUP('Données projet'!$B$14,Paramètres!$A$1:$I$88,3,0)*VLOOKUP('Données projet'!$B$14,Paramètres!$A$1:$I$88,5,0)</f>
        <v>-4.9880100050359036E-14</v>
      </c>
      <c r="DQ94" s="14" t="e">
        <f t="shared" si="102"/>
        <v>#NUM!</v>
      </c>
      <c r="DR94" s="22" t="e">
        <f t="shared" si="75"/>
        <v>#NUM!</v>
      </c>
      <c r="DS94" s="62" t="e">
        <f t="shared" si="76"/>
        <v>#NUM!</v>
      </c>
      <c r="DT94" s="62">
        <f ca="1">AVERAGE(OFFSET($DS$3,0,0,'Données projet'!$E$14+1,1))-AVERAGE(OFFSET($H$3,0,0,'Données projet'!$E$14+1,1))</f>
        <v>155.18073137151848</v>
      </c>
      <c r="DU94" s="62">
        <f t="shared" si="77"/>
        <v>115.19459155667272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projet'!$B$14,Paramètres!$A$1:$I$88,7,0))</f>
        <v>0</v>
      </c>
      <c r="DY94" s="17">
        <f>IF(ISNA(VLOOKUP(A94,'Données projet'!$A$165:$I$185,6,0)),0%,VLOOKUP(A94,'Données projet'!$A$165:$I$185,6,0)*VLOOKUP('Données projet'!$B$14,Paramètres!$A$1:$I$88,7,0))</f>
        <v>0</v>
      </c>
      <c r="DZ94" s="17">
        <f>IF(ISNA(VLOOKUP(A94,'Données projet'!$A$165:$I$185,7,0)),0%,VLOOKUP(A94,'Données projet'!$A$165:$I$185,7,0))</f>
        <v>0</v>
      </c>
      <c r="EA94" s="23">
        <f>EXP(-LN(2)/35)*EA93+(1-EXP(-LN(2)/35))/(LN(2)/35)*DW94*DX94*VLOOKUP('Données projet'!$B$9,Paramètres!$A$1:$I$88,3,0)*0.475*44/12</f>
        <v>0</v>
      </c>
      <c r="EB94" s="23">
        <f>EXP(-LN(2)/25)*EB93+(1-EXP(-LN(2)/25))/(LN(2)/25)*Calculateur!DW94*Calculateur!DY94*VLOOKUP('Données projet'!$B$9,Paramètres!$A$1:$I$88,3,0)*0.475*44/12</f>
        <v>0</v>
      </c>
      <c r="EC94" s="23">
        <f>EXP(-LN(2)/2)*EC93+(1-EXP(-LN(2)/2))/(LN(2)/2)*DW94*DZ94*VLOOKUP('Données projet'!$B$9,Paramètres!$A$1:$I$88,3,0)*0.475*44/12</f>
        <v>0</v>
      </c>
      <c r="ED94" s="24">
        <f t="shared" si="78"/>
        <v>0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6.4</v>
      </c>
      <c r="EJ94" s="13">
        <f>IF(A94&lt;'Données projet'!$A$192,$EG$205^A94,IF(A94='Données projet'!$A$192,'Données projet'!$B$192,EJ93+EI94-ER93))</f>
        <v>240.39999999999998</v>
      </c>
      <c r="EK94" s="18">
        <f>EJ94*VLOOKUP('Données projet'!$B$15,Paramètres!$A$1:$I$88,3,0)*VLOOKUP('Données projet'!$B$15,Paramètres!$A$1:$I$88,5,0)</f>
        <v>112.50719999999998</v>
      </c>
      <c r="EL94" s="14">
        <f t="shared" si="103"/>
        <v>29.920923409156131</v>
      </c>
      <c r="EM94" s="22">
        <f t="shared" si="79"/>
        <v>248.06231493761356</v>
      </c>
      <c r="EN94" s="62">
        <f t="shared" si="80"/>
        <v>513.05295840540475</v>
      </c>
      <c r="EO94" s="62">
        <f ca="1">AVERAGE(OFFSET($EN$3,0,0,'Données projet'!$E$15+1,1))-AVERAGE(OFFSET($H$3,0,0,'Données projet'!$E$15+1,1))</f>
        <v>238.59014604384171</v>
      </c>
      <c r="EP94" s="62">
        <f t="shared" si="81"/>
        <v>90.841373219575217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projet'!$B$15,Paramètres!$A$1:$I$88,7,0))</f>
        <v>0</v>
      </c>
      <c r="ET94" s="17">
        <f>IF(ISNA(VLOOKUP(A94,'Données projet'!$A$191:$I$211,6,0)),0%,VLOOKUP(A94,'Données projet'!$A$191:$I$211,6,0)*VLOOKUP('Données projet'!$B$15,Paramètres!$A$1:$I$88,7,0))</f>
        <v>0</v>
      </c>
      <c r="EU94" s="17">
        <f>IF(ISNA(VLOOKUP(A94,'Données projet'!$A$191:$I$211,7,0)),0%,VLOOKUP(A94,'Données projet'!$A$191:$I$211,7,0))</f>
        <v>0</v>
      </c>
      <c r="EV94" s="23">
        <f>EXP(-LN(2)/35)*EV93+(1-EXP(-LN(2)/35))/(LN(2)/35)*ER94*ES94*VLOOKUP('Données projet'!$B$9,Paramètres!$A$1:$I$88,3,0)*0.475*44/12</f>
        <v>0</v>
      </c>
      <c r="EW94" s="23">
        <f>EXP(-LN(2)/25)*EW93+(1-EXP(-LN(2)/25))/(LN(2)/25)*Calculateur!ER94*Calculateur!ET94*VLOOKUP('Données projet'!$B$9,Paramètres!$A$1:$I$88,3,0)*0.475*44/12</f>
        <v>0</v>
      </c>
      <c r="EX94" s="23">
        <f>EXP(-LN(2)/2)*EX93+(1-EXP(-LN(2)/2))/(LN(2)/2)*ER94*EU94*VLOOKUP('Données projet'!$B$9,Paramètres!$A$1:$I$88,3,0)*0.475*44/12</f>
        <v>0</v>
      </c>
      <c r="EY94" s="24">
        <f t="shared" si="82"/>
        <v>0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IF(A94&lt;'Données projet'!$A$218,$FB$205^A94,IF(A94='Données projet'!$A$218,'Données projet'!$B$218,FE93+FD94-FM93))</f>
        <v>0</v>
      </c>
      <c r="FF94" s="18" t="e">
        <f>FE94*VLOOKUP('Données projet'!$B$16,Paramètres!$A$1:$I$88,3,0)*VLOOKUP('Données projet'!$B$16,Paramètres!$A$1:$I$88,5,0)</f>
        <v>#N/A</v>
      </c>
      <c r="FG94" s="14" t="e">
        <f t="shared" si="104"/>
        <v>#N/A</v>
      </c>
      <c r="FH94" s="22" t="e">
        <f t="shared" si="83"/>
        <v>#N/A</v>
      </c>
      <c r="FI94" s="62" t="e">
        <f t="shared" si="84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85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projet'!$B$16,Paramètres!$A$1:$I$88,7,0))</f>
        <v>0</v>
      </c>
      <c r="FO94" s="17">
        <f>IF(ISNA(VLOOKUP(A94,'Données projet'!$A$217:$I$237,6,0)),0%,VLOOKUP(A94,'Données projet'!$A$217:$I$237,6,0)*VLOOKUP('Données projet'!$B$16,Paramètres!$A$1:$I$88,7,0))</f>
        <v>0</v>
      </c>
      <c r="FP94" s="17">
        <f>IF(ISNA(VLOOKUP(A94,'Données projet'!$A$217:$I$237,7,0)),0%,VLOOKUP(A94,'Données projet'!$A$217:$I$237,7,0))</f>
        <v>0</v>
      </c>
      <c r="FQ94" s="23">
        <f>EXP(-LN(2)/35)*FQ93+(1-EXP(-LN(2)/35))/(LN(2)/35)*FM94*FN94*VLOOKUP('Données projet'!$B$9,Paramètres!$A$1:$I$88,3,0)*0.475*44/12</f>
        <v>0</v>
      </c>
      <c r="FR94" s="23">
        <f>EXP(-LN(2)/25)*FR93+(1-EXP(-LN(2)/25))/(LN(2)/25)*Calculateur!FM94*Calculateur!FO94*VLOOKUP('Données projet'!$B$9,Paramètres!$A$1:$I$88,3,0)*0.475*44/12</f>
        <v>0</v>
      </c>
      <c r="FS94" s="23">
        <f>EXP(-LN(2)/2)*FS93+(1-EXP(-LN(2)/2))/(LN(2)/2)*FM94*FP94*VLOOKUP('Données projet'!$B$9,Paramètres!$A$1:$I$88,3,0)*0.475*44/12</f>
        <v>0</v>
      </c>
      <c r="FT94" s="24">
        <f t="shared" si="86"/>
        <v>0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IF(A94&lt;'Données projet'!$A$244,$FW$205^A94,IF(A94='Données projet'!$A$244,'Données projet'!$B$244,FZ93+FY94-GH93))</f>
        <v>0</v>
      </c>
      <c r="GA94" s="18" t="e">
        <f>FZ94*VLOOKUP('Données projet'!$B$17,Paramètres!$A$1:$I$88,3,0)*VLOOKUP('Données projet'!$B$17,Paramètres!$A$1:$I$88,5,0)</f>
        <v>#N/A</v>
      </c>
      <c r="GB94" s="14" t="e">
        <f t="shared" si="105"/>
        <v>#N/A</v>
      </c>
      <c r="GC94" s="22" t="e">
        <f t="shared" si="87"/>
        <v>#N/A</v>
      </c>
      <c r="GD94" s="62" t="e">
        <f t="shared" si="88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89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projet'!$B$17,Paramètres!$A$1:$I$88,7,0))</f>
        <v>0</v>
      </c>
      <c r="GJ94" s="17">
        <f>IF(ISNA(VLOOKUP(A94,'Données projet'!$A$243:$I$263,6,0)),0%,VLOOKUP(A94,'Données projet'!$A$243:$I$263,6,0)*VLOOKUP('Données projet'!$B$17,Paramètres!$A$1:$I$88,7,0))</f>
        <v>0</v>
      </c>
      <c r="GK94" s="17">
        <f>IF(ISNA(VLOOKUP(A94,'Données projet'!$A$243:$I$263,7,0)),0%,VLOOKUP(A94,'Données projet'!$A$243:$I$263,7,0))</f>
        <v>0</v>
      </c>
      <c r="GL94" s="23">
        <f>EXP(-LN(2)/35)*GL93+(1-EXP(-LN(2)/35))/(LN(2)/35)*GH94*GI94*VLOOKUP('Données projet'!$B$9,Paramètres!$A$1:$I$88,3,0)*0.475*44/12</f>
        <v>0</v>
      </c>
      <c r="GM94" s="23">
        <f>EXP(-LN(2)/25)*GM93+(1-EXP(-LN(2)/25))/(LN(2)/25)*Calculateur!GH94*Calculateur!GJ94*VLOOKUP('Données projet'!$B$9,Paramètres!$A$1:$I$88,3,0)*0.475*44/12</f>
        <v>0</v>
      </c>
      <c r="GN94" s="23">
        <f>EXP(-LN(2)/2)*GN93+(1-EXP(-LN(2)/2))/(LN(2)/2)*GH94*GK94*VLOOKUP('Données projet'!$B$9,Paramètres!$A$1:$I$88,3,0)*0.475*44/12</f>
        <v>0</v>
      </c>
      <c r="GO94" s="23">
        <f t="shared" si="90"/>
        <v>0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IF(A94&lt;'Données projet'!$A$270,$GR$205^A94,IF(A94='Données projet'!$A$270,'Données projet'!$B$270,GU93+GT94-HC93))</f>
        <v>0</v>
      </c>
      <c r="GV94" s="18" t="e">
        <f>GU94*VLOOKUP('Données projet'!$B$18,Paramètres!$A$1:$I$88,3,0)*VLOOKUP('Données projet'!$B$18,Paramètres!$A$1:$I$88,5,0)</f>
        <v>#N/A</v>
      </c>
      <c r="GW94" s="14" t="e">
        <f t="shared" si="106"/>
        <v>#N/A</v>
      </c>
      <c r="GX94" s="22" t="e">
        <f t="shared" si="91"/>
        <v>#N/A</v>
      </c>
      <c r="GY94" s="62" t="e">
        <f t="shared" si="92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93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projet'!$B$18,Paramètres!$A$1:$I$88,7,0))</f>
        <v>0</v>
      </c>
      <c r="HE94" s="17">
        <f>IF(ISNA(VLOOKUP(A94,'Données projet'!$A$269:$I$289,6,0)),0%,VLOOKUP(A94,'Données projet'!$A$269:$I$289,6,0)*VLOOKUP('Données projet'!$B$18,Paramètres!$A$1:$I$88,7,0))</f>
        <v>0</v>
      </c>
      <c r="HF94" s="17">
        <f>IF(ISNA(VLOOKUP(A94,'Données projet'!$A$269:$I$289,7,0)),0%,VLOOKUP(A94,'Données projet'!$A$269:$I$289,7,0))</f>
        <v>0</v>
      </c>
      <c r="HG94" s="23">
        <f>EXP(-LN(2)/35)*HG93+(1-EXP(-LN(2)/35))/(LN(2)/35)*HC94*HD94*VLOOKUP('Données projet'!$B$9,Paramètres!$A$1:$I$88,3,0)*0.475*44/12</f>
        <v>0</v>
      </c>
      <c r="HH94" s="23">
        <f>EXP(-LN(2)/25)*HH93+(1-EXP(-LN(2)/25))/(LN(2)/25)*Calculateur!HC94*Calculateur!HE94*VLOOKUP('Données projet'!$B$9,Paramètres!$A$1:$I$88,3,0)*0.475*44/12</f>
        <v>0</v>
      </c>
      <c r="HI94" s="23">
        <f>EXP(-LN(2)/2)*HI93+(1-EXP(-LN(2)/2))/(LN(2)/2)*HC94*HF94*VLOOKUP('Données projet'!$B$9,Paramètres!$A$1:$I$88,3,0)*0.475*44/12</f>
        <v>0</v>
      </c>
      <c r="HJ94" s="24">
        <f t="shared" si="94"/>
        <v>0</v>
      </c>
    </row>
    <row r="95" spans="1:218" s="5" customFormat="1" x14ac:dyDescent="0.25">
      <c r="A95" s="11">
        <f t="shared" si="95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5" s="12">
        <f t="shared" si="9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57"/>
        <v>135.66666666666666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1.4583333333333344</v>
      </c>
      <c r="N95" s="14">
        <f>IF(A95&lt;'Données projet'!$A$36,$K$205^A95,IF(A95='Données projet'!$A$36,'Données projet'!$B$36,N94+M95-V94))</f>
        <v>100.15833333333329</v>
      </c>
      <c r="O95" s="14">
        <f>N95*VLOOKUP('Données projet'!$B$9,Paramètres!$A$1:$I$88,3,0)*VLOOKUP('Données projet'!$B$9,Paramètres!$A$1:$I$88,5,0)</f>
        <v>115.38239999999995</v>
      </c>
      <c r="P95" s="14">
        <f t="shared" si="97"/>
        <v>30.59557273099043</v>
      </c>
      <c r="Q95" s="22">
        <f t="shared" si="54"/>
        <v>254.24496917314158</v>
      </c>
      <c r="R95" s="62">
        <f t="shared" si="55"/>
        <v>519.72729494533814</v>
      </c>
      <c r="S95" s="62">
        <f ca="1">AVERAGE(OFFSET($R$3,0,0,'Données projet'!$E$9+1,1))-AVERAGE(OFFSET($H$3,0,0,'Données projet'!$E$9+1,1))</f>
        <v>314.72063458462026</v>
      </c>
      <c r="T95" s="62">
        <f t="shared" si="56"/>
        <v>216.4380325968244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projet'!$B$9,Paramètres!$A$1:$I$88,7,0))</f>
        <v>0</v>
      </c>
      <c r="X95" s="17">
        <f>IF(ISNA(VLOOKUP(A95,'Données projet'!$A$35:$I$55,6,0)),0%,VLOOKUP(A95,'Données projet'!$A$35:$I$55,6,0)*VLOOKUP('Données projet'!$B$9,Paramètres!$A$1:$I$88,7,0))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projet'!$B$9,Paramètres!$A$1:$I$88,3,0)*0.475*44/12</f>
        <v>0</v>
      </c>
      <c r="AA95" s="23">
        <f>EXP(-LN(2)/25)*AA94+(1-EXP(-LN(2)/25))/(LN(2)/25)*Calculateur!V95*Calculateur!X95*VLOOKUP('Données projet'!$B$9,Paramètres!$A$1:$I$88,3,0)*0.475*44/12</f>
        <v>0</v>
      </c>
      <c r="AB95" s="23">
        <f>EXP(-LN(2)/2)*AB94+(1-EXP(-LN(2)/2))/(LN(2)/2)*V95*Y95*VLOOKUP('Données projet'!$B$9,Paramètres!$A$1:$I$88,3,0)*0.475*44/12</f>
        <v>0</v>
      </c>
      <c r="AC95" s="24">
        <f t="shared" si="58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3.4</v>
      </c>
      <c r="AI95" s="14">
        <f>IF(A95&lt;'Données projet'!$A$62,$AF$205^A95,IF(A95='Données projet'!$A$62,'Données projet'!$B$62,AI94+AH95-AQ94))</f>
        <v>222.79999999999995</v>
      </c>
      <c r="AJ95" s="14">
        <f>AI95*VLOOKUP('Données projet'!$B$10,Paramètres!$A$1:$I$88,3,0)*VLOOKUP('Données projet'!$B$10,Paramètres!$A$1:$I$88,5,0)</f>
        <v>232.87055999999998</v>
      </c>
      <c r="AK95" s="14">
        <f t="shared" si="98"/>
        <v>56.902914948138985</v>
      </c>
      <c r="AL95" s="22">
        <f t="shared" si="59"/>
        <v>504.68880220134207</v>
      </c>
      <c r="AM95" s="62">
        <f t="shared" si="60"/>
        <v>770.17112797353866</v>
      </c>
      <c r="AN95" s="62">
        <f ca="1">AVERAGE(OFFSET($AM$3,0,0,'Données projet'!$E$10+1,1))-AVERAGE(OFFSET($H$3,0,0,'Données projet'!$E$10+1,1))</f>
        <v>458.33072853676879</v>
      </c>
      <c r="AO95" s="62">
        <f t="shared" si="61"/>
        <v>254.1734169352687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projet'!$B$10,Paramètres!$A$1:$I$88,7,0))</f>
        <v>0</v>
      </c>
      <c r="AS95" s="17">
        <f>IF(ISNA(VLOOKUP(A95,'Données projet'!$A$61:$I$81,6,0)),0%,VLOOKUP(A95,'Données projet'!$A$61:$I$81,6,0)*VLOOKUP('Données projet'!$B$10,Paramètres!$A$1:$I$88,7,0))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projet'!$B$9,Paramètres!$A$1:$I$88,3,0)*0.475*44/12</f>
        <v>0</v>
      </c>
      <c r="AV95" s="23">
        <f>EXP(-LN(2)/25)*AV94+(1-EXP(-LN(2)/25))/(LN(2)/25)*Calculateur!AQ95*Calculateur!AS95*VLOOKUP('Données projet'!$B$9,Paramètres!$A$1:$I$88,3,0)*0.475*44/12</f>
        <v>0</v>
      </c>
      <c r="AW95" s="23">
        <f>EXP(-LN(2)/2)*AW94+(1-EXP(-LN(2)/2))/(LN(2)/2)*AQ95*AT95*VLOOKUP('Données projet'!$B$9,Paramètres!$A$1:$I$88,3,0)*0.475*44/12</f>
        <v>0</v>
      </c>
      <c r="AX95" s="23">
        <f t="shared" si="62"/>
        <v>0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3.4</v>
      </c>
      <c r="BD95" s="13">
        <f>IF(A95&lt;'Données projet'!$A$88,$BA$205^A95,IF(A95='Données projet'!$A$88,'Données projet'!$B$88,BD94+BC95-BL94))</f>
        <v>222.79999999999995</v>
      </c>
      <c r="BE95" s="14">
        <f>BD95*VLOOKUP('Données projet'!$B$11,Paramètres!$A$1:$I$88,3,0)*VLOOKUP('Données projet'!$B$11,Paramètres!$A$1:$I$88,5,0)</f>
        <v>225.91919999999996</v>
      </c>
      <c r="BF95" s="14">
        <f t="shared" si="99"/>
        <v>55.399399942018199</v>
      </c>
      <c r="BG95" s="22">
        <f t="shared" si="63"/>
        <v>489.96322823234829</v>
      </c>
      <c r="BH95" s="62">
        <f t="shared" si="64"/>
        <v>755.44555400454487</v>
      </c>
      <c r="BI95" s="62">
        <f ca="1">AVERAGE(OFFSET($BH$3,0,0,'Données projet'!$E$11+1,1))-AVERAGE(OFFSET($H$3,0,0,'Données projet'!$E$11+1,1))</f>
        <v>447.82618173893104</v>
      </c>
      <c r="BJ95" s="62">
        <f t="shared" si="65"/>
        <v>248.96509970783379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projet'!$B$11,Paramètres!$A$1:$I$88,7,0))</f>
        <v>0</v>
      </c>
      <c r="BN95" s="17">
        <f>IF(ISNA(VLOOKUP(A95,'Données projet'!$A$87:$I$107,6,0)),0%,VLOOKUP(A95,'Données projet'!$A$87:$I$107,6,0)*VLOOKUP('Données projet'!$B$11,Paramètres!$A$1:$I$88,7,0))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projet'!$B$9,Paramètres!$A$1:$I$88,3,0)*0.475*44/12</f>
        <v>0</v>
      </c>
      <c r="BQ95" s="23">
        <f>EXP(-LN(2)/25)*BQ94+(1-EXP(-LN(2)/25))/(LN(2)/25)*Calculateur!BL95*Calculateur!BN95*VLOOKUP('Données projet'!$B$9,Paramètres!$A$1:$I$88,3,0)*0.475*44/12</f>
        <v>0</v>
      </c>
      <c r="BR95" s="23">
        <f>EXP(-LN(2)/2)*BR94+(1-EXP(-LN(2)/2))/(LN(2)/2)*BL95*BO95*VLOOKUP('Données projet'!$B$9,Paramètres!$A$1:$I$88,3,0)*0.475*44/12</f>
        <v>0</v>
      </c>
      <c r="BS95" s="24">
        <f t="shared" si="66"/>
        <v>0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3.4</v>
      </c>
      <c r="BY95" s="13">
        <f>IF(A95&lt;'Données projet'!$A$114,$BV$205^A95,IF(A95='Données projet'!$A$114,'Données projet'!$B$114,BY94+BX95-CG94))</f>
        <v>222.79999999999995</v>
      </c>
      <c r="BZ95" s="14">
        <f>BY95*VLOOKUP('Données projet'!$B$12,Paramètres!$A$1:$I$88,3,0)*VLOOKUP('Données projet'!$B$12,Paramètres!$A$1:$I$88,5,0)</f>
        <v>239.82191999999995</v>
      </c>
      <c r="CA95" s="14">
        <f t="shared" si="100"/>
        <v>58.401214047659209</v>
      </c>
      <c r="CB95" s="22">
        <f t="shared" si="67"/>
        <v>519.40529179967302</v>
      </c>
      <c r="CC95" s="62">
        <f t="shared" si="68"/>
        <v>784.88761757186955</v>
      </c>
      <c r="CD95" s="62">
        <f ca="1">AVERAGE(OFFSET($CC$3,0,0,'Données projet'!$E$12+1,1))-AVERAGE(OFFSET($H$3,0,0,'Données projet'!$E$12+1,1))</f>
        <v>468.82871618425406</v>
      </c>
      <c r="CE95" s="62">
        <f t="shared" si="69"/>
        <v>259.37818128554397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projet'!$B$12,Paramètres!$A$1:$I$88,7,0))</f>
        <v>0</v>
      </c>
      <c r="CI95" s="17">
        <f>IF(ISNA(VLOOKUP(A95,'Données projet'!$A$113:$I$133,6,0)),0%,VLOOKUP(A95,'Données projet'!$A$113:$I$133,6,0)*VLOOKUP('Données projet'!$B$12,Paramètres!$A$1:$I$88,7,0))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projet'!$B$9,Paramètres!$A$1:$I$88,3,0)*0.475*44/12</f>
        <v>0</v>
      </c>
      <c r="CL95" s="23">
        <f>EXP(-LN(2)/25)*CL94+(1-EXP(-LN(2)/25))/(LN(2)/25)*Calculateur!CG95*Calculateur!CI95*VLOOKUP('Données projet'!$B$9,Paramètres!$A$1:$I$88,3,0)*0.475*44/12</f>
        <v>0</v>
      </c>
      <c r="CM95" s="23">
        <f>EXP(-LN(2)/2)*CM94+(1-EXP(-LN(2)/2))/(LN(2)/2)*CG95*CJ95*VLOOKUP('Données projet'!$B$9,Paramètres!$A$1:$I$88,3,0)*0.475*44/12</f>
        <v>0</v>
      </c>
      <c r="CN95" s="24">
        <f t="shared" si="70"/>
        <v>0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3.4</v>
      </c>
      <c r="CT95" s="13">
        <f>IF(A95&lt;'Données projet'!$A$140,$CQ$205^A95,IF(A95='Données projet'!$A$140,'Données projet'!$B$140,CT94+CS95-DB94))</f>
        <v>222.79999999999995</v>
      </c>
      <c r="CU95" s="18">
        <f>CT95*VLOOKUP('Données projet'!$B$13,Paramètres!$A$1:$I$88,3,0)*VLOOKUP('Données projet'!$B$13,Paramètres!$A$1:$I$88,5,0)</f>
        <v>191.16239999999996</v>
      </c>
      <c r="CV95" s="14">
        <f t="shared" si="101"/>
        <v>47.796851690591076</v>
      </c>
      <c r="CW95" s="22">
        <f t="shared" si="71"/>
        <v>416.18736336111266</v>
      </c>
      <c r="CX95" s="62">
        <f t="shared" si="72"/>
        <v>681.66968913330925</v>
      </c>
      <c r="CY95" s="62">
        <f ca="1">AVERAGE(OFFSET($CX$3,0,0,'Données projet'!$E$13+1,1))-AVERAGE(OFFSET($H$3,0,0,'Données projet'!$E$13+1,1))</f>
        <v>395.19659151668884</v>
      </c>
      <c r="CZ95" s="62">
        <f t="shared" si="73"/>
        <v>222.86563304507339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projet'!$B$13,Paramètres!$A$1:$I$88,7,0))</f>
        <v>0</v>
      </c>
      <c r="DD95" s="17">
        <f>IF(ISNA(VLOOKUP(A95,'Données projet'!$A$139:$I$159,6,0)),0%,VLOOKUP(A95,'Données projet'!$A$139:$I$159,6,0)*VLOOKUP('Données projet'!$B$13,Paramètres!$A$1:$I$88,7,0))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projet'!$B$9,Paramètres!$A$1:$I$88,3,0)*0.475*44/12</f>
        <v>0</v>
      </c>
      <c r="DG95" s="23">
        <f>EXP(-LN(2)/25)*DG94+(1-EXP(-LN(2)/25))/(LN(2)/25)*Calculateur!DB95*Calculateur!DD95*VLOOKUP('Données projet'!$B$9,Paramètres!$A$1:$I$88,3,0)*0.475*44/12</f>
        <v>0</v>
      </c>
      <c r="DH95" s="23">
        <f>EXP(-LN(2)/2)*DH94+(1-EXP(-LN(2)/2))/(LN(2)/2)*DB95*DE95*VLOOKUP('Données projet'!$B$9,Paramètres!$A$1:$I$88,3,0)*0.475*44/12</f>
        <v>0</v>
      </c>
      <c r="DI95" s="24">
        <f t="shared" si="74"/>
        <v>0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IF(A95&lt;'Données projet'!$A$166,$DL$205^A95,IF(A95='Données projet'!$A$166,'Données projet'!$B$166,DO94+DN95-DW94))</f>
        <v>-8.5265128291212022E-14</v>
      </c>
      <c r="DP95" s="18">
        <f>DO95*VLOOKUP('Données projet'!$B$14,Paramètres!$A$1:$I$88,3,0)*VLOOKUP('Données projet'!$B$14,Paramètres!$A$1:$I$88,5,0)</f>
        <v>-4.9880100050359036E-14</v>
      </c>
      <c r="DQ95" s="14" t="e">
        <f t="shared" si="102"/>
        <v>#NUM!</v>
      </c>
      <c r="DR95" s="22" t="e">
        <f t="shared" si="75"/>
        <v>#NUM!</v>
      </c>
      <c r="DS95" s="62" t="e">
        <f t="shared" si="76"/>
        <v>#NUM!</v>
      </c>
      <c r="DT95" s="62">
        <f ca="1">AVERAGE(OFFSET($DS$3,0,0,'Données projet'!$E$14+1,1))-AVERAGE(OFFSET($H$3,0,0,'Données projet'!$E$14+1,1))</f>
        <v>155.18073137151848</v>
      </c>
      <c r="DU95" s="62">
        <f t="shared" si="77"/>
        <v>115.19459155667272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projet'!$B$14,Paramètres!$A$1:$I$88,7,0))</f>
        <v>0</v>
      </c>
      <c r="DY95" s="17">
        <f>IF(ISNA(VLOOKUP(A95,'Données projet'!$A$165:$I$185,6,0)),0%,VLOOKUP(A95,'Données projet'!$A$165:$I$185,6,0)*VLOOKUP('Données projet'!$B$14,Paramètres!$A$1:$I$88,7,0))</f>
        <v>0</v>
      </c>
      <c r="DZ95" s="17">
        <f>IF(ISNA(VLOOKUP(A95,'Données projet'!$A$165:$I$185,7,0)),0%,VLOOKUP(A95,'Données projet'!$A$165:$I$185,7,0))</f>
        <v>0</v>
      </c>
      <c r="EA95" s="23">
        <f>EXP(-LN(2)/35)*EA94+(1-EXP(-LN(2)/35))/(LN(2)/35)*DW95*DX95*VLOOKUP('Données projet'!$B$9,Paramètres!$A$1:$I$88,3,0)*0.475*44/12</f>
        <v>0</v>
      </c>
      <c r="EB95" s="23">
        <f>EXP(-LN(2)/25)*EB94+(1-EXP(-LN(2)/25))/(LN(2)/25)*Calculateur!DW95*Calculateur!DY95*VLOOKUP('Données projet'!$B$9,Paramètres!$A$1:$I$88,3,0)*0.475*44/12</f>
        <v>0</v>
      </c>
      <c r="EC95" s="23">
        <f>EXP(-LN(2)/2)*EC94+(1-EXP(-LN(2)/2))/(LN(2)/2)*DW95*DZ95*VLOOKUP('Données projet'!$B$9,Paramètres!$A$1:$I$88,3,0)*0.475*44/12</f>
        <v>0</v>
      </c>
      <c r="ED95" s="24">
        <f t="shared" si="78"/>
        <v>0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6.4</v>
      </c>
      <c r="EJ95" s="13">
        <f>IF(A95&lt;'Données projet'!$A$192,$EG$205^A95,IF(A95='Données projet'!$A$192,'Données projet'!$B$192,EJ94+EI95-ER94))</f>
        <v>246.79999999999998</v>
      </c>
      <c r="EK95" s="18">
        <f>EJ95*VLOOKUP('Données projet'!$B$15,Paramètres!$A$1:$I$88,3,0)*VLOOKUP('Données projet'!$B$15,Paramètres!$A$1:$I$88,5,0)</f>
        <v>115.50239999999998</v>
      </c>
      <c r="EL95" s="14">
        <f t="shared" si="103"/>
        <v>30.623687187619183</v>
      </c>
      <c r="EM95" s="22">
        <f t="shared" si="79"/>
        <v>254.50293518510338</v>
      </c>
      <c r="EN95" s="62">
        <f t="shared" si="80"/>
        <v>519.98526095729994</v>
      </c>
      <c r="EO95" s="62">
        <f ca="1">AVERAGE(OFFSET($EN$3,0,0,'Données projet'!$E$15+1,1))-AVERAGE(OFFSET($H$3,0,0,'Données projet'!$E$15+1,1))</f>
        <v>238.59014604384171</v>
      </c>
      <c r="EP95" s="62">
        <f t="shared" si="81"/>
        <v>90.841373219575217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projet'!$B$15,Paramètres!$A$1:$I$88,7,0))</f>
        <v>0</v>
      </c>
      <c r="ET95" s="17">
        <f>IF(ISNA(VLOOKUP(A95,'Données projet'!$A$191:$I$211,6,0)),0%,VLOOKUP(A95,'Données projet'!$A$191:$I$211,6,0)*VLOOKUP('Données projet'!$B$15,Paramètres!$A$1:$I$88,7,0))</f>
        <v>0</v>
      </c>
      <c r="EU95" s="17">
        <f>IF(ISNA(VLOOKUP(A95,'Données projet'!$A$191:$I$211,7,0)),0%,VLOOKUP(A95,'Données projet'!$A$191:$I$211,7,0))</f>
        <v>0</v>
      </c>
      <c r="EV95" s="23">
        <f>EXP(-LN(2)/35)*EV94+(1-EXP(-LN(2)/35))/(LN(2)/35)*ER95*ES95*VLOOKUP('Données projet'!$B$9,Paramètres!$A$1:$I$88,3,0)*0.475*44/12</f>
        <v>0</v>
      </c>
      <c r="EW95" s="23">
        <f>EXP(-LN(2)/25)*EW94+(1-EXP(-LN(2)/25))/(LN(2)/25)*Calculateur!ER95*Calculateur!ET95*VLOOKUP('Données projet'!$B$9,Paramètres!$A$1:$I$88,3,0)*0.475*44/12</f>
        <v>0</v>
      </c>
      <c r="EX95" s="23">
        <f>EXP(-LN(2)/2)*EX94+(1-EXP(-LN(2)/2))/(LN(2)/2)*ER95*EU95*VLOOKUP('Données projet'!$B$9,Paramètres!$A$1:$I$88,3,0)*0.475*44/12</f>
        <v>0</v>
      </c>
      <c r="EY95" s="24">
        <f t="shared" si="82"/>
        <v>0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IF(A95&lt;'Données projet'!$A$218,$FB$205^A95,IF(A95='Données projet'!$A$218,'Données projet'!$B$218,FE94+FD95-FM94))</f>
        <v>0</v>
      </c>
      <c r="FF95" s="18" t="e">
        <f>FE95*VLOOKUP('Données projet'!$B$16,Paramètres!$A$1:$I$88,3,0)*VLOOKUP('Données projet'!$B$16,Paramètres!$A$1:$I$88,5,0)</f>
        <v>#N/A</v>
      </c>
      <c r="FG95" s="14" t="e">
        <f t="shared" si="104"/>
        <v>#N/A</v>
      </c>
      <c r="FH95" s="22" t="e">
        <f t="shared" si="83"/>
        <v>#N/A</v>
      </c>
      <c r="FI95" s="62" t="e">
        <f t="shared" si="84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85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projet'!$B$16,Paramètres!$A$1:$I$88,7,0))</f>
        <v>0</v>
      </c>
      <c r="FO95" s="17">
        <f>IF(ISNA(VLOOKUP(A95,'Données projet'!$A$217:$I$237,6,0)),0%,VLOOKUP(A95,'Données projet'!$A$217:$I$237,6,0)*VLOOKUP('Données projet'!$B$16,Paramètres!$A$1:$I$88,7,0))</f>
        <v>0</v>
      </c>
      <c r="FP95" s="17">
        <f>IF(ISNA(VLOOKUP(A95,'Données projet'!$A$217:$I$237,7,0)),0%,VLOOKUP(A95,'Données projet'!$A$217:$I$237,7,0))</f>
        <v>0</v>
      </c>
      <c r="FQ95" s="23">
        <f>EXP(-LN(2)/35)*FQ94+(1-EXP(-LN(2)/35))/(LN(2)/35)*FM95*FN95*VLOOKUP('Données projet'!$B$9,Paramètres!$A$1:$I$88,3,0)*0.475*44/12</f>
        <v>0</v>
      </c>
      <c r="FR95" s="23">
        <f>EXP(-LN(2)/25)*FR94+(1-EXP(-LN(2)/25))/(LN(2)/25)*Calculateur!FM95*Calculateur!FO95*VLOOKUP('Données projet'!$B$9,Paramètres!$A$1:$I$88,3,0)*0.475*44/12</f>
        <v>0</v>
      </c>
      <c r="FS95" s="23">
        <f>EXP(-LN(2)/2)*FS94+(1-EXP(-LN(2)/2))/(LN(2)/2)*FM95*FP95*VLOOKUP('Données projet'!$B$9,Paramètres!$A$1:$I$88,3,0)*0.475*44/12</f>
        <v>0</v>
      </c>
      <c r="FT95" s="24">
        <f t="shared" si="86"/>
        <v>0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IF(A95&lt;'Données projet'!$A$244,$FW$205^A95,IF(A95='Données projet'!$A$244,'Données projet'!$B$244,FZ94+FY95-GH94))</f>
        <v>0</v>
      </c>
      <c r="GA95" s="18" t="e">
        <f>FZ95*VLOOKUP('Données projet'!$B$17,Paramètres!$A$1:$I$88,3,0)*VLOOKUP('Données projet'!$B$17,Paramètres!$A$1:$I$88,5,0)</f>
        <v>#N/A</v>
      </c>
      <c r="GB95" s="14" t="e">
        <f t="shared" si="105"/>
        <v>#N/A</v>
      </c>
      <c r="GC95" s="22" t="e">
        <f t="shared" si="87"/>
        <v>#N/A</v>
      </c>
      <c r="GD95" s="62" t="e">
        <f t="shared" si="88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89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projet'!$B$17,Paramètres!$A$1:$I$88,7,0))</f>
        <v>0</v>
      </c>
      <c r="GJ95" s="17">
        <f>IF(ISNA(VLOOKUP(A95,'Données projet'!$A$243:$I$263,6,0)),0%,VLOOKUP(A95,'Données projet'!$A$243:$I$263,6,0)*VLOOKUP('Données projet'!$B$17,Paramètres!$A$1:$I$88,7,0))</f>
        <v>0</v>
      </c>
      <c r="GK95" s="17">
        <f>IF(ISNA(VLOOKUP(A95,'Données projet'!$A$243:$I$263,7,0)),0%,VLOOKUP(A95,'Données projet'!$A$243:$I$263,7,0))</f>
        <v>0</v>
      </c>
      <c r="GL95" s="23">
        <f>EXP(-LN(2)/35)*GL94+(1-EXP(-LN(2)/35))/(LN(2)/35)*GH95*GI95*VLOOKUP('Données projet'!$B$9,Paramètres!$A$1:$I$88,3,0)*0.475*44/12</f>
        <v>0</v>
      </c>
      <c r="GM95" s="23">
        <f>EXP(-LN(2)/25)*GM94+(1-EXP(-LN(2)/25))/(LN(2)/25)*Calculateur!GH95*Calculateur!GJ95*VLOOKUP('Données projet'!$B$9,Paramètres!$A$1:$I$88,3,0)*0.475*44/12</f>
        <v>0</v>
      </c>
      <c r="GN95" s="23">
        <f>EXP(-LN(2)/2)*GN94+(1-EXP(-LN(2)/2))/(LN(2)/2)*GH95*GK95*VLOOKUP('Données projet'!$B$9,Paramètres!$A$1:$I$88,3,0)*0.475*44/12</f>
        <v>0</v>
      </c>
      <c r="GO95" s="23">
        <f t="shared" si="90"/>
        <v>0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IF(A95&lt;'Données projet'!$A$270,$GR$205^A95,IF(A95='Données projet'!$A$270,'Données projet'!$B$270,GU94+GT95-HC94))</f>
        <v>0</v>
      </c>
      <c r="GV95" s="18" t="e">
        <f>GU95*VLOOKUP('Données projet'!$B$18,Paramètres!$A$1:$I$88,3,0)*VLOOKUP('Données projet'!$B$18,Paramètres!$A$1:$I$88,5,0)</f>
        <v>#N/A</v>
      </c>
      <c r="GW95" s="14" t="e">
        <f t="shared" si="106"/>
        <v>#N/A</v>
      </c>
      <c r="GX95" s="22" t="e">
        <f t="shared" si="91"/>
        <v>#N/A</v>
      </c>
      <c r="GY95" s="62" t="e">
        <f t="shared" si="92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93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projet'!$B$18,Paramètres!$A$1:$I$88,7,0))</f>
        <v>0</v>
      </c>
      <c r="HE95" s="17">
        <f>IF(ISNA(VLOOKUP(A95,'Données projet'!$A$269:$I$289,6,0)),0%,VLOOKUP(A95,'Données projet'!$A$269:$I$289,6,0)*VLOOKUP('Données projet'!$B$18,Paramètres!$A$1:$I$88,7,0))</f>
        <v>0</v>
      </c>
      <c r="HF95" s="17">
        <f>IF(ISNA(VLOOKUP(A95,'Données projet'!$A$269:$I$289,7,0)),0%,VLOOKUP(A95,'Données projet'!$A$269:$I$289,7,0))</f>
        <v>0</v>
      </c>
      <c r="HG95" s="23">
        <f>EXP(-LN(2)/35)*HG94+(1-EXP(-LN(2)/35))/(LN(2)/35)*HC95*HD95*VLOOKUP('Données projet'!$B$9,Paramètres!$A$1:$I$88,3,0)*0.475*44/12</f>
        <v>0</v>
      </c>
      <c r="HH95" s="23">
        <f>EXP(-LN(2)/25)*HH94+(1-EXP(-LN(2)/25))/(LN(2)/25)*Calculateur!HC95*Calculateur!HE95*VLOOKUP('Données projet'!$B$9,Paramètres!$A$1:$I$88,3,0)*0.475*44/12</f>
        <v>0</v>
      </c>
      <c r="HI95" s="23">
        <f>EXP(-LN(2)/2)*HI94+(1-EXP(-LN(2)/2))/(LN(2)/2)*HC95*HF95*VLOOKUP('Données projet'!$B$9,Paramètres!$A$1:$I$88,3,0)*0.475*44/12</f>
        <v>0</v>
      </c>
      <c r="HJ95" s="24">
        <f t="shared" si="94"/>
        <v>0</v>
      </c>
    </row>
    <row r="96" spans="1:218" s="5" customFormat="1" x14ac:dyDescent="0.25">
      <c r="A96" s="11">
        <f t="shared" si="95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6" s="12">
        <f t="shared" si="9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57"/>
        <v>135.66666666666666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1.4583333333333344</v>
      </c>
      <c r="N96" s="14">
        <f>IF(A96&lt;'Données projet'!$A$36,$K$205^A96,IF(A96='Données projet'!$A$36,'Données projet'!$B$36,N95+M96-V95))</f>
        <v>101.61666666666662</v>
      </c>
      <c r="O96" s="14">
        <f>N96*VLOOKUP('Données projet'!$B$9,Paramètres!$A$1:$I$88,3,0)*VLOOKUP('Données projet'!$B$9,Paramètres!$A$1:$I$88,5,0)</f>
        <v>117.06239999999994</v>
      </c>
      <c r="P96" s="14">
        <f t="shared" si="97"/>
        <v>30.988867171899123</v>
      </c>
      <c r="Q96" s="22">
        <f t="shared" si="54"/>
        <v>257.85595699105755</v>
      </c>
      <c r="R96" s="62">
        <f t="shared" si="55"/>
        <v>523.82143547891496</v>
      </c>
      <c r="S96" s="62">
        <f ca="1">AVERAGE(OFFSET($R$3,0,0,'Données projet'!$E$9+1,1))-AVERAGE(OFFSET($H$3,0,0,'Données projet'!$E$9+1,1))</f>
        <v>314.72063458462026</v>
      </c>
      <c r="T96" s="62">
        <f t="shared" si="56"/>
        <v>216.4380325968244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projet'!$B$9,Paramètres!$A$1:$I$88,7,0))</f>
        <v>0</v>
      </c>
      <c r="X96" s="17">
        <f>IF(ISNA(VLOOKUP(A96,'Données projet'!$A$35:$I$55,6,0)),0%,VLOOKUP(A96,'Données projet'!$A$35:$I$55,6,0)*VLOOKUP('Données projet'!$B$9,Paramètres!$A$1:$I$88,7,0))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projet'!$B$9,Paramètres!$A$1:$I$88,3,0)*0.475*44/12</f>
        <v>0</v>
      </c>
      <c r="AA96" s="23">
        <f>EXP(-LN(2)/25)*AA95+(1-EXP(-LN(2)/25))/(LN(2)/25)*Calculateur!V96*Calculateur!X96*VLOOKUP('Données projet'!$B$9,Paramètres!$A$1:$I$88,3,0)*0.475*44/12</f>
        <v>0</v>
      </c>
      <c r="AB96" s="23">
        <f>EXP(-LN(2)/2)*AB95+(1-EXP(-LN(2)/2))/(LN(2)/2)*V96*Y96*VLOOKUP('Données projet'!$B$9,Paramètres!$A$1:$I$88,3,0)*0.475*44/12</f>
        <v>0</v>
      </c>
      <c r="AC96" s="24">
        <f t="shared" si="58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3.4</v>
      </c>
      <c r="AI96" s="14">
        <f>IF(A96&lt;'Données projet'!$A$62,$AF$205^A96,IF(A96='Données projet'!$A$62,'Données projet'!$B$62,AI95+AH96-AQ95))</f>
        <v>226.19999999999996</v>
      </c>
      <c r="AJ96" s="14">
        <f>AI96*VLOOKUP('Données projet'!$B$10,Paramètres!$A$1:$I$88,3,0)*VLOOKUP('Données projet'!$B$10,Paramètres!$A$1:$I$88,5,0)</f>
        <v>236.42423999999997</v>
      </c>
      <c r="AK96" s="14">
        <f t="shared" si="98"/>
        <v>57.66951745772316</v>
      </c>
      <c r="AL96" s="22">
        <f t="shared" si="59"/>
        <v>512.21329423886789</v>
      </c>
      <c r="AM96" s="62">
        <f t="shared" si="60"/>
        <v>778.17877272672536</v>
      </c>
      <c r="AN96" s="62">
        <f ca="1">AVERAGE(OFFSET($AM$3,0,0,'Données projet'!$E$10+1,1))-AVERAGE(OFFSET($H$3,0,0,'Données projet'!$E$10+1,1))</f>
        <v>458.33072853676879</v>
      </c>
      <c r="AO96" s="62">
        <f t="shared" si="61"/>
        <v>254.1734169352687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projet'!$B$10,Paramètres!$A$1:$I$88,7,0))</f>
        <v>0</v>
      </c>
      <c r="AS96" s="17">
        <f>IF(ISNA(VLOOKUP(A96,'Données projet'!$A$61:$I$81,6,0)),0%,VLOOKUP(A96,'Données projet'!$A$61:$I$81,6,0)*VLOOKUP('Données projet'!$B$10,Paramètres!$A$1:$I$88,7,0))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projet'!$B$9,Paramètres!$A$1:$I$88,3,0)*0.475*44/12</f>
        <v>0</v>
      </c>
      <c r="AV96" s="23">
        <f>EXP(-LN(2)/25)*AV95+(1-EXP(-LN(2)/25))/(LN(2)/25)*Calculateur!AQ96*Calculateur!AS96*VLOOKUP('Données projet'!$B$9,Paramètres!$A$1:$I$88,3,0)*0.475*44/12</f>
        <v>0</v>
      </c>
      <c r="AW96" s="23">
        <f>EXP(-LN(2)/2)*AW95+(1-EXP(-LN(2)/2))/(LN(2)/2)*AQ96*AT96*VLOOKUP('Données projet'!$B$9,Paramètres!$A$1:$I$88,3,0)*0.475*44/12</f>
        <v>0</v>
      </c>
      <c r="AX96" s="23">
        <f t="shared" si="62"/>
        <v>0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3.4</v>
      </c>
      <c r="BD96" s="13">
        <f>IF(A96&lt;'Données projet'!$A$88,$BA$205^A96,IF(A96='Données projet'!$A$88,'Données projet'!$B$88,BD95+BC96-BL95))</f>
        <v>226.19999999999996</v>
      </c>
      <c r="BE96" s="14">
        <f>BD96*VLOOKUP('Données projet'!$B$11,Paramètres!$A$1:$I$88,3,0)*VLOOKUP('Données projet'!$B$11,Paramètres!$A$1:$I$88,5,0)</f>
        <v>229.36679999999996</v>
      </c>
      <c r="BF96" s="14">
        <f t="shared" si="99"/>
        <v>56.14574692729505</v>
      </c>
      <c r="BG96" s="22">
        <f t="shared" si="63"/>
        <v>497.26768589837212</v>
      </c>
      <c r="BH96" s="62">
        <f t="shared" si="64"/>
        <v>763.23316438622953</v>
      </c>
      <c r="BI96" s="62">
        <f ca="1">AVERAGE(OFFSET($BH$3,0,0,'Données projet'!$E$11+1,1))-AVERAGE(OFFSET($H$3,0,0,'Données projet'!$E$11+1,1))</f>
        <v>447.82618173893104</v>
      </c>
      <c r="BJ96" s="62">
        <f t="shared" si="65"/>
        <v>248.96509970783379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projet'!$B$11,Paramètres!$A$1:$I$88,7,0))</f>
        <v>0</v>
      </c>
      <c r="BN96" s="17">
        <f>IF(ISNA(VLOOKUP(A96,'Données projet'!$A$87:$I$107,6,0)),0%,VLOOKUP(A96,'Données projet'!$A$87:$I$107,6,0)*VLOOKUP('Données projet'!$B$11,Paramètres!$A$1:$I$88,7,0))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projet'!$B$9,Paramètres!$A$1:$I$88,3,0)*0.475*44/12</f>
        <v>0</v>
      </c>
      <c r="BQ96" s="23">
        <f>EXP(-LN(2)/25)*BQ95+(1-EXP(-LN(2)/25))/(LN(2)/25)*Calculateur!BL96*Calculateur!BN96*VLOOKUP('Données projet'!$B$9,Paramètres!$A$1:$I$88,3,0)*0.475*44/12</f>
        <v>0</v>
      </c>
      <c r="BR96" s="23">
        <f>EXP(-LN(2)/2)*BR95+(1-EXP(-LN(2)/2))/(LN(2)/2)*BL96*BO96*VLOOKUP('Données projet'!$B$9,Paramètres!$A$1:$I$88,3,0)*0.475*44/12</f>
        <v>0</v>
      </c>
      <c r="BS96" s="24">
        <f t="shared" si="66"/>
        <v>0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3.4</v>
      </c>
      <c r="BY96" s="13">
        <f>IF(A96&lt;'Données projet'!$A$114,$BV$205^A96,IF(A96='Données projet'!$A$114,'Données projet'!$B$114,BY95+BX96-CG95))</f>
        <v>226.19999999999996</v>
      </c>
      <c r="BZ96" s="14">
        <f>BY96*VLOOKUP('Données projet'!$B$12,Paramètres!$A$1:$I$88,3,0)*VLOOKUP('Données projet'!$B$12,Paramètres!$A$1:$I$88,5,0)</f>
        <v>243.48167999999995</v>
      </c>
      <c r="CA96" s="14">
        <f t="shared" si="100"/>
        <v>59.188001812266734</v>
      </c>
      <c r="CB96" s="22">
        <f t="shared" si="67"/>
        <v>527.14969582303104</v>
      </c>
      <c r="CC96" s="62">
        <f t="shared" si="68"/>
        <v>793.11517431088851</v>
      </c>
      <c r="CD96" s="62">
        <f ca="1">AVERAGE(OFFSET($CC$3,0,0,'Données projet'!$E$12+1,1))-AVERAGE(OFFSET($H$3,0,0,'Données projet'!$E$12+1,1))</f>
        <v>468.82871618425406</v>
      </c>
      <c r="CE96" s="62">
        <f t="shared" si="69"/>
        <v>259.37818128554397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projet'!$B$12,Paramètres!$A$1:$I$88,7,0))</f>
        <v>0</v>
      </c>
      <c r="CI96" s="17">
        <f>IF(ISNA(VLOOKUP(A96,'Données projet'!$A$113:$I$133,6,0)),0%,VLOOKUP(A96,'Données projet'!$A$113:$I$133,6,0)*VLOOKUP('Données projet'!$B$12,Paramètres!$A$1:$I$88,7,0))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projet'!$B$9,Paramètres!$A$1:$I$88,3,0)*0.475*44/12</f>
        <v>0</v>
      </c>
      <c r="CL96" s="23">
        <f>EXP(-LN(2)/25)*CL95+(1-EXP(-LN(2)/25))/(LN(2)/25)*Calculateur!CG96*Calculateur!CI96*VLOOKUP('Données projet'!$B$9,Paramètres!$A$1:$I$88,3,0)*0.475*44/12</f>
        <v>0</v>
      </c>
      <c r="CM96" s="23">
        <f>EXP(-LN(2)/2)*CM95+(1-EXP(-LN(2)/2))/(LN(2)/2)*CG96*CJ96*VLOOKUP('Données projet'!$B$9,Paramètres!$A$1:$I$88,3,0)*0.475*44/12</f>
        <v>0</v>
      </c>
      <c r="CN96" s="24">
        <f t="shared" si="70"/>
        <v>0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3.4</v>
      </c>
      <c r="CT96" s="13">
        <f>IF(A96&lt;'Données projet'!$A$140,$CQ$205^A96,IF(A96='Données projet'!$A$140,'Données projet'!$B$140,CT95+CS96-DB95))</f>
        <v>226.19999999999996</v>
      </c>
      <c r="CU96" s="18">
        <f>CT96*VLOOKUP('Données projet'!$B$13,Paramètres!$A$1:$I$88,3,0)*VLOOKUP('Données projet'!$B$13,Paramètres!$A$1:$I$88,5,0)</f>
        <v>194.07959999999997</v>
      </c>
      <c r="CV96" s="14">
        <f t="shared" si="101"/>
        <v>48.440776285484404</v>
      </c>
      <c r="CW96" s="22">
        <f t="shared" si="71"/>
        <v>422.3896553638852</v>
      </c>
      <c r="CX96" s="62">
        <f t="shared" si="72"/>
        <v>688.35513385174261</v>
      </c>
      <c r="CY96" s="62">
        <f ca="1">AVERAGE(OFFSET($CX$3,0,0,'Données projet'!$E$13+1,1))-AVERAGE(OFFSET($H$3,0,0,'Données projet'!$E$13+1,1))</f>
        <v>395.19659151668884</v>
      </c>
      <c r="CZ96" s="62">
        <f t="shared" si="73"/>
        <v>222.86563304507339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projet'!$B$13,Paramètres!$A$1:$I$88,7,0))</f>
        <v>0</v>
      </c>
      <c r="DD96" s="17">
        <f>IF(ISNA(VLOOKUP(A96,'Données projet'!$A$139:$I$159,6,0)),0%,VLOOKUP(A96,'Données projet'!$A$139:$I$159,6,0)*VLOOKUP('Données projet'!$B$13,Paramètres!$A$1:$I$88,7,0))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projet'!$B$9,Paramètres!$A$1:$I$88,3,0)*0.475*44/12</f>
        <v>0</v>
      </c>
      <c r="DG96" s="23">
        <f>EXP(-LN(2)/25)*DG95+(1-EXP(-LN(2)/25))/(LN(2)/25)*Calculateur!DB96*Calculateur!DD96*VLOOKUP('Données projet'!$B$9,Paramètres!$A$1:$I$88,3,0)*0.475*44/12</f>
        <v>0</v>
      </c>
      <c r="DH96" s="23">
        <f>EXP(-LN(2)/2)*DH95+(1-EXP(-LN(2)/2))/(LN(2)/2)*DB96*DE96*VLOOKUP('Données projet'!$B$9,Paramètres!$A$1:$I$88,3,0)*0.475*44/12</f>
        <v>0</v>
      </c>
      <c r="DI96" s="24">
        <f t="shared" si="74"/>
        <v>0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IF(A96&lt;'Données projet'!$A$166,$DL$205^A96,IF(A96='Données projet'!$A$166,'Données projet'!$B$166,DO95+DN96-DW95))</f>
        <v>-8.5265128291212022E-14</v>
      </c>
      <c r="DP96" s="18">
        <f>DO96*VLOOKUP('Données projet'!$B$14,Paramètres!$A$1:$I$88,3,0)*VLOOKUP('Données projet'!$B$14,Paramètres!$A$1:$I$88,5,0)</f>
        <v>-4.9880100050359036E-14</v>
      </c>
      <c r="DQ96" s="14" t="e">
        <f t="shared" si="102"/>
        <v>#NUM!</v>
      </c>
      <c r="DR96" s="22" t="e">
        <f t="shared" si="75"/>
        <v>#NUM!</v>
      </c>
      <c r="DS96" s="62" t="e">
        <f t="shared" si="76"/>
        <v>#NUM!</v>
      </c>
      <c r="DT96" s="62">
        <f ca="1">AVERAGE(OFFSET($DS$3,0,0,'Données projet'!$E$14+1,1))-AVERAGE(OFFSET($H$3,0,0,'Données projet'!$E$14+1,1))</f>
        <v>155.18073137151848</v>
      </c>
      <c r="DU96" s="62">
        <f t="shared" si="77"/>
        <v>115.19459155667272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projet'!$B$14,Paramètres!$A$1:$I$88,7,0))</f>
        <v>0</v>
      </c>
      <c r="DY96" s="17">
        <f>IF(ISNA(VLOOKUP(A96,'Données projet'!$A$165:$I$185,6,0)),0%,VLOOKUP(A96,'Données projet'!$A$165:$I$185,6,0)*VLOOKUP('Données projet'!$B$14,Paramètres!$A$1:$I$88,7,0))</f>
        <v>0</v>
      </c>
      <c r="DZ96" s="17">
        <f>IF(ISNA(VLOOKUP(A96,'Données projet'!$A$165:$I$185,7,0)),0%,VLOOKUP(A96,'Données projet'!$A$165:$I$185,7,0))</f>
        <v>0</v>
      </c>
      <c r="EA96" s="23">
        <f>EXP(-LN(2)/35)*EA95+(1-EXP(-LN(2)/35))/(LN(2)/35)*DW96*DX96*VLOOKUP('Données projet'!$B$9,Paramètres!$A$1:$I$88,3,0)*0.475*44/12</f>
        <v>0</v>
      </c>
      <c r="EB96" s="23">
        <f>EXP(-LN(2)/25)*EB95+(1-EXP(-LN(2)/25))/(LN(2)/25)*Calculateur!DW96*Calculateur!DY96*VLOOKUP('Données projet'!$B$9,Paramètres!$A$1:$I$88,3,0)*0.475*44/12</f>
        <v>0</v>
      </c>
      <c r="EC96" s="23">
        <f>EXP(-LN(2)/2)*EC95+(1-EXP(-LN(2)/2))/(LN(2)/2)*DW96*DZ96*VLOOKUP('Données projet'!$B$9,Paramètres!$A$1:$I$88,3,0)*0.475*44/12</f>
        <v>0</v>
      </c>
      <c r="ED96" s="24">
        <f t="shared" si="78"/>
        <v>0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6.4</v>
      </c>
      <c r="EJ96" s="13">
        <f>IF(A96&lt;'Données projet'!$A$192,$EG$205^A96,IF(A96='Données projet'!$A$192,'Données projet'!$B$192,EJ95+EI96-ER95))</f>
        <v>253.2</v>
      </c>
      <c r="EK96" s="18">
        <f>EJ96*VLOOKUP('Données projet'!$B$15,Paramètres!$A$1:$I$88,3,0)*VLOOKUP('Données projet'!$B$15,Paramètres!$A$1:$I$88,5,0)</f>
        <v>118.49759999999999</v>
      </c>
      <c r="EL96" s="14">
        <f t="shared" si="103"/>
        <v>31.324332637527956</v>
      </c>
      <c r="EM96" s="22">
        <f t="shared" si="79"/>
        <v>260.93986601036113</v>
      </c>
      <c r="EN96" s="62">
        <f t="shared" si="80"/>
        <v>526.90534449821848</v>
      </c>
      <c r="EO96" s="62">
        <f ca="1">AVERAGE(OFFSET($EN$3,0,0,'Données projet'!$E$15+1,1))-AVERAGE(OFFSET($H$3,0,0,'Données projet'!$E$15+1,1))</f>
        <v>238.59014604384171</v>
      </c>
      <c r="EP96" s="62">
        <f t="shared" si="81"/>
        <v>90.841373219575217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projet'!$B$15,Paramètres!$A$1:$I$88,7,0))</f>
        <v>0</v>
      </c>
      <c r="ET96" s="17">
        <f>IF(ISNA(VLOOKUP(A96,'Données projet'!$A$191:$I$211,6,0)),0%,VLOOKUP(A96,'Données projet'!$A$191:$I$211,6,0)*VLOOKUP('Données projet'!$B$15,Paramètres!$A$1:$I$88,7,0))</f>
        <v>0</v>
      </c>
      <c r="EU96" s="17">
        <f>IF(ISNA(VLOOKUP(A96,'Données projet'!$A$191:$I$211,7,0)),0%,VLOOKUP(A96,'Données projet'!$A$191:$I$211,7,0))</f>
        <v>0</v>
      </c>
      <c r="EV96" s="23">
        <f>EXP(-LN(2)/35)*EV95+(1-EXP(-LN(2)/35))/(LN(2)/35)*ER96*ES96*VLOOKUP('Données projet'!$B$9,Paramètres!$A$1:$I$88,3,0)*0.475*44/12</f>
        <v>0</v>
      </c>
      <c r="EW96" s="23">
        <f>EXP(-LN(2)/25)*EW95+(1-EXP(-LN(2)/25))/(LN(2)/25)*Calculateur!ER96*Calculateur!ET96*VLOOKUP('Données projet'!$B$9,Paramètres!$A$1:$I$88,3,0)*0.475*44/12</f>
        <v>0</v>
      </c>
      <c r="EX96" s="23">
        <f>EXP(-LN(2)/2)*EX95+(1-EXP(-LN(2)/2))/(LN(2)/2)*ER96*EU96*VLOOKUP('Données projet'!$B$9,Paramètres!$A$1:$I$88,3,0)*0.475*44/12</f>
        <v>0</v>
      </c>
      <c r="EY96" s="24">
        <f t="shared" si="82"/>
        <v>0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IF(A96&lt;'Données projet'!$A$218,$FB$205^A96,IF(A96='Données projet'!$A$218,'Données projet'!$B$218,FE95+FD96-FM95))</f>
        <v>0</v>
      </c>
      <c r="FF96" s="18" t="e">
        <f>FE96*VLOOKUP('Données projet'!$B$16,Paramètres!$A$1:$I$88,3,0)*VLOOKUP('Données projet'!$B$16,Paramètres!$A$1:$I$88,5,0)</f>
        <v>#N/A</v>
      </c>
      <c r="FG96" s="14" t="e">
        <f t="shared" si="104"/>
        <v>#N/A</v>
      </c>
      <c r="FH96" s="22" t="e">
        <f t="shared" si="83"/>
        <v>#N/A</v>
      </c>
      <c r="FI96" s="62" t="e">
        <f t="shared" si="84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85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projet'!$B$16,Paramètres!$A$1:$I$88,7,0))</f>
        <v>0</v>
      </c>
      <c r="FO96" s="17">
        <f>IF(ISNA(VLOOKUP(A96,'Données projet'!$A$217:$I$237,6,0)),0%,VLOOKUP(A96,'Données projet'!$A$217:$I$237,6,0)*VLOOKUP('Données projet'!$B$16,Paramètres!$A$1:$I$88,7,0))</f>
        <v>0</v>
      </c>
      <c r="FP96" s="17">
        <f>IF(ISNA(VLOOKUP(A96,'Données projet'!$A$217:$I$237,7,0)),0%,VLOOKUP(A96,'Données projet'!$A$217:$I$237,7,0))</f>
        <v>0</v>
      </c>
      <c r="FQ96" s="23">
        <f>EXP(-LN(2)/35)*FQ95+(1-EXP(-LN(2)/35))/(LN(2)/35)*FM96*FN96*VLOOKUP('Données projet'!$B$9,Paramètres!$A$1:$I$88,3,0)*0.475*44/12</f>
        <v>0</v>
      </c>
      <c r="FR96" s="23">
        <f>EXP(-LN(2)/25)*FR95+(1-EXP(-LN(2)/25))/(LN(2)/25)*Calculateur!FM96*Calculateur!FO96*VLOOKUP('Données projet'!$B$9,Paramètres!$A$1:$I$88,3,0)*0.475*44/12</f>
        <v>0</v>
      </c>
      <c r="FS96" s="23">
        <f>EXP(-LN(2)/2)*FS95+(1-EXP(-LN(2)/2))/(LN(2)/2)*FM96*FP96*VLOOKUP('Données projet'!$B$9,Paramètres!$A$1:$I$88,3,0)*0.475*44/12</f>
        <v>0</v>
      </c>
      <c r="FT96" s="24">
        <f t="shared" si="86"/>
        <v>0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IF(A96&lt;'Données projet'!$A$244,$FW$205^A96,IF(A96='Données projet'!$A$244,'Données projet'!$B$244,FZ95+FY96-GH95))</f>
        <v>0</v>
      </c>
      <c r="GA96" s="18" t="e">
        <f>FZ96*VLOOKUP('Données projet'!$B$17,Paramètres!$A$1:$I$88,3,0)*VLOOKUP('Données projet'!$B$17,Paramètres!$A$1:$I$88,5,0)</f>
        <v>#N/A</v>
      </c>
      <c r="GB96" s="14" t="e">
        <f t="shared" si="105"/>
        <v>#N/A</v>
      </c>
      <c r="GC96" s="22" t="e">
        <f t="shared" si="87"/>
        <v>#N/A</v>
      </c>
      <c r="GD96" s="62" t="e">
        <f t="shared" si="88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89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projet'!$B$17,Paramètres!$A$1:$I$88,7,0))</f>
        <v>0</v>
      </c>
      <c r="GJ96" s="17">
        <f>IF(ISNA(VLOOKUP(A96,'Données projet'!$A$243:$I$263,6,0)),0%,VLOOKUP(A96,'Données projet'!$A$243:$I$263,6,0)*VLOOKUP('Données projet'!$B$17,Paramètres!$A$1:$I$88,7,0))</f>
        <v>0</v>
      </c>
      <c r="GK96" s="17">
        <f>IF(ISNA(VLOOKUP(A96,'Données projet'!$A$243:$I$263,7,0)),0%,VLOOKUP(A96,'Données projet'!$A$243:$I$263,7,0))</f>
        <v>0</v>
      </c>
      <c r="GL96" s="23">
        <f>EXP(-LN(2)/35)*GL95+(1-EXP(-LN(2)/35))/(LN(2)/35)*GH96*GI96*VLOOKUP('Données projet'!$B$9,Paramètres!$A$1:$I$88,3,0)*0.475*44/12</f>
        <v>0</v>
      </c>
      <c r="GM96" s="23">
        <f>EXP(-LN(2)/25)*GM95+(1-EXP(-LN(2)/25))/(LN(2)/25)*Calculateur!GH96*Calculateur!GJ96*VLOOKUP('Données projet'!$B$9,Paramètres!$A$1:$I$88,3,0)*0.475*44/12</f>
        <v>0</v>
      </c>
      <c r="GN96" s="23">
        <f>EXP(-LN(2)/2)*GN95+(1-EXP(-LN(2)/2))/(LN(2)/2)*GH96*GK96*VLOOKUP('Données projet'!$B$9,Paramètres!$A$1:$I$88,3,0)*0.475*44/12</f>
        <v>0</v>
      </c>
      <c r="GO96" s="23">
        <f t="shared" si="90"/>
        <v>0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IF(A96&lt;'Données projet'!$A$270,$GR$205^A96,IF(A96='Données projet'!$A$270,'Données projet'!$B$270,GU95+GT96-HC95))</f>
        <v>0</v>
      </c>
      <c r="GV96" s="18" t="e">
        <f>GU96*VLOOKUP('Données projet'!$B$18,Paramètres!$A$1:$I$88,3,0)*VLOOKUP('Données projet'!$B$18,Paramètres!$A$1:$I$88,5,0)</f>
        <v>#N/A</v>
      </c>
      <c r="GW96" s="14" t="e">
        <f t="shared" si="106"/>
        <v>#N/A</v>
      </c>
      <c r="GX96" s="22" t="e">
        <f t="shared" si="91"/>
        <v>#N/A</v>
      </c>
      <c r="GY96" s="62" t="e">
        <f t="shared" si="92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93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projet'!$B$18,Paramètres!$A$1:$I$88,7,0))</f>
        <v>0</v>
      </c>
      <c r="HE96" s="17">
        <f>IF(ISNA(VLOOKUP(A96,'Données projet'!$A$269:$I$289,6,0)),0%,VLOOKUP(A96,'Données projet'!$A$269:$I$289,6,0)*VLOOKUP('Données projet'!$B$18,Paramètres!$A$1:$I$88,7,0))</f>
        <v>0</v>
      </c>
      <c r="HF96" s="17">
        <f>IF(ISNA(VLOOKUP(A96,'Données projet'!$A$269:$I$289,7,0)),0%,VLOOKUP(A96,'Données projet'!$A$269:$I$289,7,0))</f>
        <v>0</v>
      </c>
      <c r="HG96" s="23">
        <f>EXP(-LN(2)/35)*HG95+(1-EXP(-LN(2)/35))/(LN(2)/35)*HC96*HD96*VLOOKUP('Données projet'!$B$9,Paramètres!$A$1:$I$88,3,0)*0.475*44/12</f>
        <v>0</v>
      </c>
      <c r="HH96" s="23">
        <f>EXP(-LN(2)/25)*HH95+(1-EXP(-LN(2)/25))/(LN(2)/25)*Calculateur!HC96*Calculateur!HE96*VLOOKUP('Données projet'!$B$9,Paramètres!$A$1:$I$88,3,0)*0.475*44/12</f>
        <v>0</v>
      </c>
      <c r="HI96" s="23">
        <f>EXP(-LN(2)/2)*HI95+(1-EXP(-LN(2)/2))/(LN(2)/2)*HC96*HF96*VLOOKUP('Données projet'!$B$9,Paramètres!$A$1:$I$88,3,0)*0.475*44/12</f>
        <v>0</v>
      </c>
      <c r="HJ96" s="24">
        <f t="shared" si="94"/>
        <v>0</v>
      </c>
    </row>
    <row r="97" spans="1:218" s="5" customFormat="1" x14ac:dyDescent="0.25">
      <c r="A97" s="11">
        <f t="shared" si="95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7" s="12">
        <f t="shared" si="9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57"/>
        <v>135.66666666666666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1.4583333333333344</v>
      </c>
      <c r="N97" s="14">
        <f>IF(A97&lt;'Données projet'!$A$36,$K$205^A97,IF(A97='Données projet'!$A$36,'Données projet'!$B$36,N96+M97-V96))</f>
        <v>103.07499999999995</v>
      </c>
      <c r="O97" s="14">
        <f>N97*VLOOKUP('Données projet'!$B$9,Paramètres!$A$1:$I$88,3,0)*VLOOKUP('Données projet'!$B$9,Paramètres!$A$1:$I$88,5,0)</f>
        <v>118.74239999999992</v>
      </c>
      <c r="P97" s="14">
        <f t="shared" si="97"/>
        <v>31.38150514154874</v>
      </c>
      <c r="Q97" s="22">
        <f t="shared" si="54"/>
        <v>261.46580145486388</v>
      </c>
      <c r="R97" s="62">
        <f t="shared" si="55"/>
        <v>527.90605103893313</v>
      </c>
      <c r="S97" s="62">
        <f ca="1">AVERAGE(OFFSET($R$3,0,0,'Données projet'!$E$9+1,1))-AVERAGE(OFFSET($H$3,0,0,'Données projet'!$E$9+1,1))</f>
        <v>314.72063458462026</v>
      </c>
      <c r="T97" s="62">
        <f t="shared" si="56"/>
        <v>216.4380325968244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projet'!$B$9,Paramètres!$A$1:$I$88,7,0))</f>
        <v>0</v>
      </c>
      <c r="X97" s="17">
        <f>IF(ISNA(VLOOKUP(A97,'Données projet'!$A$35:$I$55,6,0)),0%,VLOOKUP(A97,'Données projet'!$A$35:$I$55,6,0)*VLOOKUP('Données projet'!$B$9,Paramètres!$A$1:$I$88,7,0))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projet'!$B$9,Paramètres!$A$1:$I$88,3,0)*0.475*44/12</f>
        <v>0</v>
      </c>
      <c r="AA97" s="23">
        <f>EXP(-LN(2)/25)*AA96+(1-EXP(-LN(2)/25))/(LN(2)/25)*Calculateur!V97*Calculateur!X97*VLOOKUP('Données projet'!$B$9,Paramètres!$A$1:$I$88,3,0)*0.475*44/12</f>
        <v>0</v>
      </c>
      <c r="AB97" s="23">
        <f>EXP(-LN(2)/2)*AB96+(1-EXP(-LN(2)/2))/(LN(2)/2)*V97*Y97*VLOOKUP('Données projet'!$B$9,Paramètres!$A$1:$I$88,3,0)*0.475*44/12</f>
        <v>0</v>
      </c>
      <c r="AC97" s="24">
        <f t="shared" si="58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3.4</v>
      </c>
      <c r="AI97" s="14">
        <f>IF(A97&lt;'Données projet'!$A$62,$AF$205^A97,IF(A97='Données projet'!$A$62,'Données projet'!$B$62,AI96+AH97-AQ96))</f>
        <v>229.59999999999997</v>
      </c>
      <c r="AJ97" s="14">
        <f>AI97*VLOOKUP('Données projet'!$B$10,Paramètres!$A$1:$I$88,3,0)*VLOOKUP('Données projet'!$B$10,Paramètres!$A$1:$I$88,5,0)</f>
        <v>239.97792000000001</v>
      </c>
      <c r="AK97" s="14">
        <f t="shared" si="98"/>
        <v>58.434779837216588</v>
      </c>
      <c r="AL97" s="22">
        <f t="shared" si="59"/>
        <v>519.73545221648567</v>
      </c>
      <c r="AM97" s="62">
        <f t="shared" si="60"/>
        <v>786.17570180055486</v>
      </c>
      <c r="AN97" s="62">
        <f ca="1">AVERAGE(OFFSET($AM$3,0,0,'Données projet'!$E$10+1,1))-AVERAGE(OFFSET($H$3,0,0,'Données projet'!$E$10+1,1))</f>
        <v>458.33072853676879</v>
      </c>
      <c r="AO97" s="62">
        <f t="shared" si="61"/>
        <v>254.1734169352687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projet'!$B$10,Paramètres!$A$1:$I$88,7,0))</f>
        <v>0</v>
      </c>
      <c r="AS97" s="17">
        <f>IF(ISNA(VLOOKUP(A97,'Données projet'!$A$61:$I$81,6,0)),0%,VLOOKUP(A97,'Données projet'!$A$61:$I$81,6,0)*VLOOKUP('Données projet'!$B$10,Paramètres!$A$1:$I$88,7,0))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projet'!$B$9,Paramètres!$A$1:$I$88,3,0)*0.475*44/12</f>
        <v>0</v>
      </c>
      <c r="AV97" s="23">
        <f>EXP(-LN(2)/25)*AV96+(1-EXP(-LN(2)/25))/(LN(2)/25)*Calculateur!AQ97*Calculateur!AS97*VLOOKUP('Données projet'!$B$9,Paramètres!$A$1:$I$88,3,0)*0.475*44/12</f>
        <v>0</v>
      </c>
      <c r="AW97" s="23">
        <f>EXP(-LN(2)/2)*AW96+(1-EXP(-LN(2)/2))/(LN(2)/2)*AQ97*AT97*VLOOKUP('Données projet'!$B$9,Paramètres!$A$1:$I$88,3,0)*0.475*44/12</f>
        <v>0</v>
      </c>
      <c r="AX97" s="23">
        <f t="shared" si="62"/>
        <v>0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3.4</v>
      </c>
      <c r="BD97" s="13">
        <f>IF(A97&lt;'Données projet'!$A$88,$BA$205^A97,IF(A97='Données projet'!$A$88,'Données projet'!$B$88,BD96+BC97-BL96))</f>
        <v>229.59999999999997</v>
      </c>
      <c r="BE97" s="14">
        <f>BD97*VLOOKUP('Données projet'!$B$11,Paramètres!$A$1:$I$88,3,0)*VLOOKUP('Données projet'!$B$11,Paramètres!$A$1:$I$88,5,0)</f>
        <v>232.81439999999998</v>
      </c>
      <c r="BF97" s="14">
        <f t="shared" si="99"/>
        <v>56.890789192015156</v>
      </c>
      <c r="BG97" s="22">
        <f t="shared" si="63"/>
        <v>504.56987117609305</v>
      </c>
      <c r="BH97" s="62">
        <f t="shared" si="64"/>
        <v>771.01012076016218</v>
      </c>
      <c r="BI97" s="62">
        <f ca="1">AVERAGE(OFFSET($BH$3,0,0,'Données projet'!$E$11+1,1))-AVERAGE(OFFSET($H$3,0,0,'Données projet'!$E$11+1,1))</f>
        <v>447.82618173893104</v>
      </c>
      <c r="BJ97" s="62">
        <f t="shared" si="65"/>
        <v>248.96509970783379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projet'!$B$11,Paramètres!$A$1:$I$88,7,0))</f>
        <v>0</v>
      </c>
      <c r="BN97" s="17">
        <f>IF(ISNA(VLOOKUP(A97,'Données projet'!$A$87:$I$107,6,0)),0%,VLOOKUP(A97,'Données projet'!$A$87:$I$107,6,0)*VLOOKUP('Données projet'!$B$11,Paramètres!$A$1:$I$88,7,0))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projet'!$B$9,Paramètres!$A$1:$I$88,3,0)*0.475*44/12</f>
        <v>0</v>
      </c>
      <c r="BQ97" s="23">
        <f>EXP(-LN(2)/25)*BQ96+(1-EXP(-LN(2)/25))/(LN(2)/25)*Calculateur!BL97*Calculateur!BN97*VLOOKUP('Données projet'!$B$9,Paramètres!$A$1:$I$88,3,0)*0.475*44/12</f>
        <v>0</v>
      </c>
      <c r="BR97" s="23">
        <f>EXP(-LN(2)/2)*BR96+(1-EXP(-LN(2)/2))/(LN(2)/2)*BL97*BO97*VLOOKUP('Données projet'!$B$9,Paramètres!$A$1:$I$88,3,0)*0.475*44/12</f>
        <v>0</v>
      </c>
      <c r="BS97" s="24">
        <f t="shared" si="66"/>
        <v>0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3.4</v>
      </c>
      <c r="BY97" s="13">
        <f>IF(A97&lt;'Données projet'!$A$114,$BV$205^A97,IF(A97='Données projet'!$A$114,'Données projet'!$B$114,BY96+BX97-CG96))</f>
        <v>229.59999999999997</v>
      </c>
      <c r="BZ97" s="14">
        <f>BY97*VLOOKUP('Données projet'!$B$12,Paramètres!$A$1:$I$88,3,0)*VLOOKUP('Données projet'!$B$12,Paramètres!$A$1:$I$88,5,0)</f>
        <v>247.14143999999996</v>
      </c>
      <c r="CA97" s="14">
        <f t="shared" si="100"/>
        <v>59.973414160090194</v>
      </c>
      <c r="CB97" s="22">
        <f t="shared" si="67"/>
        <v>534.89170432882361</v>
      </c>
      <c r="CC97" s="62">
        <f t="shared" si="68"/>
        <v>801.3319539128928</v>
      </c>
      <c r="CD97" s="62">
        <f ca="1">AVERAGE(OFFSET($CC$3,0,0,'Données projet'!$E$12+1,1))-AVERAGE(OFFSET($H$3,0,0,'Données projet'!$E$12+1,1))</f>
        <v>468.82871618425406</v>
      </c>
      <c r="CE97" s="62">
        <f t="shared" si="69"/>
        <v>259.37818128554397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projet'!$B$12,Paramètres!$A$1:$I$88,7,0))</f>
        <v>0</v>
      </c>
      <c r="CI97" s="17">
        <f>IF(ISNA(VLOOKUP(A97,'Données projet'!$A$113:$I$133,6,0)),0%,VLOOKUP(A97,'Données projet'!$A$113:$I$133,6,0)*VLOOKUP('Données projet'!$B$12,Paramètres!$A$1:$I$88,7,0))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projet'!$B$9,Paramètres!$A$1:$I$88,3,0)*0.475*44/12</f>
        <v>0</v>
      </c>
      <c r="CL97" s="23">
        <f>EXP(-LN(2)/25)*CL96+(1-EXP(-LN(2)/25))/(LN(2)/25)*Calculateur!CG97*Calculateur!CI97*VLOOKUP('Données projet'!$B$9,Paramètres!$A$1:$I$88,3,0)*0.475*44/12</f>
        <v>0</v>
      </c>
      <c r="CM97" s="23">
        <f>EXP(-LN(2)/2)*CM96+(1-EXP(-LN(2)/2))/(LN(2)/2)*CG97*CJ97*VLOOKUP('Données projet'!$B$9,Paramètres!$A$1:$I$88,3,0)*0.475*44/12</f>
        <v>0</v>
      </c>
      <c r="CN97" s="24">
        <f t="shared" si="70"/>
        <v>0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3.4</v>
      </c>
      <c r="CT97" s="13">
        <f>IF(A97&lt;'Données projet'!$A$140,$CQ$205^A97,IF(A97='Données projet'!$A$140,'Données projet'!$B$140,CT96+CS97-DB96))</f>
        <v>229.59999999999997</v>
      </c>
      <c r="CU97" s="18">
        <f>CT97*VLOOKUP('Données projet'!$B$13,Paramètres!$A$1:$I$88,3,0)*VLOOKUP('Données projet'!$B$13,Paramètres!$A$1:$I$88,5,0)</f>
        <v>196.99679999999998</v>
      </c>
      <c r="CV97" s="14">
        <f t="shared" si="101"/>
        <v>49.083575208709554</v>
      </c>
      <c r="CW97" s="22">
        <f t="shared" si="71"/>
        <v>428.58998682183574</v>
      </c>
      <c r="CX97" s="62">
        <f t="shared" si="72"/>
        <v>695.03023640590493</v>
      </c>
      <c r="CY97" s="62">
        <f ca="1">AVERAGE(OFFSET($CX$3,0,0,'Données projet'!$E$13+1,1))-AVERAGE(OFFSET($H$3,0,0,'Données projet'!$E$13+1,1))</f>
        <v>395.19659151668884</v>
      </c>
      <c r="CZ97" s="62">
        <f t="shared" si="73"/>
        <v>222.86563304507339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projet'!$B$13,Paramètres!$A$1:$I$88,7,0))</f>
        <v>0</v>
      </c>
      <c r="DD97" s="17">
        <f>IF(ISNA(VLOOKUP(A97,'Données projet'!$A$139:$I$159,6,0)),0%,VLOOKUP(A97,'Données projet'!$A$139:$I$159,6,0)*VLOOKUP('Données projet'!$B$13,Paramètres!$A$1:$I$88,7,0))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projet'!$B$9,Paramètres!$A$1:$I$88,3,0)*0.475*44/12</f>
        <v>0</v>
      </c>
      <c r="DG97" s="23">
        <f>EXP(-LN(2)/25)*DG96+(1-EXP(-LN(2)/25))/(LN(2)/25)*Calculateur!DB97*Calculateur!DD97*VLOOKUP('Données projet'!$B$9,Paramètres!$A$1:$I$88,3,0)*0.475*44/12</f>
        <v>0</v>
      </c>
      <c r="DH97" s="23">
        <f>EXP(-LN(2)/2)*DH96+(1-EXP(-LN(2)/2))/(LN(2)/2)*DB97*DE97*VLOOKUP('Données projet'!$B$9,Paramètres!$A$1:$I$88,3,0)*0.475*44/12</f>
        <v>0</v>
      </c>
      <c r="DI97" s="24">
        <f t="shared" si="74"/>
        <v>0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IF(A97&lt;'Données projet'!$A$166,$DL$205^A97,IF(A97='Données projet'!$A$166,'Données projet'!$B$166,DO96+DN97-DW96))</f>
        <v>-8.5265128291212022E-14</v>
      </c>
      <c r="DP97" s="18">
        <f>DO97*VLOOKUP('Données projet'!$B$14,Paramètres!$A$1:$I$88,3,0)*VLOOKUP('Données projet'!$B$14,Paramètres!$A$1:$I$88,5,0)</f>
        <v>-4.9880100050359036E-14</v>
      </c>
      <c r="DQ97" s="14" t="e">
        <f t="shared" si="102"/>
        <v>#NUM!</v>
      </c>
      <c r="DR97" s="22" t="e">
        <f t="shared" si="75"/>
        <v>#NUM!</v>
      </c>
      <c r="DS97" s="62" t="e">
        <f t="shared" si="76"/>
        <v>#NUM!</v>
      </c>
      <c r="DT97" s="62">
        <f ca="1">AVERAGE(OFFSET($DS$3,0,0,'Données projet'!$E$14+1,1))-AVERAGE(OFFSET($H$3,0,0,'Données projet'!$E$14+1,1))</f>
        <v>155.18073137151848</v>
      </c>
      <c r="DU97" s="62">
        <f t="shared" si="77"/>
        <v>115.19459155667272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projet'!$B$14,Paramètres!$A$1:$I$88,7,0))</f>
        <v>0</v>
      </c>
      <c r="DY97" s="17">
        <f>IF(ISNA(VLOOKUP(A97,'Données projet'!$A$165:$I$185,6,0)),0%,VLOOKUP(A97,'Données projet'!$A$165:$I$185,6,0)*VLOOKUP('Données projet'!$B$14,Paramètres!$A$1:$I$88,7,0))</f>
        <v>0</v>
      </c>
      <c r="DZ97" s="17">
        <f>IF(ISNA(VLOOKUP(A97,'Données projet'!$A$165:$I$185,7,0)),0%,VLOOKUP(A97,'Données projet'!$A$165:$I$185,7,0))</f>
        <v>0</v>
      </c>
      <c r="EA97" s="23">
        <f>EXP(-LN(2)/35)*EA96+(1-EXP(-LN(2)/35))/(LN(2)/35)*DW97*DX97*VLOOKUP('Données projet'!$B$9,Paramètres!$A$1:$I$88,3,0)*0.475*44/12</f>
        <v>0</v>
      </c>
      <c r="EB97" s="23">
        <f>EXP(-LN(2)/25)*EB96+(1-EXP(-LN(2)/25))/(LN(2)/25)*Calculateur!DW97*Calculateur!DY97*VLOOKUP('Données projet'!$B$9,Paramètres!$A$1:$I$88,3,0)*0.475*44/12</f>
        <v>0</v>
      </c>
      <c r="EC97" s="23">
        <f>EXP(-LN(2)/2)*EC96+(1-EXP(-LN(2)/2))/(LN(2)/2)*DW97*DZ97*VLOOKUP('Données projet'!$B$9,Paramètres!$A$1:$I$88,3,0)*0.475*44/12</f>
        <v>0</v>
      </c>
      <c r="ED97" s="24">
        <f t="shared" si="78"/>
        <v>0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6.4</v>
      </c>
      <c r="EJ97" s="13">
        <f>IF(A97&lt;'Données projet'!$A$192,$EG$205^A97,IF(A97='Données projet'!$A$192,'Données projet'!$B$192,EJ96+EI97-ER96))</f>
        <v>259.59999999999997</v>
      </c>
      <c r="EK97" s="18">
        <f>EJ97*VLOOKUP('Données projet'!$B$15,Paramètres!$A$1:$I$88,3,0)*VLOOKUP('Données projet'!$B$15,Paramètres!$A$1:$I$88,5,0)</f>
        <v>121.49279999999999</v>
      </c>
      <c r="EL97" s="14">
        <f t="shared" si="103"/>
        <v>32.02291946024841</v>
      </c>
      <c r="EM97" s="22">
        <f t="shared" si="79"/>
        <v>267.37321139326588</v>
      </c>
      <c r="EN97" s="62">
        <f t="shared" si="80"/>
        <v>533.81346097733513</v>
      </c>
      <c r="EO97" s="62">
        <f ca="1">AVERAGE(OFFSET($EN$3,0,0,'Données projet'!$E$15+1,1))-AVERAGE(OFFSET($H$3,0,0,'Données projet'!$E$15+1,1))</f>
        <v>238.59014604384171</v>
      </c>
      <c r="EP97" s="62">
        <f t="shared" si="81"/>
        <v>90.841373219575217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projet'!$B$15,Paramètres!$A$1:$I$88,7,0))</f>
        <v>0</v>
      </c>
      <c r="ET97" s="17">
        <f>IF(ISNA(VLOOKUP(A97,'Données projet'!$A$191:$I$211,6,0)),0%,VLOOKUP(A97,'Données projet'!$A$191:$I$211,6,0)*VLOOKUP('Données projet'!$B$15,Paramètres!$A$1:$I$88,7,0))</f>
        <v>0</v>
      </c>
      <c r="EU97" s="17">
        <f>IF(ISNA(VLOOKUP(A97,'Données projet'!$A$191:$I$211,7,0)),0%,VLOOKUP(A97,'Données projet'!$A$191:$I$211,7,0))</f>
        <v>0</v>
      </c>
      <c r="EV97" s="23">
        <f>EXP(-LN(2)/35)*EV96+(1-EXP(-LN(2)/35))/(LN(2)/35)*ER97*ES97*VLOOKUP('Données projet'!$B$9,Paramètres!$A$1:$I$88,3,0)*0.475*44/12</f>
        <v>0</v>
      </c>
      <c r="EW97" s="23">
        <f>EXP(-LN(2)/25)*EW96+(1-EXP(-LN(2)/25))/(LN(2)/25)*Calculateur!ER97*Calculateur!ET97*VLOOKUP('Données projet'!$B$9,Paramètres!$A$1:$I$88,3,0)*0.475*44/12</f>
        <v>0</v>
      </c>
      <c r="EX97" s="23">
        <f>EXP(-LN(2)/2)*EX96+(1-EXP(-LN(2)/2))/(LN(2)/2)*ER97*EU97*VLOOKUP('Données projet'!$B$9,Paramètres!$A$1:$I$88,3,0)*0.475*44/12</f>
        <v>0</v>
      </c>
      <c r="EY97" s="24">
        <f t="shared" si="82"/>
        <v>0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IF(A97&lt;'Données projet'!$A$218,$FB$205^A97,IF(A97='Données projet'!$A$218,'Données projet'!$B$218,FE96+FD97-FM96))</f>
        <v>0</v>
      </c>
      <c r="FF97" s="18" t="e">
        <f>FE97*VLOOKUP('Données projet'!$B$16,Paramètres!$A$1:$I$88,3,0)*VLOOKUP('Données projet'!$B$16,Paramètres!$A$1:$I$88,5,0)</f>
        <v>#N/A</v>
      </c>
      <c r="FG97" s="14" t="e">
        <f t="shared" si="104"/>
        <v>#N/A</v>
      </c>
      <c r="FH97" s="22" t="e">
        <f t="shared" si="83"/>
        <v>#N/A</v>
      </c>
      <c r="FI97" s="62" t="e">
        <f t="shared" si="84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85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projet'!$B$16,Paramètres!$A$1:$I$88,7,0))</f>
        <v>0</v>
      </c>
      <c r="FO97" s="17">
        <f>IF(ISNA(VLOOKUP(A97,'Données projet'!$A$217:$I$237,6,0)),0%,VLOOKUP(A97,'Données projet'!$A$217:$I$237,6,0)*VLOOKUP('Données projet'!$B$16,Paramètres!$A$1:$I$88,7,0))</f>
        <v>0</v>
      </c>
      <c r="FP97" s="17">
        <f>IF(ISNA(VLOOKUP(A97,'Données projet'!$A$217:$I$237,7,0)),0%,VLOOKUP(A97,'Données projet'!$A$217:$I$237,7,0))</f>
        <v>0</v>
      </c>
      <c r="FQ97" s="23">
        <f>EXP(-LN(2)/35)*FQ96+(1-EXP(-LN(2)/35))/(LN(2)/35)*FM97*FN97*VLOOKUP('Données projet'!$B$9,Paramètres!$A$1:$I$88,3,0)*0.475*44/12</f>
        <v>0</v>
      </c>
      <c r="FR97" s="23">
        <f>EXP(-LN(2)/25)*FR96+(1-EXP(-LN(2)/25))/(LN(2)/25)*Calculateur!FM97*Calculateur!FO97*VLOOKUP('Données projet'!$B$9,Paramètres!$A$1:$I$88,3,0)*0.475*44/12</f>
        <v>0</v>
      </c>
      <c r="FS97" s="23">
        <f>EXP(-LN(2)/2)*FS96+(1-EXP(-LN(2)/2))/(LN(2)/2)*FM97*FP97*VLOOKUP('Données projet'!$B$9,Paramètres!$A$1:$I$88,3,0)*0.475*44/12</f>
        <v>0</v>
      </c>
      <c r="FT97" s="24">
        <f t="shared" si="86"/>
        <v>0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IF(A97&lt;'Données projet'!$A$244,$FW$205^A97,IF(A97='Données projet'!$A$244,'Données projet'!$B$244,FZ96+FY97-GH96))</f>
        <v>0</v>
      </c>
      <c r="GA97" s="18" t="e">
        <f>FZ97*VLOOKUP('Données projet'!$B$17,Paramètres!$A$1:$I$88,3,0)*VLOOKUP('Données projet'!$B$17,Paramètres!$A$1:$I$88,5,0)</f>
        <v>#N/A</v>
      </c>
      <c r="GB97" s="14" t="e">
        <f t="shared" si="105"/>
        <v>#N/A</v>
      </c>
      <c r="GC97" s="22" t="e">
        <f t="shared" si="87"/>
        <v>#N/A</v>
      </c>
      <c r="GD97" s="62" t="e">
        <f t="shared" si="88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89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projet'!$B$17,Paramètres!$A$1:$I$88,7,0))</f>
        <v>0</v>
      </c>
      <c r="GJ97" s="17">
        <f>IF(ISNA(VLOOKUP(A97,'Données projet'!$A$243:$I$263,6,0)),0%,VLOOKUP(A97,'Données projet'!$A$243:$I$263,6,0)*VLOOKUP('Données projet'!$B$17,Paramètres!$A$1:$I$88,7,0))</f>
        <v>0</v>
      </c>
      <c r="GK97" s="17">
        <f>IF(ISNA(VLOOKUP(A97,'Données projet'!$A$243:$I$263,7,0)),0%,VLOOKUP(A97,'Données projet'!$A$243:$I$263,7,0))</f>
        <v>0</v>
      </c>
      <c r="GL97" s="23">
        <f>EXP(-LN(2)/35)*GL96+(1-EXP(-LN(2)/35))/(LN(2)/35)*GH97*GI97*VLOOKUP('Données projet'!$B$9,Paramètres!$A$1:$I$88,3,0)*0.475*44/12</f>
        <v>0</v>
      </c>
      <c r="GM97" s="23">
        <f>EXP(-LN(2)/25)*GM96+(1-EXP(-LN(2)/25))/(LN(2)/25)*Calculateur!GH97*Calculateur!GJ97*VLOOKUP('Données projet'!$B$9,Paramètres!$A$1:$I$88,3,0)*0.475*44/12</f>
        <v>0</v>
      </c>
      <c r="GN97" s="23">
        <f>EXP(-LN(2)/2)*GN96+(1-EXP(-LN(2)/2))/(LN(2)/2)*GH97*GK97*VLOOKUP('Données projet'!$B$9,Paramètres!$A$1:$I$88,3,0)*0.475*44/12</f>
        <v>0</v>
      </c>
      <c r="GO97" s="23">
        <f t="shared" si="90"/>
        <v>0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IF(A97&lt;'Données projet'!$A$270,$GR$205^A97,IF(A97='Données projet'!$A$270,'Données projet'!$B$270,GU96+GT97-HC96))</f>
        <v>0</v>
      </c>
      <c r="GV97" s="18" t="e">
        <f>GU97*VLOOKUP('Données projet'!$B$18,Paramètres!$A$1:$I$88,3,0)*VLOOKUP('Données projet'!$B$18,Paramètres!$A$1:$I$88,5,0)</f>
        <v>#N/A</v>
      </c>
      <c r="GW97" s="14" t="e">
        <f t="shared" si="106"/>
        <v>#N/A</v>
      </c>
      <c r="GX97" s="22" t="e">
        <f t="shared" si="91"/>
        <v>#N/A</v>
      </c>
      <c r="GY97" s="62" t="e">
        <f t="shared" si="92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93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projet'!$B$18,Paramètres!$A$1:$I$88,7,0))</f>
        <v>0</v>
      </c>
      <c r="HE97" s="17">
        <f>IF(ISNA(VLOOKUP(A97,'Données projet'!$A$269:$I$289,6,0)),0%,VLOOKUP(A97,'Données projet'!$A$269:$I$289,6,0)*VLOOKUP('Données projet'!$B$18,Paramètres!$A$1:$I$88,7,0))</f>
        <v>0</v>
      </c>
      <c r="HF97" s="17">
        <f>IF(ISNA(VLOOKUP(A97,'Données projet'!$A$269:$I$289,7,0)),0%,VLOOKUP(A97,'Données projet'!$A$269:$I$289,7,0))</f>
        <v>0</v>
      </c>
      <c r="HG97" s="23">
        <f>EXP(-LN(2)/35)*HG96+(1-EXP(-LN(2)/35))/(LN(2)/35)*HC97*HD97*VLOOKUP('Données projet'!$B$9,Paramètres!$A$1:$I$88,3,0)*0.475*44/12</f>
        <v>0</v>
      </c>
      <c r="HH97" s="23">
        <f>EXP(-LN(2)/25)*HH96+(1-EXP(-LN(2)/25))/(LN(2)/25)*Calculateur!HC97*Calculateur!HE97*VLOOKUP('Données projet'!$B$9,Paramètres!$A$1:$I$88,3,0)*0.475*44/12</f>
        <v>0</v>
      </c>
      <c r="HI97" s="23">
        <f>EXP(-LN(2)/2)*HI96+(1-EXP(-LN(2)/2))/(LN(2)/2)*HC97*HF97*VLOOKUP('Données projet'!$B$9,Paramètres!$A$1:$I$88,3,0)*0.475*44/12</f>
        <v>0</v>
      </c>
      <c r="HJ97" s="24">
        <f t="shared" si="94"/>
        <v>0</v>
      </c>
    </row>
    <row r="98" spans="1:218" s="5" customFormat="1" x14ac:dyDescent="0.25">
      <c r="A98" s="11">
        <f t="shared" si="95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8" s="12">
        <f t="shared" si="9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57"/>
        <v>135.66666666666666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1.4583333333333344</v>
      </c>
      <c r="N98" s="14">
        <f>IF(A98&lt;'Données projet'!$A$36,$K$205^A98,IF(A98='Données projet'!$A$36,'Données projet'!$B$36,N97+M98-V97))</f>
        <v>104.53333333333327</v>
      </c>
      <c r="O98" s="14">
        <f>N98*VLOOKUP('Données projet'!$B$9,Paramètres!$A$1:$I$88,3,0)*VLOOKUP('Données projet'!$B$9,Paramètres!$A$1:$I$88,5,0)</f>
        <v>120.42239999999991</v>
      </c>
      <c r="P98" s="14">
        <f t="shared" si="97"/>
        <v>31.773497001152442</v>
      </c>
      <c r="Q98" s="22">
        <f t="shared" si="54"/>
        <v>265.07452061034036</v>
      </c>
      <c r="R98" s="62">
        <f t="shared" si="55"/>
        <v>531.9813050735313</v>
      </c>
      <c r="S98" s="62">
        <f ca="1">AVERAGE(OFFSET($R$3,0,0,'Données projet'!$E$9+1,1))-AVERAGE(OFFSET($H$3,0,0,'Données projet'!$E$9+1,1))</f>
        <v>314.72063458462026</v>
      </c>
      <c r="T98" s="62">
        <f t="shared" si="56"/>
        <v>216.4380325968244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projet'!$B$9,Paramètres!$A$1:$I$88,7,0))</f>
        <v>0</v>
      </c>
      <c r="X98" s="17">
        <f>IF(ISNA(VLOOKUP(A98,'Données projet'!$A$35:$I$55,6,0)),0%,VLOOKUP(A98,'Données projet'!$A$35:$I$55,6,0)*VLOOKUP('Données projet'!$B$9,Paramètres!$A$1:$I$88,7,0))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projet'!$B$9,Paramètres!$A$1:$I$88,3,0)*0.475*44/12</f>
        <v>0</v>
      </c>
      <c r="AA98" s="23">
        <f>EXP(-LN(2)/25)*AA97+(1-EXP(-LN(2)/25))/(LN(2)/25)*Calculateur!V98*Calculateur!X98*VLOOKUP('Données projet'!$B$9,Paramètres!$A$1:$I$88,3,0)*0.475*44/12</f>
        <v>0</v>
      </c>
      <c r="AB98" s="23">
        <f>EXP(-LN(2)/2)*AB97+(1-EXP(-LN(2)/2))/(LN(2)/2)*V98*Y98*VLOOKUP('Données projet'!$B$9,Paramètres!$A$1:$I$88,3,0)*0.475*44/12</f>
        <v>0</v>
      </c>
      <c r="AC98" s="24">
        <f t="shared" si="58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>
        <f>VLOOKUP(A98,'Données projet'!$A$61:$I$81,2,0)</f>
        <v>233</v>
      </c>
      <c r="AG98" s="13">
        <f>VLOOKUP(A98,'Données projet'!$A$61:$I$81,9,0)</f>
        <v>3.4</v>
      </c>
      <c r="AH98" s="13">
        <f t="array" ref="AH98">INDEX(AG:AG,MIN(IF(ISNUMBER(AG98:AG294),ROW(AG98:AG294),"")))</f>
        <v>3.4</v>
      </c>
      <c r="AI98" s="14">
        <f>IF(A98&lt;'Données projet'!$A$62,$AF$205^A98,IF(A98='Données projet'!$A$62,'Données projet'!$B$62,AI97+AH98-AQ97))</f>
        <v>232.99999999999997</v>
      </c>
      <c r="AJ98" s="14">
        <f>AI98*VLOOKUP('Données projet'!$B$10,Paramètres!$A$1:$I$88,3,0)*VLOOKUP('Données projet'!$B$10,Paramètres!$A$1:$I$88,5,0)</f>
        <v>243.5316</v>
      </c>
      <c r="AK98" s="14">
        <f t="shared" si="98"/>
        <v>59.198724224270414</v>
      </c>
      <c r="AL98" s="22">
        <f t="shared" si="59"/>
        <v>527.25531469060434</v>
      </c>
      <c r="AM98" s="62">
        <f t="shared" si="60"/>
        <v>794.16209915379522</v>
      </c>
      <c r="AN98" s="62">
        <f ca="1">AVERAGE(OFFSET($AM$3,0,0,'Données projet'!$E$10+1,1))-AVERAGE(OFFSET($H$3,0,0,'Données projet'!$E$10+1,1))</f>
        <v>458.33072853676879</v>
      </c>
      <c r="AO98" s="62">
        <f t="shared" si="61"/>
        <v>254.1734169352687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projet'!$B$10,Paramètres!$A$1:$I$88,7,0))</f>
        <v>0</v>
      </c>
      <c r="AS98" s="17">
        <f>IF(ISNA(VLOOKUP(A98,'Données projet'!$A$61:$I$81,6,0)),0%,VLOOKUP(A98,'Données projet'!$A$61:$I$81,6,0)*VLOOKUP('Données projet'!$B$10,Paramètres!$A$1:$I$88,7,0))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projet'!$B$9,Paramètres!$A$1:$I$88,3,0)*0.475*44/12</f>
        <v>0</v>
      </c>
      <c r="AV98" s="23">
        <f>EXP(-LN(2)/25)*AV97+(1-EXP(-LN(2)/25))/(LN(2)/25)*Calculateur!AQ98*Calculateur!AS98*VLOOKUP('Données projet'!$B$9,Paramètres!$A$1:$I$88,3,0)*0.475*44/12</f>
        <v>0</v>
      </c>
      <c r="AW98" s="23">
        <f>EXP(-LN(2)/2)*AW97+(1-EXP(-LN(2)/2))/(LN(2)/2)*AQ98*AT98*VLOOKUP('Données projet'!$B$9,Paramètres!$A$1:$I$88,3,0)*0.475*44/12</f>
        <v>0</v>
      </c>
      <c r="AX98" s="23">
        <f t="shared" si="62"/>
        <v>0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>
        <f>VLOOKUP(A98,'Données projet'!$A$87:$I$107,2,0)</f>
        <v>233</v>
      </c>
      <c r="BB98" s="13">
        <f>VLOOKUP(A98,'Données projet'!$A$87:$I$107,9,0)</f>
        <v>3.4</v>
      </c>
      <c r="BC98" s="13">
        <f t="array" ref="BC98">INDEX(BB:BB,MIN(IF(ISNUMBER(BB98:BB294),ROW(BB98:BB294),"")))</f>
        <v>3.4</v>
      </c>
      <c r="BD98" s="13">
        <f>IF(A98&lt;'Données projet'!$A$88,$BA$205^A98,IF(A98='Données projet'!$A$88,'Données projet'!$B$88,BD97+BC98-BL97))</f>
        <v>232.99999999999997</v>
      </c>
      <c r="BE98" s="14">
        <f>BD98*VLOOKUP('Données projet'!$B$11,Paramètres!$A$1:$I$88,3,0)*VLOOKUP('Données projet'!$B$11,Paramètres!$A$1:$I$88,5,0)</f>
        <v>236.262</v>
      </c>
      <c r="BF98" s="14">
        <f t="shared" si="99"/>
        <v>57.634548288898394</v>
      </c>
      <c r="BG98" s="22">
        <f t="shared" si="63"/>
        <v>511.86982160316461</v>
      </c>
      <c r="BH98" s="62">
        <f t="shared" si="64"/>
        <v>778.7766060663555</v>
      </c>
      <c r="BI98" s="62">
        <f ca="1">AVERAGE(OFFSET($BH$3,0,0,'Données projet'!$E$11+1,1))-AVERAGE(OFFSET($H$3,0,0,'Données projet'!$E$11+1,1))</f>
        <v>447.82618173893104</v>
      </c>
      <c r="BJ98" s="62">
        <f t="shared" si="65"/>
        <v>248.96509970783379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projet'!$B$11,Paramètres!$A$1:$I$88,7,0))</f>
        <v>0</v>
      </c>
      <c r="BN98" s="17">
        <f>IF(ISNA(VLOOKUP(A98,'Données projet'!$A$87:$I$107,6,0)),0%,VLOOKUP(A98,'Données projet'!$A$87:$I$107,6,0)*VLOOKUP('Données projet'!$B$11,Paramètres!$A$1:$I$88,7,0))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projet'!$B$9,Paramètres!$A$1:$I$88,3,0)*0.475*44/12</f>
        <v>0</v>
      </c>
      <c r="BQ98" s="23">
        <f>EXP(-LN(2)/25)*BQ97+(1-EXP(-LN(2)/25))/(LN(2)/25)*Calculateur!BL98*Calculateur!BN98*VLOOKUP('Données projet'!$B$9,Paramètres!$A$1:$I$88,3,0)*0.475*44/12</f>
        <v>0</v>
      </c>
      <c r="BR98" s="23">
        <f>EXP(-LN(2)/2)*BR97+(1-EXP(-LN(2)/2))/(LN(2)/2)*BL98*BO98*VLOOKUP('Données projet'!$B$9,Paramètres!$A$1:$I$88,3,0)*0.475*44/12</f>
        <v>0</v>
      </c>
      <c r="BS98" s="24">
        <f t="shared" si="66"/>
        <v>0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>
        <f>VLOOKUP(A98,'Données projet'!$A$113:$I$133,2,0)</f>
        <v>233</v>
      </c>
      <c r="BW98" s="13">
        <f>VLOOKUP(A98,'Données projet'!$A$113:$I$133,9,0)</f>
        <v>3.4</v>
      </c>
      <c r="BX98" s="13">
        <f t="array" ref="BX98">INDEX(BW:BW,MIN(IF(ISNUMBER(BW98:BW294),ROW(BW98:BW294),"")))</f>
        <v>3.4</v>
      </c>
      <c r="BY98" s="13">
        <f>IF(A98&lt;'Données projet'!$A$114,$BV$205^A98,IF(A98='Données projet'!$A$114,'Données projet'!$B$114,BY97+BX98-CG97))</f>
        <v>232.99999999999997</v>
      </c>
      <c r="BZ98" s="14">
        <f>BY98*VLOOKUP('Données projet'!$B$12,Paramètres!$A$1:$I$88,3,0)*VLOOKUP('Données projet'!$B$12,Paramètres!$A$1:$I$88,5,0)</f>
        <v>250.80119999999999</v>
      </c>
      <c r="CA98" s="14">
        <f t="shared" si="100"/>
        <v>60.757473811682686</v>
      </c>
      <c r="CB98" s="22">
        <f t="shared" si="67"/>
        <v>542.63135688868067</v>
      </c>
      <c r="CC98" s="62">
        <f t="shared" si="68"/>
        <v>809.53814135187156</v>
      </c>
      <c r="CD98" s="62">
        <f ca="1">AVERAGE(OFFSET($CC$3,0,0,'Données projet'!$E$12+1,1))-AVERAGE(OFFSET($H$3,0,0,'Données projet'!$E$12+1,1))</f>
        <v>468.82871618425406</v>
      </c>
      <c r="CE98" s="62">
        <f t="shared" si="69"/>
        <v>259.37818128554397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projet'!$B$12,Paramètres!$A$1:$I$88,7,0))</f>
        <v>0</v>
      </c>
      <c r="CI98" s="17">
        <f>IF(ISNA(VLOOKUP(A98,'Données projet'!$A$113:$I$133,6,0)),0%,VLOOKUP(A98,'Données projet'!$A$113:$I$133,6,0)*VLOOKUP('Données projet'!$B$12,Paramètres!$A$1:$I$88,7,0))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projet'!$B$9,Paramètres!$A$1:$I$88,3,0)*0.475*44/12</f>
        <v>0</v>
      </c>
      <c r="CL98" s="23">
        <f>EXP(-LN(2)/25)*CL97+(1-EXP(-LN(2)/25))/(LN(2)/25)*Calculateur!CG98*Calculateur!CI98*VLOOKUP('Données projet'!$B$9,Paramètres!$A$1:$I$88,3,0)*0.475*44/12</f>
        <v>0</v>
      </c>
      <c r="CM98" s="23">
        <f>EXP(-LN(2)/2)*CM97+(1-EXP(-LN(2)/2))/(LN(2)/2)*CG98*CJ98*VLOOKUP('Données projet'!$B$9,Paramètres!$A$1:$I$88,3,0)*0.475*44/12</f>
        <v>0</v>
      </c>
      <c r="CN98" s="24">
        <f t="shared" si="70"/>
        <v>0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>
        <f>VLOOKUP(A98,'Données projet'!$A$139:$I$159,2,0)</f>
        <v>233</v>
      </c>
      <c r="CR98" s="13">
        <f>VLOOKUP(A98,'Données projet'!$A$139:$I$159,9,0)</f>
        <v>3.4</v>
      </c>
      <c r="CS98" s="13">
        <f t="array" ref="CS98">INDEX(CR:CR,MIN(IF(ISNUMBER(CR98:CR294),ROW(CR98:CR294),"")))</f>
        <v>3.4</v>
      </c>
      <c r="CT98" s="13">
        <f>IF(A98&lt;'Données projet'!$A$140,$CQ$205^A98,IF(A98='Données projet'!$A$140,'Données projet'!$B$140,CT97+CS98-DB97))</f>
        <v>232.99999999999997</v>
      </c>
      <c r="CU98" s="18">
        <f>CT98*VLOOKUP('Données projet'!$B$13,Paramètres!$A$1:$I$88,3,0)*VLOOKUP('Données projet'!$B$13,Paramètres!$A$1:$I$88,5,0)</f>
        <v>199.91400000000002</v>
      </c>
      <c r="CV98" s="14">
        <f t="shared" si="101"/>
        <v>49.725267055272198</v>
      </c>
      <c r="CW98" s="22">
        <f t="shared" si="71"/>
        <v>434.78839012126582</v>
      </c>
      <c r="CX98" s="62">
        <f t="shared" si="72"/>
        <v>701.69517458445671</v>
      </c>
      <c r="CY98" s="62">
        <f ca="1">AVERAGE(OFFSET($CX$3,0,0,'Données projet'!$E$13+1,1))-AVERAGE(OFFSET($H$3,0,0,'Données projet'!$E$13+1,1))</f>
        <v>395.19659151668884</v>
      </c>
      <c r="CZ98" s="62">
        <f t="shared" si="73"/>
        <v>222.86563304507339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projet'!$B$13,Paramètres!$A$1:$I$88,7,0))</f>
        <v>0</v>
      </c>
      <c r="DD98" s="17">
        <f>IF(ISNA(VLOOKUP(A98,'Données projet'!$A$139:$I$159,6,0)),0%,VLOOKUP(A98,'Données projet'!$A$139:$I$159,6,0)*VLOOKUP('Données projet'!$B$13,Paramètres!$A$1:$I$88,7,0))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projet'!$B$9,Paramètres!$A$1:$I$88,3,0)*0.475*44/12</f>
        <v>0</v>
      </c>
      <c r="DG98" s="23">
        <f>EXP(-LN(2)/25)*DG97+(1-EXP(-LN(2)/25))/(LN(2)/25)*Calculateur!DB98*Calculateur!DD98*VLOOKUP('Données projet'!$B$9,Paramètres!$A$1:$I$88,3,0)*0.475*44/12</f>
        <v>0</v>
      </c>
      <c r="DH98" s="23">
        <f>EXP(-LN(2)/2)*DH97+(1-EXP(-LN(2)/2))/(LN(2)/2)*DB98*DE98*VLOOKUP('Données projet'!$B$9,Paramètres!$A$1:$I$88,3,0)*0.475*44/12</f>
        <v>0</v>
      </c>
      <c r="DI98" s="24">
        <f t="shared" si="74"/>
        <v>0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IF(A98&lt;'Données projet'!$A$166,$DL$205^A98,IF(A98='Données projet'!$A$166,'Données projet'!$B$166,DO97+DN98-DW97))</f>
        <v>-8.5265128291212022E-14</v>
      </c>
      <c r="DP98" s="18">
        <f>DO98*VLOOKUP('Données projet'!$B$14,Paramètres!$A$1:$I$88,3,0)*VLOOKUP('Données projet'!$B$14,Paramètres!$A$1:$I$88,5,0)</f>
        <v>-4.9880100050359036E-14</v>
      </c>
      <c r="DQ98" s="14" t="e">
        <f t="shared" si="102"/>
        <v>#NUM!</v>
      </c>
      <c r="DR98" s="22" t="e">
        <f t="shared" si="75"/>
        <v>#NUM!</v>
      </c>
      <c r="DS98" s="62" t="e">
        <f t="shared" si="76"/>
        <v>#NUM!</v>
      </c>
      <c r="DT98" s="62">
        <f ca="1">AVERAGE(OFFSET($DS$3,0,0,'Données projet'!$E$14+1,1))-AVERAGE(OFFSET($H$3,0,0,'Données projet'!$E$14+1,1))</f>
        <v>155.18073137151848</v>
      </c>
      <c r="DU98" s="62">
        <f t="shared" si="77"/>
        <v>115.19459155667272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projet'!$B$14,Paramètres!$A$1:$I$88,7,0))</f>
        <v>0</v>
      </c>
      <c r="DY98" s="17">
        <f>IF(ISNA(VLOOKUP(A98,'Données projet'!$A$165:$I$185,6,0)),0%,VLOOKUP(A98,'Données projet'!$A$165:$I$185,6,0)*VLOOKUP('Données projet'!$B$14,Paramètres!$A$1:$I$88,7,0))</f>
        <v>0</v>
      </c>
      <c r="DZ98" s="17">
        <f>IF(ISNA(VLOOKUP(A98,'Données projet'!$A$165:$I$185,7,0)),0%,VLOOKUP(A98,'Données projet'!$A$165:$I$185,7,0))</f>
        <v>0</v>
      </c>
      <c r="EA98" s="23">
        <f>EXP(-LN(2)/35)*EA97+(1-EXP(-LN(2)/35))/(LN(2)/35)*DW98*DX98*VLOOKUP('Données projet'!$B$9,Paramètres!$A$1:$I$88,3,0)*0.475*44/12</f>
        <v>0</v>
      </c>
      <c r="EB98" s="23">
        <f>EXP(-LN(2)/25)*EB97+(1-EXP(-LN(2)/25))/(LN(2)/25)*Calculateur!DW98*Calculateur!DY98*VLOOKUP('Données projet'!$B$9,Paramètres!$A$1:$I$88,3,0)*0.475*44/12</f>
        <v>0</v>
      </c>
      <c r="EC98" s="23">
        <f>EXP(-LN(2)/2)*EC97+(1-EXP(-LN(2)/2))/(LN(2)/2)*DW98*DZ98*VLOOKUP('Données projet'!$B$9,Paramètres!$A$1:$I$88,3,0)*0.475*44/12</f>
        <v>0</v>
      </c>
      <c r="ED98" s="24">
        <f t="shared" si="78"/>
        <v>0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6.4</v>
      </c>
      <c r="EJ98" s="13">
        <f>IF(A98&lt;'Données projet'!$A$192,$EG$205^A98,IF(A98='Données projet'!$A$192,'Données projet'!$B$192,EJ97+EI98-ER97))</f>
        <v>265.99999999999994</v>
      </c>
      <c r="EK98" s="18">
        <f>EJ98*VLOOKUP('Données projet'!$B$15,Paramètres!$A$1:$I$88,3,0)*VLOOKUP('Données projet'!$B$15,Paramètres!$A$1:$I$88,5,0)</f>
        <v>124.48799999999997</v>
      </c>
      <c r="EL98" s="14">
        <f t="shared" si="103"/>
        <v>32.719504245667267</v>
      </c>
      <c r="EM98" s="22">
        <f t="shared" si="79"/>
        <v>273.80306989453703</v>
      </c>
      <c r="EN98" s="62">
        <f t="shared" si="80"/>
        <v>540.70985435772786</v>
      </c>
      <c r="EO98" s="62">
        <f ca="1">AVERAGE(OFFSET($EN$3,0,0,'Données projet'!$E$15+1,1))-AVERAGE(OFFSET($H$3,0,0,'Données projet'!$E$15+1,1))</f>
        <v>238.59014604384171</v>
      </c>
      <c r="EP98" s="62">
        <f t="shared" si="81"/>
        <v>90.841373219575217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projet'!$B$15,Paramètres!$A$1:$I$88,7,0))</f>
        <v>0</v>
      </c>
      <c r="ET98" s="17">
        <f>IF(ISNA(VLOOKUP(A98,'Données projet'!$A$191:$I$211,6,0)),0%,VLOOKUP(A98,'Données projet'!$A$191:$I$211,6,0)*VLOOKUP('Données projet'!$B$15,Paramètres!$A$1:$I$88,7,0))</f>
        <v>0</v>
      </c>
      <c r="EU98" s="17">
        <f>IF(ISNA(VLOOKUP(A98,'Données projet'!$A$191:$I$211,7,0)),0%,VLOOKUP(A98,'Données projet'!$A$191:$I$211,7,0))</f>
        <v>0</v>
      </c>
      <c r="EV98" s="23">
        <f>EXP(-LN(2)/35)*EV97+(1-EXP(-LN(2)/35))/(LN(2)/35)*ER98*ES98*VLOOKUP('Données projet'!$B$9,Paramètres!$A$1:$I$88,3,0)*0.475*44/12</f>
        <v>0</v>
      </c>
      <c r="EW98" s="23">
        <f>EXP(-LN(2)/25)*EW97+(1-EXP(-LN(2)/25))/(LN(2)/25)*Calculateur!ER98*Calculateur!ET98*VLOOKUP('Données projet'!$B$9,Paramètres!$A$1:$I$88,3,0)*0.475*44/12</f>
        <v>0</v>
      </c>
      <c r="EX98" s="23">
        <f>EXP(-LN(2)/2)*EX97+(1-EXP(-LN(2)/2))/(LN(2)/2)*ER98*EU98*VLOOKUP('Données projet'!$B$9,Paramètres!$A$1:$I$88,3,0)*0.475*44/12</f>
        <v>0</v>
      </c>
      <c r="EY98" s="24">
        <f t="shared" si="82"/>
        <v>0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IF(A98&lt;'Données projet'!$A$218,$FB$205^A98,IF(A98='Données projet'!$A$218,'Données projet'!$B$218,FE97+FD98-FM97))</f>
        <v>0</v>
      </c>
      <c r="FF98" s="18" t="e">
        <f>FE98*VLOOKUP('Données projet'!$B$16,Paramètres!$A$1:$I$88,3,0)*VLOOKUP('Données projet'!$B$16,Paramètres!$A$1:$I$88,5,0)</f>
        <v>#N/A</v>
      </c>
      <c r="FG98" s="14" t="e">
        <f t="shared" si="104"/>
        <v>#N/A</v>
      </c>
      <c r="FH98" s="22" t="e">
        <f t="shared" si="83"/>
        <v>#N/A</v>
      </c>
      <c r="FI98" s="62" t="e">
        <f t="shared" si="84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85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projet'!$B$16,Paramètres!$A$1:$I$88,7,0))</f>
        <v>0</v>
      </c>
      <c r="FO98" s="17">
        <f>IF(ISNA(VLOOKUP(A98,'Données projet'!$A$217:$I$237,6,0)),0%,VLOOKUP(A98,'Données projet'!$A$217:$I$237,6,0)*VLOOKUP('Données projet'!$B$16,Paramètres!$A$1:$I$88,7,0))</f>
        <v>0</v>
      </c>
      <c r="FP98" s="17">
        <f>IF(ISNA(VLOOKUP(A98,'Données projet'!$A$217:$I$237,7,0)),0%,VLOOKUP(A98,'Données projet'!$A$217:$I$237,7,0))</f>
        <v>0</v>
      </c>
      <c r="FQ98" s="23">
        <f>EXP(-LN(2)/35)*FQ97+(1-EXP(-LN(2)/35))/(LN(2)/35)*FM98*FN98*VLOOKUP('Données projet'!$B$9,Paramètres!$A$1:$I$88,3,0)*0.475*44/12</f>
        <v>0</v>
      </c>
      <c r="FR98" s="23">
        <f>EXP(-LN(2)/25)*FR97+(1-EXP(-LN(2)/25))/(LN(2)/25)*Calculateur!FM98*Calculateur!FO98*VLOOKUP('Données projet'!$B$9,Paramètres!$A$1:$I$88,3,0)*0.475*44/12</f>
        <v>0</v>
      </c>
      <c r="FS98" s="23">
        <f>EXP(-LN(2)/2)*FS97+(1-EXP(-LN(2)/2))/(LN(2)/2)*FM98*FP98*VLOOKUP('Données projet'!$B$9,Paramètres!$A$1:$I$88,3,0)*0.475*44/12</f>
        <v>0</v>
      </c>
      <c r="FT98" s="24">
        <f t="shared" si="86"/>
        <v>0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IF(A98&lt;'Données projet'!$A$244,$FW$205^A98,IF(A98='Données projet'!$A$244,'Données projet'!$B$244,FZ97+FY98-GH97))</f>
        <v>0</v>
      </c>
      <c r="GA98" s="18" t="e">
        <f>FZ98*VLOOKUP('Données projet'!$B$17,Paramètres!$A$1:$I$88,3,0)*VLOOKUP('Données projet'!$B$17,Paramètres!$A$1:$I$88,5,0)</f>
        <v>#N/A</v>
      </c>
      <c r="GB98" s="14" t="e">
        <f t="shared" si="105"/>
        <v>#N/A</v>
      </c>
      <c r="GC98" s="22" t="e">
        <f t="shared" si="87"/>
        <v>#N/A</v>
      </c>
      <c r="GD98" s="62" t="e">
        <f t="shared" si="88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89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projet'!$B$17,Paramètres!$A$1:$I$88,7,0))</f>
        <v>0</v>
      </c>
      <c r="GJ98" s="17">
        <f>IF(ISNA(VLOOKUP(A98,'Données projet'!$A$243:$I$263,6,0)),0%,VLOOKUP(A98,'Données projet'!$A$243:$I$263,6,0)*VLOOKUP('Données projet'!$B$17,Paramètres!$A$1:$I$88,7,0))</f>
        <v>0</v>
      </c>
      <c r="GK98" s="17">
        <f>IF(ISNA(VLOOKUP(A98,'Données projet'!$A$243:$I$263,7,0)),0%,VLOOKUP(A98,'Données projet'!$A$243:$I$263,7,0))</f>
        <v>0</v>
      </c>
      <c r="GL98" s="23">
        <f>EXP(-LN(2)/35)*GL97+(1-EXP(-LN(2)/35))/(LN(2)/35)*GH98*GI98*VLOOKUP('Données projet'!$B$9,Paramètres!$A$1:$I$88,3,0)*0.475*44/12</f>
        <v>0</v>
      </c>
      <c r="GM98" s="23">
        <f>EXP(-LN(2)/25)*GM97+(1-EXP(-LN(2)/25))/(LN(2)/25)*Calculateur!GH98*Calculateur!GJ98*VLOOKUP('Données projet'!$B$9,Paramètres!$A$1:$I$88,3,0)*0.475*44/12</f>
        <v>0</v>
      </c>
      <c r="GN98" s="23">
        <f>EXP(-LN(2)/2)*GN97+(1-EXP(-LN(2)/2))/(LN(2)/2)*GH98*GK98*VLOOKUP('Données projet'!$B$9,Paramètres!$A$1:$I$88,3,0)*0.475*44/12</f>
        <v>0</v>
      </c>
      <c r="GO98" s="23">
        <f t="shared" si="90"/>
        <v>0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IF(A98&lt;'Données projet'!$A$270,$GR$205^A98,IF(A98='Données projet'!$A$270,'Données projet'!$B$270,GU97+GT98-HC97))</f>
        <v>0</v>
      </c>
      <c r="GV98" s="18" t="e">
        <f>GU98*VLOOKUP('Données projet'!$B$18,Paramètres!$A$1:$I$88,3,0)*VLOOKUP('Données projet'!$B$18,Paramètres!$A$1:$I$88,5,0)</f>
        <v>#N/A</v>
      </c>
      <c r="GW98" s="14" t="e">
        <f t="shared" si="106"/>
        <v>#N/A</v>
      </c>
      <c r="GX98" s="22" t="e">
        <f t="shared" si="91"/>
        <v>#N/A</v>
      </c>
      <c r="GY98" s="62" t="e">
        <f t="shared" si="92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93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projet'!$B$18,Paramètres!$A$1:$I$88,7,0))</f>
        <v>0</v>
      </c>
      <c r="HE98" s="17">
        <f>IF(ISNA(VLOOKUP(A98,'Données projet'!$A$269:$I$289,6,0)),0%,VLOOKUP(A98,'Données projet'!$A$269:$I$289,6,0)*VLOOKUP('Données projet'!$B$18,Paramètres!$A$1:$I$88,7,0))</f>
        <v>0</v>
      </c>
      <c r="HF98" s="17">
        <f>IF(ISNA(VLOOKUP(A98,'Données projet'!$A$269:$I$289,7,0)),0%,VLOOKUP(A98,'Données projet'!$A$269:$I$289,7,0))</f>
        <v>0</v>
      </c>
      <c r="HG98" s="23">
        <f>EXP(-LN(2)/35)*HG97+(1-EXP(-LN(2)/35))/(LN(2)/35)*HC98*HD98*VLOOKUP('Données projet'!$B$9,Paramètres!$A$1:$I$88,3,0)*0.475*44/12</f>
        <v>0</v>
      </c>
      <c r="HH98" s="23">
        <f>EXP(-LN(2)/25)*HH97+(1-EXP(-LN(2)/25))/(LN(2)/25)*Calculateur!HC98*Calculateur!HE98*VLOOKUP('Données projet'!$B$9,Paramètres!$A$1:$I$88,3,0)*0.475*44/12</f>
        <v>0</v>
      </c>
      <c r="HI98" s="23">
        <f>EXP(-LN(2)/2)*HI97+(1-EXP(-LN(2)/2))/(LN(2)/2)*HC98*HF98*VLOOKUP('Données projet'!$B$9,Paramètres!$A$1:$I$88,3,0)*0.475*44/12</f>
        <v>0</v>
      </c>
      <c r="HJ98" s="24">
        <f t="shared" si="94"/>
        <v>0</v>
      </c>
    </row>
    <row r="99" spans="1:218" s="5" customFormat="1" x14ac:dyDescent="0.25">
      <c r="A99" s="11">
        <f t="shared" si="95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99" s="12">
        <f t="shared" si="9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57"/>
        <v>135.66666666666666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1.4583333333333344</v>
      </c>
      <c r="N99" s="14">
        <f>IF(A99&lt;'Données projet'!$A$36,$K$205^A99,IF(A99='Données projet'!$A$36,'Données projet'!$B$36,N98+M99-V98))</f>
        <v>105.9916666666666</v>
      </c>
      <c r="O99" s="14">
        <f>N99*VLOOKUP('Données projet'!$B$9,Paramètres!$A$1:$I$88,3,0)*VLOOKUP('Données projet'!$B$9,Paramètres!$A$1:$I$88,5,0)</f>
        <v>122.10239999999992</v>
      </c>
      <c r="P99" s="14">
        <f t="shared" si="97"/>
        <v>32.164852806220239</v>
      </c>
      <c r="Q99" s="22">
        <f t="shared" ref="Q99:Q130" si="107">(O99+P99)*0.475*44/12</f>
        <v>268.68213197083338</v>
      </c>
      <c r="R99" s="62">
        <f t="shared" si="55"/>
        <v>536.04735797600893</v>
      </c>
      <c r="S99" s="62">
        <f ca="1">AVERAGE(OFFSET($R$3,0,0,'Données projet'!$E$9+1,1))-AVERAGE(OFFSET($H$3,0,0,'Données projet'!$E$9+1,1))</f>
        <v>314.72063458462026</v>
      </c>
      <c r="T99" s="62">
        <f t="shared" si="56"/>
        <v>216.4380325968244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projet'!$B$9,Paramètres!$A$1:$I$88,7,0))</f>
        <v>0</v>
      </c>
      <c r="X99" s="17">
        <f>IF(ISNA(VLOOKUP(A99,'Données projet'!$A$35:$I$55,6,0)),0%,VLOOKUP(A99,'Données projet'!$A$35:$I$55,6,0)*VLOOKUP('Données projet'!$B$9,Paramètres!$A$1:$I$88,7,0))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projet'!$B$9,Paramètres!$A$1:$I$88,3,0)*0.475*44/12</f>
        <v>0</v>
      </c>
      <c r="AA99" s="23">
        <f>EXP(-LN(2)/25)*AA98+(1-EXP(-LN(2)/25))/(LN(2)/25)*Calculateur!V99*Calculateur!X99*VLOOKUP('Données projet'!$B$9,Paramètres!$A$1:$I$88,3,0)*0.475*44/12</f>
        <v>0</v>
      </c>
      <c r="AB99" s="23">
        <f>EXP(-LN(2)/2)*AB98+(1-EXP(-LN(2)/2))/(LN(2)/2)*V99*Y99*VLOOKUP('Données projet'!$B$9,Paramètres!$A$1:$I$88,3,0)*0.475*44/12</f>
        <v>0</v>
      </c>
      <c r="AC99" s="24">
        <f t="shared" si="58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3</v>
      </c>
      <c r="AI99" s="14">
        <f>IF(A99&lt;'Données projet'!$A$62,$AF$205^A99,IF(A99='Données projet'!$A$62,'Données projet'!$B$62,AI98+AH99-AQ98))</f>
        <v>235.99999999999997</v>
      </c>
      <c r="AJ99" s="14">
        <f>AI99*VLOOKUP('Données projet'!$B$10,Paramètres!$A$1:$I$88,3,0)*VLOOKUP('Données projet'!$B$10,Paramètres!$A$1:$I$88,5,0)</f>
        <v>246.66720000000001</v>
      </c>
      <c r="AK99" s="14">
        <f t="shared" si="98"/>
        <v>59.871715408125738</v>
      </c>
      <c r="AL99" s="22">
        <f t="shared" si="59"/>
        <v>533.88861100248562</v>
      </c>
      <c r="AM99" s="62">
        <f t="shared" si="60"/>
        <v>801.2538370076611</v>
      </c>
      <c r="AN99" s="62">
        <f ca="1">AVERAGE(OFFSET($AM$3,0,0,'Données projet'!$E$10+1,1))-AVERAGE(OFFSET($H$3,0,0,'Données projet'!$E$10+1,1))</f>
        <v>458.33072853676879</v>
      </c>
      <c r="AO99" s="62">
        <f t="shared" si="61"/>
        <v>254.1734169352687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projet'!$B$10,Paramètres!$A$1:$I$88,7,0))</f>
        <v>0</v>
      </c>
      <c r="AS99" s="17">
        <f>IF(ISNA(VLOOKUP(A99,'Données projet'!$A$61:$I$81,6,0)),0%,VLOOKUP(A99,'Données projet'!$A$61:$I$81,6,0)*VLOOKUP('Données projet'!$B$10,Paramètres!$A$1:$I$88,7,0))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projet'!$B$9,Paramètres!$A$1:$I$88,3,0)*0.475*44/12</f>
        <v>0</v>
      </c>
      <c r="AV99" s="23">
        <f>EXP(-LN(2)/25)*AV98+(1-EXP(-LN(2)/25))/(LN(2)/25)*Calculateur!AQ99*Calculateur!AS99*VLOOKUP('Données projet'!$B$9,Paramètres!$A$1:$I$88,3,0)*0.475*44/12</f>
        <v>0</v>
      </c>
      <c r="AW99" s="23">
        <f>EXP(-LN(2)/2)*AW98+(1-EXP(-LN(2)/2))/(LN(2)/2)*AQ99*AT99*VLOOKUP('Données projet'!$B$9,Paramètres!$A$1:$I$88,3,0)*0.475*44/12</f>
        <v>0</v>
      </c>
      <c r="AX99" s="23">
        <f t="shared" si="62"/>
        <v>0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3</v>
      </c>
      <c r="BD99" s="13">
        <f>IF(A99&lt;'Données projet'!$A$88,$BA$205^A99,IF(A99='Données projet'!$A$88,'Données projet'!$B$88,BD98+BC99-BL98))</f>
        <v>235.99999999999997</v>
      </c>
      <c r="BE99" s="14">
        <f>BD99*VLOOKUP('Données projet'!$B$11,Paramètres!$A$1:$I$88,3,0)*VLOOKUP('Données projet'!$B$11,Paramètres!$A$1:$I$88,5,0)</f>
        <v>239.30399999999997</v>
      </c>
      <c r="BF99" s="14">
        <f t="shared" si="99"/>
        <v>58.28975738997584</v>
      </c>
      <c r="BG99" s="22">
        <f t="shared" si="63"/>
        <v>518.30912745420778</v>
      </c>
      <c r="BH99" s="62">
        <f t="shared" si="64"/>
        <v>785.67435345938338</v>
      </c>
      <c r="BI99" s="62">
        <f ca="1">AVERAGE(OFFSET($BH$3,0,0,'Données projet'!$E$11+1,1))-AVERAGE(OFFSET($H$3,0,0,'Données projet'!$E$11+1,1))</f>
        <v>447.82618173893104</v>
      </c>
      <c r="BJ99" s="62">
        <f t="shared" si="65"/>
        <v>248.96509970783379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projet'!$B$11,Paramètres!$A$1:$I$88,7,0))</f>
        <v>0</v>
      </c>
      <c r="BN99" s="17">
        <f>IF(ISNA(VLOOKUP(A99,'Données projet'!$A$87:$I$107,6,0)),0%,VLOOKUP(A99,'Données projet'!$A$87:$I$107,6,0)*VLOOKUP('Données projet'!$B$11,Paramètres!$A$1:$I$88,7,0))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projet'!$B$9,Paramètres!$A$1:$I$88,3,0)*0.475*44/12</f>
        <v>0</v>
      </c>
      <c r="BQ99" s="23">
        <f>EXP(-LN(2)/25)*BQ98+(1-EXP(-LN(2)/25))/(LN(2)/25)*Calculateur!BL99*Calculateur!BN99*VLOOKUP('Données projet'!$B$9,Paramètres!$A$1:$I$88,3,0)*0.475*44/12</f>
        <v>0</v>
      </c>
      <c r="BR99" s="23">
        <f>EXP(-LN(2)/2)*BR98+(1-EXP(-LN(2)/2))/(LN(2)/2)*BL99*BO99*VLOOKUP('Données projet'!$B$9,Paramètres!$A$1:$I$88,3,0)*0.475*44/12</f>
        <v>0</v>
      </c>
      <c r="BS99" s="24">
        <f t="shared" si="66"/>
        <v>0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3</v>
      </c>
      <c r="BY99" s="13">
        <f>IF(A99&lt;'Données projet'!$A$114,$BV$205^A99,IF(A99='Données projet'!$A$114,'Données projet'!$B$114,BY98+BX99-CG98))</f>
        <v>235.99999999999997</v>
      </c>
      <c r="BZ99" s="14">
        <f>BY99*VLOOKUP('Données projet'!$B$12,Paramètres!$A$1:$I$88,3,0)*VLOOKUP('Données projet'!$B$12,Paramètres!$A$1:$I$88,5,0)</f>
        <v>254.03039999999996</v>
      </c>
      <c r="CA99" s="14">
        <f t="shared" si="100"/>
        <v>61.448185389751167</v>
      </c>
      <c r="CB99" s="22">
        <f t="shared" si="67"/>
        <v>549.45853622048321</v>
      </c>
      <c r="CC99" s="62">
        <f t="shared" si="68"/>
        <v>816.82376222565881</v>
      </c>
      <c r="CD99" s="62">
        <f ca="1">AVERAGE(OFFSET($CC$3,0,0,'Données projet'!$E$12+1,1))-AVERAGE(OFFSET($H$3,0,0,'Données projet'!$E$12+1,1))</f>
        <v>468.82871618425406</v>
      </c>
      <c r="CE99" s="62">
        <f t="shared" si="69"/>
        <v>259.37818128554397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projet'!$B$12,Paramètres!$A$1:$I$88,7,0))</f>
        <v>0</v>
      </c>
      <c r="CI99" s="17">
        <f>IF(ISNA(VLOOKUP(A99,'Données projet'!$A$113:$I$133,6,0)),0%,VLOOKUP(A99,'Données projet'!$A$113:$I$133,6,0)*VLOOKUP('Données projet'!$B$12,Paramètres!$A$1:$I$88,7,0))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projet'!$B$9,Paramètres!$A$1:$I$88,3,0)*0.475*44/12</f>
        <v>0</v>
      </c>
      <c r="CL99" s="23">
        <f>EXP(-LN(2)/25)*CL98+(1-EXP(-LN(2)/25))/(LN(2)/25)*Calculateur!CG99*Calculateur!CI99*VLOOKUP('Données projet'!$B$9,Paramètres!$A$1:$I$88,3,0)*0.475*44/12</f>
        <v>0</v>
      </c>
      <c r="CM99" s="23">
        <f>EXP(-LN(2)/2)*CM98+(1-EXP(-LN(2)/2))/(LN(2)/2)*CG99*CJ99*VLOOKUP('Données projet'!$B$9,Paramètres!$A$1:$I$88,3,0)*0.475*44/12</f>
        <v>0</v>
      </c>
      <c r="CN99" s="24">
        <f t="shared" si="70"/>
        <v>0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3</v>
      </c>
      <c r="CT99" s="13">
        <f>IF(A99&lt;'Données projet'!$A$140,$CQ$205^A99,IF(A99='Données projet'!$A$140,'Données projet'!$B$140,CT98+CS99-DB98))</f>
        <v>235.99999999999997</v>
      </c>
      <c r="CU99" s="18">
        <f>CT99*VLOOKUP('Données projet'!$B$13,Paramètres!$A$1:$I$88,3,0)*VLOOKUP('Données projet'!$B$13,Paramètres!$A$1:$I$88,5,0)</f>
        <v>202.48799999999997</v>
      </c>
      <c r="CV99" s="14">
        <f t="shared" si="101"/>
        <v>50.290560763566887</v>
      </c>
      <c r="CW99" s="22">
        <f t="shared" si="71"/>
        <v>440.25599332987895</v>
      </c>
      <c r="CX99" s="62">
        <f t="shared" si="72"/>
        <v>707.62121933505455</v>
      </c>
      <c r="CY99" s="62">
        <f ca="1">AVERAGE(OFFSET($CX$3,0,0,'Données projet'!$E$13+1,1))-AVERAGE(OFFSET($H$3,0,0,'Données projet'!$E$13+1,1))</f>
        <v>395.19659151668884</v>
      </c>
      <c r="CZ99" s="62">
        <f t="shared" si="73"/>
        <v>222.86563304507339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projet'!$B$13,Paramètres!$A$1:$I$88,7,0))</f>
        <v>0</v>
      </c>
      <c r="DD99" s="17">
        <f>IF(ISNA(VLOOKUP(A99,'Données projet'!$A$139:$I$159,6,0)),0%,VLOOKUP(A99,'Données projet'!$A$139:$I$159,6,0)*VLOOKUP('Données projet'!$B$13,Paramètres!$A$1:$I$88,7,0))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projet'!$B$9,Paramètres!$A$1:$I$88,3,0)*0.475*44/12</f>
        <v>0</v>
      </c>
      <c r="DG99" s="23">
        <f>EXP(-LN(2)/25)*DG98+(1-EXP(-LN(2)/25))/(LN(2)/25)*Calculateur!DB99*Calculateur!DD99*VLOOKUP('Données projet'!$B$9,Paramètres!$A$1:$I$88,3,0)*0.475*44/12</f>
        <v>0</v>
      </c>
      <c r="DH99" s="23">
        <f>EXP(-LN(2)/2)*DH98+(1-EXP(-LN(2)/2))/(LN(2)/2)*DB99*DE99*VLOOKUP('Données projet'!$B$9,Paramètres!$A$1:$I$88,3,0)*0.475*44/12</f>
        <v>0</v>
      </c>
      <c r="DI99" s="24">
        <f t="shared" si="74"/>
        <v>0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IF(A99&lt;'Données projet'!$A$166,$DL$205^A99,IF(A99='Données projet'!$A$166,'Données projet'!$B$166,DO98+DN99-DW98))</f>
        <v>-8.5265128291212022E-14</v>
      </c>
      <c r="DP99" s="18">
        <f>DO99*VLOOKUP('Données projet'!$B$14,Paramètres!$A$1:$I$88,3,0)*VLOOKUP('Données projet'!$B$14,Paramètres!$A$1:$I$88,5,0)</f>
        <v>-4.9880100050359036E-14</v>
      </c>
      <c r="DQ99" s="14" t="e">
        <f t="shared" si="102"/>
        <v>#NUM!</v>
      </c>
      <c r="DR99" s="22" t="e">
        <f t="shared" si="75"/>
        <v>#NUM!</v>
      </c>
      <c r="DS99" s="62" t="e">
        <f t="shared" si="76"/>
        <v>#NUM!</v>
      </c>
      <c r="DT99" s="62">
        <f ca="1">AVERAGE(OFFSET($DS$3,0,0,'Données projet'!$E$14+1,1))-AVERAGE(OFFSET($H$3,0,0,'Données projet'!$E$14+1,1))</f>
        <v>155.18073137151848</v>
      </c>
      <c r="DU99" s="62">
        <f t="shared" si="77"/>
        <v>115.19459155667272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projet'!$B$14,Paramètres!$A$1:$I$88,7,0))</f>
        <v>0</v>
      </c>
      <c r="DY99" s="17">
        <f>IF(ISNA(VLOOKUP(A99,'Données projet'!$A$165:$I$185,6,0)),0%,VLOOKUP(A99,'Données projet'!$A$165:$I$185,6,0)*VLOOKUP('Données projet'!$B$14,Paramètres!$A$1:$I$88,7,0))</f>
        <v>0</v>
      </c>
      <c r="DZ99" s="17">
        <f>IF(ISNA(VLOOKUP(A99,'Données projet'!$A$165:$I$185,7,0)),0%,VLOOKUP(A99,'Données projet'!$A$165:$I$185,7,0))</f>
        <v>0</v>
      </c>
      <c r="EA99" s="23">
        <f>EXP(-LN(2)/35)*EA98+(1-EXP(-LN(2)/35))/(LN(2)/35)*DW99*DX99*VLOOKUP('Données projet'!$B$9,Paramètres!$A$1:$I$88,3,0)*0.475*44/12</f>
        <v>0</v>
      </c>
      <c r="EB99" s="23">
        <f>EXP(-LN(2)/25)*EB98+(1-EXP(-LN(2)/25))/(LN(2)/25)*Calculateur!DW99*Calculateur!DY99*VLOOKUP('Données projet'!$B$9,Paramètres!$A$1:$I$88,3,0)*0.475*44/12</f>
        <v>0</v>
      </c>
      <c r="EC99" s="23">
        <f>EXP(-LN(2)/2)*EC98+(1-EXP(-LN(2)/2))/(LN(2)/2)*DW99*DZ99*VLOOKUP('Données projet'!$B$9,Paramètres!$A$1:$I$88,3,0)*0.475*44/12</f>
        <v>0</v>
      </c>
      <c r="ED99" s="24">
        <f t="shared" si="78"/>
        <v>0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6.4</v>
      </c>
      <c r="EJ99" s="13">
        <f>IF(A99&lt;'Données projet'!$A$192,$EG$205^A99,IF(A99='Données projet'!$A$192,'Données projet'!$B$192,EJ98+EI99-ER98))</f>
        <v>272.39999999999992</v>
      </c>
      <c r="EK99" s="18">
        <f>EJ99*VLOOKUP('Données projet'!$B$15,Paramètres!$A$1:$I$88,3,0)*VLOOKUP('Données projet'!$B$15,Paramètres!$A$1:$I$88,5,0)</f>
        <v>127.48319999999995</v>
      </c>
      <c r="EL99" s="14">
        <f t="shared" si="103"/>
        <v>33.414140705258056</v>
      </c>
      <c r="EM99" s="22">
        <f t="shared" si="79"/>
        <v>280.22953506165771</v>
      </c>
      <c r="EN99" s="62">
        <f t="shared" si="80"/>
        <v>547.59476106683326</v>
      </c>
      <c r="EO99" s="62">
        <f ca="1">AVERAGE(OFFSET($EN$3,0,0,'Données projet'!$E$15+1,1))-AVERAGE(OFFSET($H$3,0,0,'Données projet'!$E$15+1,1))</f>
        <v>238.59014604384171</v>
      </c>
      <c r="EP99" s="62">
        <f t="shared" si="81"/>
        <v>90.841373219575217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projet'!$B$15,Paramètres!$A$1:$I$88,7,0))</f>
        <v>0</v>
      </c>
      <c r="ET99" s="17">
        <f>IF(ISNA(VLOOKUP(A99,'Données projet'!$A$191:$I$211,6,0)),0%,VLOOKUP(A99,'Données projet'!$A$191:$I$211,6,0)*VLOOKUP('Données projet'!$B$15,Paramètres!$A$1:$I$88,7,0))</f>
        <v>0</v>
      </c>
      <c r="EU99" s="17">
        <f>IF(ISNA(VLOOKUP(A99,'Données projet'!$A$191:$I$211,7,0)),0%,VLOOKUP(A99,'Données projet'!$A$191:$I$211,7,0))</f>
        <v>0</v>
      </c>
      <c r="EV99" s="23">
        <f>EXP(-LN(2)/35)*EV98+(1-EXP(-LN(2)/35))/(LN(2)/35)*ER99*ES99*VLOOKUP('Données projet'!$B$9,Paramètres!$A$1:$I$88,3,0)*0.475*44/12</f>
        <v>0</v>
      </c>
      <c r="EW99" s="23">
        <f>EXP(-LN(2)/25)*EW98+(1-EXP(-LN(2)/25))/(LN(2)/25)*Calculateur!ER99*Calculateur!ET99*VLOOKUP('Données projet'!$B$9,Paramètres!$A$1:$I$88,3,0)*0.475*44/12</f>
        <v>0</v>
      </c>
      <c r="EX99" s="23">
        <f>EXP(-LN(2)/2)*EX98+(1-EXP(-LN(2)/2))/(LN(2)/2)*ER99*EU99*VLOOKUP('Données projet'!$B$9,Paramètres!$A$1:$I$88,3,0)*0.475*44/12</f>
        <v>0</v>
      </c>
      <c r="EY99" s="24">
        <f t="shared" si="82"/>
        <v>0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IF(A99&lt;'Données projet'!$A$218,$FB$205^A99,IF(A99='Données projet'!$A$218,'Données projet'!$B$218,FE98+FD99-FM98))</f>
        <v>0</v>
      </c>
      <c r="FF99" s="18" t="e">
        <f>FE99*VLOOKUP('Données projet'!$B$16,Paramètres!$A$1:$I$88,3,0)*VLOOKUP('Données projet'!$B$16,Paramètres!$A$1:$I$88,5,0)</f>
        <v>#N/A</v>
      </c>
      <c r="FG99" s="14" t="e">
        <f t="shared" si="104"/>
        <v>#N/A</v>
      </c>
      <c r="FH99" s="22" t="e">
        <f t="shared" si="83"/>
        <v>#N/A</v>
      </c>
      <c r="FI99" s="62" t="e">
        <f t="shared" si="84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85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projet'!$B$16,Paramètres!$A$1:$I$88,7,0))</f>
        <v>0</v>
      </c>
      <c r="FO99" s="17">
        <f>IF(ISNA(VLOOKUP(A99,'Données projet'!$A$217:$I$237,6,0)),0%,VLOOKUP(A99,'Données projet'!$A$217:$I$237,6,0)*VLOOKUP('Données projet'!$B$16,Paramètres!$A$1:$I$88,7,0))</f>
        <v>0</v>
      </c>
      <c r="FP99" s="17">
        <f>IF(ISNA(VLOOKUP(A99,'Données projet'!$A$217:$I$237,7,0)),0%,VLOOKUP(A99,'Données projet'!$A$217:$I$237,7,0))</f>
        <v>0</v>
      </c>
      <c r="FQ99" s="23">
        <f>EXP(-LN(2)/35)*FQ98+(1-EXP(-LN(2)/35))/(LN(2)/35)*FM99*FN99*VLOOKUP('Données projet'!$B$9,Paramètres!$A$1:$I$88,3,0)*0.475*44/12</f>
        <v>0</v>
      </c>
      <c r="FR99" s="23">
        <f>EXP(-LN(2)/25)*FR98+(1-EXP(-LN(2)/25))/(LN(2)/25)*Calculateur!FM99*Calculateur!FO99*VLOOKUP('Données projet'!$B$9,Paramètres!$A$1:$I$88,3,0)*0.475*44/12</f>
        <v>0</v>
      </c>
      <c r="FS99" s="23">
        <f>EXP(-LN(2)/2)*FS98+(1-EXP(-LN(2)/2))/(LN(2)/2)*FM99*FP99*VLOOKUP('Données projet'!$B$9,Paramètres!$A$1:$I$88,3,0)*0.475*44/12</f>
        <v>0</v>
      </c>
      <c r="FT99" s="24">
        <f t="shared" si="86"/>
        <v>0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IF(A99&lt;'Données projet'!$A$244,$FW$205^A99,IF(A99='Données projet'!$A$244,'Données projet'!$B$244,FZ98+FY99-GH98))</f>
        <v>0</v>
      </c>
      <c r="GA99" s="18" t="e">
        <f>FZ99*VLOOKUP('Données projet'!$B$17,Paramètres!$A$1:$I$88,3,0)*VLOOKUP('Données projet'!$B$17,Paramètres!$A$1:$I$88,5,0)</f>
        <v>#N/A</v>
      </c>
      <c r="GB99" s="14" t="e">
        <f t="shared" si="105"/>
        <v>#N/A</v>
      </c>
      <c r="GC99" s="22" t="e">
        <f t="shared" si="87"/>
        <v>#N/A</v>
      </c>
      <c r="GD99" s="62" t="e">
        <f t="shared" si="88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89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projet'!$B$17,Paramètres!$A$1:$I$88,7,0))</f>
        <v>0</v>
      </c>
      <c r="GJ99" s="17">
        <f>IF(ISNA(VLOOKUP(A99,'Données projet'!$A$243:$I$263,6,0)),0%,VLOOKUP(A99,'Données projet'!$A$243:$I$263,6,0)*VLOOKUP('Données projet'!$B$17,Paramètres!$A$1:$I$88,7,0))</f>
        <v>0</v>
      </c>
      <c r="GK99" s="17">
        <f>IF(ISNA(VLOOKUP(A99,'Données projet'!$A$243:$I$263,7,0)),0%,VLOOKUP(A99,'Données projet'!$A$243:$I$263,7,0))</f>
        <v>0</v>
      </c>
      <c r="GL99" s="23">
        <f>EXP(-LN(2)/35)*GL98+(1-EXP(-LN(2)/35))/(LN(2)/35)*GH99*GI99*VLOOKUP('Données projet'!$B$9,Paramètres!$A$1:$I$88,3,0)*0.475*44/12</f>
        <v>0</v>
      </c>
      <c r="GM99" s="23">
        <f>EXP(-LN(2)/25)*GM98+(1-EXP(-LN(2)/25))/(LN(2)/25)*Calculateur!GH99*Calculateur!GJ99*VLOOKUP('Données projet'!$B$9,Paramètres!$A$1:$I$88,3,0)*0.475*44/12</f>
        <v>0</v>
      </c>
      <c r="GN99" s="23">
        <f>EXP(-LN(2)/2)*GN98+(1-EXP(-LN(2)/2))/(LN(2)/2)*GH99*GK99*VLOOKUP('Données projet'!$B$9,Paramètres!$A$1:$I$88,3,0)*0.475*44/12</f>
        <v>0</v>
      </c>
      <c r="GO99" s="23">
        <f t="shared" si="90"/>
        <v>0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IF(A99&lt;'Données projet'!$A$270,$GR$205^A99,IF(A99='Données projet'!$A$270,'Données projet'!$B$270,GU98+GT99-HC98))</f>
        <v>0</v>
      </c>
      <c r="GV99" s="18" t="e">
        <f>GU99*VLOOKUP('Données projet'!$B$18,Paramètres!$A$1:$I$88,3,0)*VLOOKUP('Données projet'!$B$18,Paramètres!$A$1:$I$88,5,0)</f>
        <v>#N/A</v>
      </c>
      <c r="GW99" s="14" t="e">
        <f t="shared" si="106"/>
        <v>#N/A</v>
      </c>
      <c r="GX99" s="22" t="e">
        <f t="shared" si="91"/>
        <v>#N/A</v>
      </c>
      <c r="GY99" s="62" t="e">
        <f t="shared" si="92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93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projet'!$B$18,Paramètres!$A$1:$I$88,7,0))</f>
        <v>0</v>
      </c>
      <c r="HE99" s="17">
        <f>IF(ISNA(VLOOKUP(A99,'Données projet'!$A$269:$I$289,6,0)),0%,VLOOKUP(A99,'Données projet'!$A$269:$I$289,6,0)*VLOOKUP('Données projet'!$B$18,Paramètres!$A$1:$I$88,7,0))</f>
        <v>0</v>
      </c>
      <c r="HF99" s="17">
        <f>IF(ISNA(VLOOKUP(A99,'Données projet'!$A$269:$I$289,7,0)),0%,VLOOKUP(A99,'Données projet'!$A$269:$I$289,7,0))</f>
        <v>0</v>
      </c>
      <c r="HG99" s="23">
        <f>EXP(-LN(2)/35)*HG98+(1-EXP(-LN(2)/35))/(LN(2)/35)*HC99*HD99*VLOOKUP('Données projet'!$B$9,Paramètres!$A$1:$I$88,3,0)*0.475*44/12</f>
        <v>0</v>
      </c>
      <c r="HH99" s="23">
        <f>EXP(-LN(2)/25)*HH98+(1-EXP(-LN(2)/25))/(LN(2)/25)*Calculateur!HC99*Calculateur!HE99*VLOOKUP('Données projet'!$B$9,Paramètres!$A$1:$I$88,3,0)*0.475*44/12</f>
        <v>0</v>
      </c>
      <c r="HI99" s="23">
        <f>EXP(-LN(2)/2)*HI98+(1-EXP(-LN(2)/2))/(LN(2)/2)*HC99*HF99*VLOOKUP('Données projet'!$B$9,Paramètres!$A$1:$I$88,3,0)*0.475*44/12</f>
        <v>0</v>
      </c>
      <c r="HJ99" s="24">
        <f t="shared" si="94"/>
        <v>0</v>
      </c>
    </row>
    <row r="100" spans="1:218" s="5" customFormat="1" x14ac:dyDescent="0.25">
      <c r="A100" s="11">
        <f t="shared" si="95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0" s="12">
        <f t="shared" si="9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57"/>
        <v>135.66666666666666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1.4583333333333344</v>
      </c>
      <c r="N100" s="14">
        <f>IF(A100&lt;'Données projet'!$A$36,$K$205^A100,IF(A100='Données projet'!$A$36,'Données projet'!$B$36,N99+M100-V99))</f>
        <v>107.44999999999993</v>
      </c>
      <c r="O100" s="14">
        <f>N100*VLOOKUP('Données projet'!$B$9,Paramètres!$A$1:$I$88,3,0)*VLOOKUP('Données projet'!$B$9,Paramètres!$A$1:$I$88,5,0)</f>
        <v>123.78239999999991</v>
      </c>
      <c r="P100" s="14">
        <f t="shared" si="97"/>
        <v>32.555582319658349</v>
      </c>
      <c r="Q100" s="22">
        <f t="shared" si="107"/>
        <v>272.2886525400715</v>
      </c>
      <c r="R100" s="62">
        <f t="shared" si="55"/>
        <v>540.10436715140008</v>
      </c>
      <c r="S100" s="62">
        <f ca="1">AVERAGE(OFFSET($R$3,0,0,'Données projet'!$E$9+1,1))-AVERAGE(OFFSET($H$3,0,0,'Données projet'!$E$9+1,1))</f>
        <v>314.72063458462026</v>
      </c>
      <c r="T100" s="62">
        <f t="shared" si="56"/>
        <v>216.4380325968244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projet'!$B$9,Paramètres!$A$1:$I$88,7,0))</f>
        <v>0</v>
      </c>
      <c r="X100" s="17">
        <f>IF(ISNA(VLOOKUP(A100,'Données projet'!$A$35:$I$55,6,0)),0%,VLOOKUP(A100,'Données projet'!$A$35:$I$55,6,0)*VLOOKUP('Données projet'!$B$9,Paramètres!$A$1:$I$88,7,0))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projet'!$B$9,Paramètres!$A$1:$I$88,3,0)*0.475*44/12</f>
        <v>0</v>
      </c>
      <c r="AA100" s="23">
        <f>EXP(-LN(2)/25)*AA99+(1-EXP(-LN(2)/25))/(LN(2)/25)*Calculateur!V100*Calculateur!X100*VLOOKUP('Données projet'!$B$9,Paramètres!$A$1:$I$88,3,0)*0.475*44/12</f>
        <v>0</v>
      </c>
      <c r="AB100" s="23">
        <f>EXP(-LN(2)/2)*AB99+(1-EXP(-LN(2)/2))/(LN(2)/2)*V100*Y100*VLOOKUP('Données projet'!$B$9,Paramètres!$A$1:$I$88,3,0)*0.475*44/12</f>
        <v>0</v>
      </c>
      <c r="AC100" s="24">
        <f t="shared" si="58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3</v>
      </c>
      <c r="AI100" s="14">
        <f>IF(A100&lt;'Données projet'!$A$62,$AF$205^A100,IF(A100='Données projet'!$A$62,'Données projet'!$B$62,AI99+AH100-AQ99))</f>
        <v>238.99999999999997</v>
      </c>
      <c r="AJ100" s="14">
        <f>AI100*VLOOKUP('Données projet'!$B$10,Paramètres!$A$1:$I$88,3,0)*VLOOKUP('Données projet'!$B$10,Paramètres!$A$1:$I$88,5,0)</f>
        <v>249.80279999999999</v>
      </c>
      <c r="AK100" s="14">
        <f t="shared" si="98"/>
        <v>60.543711501181136</v>
      </c>
      <c r="AL100" s="22">
        <f t="shared" si="59"/>
        <v>540.52017419789036</v>
      </c>
      <c r="AM100" s="62">
        <f t="shared" si="60"/>
        <v>808.33588880921889</v>
      </c>
      <c r="AN100" s="62">
        <f ca="1">AVERAGE(OFFSET($AM$3,0,0,'Données projet'!$E$10+1,1))-AVERAGE(OFFSET($H$3,0,0,'Données projet'!$E$10+1,1))</f>
        <v>458.33072853676879</v>
      </c>
      <c r="AO100" s="62">
        <f t="shared" si="61"/>
        <v>254.1734169352687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projet'!$B$10,Paramètres!$A$1:$I$88,7,0))</f>
        <v>0</v>
      </c>
      <c r="AS100" s="17">
        <f>IF(ISNA(VLOOKUP(A100,'Données projet'!$A$61:$I$81,6,0)),0%,VLOOKUP(A100,'Données projet'!$A$61:$I$81,6,0)*VLOOKUP('Données projet'!$B$10,Paramètres!$A$1:$I$88,7,0))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projet'!$B$9,Paramètres!$A$1:$I$88,3,0)*0.475*44/12</f>
        <v>0</v>
      </c>
      <c r="AV100" s="23">
        <f>EXP(-LN(2)/25)*AV99+(1-EXP(-LN(2)/25))/(LN(2)/25)*Calculateur!AQ100*Calculateur!AS100*VLOOKUP('Données projet'!$B$9,Paramètres!$A$1:$I$88,3,0)*0.475*44/12</f>
        <v>0</v>
      </c>
      <c r="AW100" s="23">
        <f>EXP(-LN(2)/2)*AW99+(1-EXP(-LN(2)/2))/(LN(2)/2)*AQ100*AT100*VLOOKUP('Données projet'!$B$9,Paramètres!$A$1:$I$88,3,0)*0.475*44/12</f>
        <v>0</v>
      </c>
      <c r="AX100" s="23">
        <f t="shared" si="62"/>
        <v>0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3</v>
      </c>
      <c r="BD100" s="13">
        <f>IF(A100&lt;'Données projet'!$A$88,$BA$205^A100,IF(A100='Données projet'!$A$88,'Données projet'!$B$88,BD99+BC100-BL99))</f>
        <v>238.99999999999997</v>
      </c>
      <c r="BE100" s="14">
        <f>BD100*VLOOKUP('Données projet'!$B$11,Paramètres!$A$1:$I$88,3,0)*VLOOKUP('Données projet'!$B$11,Paramètres!$A$1:$I$88,5,0)</f>
        <v>242.346</v>
      </c>
      <c r="BF100" s="14">
        <f t="shared" si="99"/>
        <v>58.943997693000377</v>
      </c>
      <c r="BG100" s="22">
        <f t="shared" si="63"/>
        <v>524.74674598197555</v>
      </c>
      <c r="BH100" s="62">
        <f t="shared" si="64"/>
        <v>792.56246059330408</v>
      </c>
      <c r="BI100" s="62">
        <f ca="1">AVERAGE(OFFSET($BH$3,0,0,'Données projet'!$E$11+1,1))-AVERAGE(OFFSET($H$3,0,0,'Données projet'!$E$11+1,1))</f>
        <v>447.82618173893104</v>
      </c>
      <c r="BJ100" s="62">
        <f t="shared" si="65"/>
        <v>248.96509970783379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projet'!$B$11,Paramètres!$A$1:$I$88,7,0))</f>
        <v>0</v>
      </c>
      <c r="BN100" s="17">
        <f>IF(ISNA(VLOOKUP(A100,'Données projet'!$A$87:$I$107,6,0)),0%,VLOOKUP(A100,'Données projet'!$A$87:$I$107,6,0)*VLOOKUP('Données projet'!$B$11,Paramètres!$A$1:$I$88,7,0))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projet'!$B$9,Paramètres!$A$1:$I$88,3,0)*0.475*44/12</f>
        <v>0</v>
      </c>
      <c r="BQ100" s="23">
        <f>EXP(-LN(2)/25)*BQ99+(1-EXP(-LN(2)/25))/(LN(2)/25)*Calculateur!BL100*Calculateur!BN100*VLOOKUP('Données projet'!$B$9,Paramètres!$A$1:$I$88,3,0)*0.475*44/12</f>
        <v>0</v>
      </c>
      <c r="BR100" s="23">
        <f>EXP(-LN(2)/2)*BR99+(1-EXP(-LN(2)/2))/(LN(2)/2)*BL100*BO100*VLOOKUP('Données projet'!$B$9,Paramètres!$A$1:$I$88,3,0)*0.475*44/12</f>
        <v>0</v>
      </c>
      <c r="BS100" s="24">
        <f t="shared" si="66"/>
        <v>0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3</v>
      </c>
      <c r="BY100" s="13">
        <f>IF(A100&lt;'Données projet'!$A$114,$BV$205^A100,IF(A100='Données projet'!$A$114,'Données projet'!$B$114,BY99+BX100-CG99))</f>
        <v>238.99999999999997</v>
      </c>
      <c r="BZ100" s="14">
        <f>BY100*VLOOKUP('Données projet'!$B$12,Paramètres!$A$1:$I$88,3,0)*VLOOKUP('Données projet'!$B$12,Paramètres!$A$1:$I$88,5,0)</f>
        <v>257.25959999999998</v>
      </c>
      <c r="CA100" s="14">
        <f t="shared" si="100"/>
        <v>62.137875675485866</v>
      </c>
      <c r="CB100" s="22">
        <f t="shared" si="67"/>
        <v>556.28393680147121</v>
      </c>
      <c r="CC100" s="62">
        <f t="shared" si="68"/>
        <v>824.09965141279974</v>
      </c>
      <c r="CD100" s="62">
        <f ca="1">AVERAGE(OFFSET($CC$3,0,0,'Données projet'!$E$12+1,1))-AVERAGE(OFFSET($H$3,0,0,'Données projet'!$E$12+1,1))</f>
        <v>468.82871618425406</v>
      </c>
      <c r="CE100" s="62">
        <f t="shared" si="69"/>
        <v>259.37818128554397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projet'!$B$12,Paramètres!$A$1:$I$88,7,0))</f>
        <v>0</v>
      </c>
      <c r="CI100" s="17">
        <f>IF(ISNA(VLOOKUP(A100,'Données projet'!$A$113:$I$133,6,0)),0%,VLOOKUP(A100,'Données projet'!$A$113:$I$133,6,0)*VLOOKUP('Données projet'!$B$12,Paramètres!$A$1:$I$88,7,0))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projet'!$B$9,Paramètres!$A$1:$I$88,3,0)*0.475*44/12</f>
        <v>0</v>
      </c>
      <c r="CL100" s="23">
        <f>EXP(-LN(2)/25)*CL99+(1-EXP(-LN(2)/25))/(LN(2)/25)*Calculateur!CG100*Calculateur!CI100*VLOOKUP('Données projet'!$B$9,Paramètres!$A$1:$I$88,3,0)*0.475*44/12</f>
        <v>0</v>
      </c>
      <c r="CM100" s="23">
        <f>EXP(-LN(2)/2)*CM99+(1-EXP(-LN(2)/2))/(LN(2)/2)*CG100*CJ100*VLOOKUP('Données projet'!$B$9,Paramètres!$A$1:$I$88,3,0)*0.475*44/12</f>
        <v>0</v>
      </c>
      <c r="CN100" s="24">
        <f t="shared" si="70"/>
        <v>0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3</v>
      </c>
      <c r="CT100" s="13">
        <f>IF(A100&lt;'Données projet'!$A$140,$CQ$205^A100,IF(A100='Données projet'!$A$140,'Données projet'!$B$140,CT99+CS100-DB99))</f>
        <v>238.99999999999997</v>
      </c>
      <c r="CU100" s="18">
        <f>CT100*VLOOKUP('Données projet'!$B$13,Paramètres!$A$1:$I$88,3,0)*VLOOKUP('Données projet'!$B$13,Paramètres!$A$1:$I$88,5,0)</f>
        <v>205.06199999999998</v>
      </c>
      <c r="CV100" s="14">
        <f t="shared" si="101"/>
        <v>50.855018623514823</v>
      </c>
      <c r="CW100" s="22">
        <f t="shared" si="71"/>
        <v>445.72214076928827</v>
      </c>
      <c r="CX100" s="62">
        <f t="shared" si="72"/>
        <v>713.53785538061675</v>
      </c>
      <c r="CY100" s="62">
        <f ca="1">AVERAGE(OFFSET($CX$3,0,0,'Données projet'!$E$13+1,1))-AVERAGE(OFFSET($H$3,0,0,'Données projet'!$E$13+1,1))</f>
        <v>395.19659151668884</v>
      </c>
      <c r="CZ100" s="62">
        <f t="shared" si="73"/>
        <v>222.86563304507339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projet'!$B$13,Paramètres!$A$1:$I$88,7,0))</f>
        <v>0</v>
      </c>
      <c r="DD100" s="17">
        <f>IF(ISNA(VLOOKUP(A100,'Données projet'!$A$139:$I$159,6,0)),0%,VLOOKUP(A100,'Données projet'!$A$139:$I$159,6,0)*VLOOKUP('Données projet'!$B$13,Paramètres!$A$1:$I$88,7,0))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projet'!$B$9,Paramètres!$A$1:$I$88,3,0)*0.475*44/12</f>
        <v>0</v>
      </c>
      <c r="DG100" s="23">
        <f>EXP(-LN(2)/25)*DG99+(1-EXP(-LN(2)/25))/(LN(2)/25)*Calculateur!DB100*Calculateur!DD100*VLOOKUP('Données projet'!$B$9,Paramètres!$A$1:$I$88,3,0)*0.475*44/12</f>
        <v>0</v>
      </c>
      <c r="DH100" s="23">
        <f>EXP(-LN(2)/2)*DH99+(1-EXP(-LN(2)/2))/(LN(2)/2)*DB100*DE100*VLOOKUP('Données projet'!$B$9,Paramètres!$A$1:$I$88,3,0)*0.475*44/12</f>
        <v>0</v>
      </c>
      <c r="DI100" s="24">
        <f t="shared" si="74"/>
        <v>0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IF(A100&lt;'Données projet'!$A$166,$DL$205^A100,IF(A100='Données projet'!$A$166,'Données projet'!$B$166,DO99+DN100-DW99))</f>
        <v>-8.5265128291212022E-14</v>
      </c>
      <c r="DP100" s="18">
        <f>DO100*VLOOKUP('Données projet'!$B$14,Paramètres!$A$1:$I$88,3,0)*VLOOKUP('Données projet'!$B$14,Paramètres!$A$1:$I$88,5,0)</f>
        <v>-4.9880100050359036E-14</v>
      </c>
      <c r="DQ100" s="14" t="e">
        <f t="shared" si="102"/>
        <v>#NUM!</v>
      </c>
      <c r="DR100" s="22" t="e">
        <f t="shared" si="75"/>
        <v>#NUM!</v>
      </c>
      <c r="DS100" s="62" t="e">
        <f t="shared" si="76"/>
        <v>#NUM!</v>
      </c>
      <c r="DT100" s="62">
        <f ca="1">AVERAGE(OFFSET($DS$3,0,0,'Données projet'!$E$14+1,1))-AVERAGE(OFFSET($H$3,0,0,'Données projet'!$E$14+1,1))</f>
        <v>155.18073137151848</v>
      </c>
      <c r="DU100" s="62">
        <f t="shared" si="77"/>
        <v>115.19459155667272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projet'!$B$14,Paramètres!$A$1:$I$88,7,0))</f>
        <v>0</v>
      </c>
      <c r="DY100" s="17">
        <f>IF(ISNA(VLOOKUP(A100,'Données projet'!$A$165:$I$185,6,0)),0%,VLOOKUP(A100,'Données projet'!$A$165:$I$185,6,0)*VLOOKUP('Données projet'!$B$14,Paramètres!$A$1:$I$88,7,0))</f>
        <v>0</v>
      </c>
      <c r="DZ100" s="17">
        <f>IF(ISNA(VLOOKUP(A100,'Données projet'!$A$165:$I$185,7,0)),0%,VLOOKUP(A100,'Données projet'!$A$165:$I$185,7,0))</f>
        <v>0</v>
      </c>
      <c r="EA100" s="23">
        <f>EXP(-LN(2)/35)*EA99+(1-EXP(-LN(2)/35))/(LN(2)/35)*DW100*DX100*VLOOKUP('Données projet'!$B$9,Paramètres!$A$1:$I$88,3,0)*0.475*44/12</f>
        <v>0</v>
      </c>
      <c r="EB100" s="23">
        <f>EXP(-LN(2)/25)*EB99+(1-EXP(-LN(2)/25))/(LN(2)/25)*Calculateur!DW100*Calculateur!DY100*VLOOKUP('Données projet'!$B$9,Paramètres!$A$1:$I$88,3,0)*0.475*44/12</f>
        <v>0</v>
      </c>
      <c r="EC100" s="23">
        <f>EXP(-LN(2)/2)*EC99+(1-EXP(-LN(2)/2))/(LN(2)/2)*DW100*DZ100*VLOOKUP('Données projet'!$B$9,Paramètres!$A$1:$I$88,3,0)*0.475*44/12</f>
        <v>0</v>
      </c>
      <c r="ED100" s="24">
        <f t="shared" si="78"/>
        <v>0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6.4</v>
      </c>
      <c r="EJ100" s="13">
        <f>IF(A100&lt;'Données projet'!$A$192,$EG$205^A100,IF(A100='Données projet'!$A$192,'Données projet'!$B$192,EJ99+EI100-ER99))</f>
        <v>278.7999999999999</v>
      </c>
      <c r="EK100" s="18">
        <f>EJ100*VLOOKUP('Données projet'!$B$15,Paramètres!$A$1:$I$88,3,0)*VLOOKUP('Données projet'!$B$15,Paramètres!$A$1:$I$88,5,0)</f>
        <v>130.47839999999994</v>
      </c>
      <c r="EL100" s="14">
        <f t="shared" si="103"/>
        <v>34.106879882626828</v>
      </c>
      <c r="EM100" s="22">
        <f t="shared" si="79"/>
        <v>286.65269579557497</v>
      </c>
      <c r="EN100" s="62">
        <f t="shared" si="80"/>
        <v>554.46841040690356</v>
      </c>
      <c r="EO100" s="62">
        <f ca="1">AVERAGE(OFFSET($EN$3,0,0,'Données projet'!$E$15+1,1))-AVERAGE(OFFSET($H$3,0,0,'Données projet'!$E$15+1,1))</f>
        <v>238.59014604384171</v>
      </c>
      <c r="EP100" s="62">
        <f t="shared" si="81"/>
        <v>90.841373219575217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projet'!$B$15,Paramètres!$A$1:$I$88,7,0))</f>
        <v>0</v>
      </c>
      <c r="ET100" s="17">
        <f>IF(ISNA(VLOOKUP(A100,'Données projet'!$A$191:$I$211,6,0)),0%,VLOOKUP(A100,'Données projet'!$A$191:$I$211,6,0)*VLOOKUP('Données projet'!$B$15,Paramètres!$A$1:$I$88,7,0))</f>
        <v>0</v>
      </c>
      <c r="EU100" s="17">
        <f>IF(ISNA(VLOOKUP(A100,'Données projet'!$A$191:$I$211,7,0)),0%,VLOOKUP(A100,'Données projet'!$A$191:$I$211,7,0))</f>
        <v>0</v>
      </c>
      <c r="EV100" s="23">
        <f>EXP(-LN(2)/35)*EV99+(1-EXP(-LN(2)/35))/(LN(2)/35)*ER100*ES100*VLOOKUP('Données projet'!$B$9,Paramètres!$A$1:$I$88,3,0)*0.475*44/12</f>
        <v>0</v>
      </c>
      <c r="EW100" s="23">
        <f>EXP(-LN(2)/25)*EW99+(1-EXP(-LN(2)/25))/(LN(2)/25)*Calculateur!ER100*Calculateur!ET100*VLOOKUP('Données projet'!$B$9,Paramètres!$A$1:$I$88,3,0)*0.475*44/12</f>
        <v>0</v>
      </c>
      <c r="EX100" s="23">
        <f>EXP(-LN(2)/2)*EX99+(1-EXP(-LN(2)/2))/(LN(2)/2)*ER100*EU100*VLOOKUP('Données projet'!$B$9,Paramètres!$A$1:$I$88,3,0)*0.475*44/12</f>
        <v>0</v>
      </c>
      <c r="EY100" s="24">
        <f t="shared" si="82"/>
        <v>0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IF(A100&lt;'Données projet'!$A$218,$FB$205^A100,IF(A100='Données projet'!$A$218,'Données projet'!$B$218,FE99+FD100-FM99))</f>
        <v>0</v>
      </c>
      <c r="FF100" s="18" t="e">
        <f>FE100*VLOOKUP('Données projet'!$B$16,Paramètres!$A$1:$I$88,3,0)*VLOOKUP('Données projet'!$B$16,Paramètres!$A$1:$I$88,5,0)</f>
        <v>#N/A</v>
      </c>
      <c r="FG100" s="14" t="e">
        <f t="shared" si="104"/>
        <v>#N/A</v>
      </c>
      <c r="FH100" s="22" t="e">
        <f t="shared" si="83"/>
        <v>#N/A</v>
      </c>
      <c r="FI100" s="62" t="e">
        <f t="shared" si="84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85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projet'!$B$16,Paramètres!$A$1:$I$88,7,0))</f>
        <v>0</v>
      </c>
      <c r="FO100" s="17">
        <f>IF(ISNA(VLOOKUP(A100,'Données projet'!$A$217:$I$237,6,0)),0%,VLOOKUP(A100,'Données projet'!$A$217:$I$237,6,0)*VLOOKUP('Données projet'!$B$16,Paramètres!$A$1:$I$88,7,0))</f>
        <v>0</v>
      </c>
      <c r="FP100" s="17">
        <f>IF(ISNA(VLOOKUP(A100,'Données projet'!$A$217:$I$237,7,0)),0%,VLOOKUP(A100,'Données projet'!$A$217:$I$237,7,0))</f>
        <v>0</v>
      </c>
      <c r="FQ100" s="23">
        <f>EXP(-LN(2)/35)*FQ99+(1-EXP(-LN(2)/35))/(LN(2)/35)*FM100*FN100*VLOOKUP('Données projet'!$B$9,Paramètres!$A$1:$I$88,3,0)*0.475*44/12</f>
        <v>0</v>
      </c>
      <c r="FR100" s="23">
        <f>EXP(-LN(2)/25)*FR99+(1-EXP(-LN(2)/25))/(LN(2)/25)*Calculateur!FM100*Calculateur!FO100*VLOOKUP('Données projet'!$B$9,Paramètres!$A$1:$I$88,3,0)*0.475*44/12</f>
        <v>0</v>
      </c>
      <c r="FS100" s="23">
        <f>EXP(-LN(2)/2)*FS99+(1-EXP(-LN(2)/2))/(LN(2)/2)*FM100*FP100*VLOOKUP('Données projet'!$B$9,Paramètres!$A$1:$I$88,3,0)*0.475*44/12</f>
        <v>0</v>
      </c>
      <c r="FT100" s="24">
        <f t="shared" si="86"/>
        <v>0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IF(A100&lt;'Données projet'!$A$244,$FW$205^A100,IF(A100='Données projet'!$A$244,'Données projet'!$B$244,FZ99+FY100-GH99))</f>
        <v>0</v>
      </c>
      <c r="GA100" s="18" t="e">
        <f>FZ100*VLOOKUP('Données projet'!$B$17,Paramètres!$A$1:$I$88,3,0)*VLOOKUP('Données projet'!$B$17,Paramètres!$A$1:$I$88,5,0)</f>
        <v>#N/A</v>
      </c>
      <c r="GB100" s="14" t="e">
        <f t="shared" si="105"/>
        <v>#N/A</v>
      </c>
      <c r="GC100" s="22" t="e">
        <f t="shared" si="87"/>
        <v>#N/A</v>
      </c>
      <c r="GD100" s="62" t="e">
        <f t="shared" si="88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89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projet'!$B$17,Paramètres!$A$1:$I$88,7,0))</f>
        <v>0</v>
      </c>
      <c r="GJ100" s="17">
        <f>IF(ISNA(VLOOKUP(A100,'Données projet'!$A$243:$I$263,6,0)),0%,VLOOKUP(A100,'Données projet'!$A$243:$I$263,6,0)*VLOOKUP('Données projet'!$B$17,Paramètres!$A$1:$I$88,7,0))</f>
        <v>0</v>
      </c>
      <c r="GK100" s="17">
        <f>IF(ISNA(VLOOKUP(A100,'Données projet'!$A$243:$I$263,7,0)),0%,VLOOKUP(A100,'Données projet'!$A$243:$I$263,7,0))</f>
        <v>0</v>
      </c>
      <c r="GL100" s="23">
        <f>EXP(-LN(2)/35)*GL99+(1-EXP(-LN(2)/35))/(LN(2)/35)*GH100*GI100*VLOOKUP('Données projet'!$B$9,Paramètres!$A$1:$I$88,3,0)*0.475*44/12</f>
        <v>0</v>
      </c>
      <c r="GM100" s="23">
        <f>EXP(-LN(2)/25)*GM99+(1-EXP(-LN(2)/25))/(LN(2)/25)*Calculateur!GH100*Calculateur!GJ100*VLOOKUP('Données projet'!$B$9,Paramètres!$A$1:$I$88,3,0)*0.475*44/12</f>
        <v>0</v>
      </c>
      <c r="GN100" s="23">
        <f>EXP(-LN(2)/2)*GN99+(1-EXP(-LN(2)/2))/(LN(2)/2)*GH100*GK100*VLOOKUP('Données projet'!$B$9,Paramètres!$A$1:$I$88,3,0)*0.475*44/12</f>
        <v>0</v>
      </c>
      <c r="GO100" s="23">
        <f t="shared" si="90"/>
        <v>0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IF(A100&lt;'Données projet'!$A$270,$GR$205^A100,IF(A100='Données projet'!$A$270,'Données projet'!$B$270,GU99+GT100-HC99))</f>
        <v>0</v>
      </c>
      <c r="GV100" s="18" t="e">
        <f>GU100*VLOOKUP('Données projet'!$B$18,Paramètres!$A$1:$I$88,3,0)*VLOOKUP('Données projet'!$B$18,Paramètres!$A$1:$I$88,5,0)</f>
        <v>#N/A</v>
      </c>
      <c r="GW100" s="14" t="e">
        <f t="shared" si="106"/>
        <v>#N/A</v>
      </c>
      <c r="GX100" s="22" t="e">
        <f t="shared" si="91"/>
        <v>#N/A</v>
      </c>
      <c r="GY100" s="62" t="e">
        <f t="shared" si="92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93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projet'!$B$18,Paramètres!$A$1:$I$88,7,0))</f>
        <v>0</v>
      </c>
      <c r="HE100" s="17">
        <f>IF(ISNA(VLOOKUP(A100,'Données projet'!$A$269:$I$289,6,0)),0%,VLOOKUP(A100,'Données projet'!$A$269:$I$289,6,0)*VLOOKUP('Données projet'!$B$18,Paramètres!$A$1:$I$88,7,0))</f>
        <v>0</v>
      </c>
      <c r="HF100" s="17">
        <f>IF(ISNA(VLOOKUP(A100,'Données projet'!$A$269:$I$289,7,0)),0%,VLOOKUP(A100,'Données projet'!$A$269:$I$289,7,0))</f>
        <v>0</v>
      </c>
      <c r="HG100" s="23">
        <f>EXP(-LN(2)/35)*HG99+(1-EXP(-LN(2)/35))/(LN(2)/35)*HC100*HD100*VLOOKUP('Données projet'!$B$9,Paramètres!$A$1:$I$88,3,0)*0.475*44/12</f>
        <v>0</v>
      </c>
      <c r="HH100" s="23">
        <f>EXP(-LN(2)/25)*HH99+(1-EXP(-LN(2)/25))/(LN(2)/25)*Calculateur!HC100*Calculateur!HE100*VLOOKUP('Données projet'!$B$9,Paramètres!$A$1:$I$88,3,0)*0.475*44/12</f>
        <v>0</v>
      </c>
      <c r="HI100" s="23">
        <f>EXP(-LN(2)/2)*HI99+(1-EXP(-LN(2)/2))/(LN(2)/2)*HC100*HF100*VLOOKUP('Données projet'!$B$9,Paramètres!$A$1:$I$88,3,0)*0.475*44/12</f>
        <v>0</v>
      </c>
      <c r="HJ100" s="24">
        <f t="shared" si="94"/>
        <v>0</v>
      </c>
    </row>
    <row r="101" spans="1:218" s="5" customFormat="1" x14ac:dyDescent="0.25">
      <c r="A101" s="11">
        <f t="shared" si="95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1" s="12">
        <f t="shared" si="9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57"/>
        <v>135.66666666666666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1.4583333333333344</v>
      </c>
      <c r="N101" s="14">
        <f>IF(A101&lt;'Données projet'!$A$36,$K$205^A101,IF(A101='Données projet'!$A$36,'Données projet'!$B$36,N100+M101-V100))</f>
        <v>108.90833333333326</v>
      </c>
      <c r="O101" s="14">
        <f>N101*VLOOKUP('Données projet'!$B$9,Paramètres!$A$1:$I$88,3,0)*VLOOKUP('Données projet'!$B$9,Paramètres!$A$1:$I$88,5,0)</f>
        <v>125.4623999999999</v>
      </c>
      <c r="P101" s="14">
        <f t="shared" si="97"/>
        <v>32.945695024136818</v>
      </c>
      <c r="Q101" s="22">
        <f t="shared" si="107"/>
        <v>275.89409883370479</v>
      </c>
      <c r="R101" s="62">
        <f t="shared" si="55"/>
        <v>544.15248708101115</v>
      </c>
      <c r="S101" s="62">
        <f ca="1">AVERAGE(OFFSET($R$3,0,0,'Données projet'!$E$9+1,1))-AVERAGE(OFFSET($H$3,0,0,'Données projet'!$E$9+1,1))</f>
        <v>314.72063458462026</v>
      </c>
      <c r="T101" s="62">
        <f t="shared" si="56"/>
        <v>216.4380325968244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projet'!$B$9,Paramètres!$A$1:$I$88,7,0))</f>
        <v>0</v>
      </c>
      <c r="X101" s="17">
        <f>IF(ISNA(VLOOKUP(A101,'Données projet'!$A$35:$I$55,6,0)),0%,VLOOKUP(A101,'Données projet'!$A$35:$I$55,6,0)*VLOOKUP('Données projet'!$B$9,Paramètres!$A$1:$I$88,7,0))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projet'!$B$9,Paramètres!$A$1:$I$88,3,0)*0.475*44/12</f>
        <v>0</v>
      </c>
      <c r="AA101" s="23">
        <f>EXP(-LN(2)/25)*AA100+(1-EXP(-LN(2)/25))/(LN(2)/25)*Calculateur!V101*Calculateur!X101*VLOOKUP('Données projet'!$B$9,Paramètres!$A$1:$I$88,3,0)*0.475*44/12</f>
        <v>0</v>
      </c>
      <c r="AB101" s="23">
        <f>EXP(-LN(2)/2)*AB100+(1-EXP(-LN(2)/2))/(LN(2)/2)*V101*Y101*VLOOKUP('Données projet'!$B$9,Paramètres!$A$1:$I$88,3,0)*0.475*44/12</f>
        <v>0</v>
      </c>
      <c r="AC101" s="24">
        <f t="shared" si="58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3</v>
      </c>
      <c r="AI101" s="14">
        <f>IF(A101&lt;'Données projet'!$A$62,$AF$205^A101,IF(A101='Données projet'!$A$62,'Données projet'!$B$62,AI100+AH101-AQ100))</f>
        <v>241.99999999999997</v>
      </c>
      <c r="AJ101" s="14">
        <f>AI101*VLOOKUP('Données projet'!$B$10,Paramètres!$A$1:$I$88,3,0)*VLOOKUP('Données projet'!$B$10,Paramètres!$A$1:$I$88,5,0)</f>
        <v>252.9384</v>
      </c>
      <c r="AK101" s="14">
        <f t="shared" si="98"/>
        <v>61.214726438585039</v>
      </c>
      <c r="AL101" s="22">
        <f t="shared" si="59"/>
        <v>547.15002854720217</v>
      </c>
      <c r="AM101" s="62">
        <f t="shared" si="60"/>
        <v>815.40841679450853</v>
      </c>
      <c r="AN101" s="62">
        <f ca="1">AVERAGE(OFFSET($AM$3,0,0,'Données projet'!$E$10+1,1))-AVERAGE(OFFSET($H$3,0,0,'Données projet'!$E$10+1,1))</f>
        <v>458.33072853676879</v>
      </c>
      <c r="AO101" s="62">
        <f t="shared" si="61"/>
        <v>254.1734169352687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projet'!$B$10,Paramètres!$A$1:$I$88,7,0))</f>
        <v>0</v>
      </c>
      <c r="AS101" s="17">
        <f>IF(ISNA(VLOOKUP(A101,'Données projet'!$A$61:$I$81,6,0)),0%,VLOOKUP(A101,'Données projet'!$A$61:$I$81,6,0)*VLOOKUP('Données projet'!$B$10,Paramètres!$A$1:$I$88,7,0))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projet'!$B$9,Paramètres!$A$1:$I$88,3,0)*0.475*44/12</f>
        <v>0</v>
      </c>
      <c r="AV101" s="23">
        <f>EXP(-LN(2)/25)*AV100+(1-EXP(-LN(2)/25))/(LN(2)/25)*Calculateur!AQ101*Calculateur!AS101*VLOOKUP('Données projet'!$B$9,Paramètres!$A$1:$I$88,3,0)*0.475*44/12</f>
        <v>0</v>
      </c>
      <c r="AW101" s="23">
        <f>EXP(-LN(2)/2)*AW100+(1-EXP(-LN(2)/2))/(LN(2)/2)*AQ101*AT101*VLOOKUP('Données projet'!$B$9,Paramètres!$A$1:$I$88,3,0)*0.475*44/12</f>
        <v>0</v>
      </c>
      <c r="AX101" s="23">
        <f t="shared" si="62"/>
        <v>0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3</v>
      </c>
      <c r="BD101" s="13">
        <f>IF(A101&lt;'Données projet'!$A$88,$BA$205^A101,IF(A101='Données projet'!$A$88,'Données projet'!$B$88,BD100+BC101-BL100))</f>
        <v>241.99999999999997</v>
      </c>
      <c r="BE101" s="14">
        <f>BD101*VLOOKUP('Données projet'!$B$11,Paramètres!$A$1:$I$88,3,0)*VLOOKUP('Données projet'!$B$11,Paramètres!$A$1:$I$88,5,0)</f>
        <v>245.38799999999998</v>
      </c>
      <c r="BF101" s="14">
        <f t="shared" si="99"/>
        <v>59.597282764919569</v>
      </c>
      <c r="BG101" s="22">
        <f t="shared" si="63"/>
        <v>531.18270081556818</v>
      </c>
      <c r="BH101" s="62">
        <f t="shared" si="64"/>
        <v>799.44108906287454</v>
      </c>
      <c r="BI101" s="62">
        <f ca="1">AVERAGE(OFFSET($BH$3,0,0,'Données projet'!$E$11+1,1))-AVERAGE(OFFSET($H$3,0,0,'Données projet'!$E$11+1,1))</f>
        <v>447.82618173893104</v>
      </c>
      <c r="BJ101" s="62">
        <f t="shared" si="65"/>
        <v>248.96509970783379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projet'!$B$11,Paramètres!$A$1:$I$88,7,0))</f>
        <v>0</v>
      </c>
      <c r="BN101" s="17">
        <f>IF(ISNA(VLOOKUP(A101,'Données projet'!$A$87:$I$107,6,0)),0%,VLOOKUP(A101,'Données projet'!$A$87:$I$107,6,0)*VLOOKUP('Données projet'!$B$11,Paramètres!$A$1:$I$88,7,0))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projet'!$B$9,Paramètres!$A$1:$I$88,3,0)*0.475*44/12</f>
        <v>0</v>
      </c>
      <c r="BQ101" s="23">
        <f>EXP(-LN(2)/25)*BQ100+(1-EXP(-LN(2)/25))/(LN(2)/25)*Calculateur!BL101*Calculateur!BN101*VLOOKUP('Données projet'!$B$9,Paramètres!$A$1:$I$88,3,0)*0.475*44/12</f>
        <v>0</v>
      </c>
      <c r="BR101" s="23">
        <f>EXP(-LN(2)/2)*BR100+(1-EXP(-LN(2)/2))/(LN(2)/2)*BL101*BO101*VLOOKUP('Données projet'!$B$9,Paramètres!$A$1:$I$88,3,0)*0.475*44/12</f>
        <v>0</v>
      </c>
      <c r="BS101" s="24">
        <f t="shared" si="66"/>
        <v>0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3</v>
      </c>
      <c r="BY101" s="13">
        <f>IF(A101&lt;'Données projet'!$A$114,$BV$205^A101,IF(A101='Données projet'!$A$114,'Données projet'!$B$114,BY100+BX101-CG100))</f>
        <v>241.99999999999997</v>
      </c>
      <c r="BZ101" s="14">
        <f>BY101*VLOOKUP('Données projet'!$B$12,Paramètres!$A$1:$I$88,3,0)*VLOOKUP('Données projet'!$B$12,Paramètres!$A$1:$I$88,5,0)</f>
        <v>260.48879999999997</v>
      </c>
      <c r="CA101" s="14">
        <f t="shared" si="100"/>
        <v>62.826558970958821</v>
      </c>
      <c r="CB101" s="22">
        <f t="shared" si="67"/>
        <v>563.10758354108657</v>
      </c>
      <c r="CC101" s="62">
        <f t="shared" si="68"/>
        <v>831.36597178839293</v>
      </c>
      <c r="CD101" s="62">
        <f ca="1">AVERAGE(OFFSET($CC$3,0,0,'Données projet'!$E$12+1,1))-AVERAGE(OFFSET($H$3,0,0,'Données projet'!$E$12+1,1))</f>
        <v>468.82871618425406</v>
      </c>
      <c r="CE101" s="62">
        <f t="shared" si="69"/>
        <v>259.37818128554397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projet'!$B$12,Paramètres!$A$1:$I$88,7,0))</f>
        <v>0</v>
      </c>
      <c r="CI101" s="17">
        <f>IF(ISNA(VLOOKUP(A101,'Données projet'!$A$113:$I$133,6,0)),0%,VLOOKUP(A101,'Données projet'!$A$113:$I$133,6,0)*VLOOKUP('Données projet'!$B$12,Paramètres!$A$1:$I$88,7,0))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projet'!$B$9,Paramètres!$A$1:$I$88,3,0)*0.475*44/12</f>
        <v>0</v>
      </c>
      <c r="CL101" s="23">
        <f>EXP(-LN(2)/25)*CL100+(1-EXP(-LN(2)/25))/(LN(2)/25)*Calculateur!CG101*Calculateur!CI101*VLOOKUP('Données projet'!$B$9,Paramètres!$A$1:$I$88,3,0)*0.475*44/12</f>
        <v>0</v>
      </c>
      <c r="CM101" s="23">
        <f>EXP(-LN(2)/2)*CM100+(1-EXP(-LN(2)/2))/(LN(2)/2)*CG101*CJ101*VLOOKUP('Données projet'!$B$9,Paramètres!$A$1:$I$88,3,0)*0.475*44/12</f>
        <v>0</v>
      </c>
      <c r="CN101" s="24">
        <f t="shared" si="70"/>
        <v>0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3</v>
      </c>
      <c r="CT101" s="13">
        <f>IF(A101&lt;'Données projet'!$A$140,$CQ$205^A101,IF(A101='Données projet'!$A$140,'Données projet'!$B$140,CT100+CS101-DB100))</f>
        <v>241.99999999999997</v>
      </c>
      <c r="CU101" s="18">
        <f>CT101*VLOOKUP('Données projet'!$B$13,Paramètres!$A$1:$I$88,3,0)*VLOOKUP('Données projet'!$B$13,Paramètres!$A$1:$I$88,5,0)</f>
        <v>207.636</v>
      </c>
      <c r="CV101" s="14">
        <f t="shared" si="101"/>
        <v>51.41865234024965</v>
      </c>
      <c r="CW101" s="22">
        <f t="shared" si="71"/>
        <v>451.18685282593475</v>
      </c>
      <c r="CX101" s="62">
        <f t="shared" si="72"/>
        <v>719.44524107324105</v>
      </c>
      <c r="CY101" s="62">
        <f ca="1">AVERAGE(OFFSET($CX$3,0,0,'Données projet'!$E$13+1,1))-AVERAGE(OFFSET($H$3,0,0,'Données projet'!$E$13+1,1))</f>
        <v>395.19659151668884</v>
      </c>
      <c r="CZ101" s="62">
        <f t="shared" si="73"/>
        <v>222.86563304507339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projet'!$B$13,Paramètres!$A$1:$I$88,7,0))</f>
        <v>0</v>
      </c>
      <c r="DD101" s="17">
        <f>IF(ISNA(VLOOKUP(A101,'Données projet'!$A$139:$I$159,6,0)),0%,VLOOKUP(A101,'Données projet'!$A$139:$I$159,6,0)*VLOOKUP('Données projet'!$B$13,Paramètres!$A$1:$I$88,7,0))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projet'!$B$9,Paramètres!$A$1:$I$88,3,0)*0.475*44/12</f>
        <v>0</v>
      </c>
      <c r="DG101" s="23">
        <f>EXP(-LN(2)/25)*DG100+(1-EXP(-LN(2)/25))/(LN(2)/25)*Calculateur!DB101*Calculateur!DD101*VLOOKUP('Données projet'!$B$9,Paramètres!$A$1:$I$88,3,0)*0.475*44/12</f>
        <v>0</v>
      </c>
      <c r="DH101" s="23">
        <f>EXP(-LN(2)/2)*DH100+(1-EXP(-LN(2)/2))/(LN(2)/2)*DB101*DE101*VLOOKUP('Données projet'!$B$9,Paramètres!$A$1:$I$88,3,0)*0.475*44/12</f>
        <v>0</v>
      </c>
      <c r="DI101" s="24">
        <f t="shared" si="74"/>
        <v>0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IF(A101&lt;'Données projet'!$A$166,$DL$205^A101,IF(A101='Données projet'!$A$166,'Données projet'!$B$166,DO100+DN101-DW100))</f>
        <v>-8.5265128291212022E-14</v>
      </c>
      <c r="DP101" s="18">
        <f>DO101*VLOOKUP('Données projet'!$B$14,Paramètres!$A$1:$I$88,3,0)*VLOOKUP('Données projet'!$B$14,Paramètres!$A$1:$I$88,5,0)</f>
        <v>-4.9880100050359036E-14</v>
      </c>
      <c r="DQ101" s="14" t="e">
        <f t="shared" si="102"/>
        <v>#NUM!</v>
      </c>
      <c r="DR101" s="22" t="e">
        <f t="shared" si="75"/>
        <v>#NUM!</v>
      </c>
      <c r="DS101" s="62" t="e">
        <f t="shared" si="76"/>
        <v>#NUM!</v>
      </c>
      <c r="DT101" s="62">
        <f ca="1">AVERAGE(OFFSET($DS$3,0,0,'Données projet'!$E$14+1,1))-AVERAGE(OFFSET($H$3,0,0,'Données projet'!$E$14+1,1))</f>
        <v>155.18073137151848</v>
      </c>
      <c r="DU101" s="62">
        <f t="shared" si="77"/>
        <v>115.19459155667272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projet'!$B$14,Paramètres!$A$1:$I$88,7,0))</f>
        <v>0</v>
      </c>
      <c r="DY101" s="17">
        <f>IF(ISNA(VLOOKUP(A101,'Données projet'!$A$165:$I$185,6,0)),0%,VLOOKUP(A101,'Données projet'!$A$165:$I$185,6,0)*VLOOKUP('Données projet'!$B$14,Paramètres!$A$1:$I$88,7,0))</f>
        <v>0</v>
      </c>
      <c r="DZ101" s="17">
        <f>IF(ISNA(VLOOKUP(A101,'Données projet'!$A$165:$I$185,7,0)),0%,VLOOKUP(A101,'Données projet'!$A$165:$I$185,7,0))</f>
        <v>0</v>
      </c>
      <c r="EA101" s="23">
        <f>EXP(-LN(2)/35)*EA100+(1-EXP(-LN(2)/35))/(LN(2)/35)*DW101*DX101*VLOOKUP('Données projet'!$B$9,Paramètres!$A$1:$I$88,3,0)*0.475*44/12</f>
        <v>0</v>
      </c>
      <c r="EB101" s="23">
        <f>EXP(-LN(2)/25)*EB100+(1-EXP(-LN(2)/25))/(LN(2)/25)*Calculateur!DW101*Calculateur!DY101*VLOOKUP('Données projet'!$B$9,Paramètres!$A$1:$I$88,3,0)*0.475*44/12</f>
        <v>0</v>
      </c>
      <c r="EC101" s="23">
        <f>EXP(-LN(2)/2)*EC100+(1-EXP(-LN(2)/2))/(LN(2)/2)*DW101*DZ101*VLOOKUP('Données projet'!$B$9,Paramètres!$A$1:$I$88,3,0)*0.475*44/12</f>
        <v>0</v>
      </c>
      <c r="ED101" s="24">
        <f t="shared" si="78"/>
        <v>0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6.4</v>
      </c>
      <c r="EJ101" s="13">
        <f>IF(A101&lt;'Données projet'!$A$192,$EG$205^A101,IF(A101='Données projet'!$A$192,'Données projet'!$B$192,EJ100+EI101-ER100))</f>
        <v>285.19999999999987</v>
      </c>
      <c r="EK101" s="18">
        <f>EJ101*VLOOKUP('Données projet'!$B$15,Paramètres!$A$1:$I$88,3,0)*VLOOKUP('Données projet'!$B$15,Paramètres!$A$1:$I$88,5,0)</f>
        <v>133.47359999999995</v>
      </c>
      <c r="EL101" s="14">
        <f t="shared" si="103"/>
        <v>34.797770344180101</v>
      </c>
      <c r="EM101" s="22">
        <f t="shared" si="79"/>
        <v>293.07263668278023</v>
      </c>
      <c r="EN101" s="62">
        <f t="shared" si="80"/>
        <v>561.33102493008664</v>
      </c>
      <c r="EO101" s="62">
        <f ca="1">AVERAGE(OFFSET($EN$3,0,0,'Données projet'!$E$15+1,1))-AVERAGE(OFFSET($H$3,0,0,'Données projet'!$E$15+1,1))</f>
        <v>238.59014604384171</v>
      </c>
      <c r="EP101" s="62">
        <f t="shared" si="81"/>
        <v>90.841373219575217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projet'!$B$15,Paramètres!$A$1:$I$88,7,0))</f>
        <v>0</v>
      </c>
      <c r="ET101" s="17">
        <f>IF(ISNA(VLOOKUP(A101,'Données projet'!$A$191:$I$211,6,0)),0%,VLOOKUP(A101,'Données projet'!$A$191:$I$211,6,0)*VLOOKUP('Données projet'!$B$15,Paramètres!$A$1:$I$88,7,0))</f>
        <v>0</v>
      </c>
      <c r="EU101" s="17">
        <f>IF(ISNA(VLOOKUP(A101,'Données projet'!$A$191:$I$211,7,0)),0%,VLOOKUP(A101,'Données projet'!$A$191:$I$211,7,0))</f>
        <v>0</v>
      </c>
      <c r="EV101" s="23">
        <f>EXP(-LN(2)/35)*EV100+(1-EXP(-LN(2)/35))/(LN(2)/35)*ER101*ES101*VLOOKUP('Données projet'!$B$9,Paramètres!$A$1:$I$88,3,0)*0.475*44/12</f>
        <v>0</v>
      </c>
      <c r="EW101" s="23">
        <f>EXP(-LN(2)/25)*EW100+(1-EXP(-LN(2)/25))/(LN(2)/25)*Calculateur!ER101*Calculateur!ET101*VLOOKUP('Données projet'!$B$9,Paramètres!$A$1:$I$88,3,0)*0.475*44/12</f>
        <v>0</v>
      </c>
      <c r="EX101" s="23">
        <f>EXP(-LN(2)/2)*EX100+(1-EXP(-LN(2)/2))/(LN(2)/2)*ER101*EU101*VLOOKUP('Données projet'!$B$9,Paramètres!$A$1:$I$88,3,0)*0.475*44/12</f>
        <v>0</v>
      </c>
      <c r="EY101" s="24">
        <f t="shared" si="82"/>
        <v>0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IF(A101&lt;'Données projet'!$A$218,$FB$205^A101,IF(A101='Données projet'!$A$218,'Données projet'!$B$218,FE100+FD101-FM100))</f>
        <v>0</v>
      </c>
      <c r="FF101" s="18" t="e">
        <f>FE101*VLOOKUP('Données projet'!$B$16,Paramètres!$A$1:$I$88,3,0)*VLOOKUP('Données projet'!$B$16,Paramètres!$A$1:$I$88,5,0)</f>
        <v>#N/A</v>
      </c>
      <c r="FG101" s="14" t="e">
        <f t="shared" si="104"/>
        <v>#N/A</v>
      </c>
      <c r="FH101" s="22" t="e">
        <f t="shared" si="83"/>
        <v>#N/A</v>
      </c>
      <c r="FI101" s="62" t="e">
        <f t="shared" si="84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85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projet'!$B$16,Paramètres!$A$1:$I$88,7,0))</f>
        <v>0</v>
      </c>
      <c r="FO101" s="17">
        <f>IF(ISNA(VLOOKUP(A101,'Données projet'!$A$217:$I$237,6,0)),0%,VLOOKUP(A101,'Données projet'!$A$217:$I$237,6,0)*VLOOKUP('Données projet'!$B$16,Paramètres!$A$1:$I$88,7,0))</f>
        <v>0</v>
      </c>
      <c r="FP101" s="17">
        <f>IF(ISNA(VLOOKUP(A101,'Données projet'!$A$217:$I$237,7,0)),0%,VLOOKUP(A101,'Données projet'!$A$217:$I$237,7,0))</f>
        <v>0</v>
      </c>
      <c r="FQ101" s="23">
        <f>EXP(-LN(2)/35)*FQ100+(1-EXP(-LN(2)/35))/(LN(2)/35)*FM101*FN101*VLOOKUP('Données projet'!$B$9,Paramètres!$A$1:$I$88,3,0)*0.475*44/12</f>
        <v>0</v>
      </c>
      <c r="FR101" s="23">
        <f>EXP(-LN(2)/25)*FR100+(1-EXP(-LN(2)/25))/(LN(2)/25)*Calculateur!FM101*Calculateur!FO101*VLOOKUP('Données projet'!$B$9,Paramètres!$A$1:$I$88,3,0)*0.475*44/12</f>
        <v>0</v>
      </c>
      <c r="FS101" s="23">
        <f>EXP(-LN(2)/2)*FS100+(1-EXP(-LN(2)/2))/(LN(2)/2)*FM101*FP101*VLOOKUP('Données projet'!$B$9,Paramètres!$A$1:$I$88,3,0)*0.475*44/12</f>
        <v>0</v>
      </c>
      <c r="FT101" s="24">
        <f t="shared" si="86"/>
        <v>0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IF(A101&lt;'Données projet'!$A$244,$FW$205^A101,IF(A101='Données projet'!$A$244,'Données projet'!$B$244,FZ100+FY101-GH100))</f>
        <v>0</v>
      </c>
      <c r="GA101" s="18" t="e">
        <f>FZ101*VLOOKUP('Données projet'!$B$17,Paramètres!$A$1:$I$88,3,0)*VLOOKUP('Données projet'!$B$17,Paramètres!$A$1:$I$88,5,0)</f>
        <v>#N/A</v>
      </c>
      <c r="GB101" s="14" t="e">
        <f t="shared" si="105"/>
        <v>#N/A</v>
      </c>
      <c r="GC101" s="22" t="e">
        <f t="shared" si="87"/>
        <v>#N/A</v>
      </c>
      <c r="GD101" s="62" t="e">
        <f t="shared" si="88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89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projet'!$B$17,Paramètres!$A$1:$I$88,7,0))</f>
        <v>0</v>
      </c>
      <c r="GJ101" s="17">
        <f>IF(ISNA(VLOOKUP(A101,'Données projet'!$A$243:$I$263,6,0)),0%,VLOOKUP(A101,'Données projet'!$A$243:$I$263,6,0)*VLOOKUP('Données projet'!$B$17,Paramètres!$A$1:$I$88,7,0))</f>
        <v>0</v>
      </c>
      <c r="GK101" s="17">
        <f>IF(ISNA(VLOOKUP(A101,'Données projet'!$A$243:$I$263,7,0)),0%,VLOOKUP(A101,'Données projet'!$A$243:$I$263,7,0))</f>
        <v>0</v>
      </c>
      <c r="GL101" s="23">
        <f>EXP(-LN(2)/35)*GL100+(1-EXP(-LN(2)/35))/(LN(2)/35)*GH101*GI101*VLOOKUP('Données projet'!$B$9,Paramètres!$A$1:$I$88,3,0)*0.475*44/12</f>
        <v>0</v>
      </c>
      <c r="GM101" s="23">
        <f>EXP(-LN(2)/25)*GM100+(1-EXP(-LN(2)/25))/(LN(2)/25)*Calculateur!GH101*Calculateur!GJ101*VLOOKUP('Données projet'!$B$9,Paramètres!$A$1:$I$88,3,0)*0.475*44/12</f>
        <v>0</v>
      </c>
      <c r="GN101" s="23">
        <f>EXP(-LN(2)/2)*GN100+(1-EXP(-LN(2)/2))/(LN(2)/2)*GH101*GK101*VLOOKUP('Données projet'!$B$9,Paramètres!$A$1:$I$88,3,0)*0.475*44/12</f>
        <v>0</v>
      </c>
      <c r="GO101" s="23">
        <f t="shared" si="90"/>
        <v>0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IF(A101&lt;'Données projet'!$A$270,$GR$205^A101,IF(A101='Données projet'!$A$270,'Données projet'!$B$270,GU100+GT101-HC100))</f>
        <v>0</v>
      </c>
      <c r="GV101" s="18" t="e">
        <f>GU101*VLOOKUP('Données projet'!$B$18,Paramètres!$A$1:$I$88,3,0)*VLOOKUP('Données projet'!$B$18,Paramètres!$A$1:$I$88,5,0)</f>
        <v>#N/A</v>
      </c>
      <c r="GW101" s="14" t="e">
        <f t="shared" si="106"/>
        <v>#N/A</v>
      </c>
      <c r="GX101" s="22" t="e">
        <f t="shared" si="91"/>
        <v>#N/A</v>
      </c>
      <c r="GY101" s="62" t="e">
        <f t="shared" si="92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93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projet'!$B$18,Paramètres!$A$1:$I$88,7,0))</f>
        <v>0</v>
      </c>
      <c r="HE101" s="17">
        <f>IF(ISNA(VLOOKUP(A101,'Données projet'!$A$269:$I$289,6,0)),0%,VLOOKUP(A101,'Données projet'!$A$269:$I$289,6,0)*VLOOKUP('Données projet'!$B$18,Paramètres!$A$1:$I$88,7,0))</f>
        <v>0</v>
      </c>
      <c r="HF101" s="17">
        <f>IF(ISNA(VLOOKUP(A101,'Données projet'!$A$269:$I$289,7,0)),0%,VLOOKUP(A101,'Données projet'!$A$269:$I$289,7,0))</f>
        <v>0</v>
      </c>
      <c r="HG101" s="23">
        <f>EXP(-LN(2)/35)*HG100+(1-EXP(-LN(2)/35))/(LN(2)/35)*HC101*HD101*VLOOKUP('Données projet'!$B$9,Paramètres!$A$1:$I$88,3,0)*0.475*44/12</f>
        <v>0</v>
      </c>
      <c r="HH101" s="23">
        <f>EXP(-LN(2)/25)*HH100+(1-EXP(-LN(2)/25))/(LN(2)/25)*Calculateur!HC101*Calculateur!HE101*VLOOKUP('Données projet'!$B$9,Paramètres!$A$1:$I$88,3,0)*0.475*44/12</f>
        <v>0</v>
      </c>
      <c r="HI101" s="23">
        <f>EXP(-LN(2)/2)*HI100+(1-EXP(-LN(2)/2))/(LN(2)/2)*HC101*HF101*VLOOKUP('Données projet'!$B$9,Paramètres!$A$1:$I$88,3,0)*0.475*44/12</f>
        <v>0</v>
      </c>
      <c r="HJ101" s="24">
        <f t="shared" si="94"/>
        <v>0</v>
      </c>
    </row>
    <row r="102" spans="1:218" s="5" customFormat="1" x14ac:dyDescent="0.25">
      <c r="A102" s="11">
        <f t="shared" si="95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2" s="12">
        <f t="shared" si="9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57"/>
        <v>135.66666666666666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1.4583333333333344</v>
      </c>
      <c r="N102" s="14">
        <f>IF(A102&lt;'Données projet'!$A$36,$K$205^A102,IF(A102='Données projet'!$A$36,'Données projet'!$B$36,N101+M102-V101))</f>
        <v>110.36666666666659</v>
      </c>
      <c r="O102" s="14">
        <f>N102*VLOOKUP('Données projet'!$B$9,Paramètres!$A$1:$I$88,3,0)*VLOOKUP('Données projet'!$B$9,Paramètres!$A$1:$I$88,5,0)</f>
        <v>127.14239999999991</v>
      </c>
      <c r="P102" s="14">
        <f t="shared" si="97"/>
        <v>33.335200133776368</v>
      </c>
      <c r="Q102" s="22">
        <f t="shared" si="107"/>
        <v>279.49848689966035</v>
      </c>
      <c r="R102" s="62">
        <f t="shared" si="55"/>
        <v>548.19186938503026</v>
      </c>
      <c r="S102" s="62">
        <f ca="1">AVERAGE(OFFSET($R$3,0,0,'Données projet'!$E$9+1,1))-AVERAGE(OFFSET($H$3,0,0,'Données projet'!$E$9+1,1))</f>
        <v>314.72063458462026</v>
      </c>
      <c r="T102" s="62">
        <f t="shared" si="56"/>
        <v>216.4380325968244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projet'!$B$9,Paramètres!$A$1:$I$88,7,0))</f>
        <v>0</v>
      </c>
      <c r="X102" s="17">
        <f>IF(ISNA(VLOOKUP(A102,'Données projet'!$A$35:$I$55,6,0)),0%,VLOOKUP(A102,'Données projet'!$A$35:$I$55,6,0)*VLOOKUP('Données projet'!$B$9,Paramètres!$A$1:$I$88,7,0))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projet'!$B$9,Paramètres!$A$1:$I$88,3,0)*0.475*44/12</f>
        <v>0</v>
      </c>
      <c r="AA102" s="23">
        <f>EXP(-LN(2)/25)*AA101+(1-EXP(-LN(2)/25))/(LN(2)/25)*Calculateur!V102*Calculateur!X102*VLOOKUP('Données projet'!$B$9,Paramètres!$A$1:$I$88,3,0)*0.475*44/12</f>
        <v>0</v>
      </c>
      <c r="AB102" s="23">
        <f>EXP(-LN(2)/2)*AB101+(1-EXP(-LN(2)/2))/(LN(2)/2)*V102*Y102*VLOOKUP('Données projet'!$B$9,Paramètres!$A$1:$I$88,3,0)*0.475*44/12</f>
        <v>0</v>
      </c>
      <c r="AC102" s="24">
        <f t="shared" si="58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3</v>
      </c>
      <c r="AI102" s="14">
        <f>IF(A102&lt;'Données projet'!$A$62,$AF$205^A102,IF(A102='Données projet'!$A$62,'Données projet'!$B$62,AI101+AH102-AQ101))</f>
        <v>244.99999999999997</v>
      </c>
      <c r="AJ102" s="14">
        <f>AI102*VLOOKUP('Données projet'!$B$10,Paramètres!$A$1:$I$88,3,0)*VLOOKUP('Données projet'!$B$10,Paramètres!$A$1:$I$88,5,0)</f>
        <v>256.07399999999996</v>
      </c>
      <c r="AK102" s="14">
        <f t="shared" si="98"/>
        <v>61.884773790113961</v>
      </c>
      <c r="AL102" s="22">
        <f t="shared" si="59"/>
        <v>553.7781976844484</v>
      </c>
      <c r="AM102" s="62">
        <f t="shared" si="60"/>
        <v>822.47158016981837</v>
      </c>
      <c r="AN102" s="62">
        <f ca="1">AVERAGE(OFFSET($AM$3,0,0,'Données projet'!$E$10+1,1))-AVERAGE(OFFSET($H$3,0,0,'Données projet'!$E$10+1,1))</f>
        <v>458.33072853676879</v>
      </c>
      <c r="AO102" s="62">
        <f t="shared" si="61"/>
        <v>254.1734169352687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projet'!$B$10,Paramètres!$A$1:$I$88,7,0))</f>
        <v>0</v>
      </c>
      <c r="AS102" s="17">
        <f>IF(ISNA(VLOOKUP(A102,'Données projet'!$A$61:$I$81,6,0)),0%,VLOOKUP(A102,'Données projet'!$A$61:$I$81,6,0)*VLOOKUP('Données projet'!$B$10,Paramètres!$A$1:$I$88,7,0))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projet'!$B$9,Paramètres!$A$1:$I$88,3,0)*0.475*44/12</f>
        <v>0</v>
      </c>
      <c r="AV102" s="23">
        <f>EXP(-LN(2)/25)*AV101+(1-EXP(-LN(2)/25))/(LN(2)/25)*Calculateur!AQ102*Calculateur!AS102*VLOOKUP('Données projet'!$B$9,Paramètres!$A$1:$I$88,3,0)*0.475*44/12</f>
        <v>0</v>
      </c>
      <c r="AW102" s="23">
        <f>EXP(-LN(2)/2)*AW101+(1-EXP(-LN(2)/2))/(LN(2)/2)*AQ102*AT102*VLOOKUP('Données projet'!$B$9,Paramètres!$A$1:$I$88,3,0)*0.475*44/12</f>
        <v>0</v>
      </c>
      <c r="AX102" s="23">
        <f t="shared" si="62"/>
        <v>0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3</v>
      </c>
      <c r="BD102" s="13">
        <f>IF(A102&lt;'Données projet'!$A$88,$BA$205^A102,IF(A102='Données projet'!$A$88,'Données projet'!$B$88,BD101+BC102-BL101))</f>
        <v>244.99999999999997</v>
      </c>
      <c r="BE102" s="14">
        <f>BD102*VLOOKUP('Données projet'!$B$11,Paramètres!$A$1:$I$88,3,0)*VLOOKUP('Données projet'!$B$11,Paramètres!$A$1:$I$88,5,0)</f>
        <v>248.43</v>
      </c>
      <c r="BF102" s="14">
        <f t="shared" si="99"/>
        <v>60.249625816963075</v>
      </c>
      <c r="BG102" s="22">
        <f t="shared" si="63"/>
        <v>537.61701496454396</v>
      </c>
      <c r="BH102" s="62">
        <f t="shared" si="64"/>
        <v>806.31039744991392</v>
      </c>
      <c r="BI102" s="62">
        <f ca="1">AVERAGE(OFFSET($BH$3,0,0,'Données projet'!$E$11+1,1))-AVERAGE(OFFSET($H$3,0,0,'Données projet'!$E$11+1,1))</f>
        <v>447.82618173893104</v>
      </c>
      <c r="BJ102" s="62">
        <f t="shared" si="65"/>
        <v>248.96509970783379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projet'!$B$11,Paramètres!$A$1:$I$88,7,0))</f>
        <v>0</v>
      </c>
      <c r="BN102" s="17">
        <f>IF(ISNA(VLOOKUP(A102,'Données projet'!$A$87:$I$107,6,0)),0%,VLOOKUP(A102,'Données projet'!$A$87:$I$107,6,0)*VLOOKUP('Données projet'!$B$11,Paramètres!$A$1:$I$88,7,0))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projet'!$B$9,Paramètres!$A$1:$I$88,3,0)*0.475*44/12</f>
        <v>0</v>
      </c>
      <c r="BQ102" s="23">
        <f>EXP(-LN(2)/25)*BQ101+(1-EXP(-LN(2)/25))/(LN(2)/25)*Calculateur!BL102*Calculateur!BN102*VLOOKUP('Données projet'!$B$9,Paramètres!$A$1:$I$88,3,0)*0.475*44/12</f>
        <v>0</v>
      </c>
      <c r="BR102" s="23">
        <f>EXP(-LN(2)/2)*BR101+(1-EXP(-LN(2)/2))/(LN(2)/2)*BL102*BO102*VLOOKUP('Données projet'!$B$9,Paramètres!$A$1:$I$88,3,0)*0.475*44/12</f>
        <v>0</v>
      </c>
      <c r="BS102" s="24">
        <f t="shared" si="66"/>
        <v>0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3</v>
      </c>
      <c r="BY102" s="13">
        <f>IF(A102&lt;'Données projet'!$A$114,$BV$205^A102,IF(A102='Données projet'!$A$114,'Données projet'!$B$114,BY101+BX102-CG101))</f>
        <v>244.99999999999997</v>
      </c>
      <c r="BZ102" s="14">
        <f>BY102*VLOOKUP('Données projet'!$B$12,Paramètres!$A$1:$I$88,3,0)*VLOOKUP('Données projet'!$B$12,Paramètres!$A$1:$I$88,5,0)</f>
        <v>263.71799999999996</v>
      </c>
      <c r="CA102" s="14">
        <f t="shared" si="100"/>
        <v>63.514249203249598</v>
      </c>
      <c r="CB102" s="22">
        <f t="shared" si="67"/>
        <v>569.92950069565961</v>
      </c>
      <c r="CC102" s="62">
        <f t="shared" si="68"/>
        <v>838.62288318102958</v>
      </c>
      <c r="CD102" s="62">
        <f ca="1">AVERAGE(OFFSET($CC$3,0,0,'Données projet'!$E$12+1,1))-AVERAGE(OFFSET($H$3,0,0,'Données projet'!$E$12+1,1))</f>
        <v>468.82871618425406</v>
      </c>
      <c r="CE102" s="62">
        <f t="shared" si="69"/>
        <v>259.37818128554397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projet'!$B$12,Paramètres!$A$1:$I$88,7,0))</f>
        <v>0</v>
      </c>
      <c r="CI102" s="17">
        <f>IF(ISNA(VLOOKUP(A102,'Données projet'!$A$113:$I$133,6,0)),0%,VLOOKUP(A102,'Données projet'!$A$113:$I$133,6,0)*VLOOKUP('Données projet'!$B$12,Paramètres!$A$1:$I$88,7,0))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projet'!$B$9,Paramètres!$A$1:$I$88,3,0)*0.475*44/12</f>
        <v>0</v>
      </c>
      <c r="CL102" s="23">
        <f>EXP(-LN(2)/25)*CL101+(1-EXP(-LN(2)/25))/(LN(2)/25)*Calculateur!CG102*Calculateur!CI102*VLOOKUP('Données projet'!$B$9,Paramètres!$A$1:$I$88,3,0)*0.475*44/12</f>
        <v>0</v>
      </c>
      <c r="CM102" s="23">
        <f>EXP(-LN(2)/2)*CM101+(1-EXP(-LN(2)/2))/(LN(2)/2)*CG102*CJ102*VLOOKUP('Données projet'!$B$9,Paramètres!$A$1:$I$88,3,0)*0.475*44/12</f>
        <v>0</v>
      </c>
      <c r="CN102" s="24">
        <f t="shared" si="70"/>
        <v>0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3</v>
      </c>
      <c r="CT102" s="13">
        <f>IF(A102&lt;'Données projet'!$A$140,$CQ$205^A102,IF(A102='Données projet'!$A$140,'Données projet'!$B$140,CT101+CS102-DB101))</f>
        <v>244.99999999999997</v>
      </c>
      <c r="CU102" s="18">
        <f>CT102*VLOOKUP('Données projet'!$B$13,Paramètres!$A$1:$I$88,3,0)*VLOOKUP('Données projet'!$B$13,Paramètres!$A$1:$I$88,5,0)</f>
        <v>210.21</v>
      </c>
      <c r="CV102" s="14">
        <f t="shared" si="101"/>
        <v>51.981473312002848</v>
      </c>
      <c r="CW102" s="22">
        <f t="shared" si="71"/>
        <v>456.65014935173832</v>
      </c>
      <c r="CX102" s="62">
        <f t="shared" si="72"/>
        <v>725.34353183710823</v>
      </c>
      <c r="CY102" s="62">
        <f ca="1">AVERAGE(OFFSET($CX$3,0,0,'Données projet'!$E$13+1,1))-AVERAGE(OFFSET($H$3,0,0,'Données projet'!$E$13+1,1))</f>
        <v>395.19659151668884</v>
      </c>
      <c r="CZ102" s="62">
        <f t="shared" si="73"/>
        <v>222.86563304507339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projet'!$B$13,Paramètres!$A$1:$I$88,7,0))</f>
        <v>0</v>
      </c>
      <c r="DD102" s="17">
        <f>IF(ISNA(VLOOKUP(A102,'Données projet'!$A$139:$I$159,6,0)),0%,VLOOKUP(A102,'Données projet'!$A$139:$I$159,6,0)*VLOOKUP('Données projet'!$B$13,Paramètres!$A$1:$I$88,7,0))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projet'!$B$9,Paramètres!$A$1:$I$88,3,0)*0.475*44/12</f>
        <v>0</v>
      </c>
      <c r="DG102" s="23">
        <f>EXP(-LN(2)/25)*DG101+(1-EXP(-LN(2)/25))/(LN(2)/25)*Calculateur!DB102*Calculateur!DD102*VLOOKUP('Données projet'!$B$9,Paramètres!$A$1:$I$88,3,0)*0.475*44/12</f>
        <v>0</v>
      </c>
      <c r="DH102" s="23">
        <f>EXP(-LN(2)/2)*DH101+(1-EXP(-LN(2)/2))/(LN(2)/2)*DB102*DE102*VLOOKUP('Données projet'!$B$9,Paramètres!$A$1:$I$88,3,0)*0.475*44/12</f>
        <v>0</v>
      </c>
      <c r="DI102" s="24">
        <f t="shared" si="74"/>
        <v>0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IF(A102&lt;'Données projet'!$A$166,$DL$205^A102,IF(A102='Données projet'!$A$166,'Données projet'!$B$166,DO101+DN102-DW101))</f>
        <v>-8.5265128291212022E-14</v>
      </c>
      <c r="DP102" s="18">
        <f>DO102*VLOOKUP('Données projet'!$B$14,Paramètres!$A$1:$I$88,3,0)*VLOOKUP('Données projet'!$B$14,Paramètres!$A$1:$I$88,5,0)</f>
        <v>-4.9880100050359036E-14</v>
      </c>
      <c r="DQ102" s="14" t="e">
        <f t="shared" si="102"/>
        <v>#NUM!</v>
      </c>
      <c r="DR102" s="22" t="e">
        <f t="shared" si="75"/>
        <v>#NUM!</v>
      </c>
      <c r="DS102" s="62" t="e">
        <f t="shared" si="76"/>
        <v>#NUM!</v>
      </c>
      <c r="DT102" s="62">
        <f ca="1">AVERAGE(OFFSET($DS$3,0,0,'Données projet'!$E$14+1,1))-AVERAGE(OFFSET($H$3,0,0,'Données projet'!$E$14+1,1))</f>
        <v>155.18073137151848</v>
      </c>
      <c r="DU102" s="62">
        <f t="shared" si="77"/>
        <v>115.19459155667272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projet'!$B$14,Paramètres!$A$1:$I$88,7,0))</f>
        <v>0</v>
      </c>
      <c r="DY102" s="17">
        <f>IF(ISNA(VLOOKUP(A102,'Données projet'!$A$165:$I$185,6,0)),0%,VLOOKUP(A102,'Données projet'!$A$165:$I$185,6,0)*VLOOKUP('Données projet'!$B$14,Paramètres!$A$1:$I$88,7,0))</f>
        <v>0</v>
      </c>
      <c r="DZ102" s="17">
        <f>IF(ISNA(VLOOKUP(A102,'Données projet'!$A$165:$I$185,7,0)),0%,VLOOKUP(A102,'Données projet'!$A$165:$I$185,7,0))</f>
        <v>0</v>
      </c>
      <c r="EA102" s="23">
        <f>EXP(-LN(2)/35)*EA101+(1-EXP(-LN(2)/35))/(LN(2)/35)*DW102*DX102*VLOOKUP('Données projet'!$B$9,Paramètres!$A$1:$I$88,3,0)*0.475*44/12</f>
        <v>0</v>
      </c>
      <c r="EB102" s="23">
        <f>EXP(-LN(2)/25)*EB101+(1-EXP(-LN(2)/25))/(LN(2)/25)*Calculateur!DW102*Calculateur!DY102*VLOOKUP('Données projet'!$B$9,Paramètres!$A$1:$I$88,3,0)*0.475*44/12</f>
        <v>0</v>
      </c>
      <c r="EC102" s="23">
        <f>EXP(-LN(2)/2)*EC101+(1-EXP(-LN(2)/2))/(LN(2)/2)*DW102*DZ102*VLOOKUP('Données projet'!$B$9,Paramètres!$A$1:$I$88,3,0)*0.475*44/12</f>
        <v>0</v>
      </c>
      <c r="ED102" s="24">
        <f t="shared" si="78"/>
        <v>0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6.4</v>
      </c>
      <c r="EJ102" s="13">
        <f>IF(A102&lt;'Données projet'!$A$192,$EG$205^A102,IF(A102='Données projet'!$A$192,'Données projet'!$B$192,EJ101+EI102-ER101))</f>
        <v>291.59999999999985</v>
      </c>
      <c r="EK102" s="18">
        <f>EJ102*VLOOKUP('Données projet'!$B$15,Paramètres!$A$1:$I$88,3,0)*VLOOKUP('Données projet'!$B$15,Paramètres!$A$1:$I$88,5,0)</f>
        <v>136.46879999999993</v>
      </c>
      <c r="EL102" s="14">
        <f t="shared" si="103"/>
        <v>35.486858352195874</v>
      </c>
      <c r="EM102" s="22">
        <f t="shared" si="79"/>
        <v>299.48943829674096</v>
      </c>
      <c r="EN102" s="62">
        <f t="shared" si="80"/>
        <v>568.18282078211087</v>
      </c>
      <c r="EO102" s="62">
        <f ca="1">AVERAGE(OFFSET($EN$3,0,0,'Données projet'!$E$15+1,1))-AVERAGE(OFFSET($H$3,0,0,'Données projet'!$E$15+1,1))</f>
        <v>238.59014604384171</v>
      </c>
      <c r="EP102" s="62">
        <f t="shared" si="81"/>
        <v>90.841373219575217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projet'!$B$15,Paramètres!$A$1:$I$88,7,0))</f>
        <v>0</v>
      </c>
      <c r="ET102" s="17">
        <f>IF(ISNA(VLOOKUP(A102,'Données projet'!$A$191:$I$211,6,0)),0%,VLOOKUP(A102,'Données projet'!$A$191:$I$211,6,0)*VLOOKUP('Données projet'!$B$15,Paramètres!$A$1:$I$88,7,0))</f>
        <v>0</v>
      </c>
      <c r="EU102" s="17">
        <f>IF(ISNA(VLOOKUP(A102,'Données projet'!$A$191:$I$211,7,0)),0%,VLOOKUP(A102,'Données projet'!$A$191:$I$211,7,0))</f>
        <v>0</v>
      </c>
      <c r="EV102" s="23">
        <f>EXP(-LN(2)/35)*EV101+(1-EXP(-LN(2)/35))/(LN(2)/35)*ER102*ES102*VLOOKUP('Données projet'!$B$9,Paramètres!$A$1:$I$88,3,0)*0.475*44/12</f>
        <v>0</v>
      </c>
      <c r="EW102" s="23">
        <f>EXP(-LN(2)/25)*EW101+(1-EXP(-LN(2)/25))/(LN(2)/25)*Calculateur!ER102*Calculateur!ET102*VLOOKUP('Données projet'!$B$9,Paramètres!$A$1:$I$88,3,0)*0.475*44/12</f>
        <v>0</v>
      </c>
      <c r="EX102" s="23">
        <f>EXP(-LN(2)/2)*EX101+(1-EXP(-LN(2)/2))/(LN(2)/2)*ER102*EU102*VLOOKUP('Données projet'!$B$9,Paramètres!$A$1:$I$88,3,0)*0.475*44/12</f>
        <v>0</v>
      </c>
      <c r="EY102" s="24">
        <f t="shared" si="82"/>
        <v>0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IF(A102&lt;'Données projet'!$A$218,$FB$205^A102,IF(A102='Données projet'!$A$218,'Données projet'!$B$218,FE101+FD102-FM101))</f>
        <v>0</v>
      </c>
      <c r="FF102" s="18" t="e">
        <f>FE102*VLOOKUP('Données projet'!$B$16,Paramètres!$A$1:$I$88,3,0)*VLOOKUP('Données projet'!$B$16,Paramètres!$A$1:$I$88,5,0)</f>
        <v>#N/A</v>
      </c>
      <c r="FG102" s="14" t="e">
        <f t="shared" si="104"/>
        <v>#N/A</v>
      </c>
      <c r="FH102" s="22" t="e">
        <f t="shared" si="83"/>
        <v>#N/A</v>
      </c>
      <c r="FI102" s="62" t="e">
        <f t="shared" si="84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85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projet'!$B$16,Paramètres!$A$1:$I$88,7,0))</f>
        <v>0</v>
      </c>
      <c r="FO102" s="17">
        <f>IF(ISNA(VLOOKUP(A102,'Données projet'!$A$217:$I$237,6,0)),0%,VLOOKUP(A102,'Données projet'!$A$217:$I$237,6,0)*VLOOKUP('Données projet'!$B$16,Paramètres!$A$1:$I$88,7,0))</f>
        <v>0</v>
      </c>
      <c r="FP102" s="17">
        <f>IF(ISNA(VLOOKUP(A102,'Données projet'!$A$217:$I$237,7,0)),0%,VLOOKUP(A102,'Données projet'!$A$217:$I$237,7,0))</f>
        <v>0</v>
      </c>
      <c r="FQ102" s="23">
        <f>EXP(-LN(2)/35)*FQ101+(1-EXP(-LN(2)/35))/(LN(2)/35)*FM102*FN102*VLOOKUP('Données projet'!$B$9,Paramètres!$A$1:$I$88,3,0)*0.475*44/12</f>
        <v>0</v>
      </c>
      <c r="FR102" s="23">
        <f>EXP(-LN(2)/25)*FR101+(1-EXP(-LN(2)/25))/(LN(2)/25)*Calculateur!FM102*Calculateur!FO102*VLOOKUP('Données projet'!$B$9,Paramètres!$A$1:$I$88,3,0)*0.475*44/12</f>
        <v>0</v>
      </c>
      <c r="FS102" s="23">
        <f>EXP(-LN(2)/2)*FS101+(1-EXP(-LN(2)/2))/(LN(2)/2)*FM102*FP102*VLOOKUP('Données projet'!$B$9,Paramètres!$A$1:$I$88,3,0)*0.475*44/12</f>
        <v>0</v>
      </c>
      <c r="FT102" s="24">
        <f t="shared" si="86"/>
        <v>0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IF(A102&lt;'Données projet'!$A$244,$FW$205^A102,IF(A102='Données projet'!$A$244,'Données projet'!$B$244,FZ101+FY102-GH101))</f>
        <v>0</v>
      </c>
      <c r="GA102" s="18" t="e">
        <f>FZ102*VLOOKUP('Données projet'!$B$17,Paramètres!$A$1:$I$88,3,0)*VLOOKUP('Données projet'!$B$17,Paramètres!$A$1:$I$88,5,0)</f>
        <v>#N/A</v>
      </c>
      <c r="GB102" s="14" t="e">
        <f t="shared" si="105"/>
        <v>#N/A</v>
      </c>
      <c r="GC102" s="22" t="e">
        <f t="shared" si="87"/>
        <v>#N/A</v>
      </c>
      <c r="GD102" s="62" t="e">
        <f t="shared" si="88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89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projet'!$B$17,Paramètres!$A$1:$I$88,7,0))</f>
        <v>0</v>
      </c>
      <c r="GJ102" s="17">
        <f>IF(ISNA(VLOOKUP(A102,'Données projet'!$A$243:$I$263,6,0)),0%,VLOOKUP(A102,'Données projet'!$A$243:$I$263,6,0)*VLOOKUP('Données projet'!$B$17,Paramètres!$A$1:$I$88,7,0))</f>
        <v>0</v>
      </c>
      <c r="GK102" s="17">
        <f>IF(ISNA(VLOOKUP(A102,'Données projet'!$A$243:$I$263,7,0)),0%,VLOOKUP(A102,'Données projet'!$A$243:$I$263,7,0))</f>
        <v>0</v>
      </c>
      <c r="GL102" s="23">
        <f>EXP(-LN(2)/35)*GL101+(1-EXP(-LN(2)/35))/(LN(2)/35)*GH102*GI102*VLOOKUP('Données projet'!$B$9,Paramètres!$A$1:$I$88,3,0)*0.475*44/12</f>
        <v>0</v>
      </c>
      <c r="GM102" s="23">
        <f>EXP(-LN(2)/25)*GM101+(1-EXP(-LN(2)/25))/(LN(2)/25)*Calculateur!GH102*Calculateur!GJ102*VLOOKUP('Données projet'!$B$9,Paramètres!$A$1:$I$88,3,0)*0.475*44/12</f>
        <v>0</v>
      </c>
      <c r="GN102" s="23">
        <f>EXP(-LN(2)/2)*GN101+(1-EXP(-LN(2)/2))/(LN(2)/2)*GH102*GK102*VLOOKUP('Données projet'!$B$9,Paramètres!$A$1:$I$88,3,0)*0.475*44/12</f>
        <v>0</v>
      </c>
      <c r="GO102" s="23">
        <f t="shared" si="90"/>
        <v>0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IF(A102&lt;'Données projet'!$A$270,$GR$205^A102,IF(A102='Données projet'!$A$270,'Données projet'!$B$270,GU101+GT102-HC101))</f>
        <v>0</v>
      </c>
      <c r="GV102" s="18" t="e">
        <f>GU102*VLOOKUP('Données projet'!$B$18,Paramètres!$A$1:$I$88,3,0)*VLOOKUP('Données projet'!$B$18,Paramètres!$A$1:$I$88,5,0)</f>
        <v>#N/A</v>
      </c>
      <c r="GW102" s="14" t="e">
        <f t="shared" si="106"/>
        <v>#N/A</v>
      </c>
      <c r="GX102" s="22" t="e">
        <f t="shared" si="91"/>
        <v>#N/A</v>
      </c>
      <c r="GY102" s="62" t="e">
        <f t="shared" si="92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93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projet'!$B$18,Paramètres!$A$1:$I$88,7,0))</f>
        <v>0</v>
      </c>
      <c r="HE102" s="17">
        <f>IF(ISNA(VLOOKUP(A102,'Données projet'!$A$269:$I$289,6,0)),0%,VLOOKUP(A102,'Données projet'!$A$269:$I$289,6,0)*VLOOKUP('Données projet'!$B$18,Paramètres!$A$1:$I$88,7,0))</f>
        <v>0</v>
      </c>
      <c r="HF102" s="17">
        <f>IF(ISNA(VLOOKUP(A102,'Données projet'!$A$269:$I$289,7,0)),0%,VLOOKUP(A102,'Données projet'!$A$269:$I$289,7,0))</f>
        <v>0</v>
      </c>
      <c r="HG102" s="23">
        <f>EXP(-LN(2)/35)*HG101+(1-EXP(-LN(2)/35))/(LN(2)/35)*HC102*HD102*VLOOKUP('Données projet'!$B$9,Paramètres!$A$1:$I$88,3,0)*0.475*44/12</f>
        <v>0</v>
      </c>
      <c r="HH102" s="23">
        <f>EXP(-LN(2)/25)*HH101+(1-EXP(-LN(2)/25))/(LN(2)/25)*Calculateur!HC102*Calculateur!HE102*VLOOKUP('Données projet'!$B$9,Paramètres!$A$1:$I$88,3,0)*0.475*44/12</f>
        <v>0</v>
      </c>
      <c r="HI102" s="23">
        <f>EXP(-LN(2)/2)*HI101+(1-EXP(-LN(2)/2))/(LN(2)/2)*HC102*HF102*VLOOKUP('Données projet'!$B$9,Paramètres!$A$1:$I$88,3,0)*0.475*44/12</f>
        <v>0</v>
      </c>
      <c r="HJ102" s="24">
        <f t="shared" si="94"/>
        <v>0</v>
      </c>
    </row>
    <row r="103" spans="1:218" s="5" customFormat="1" x14ac:dyDescent="0.25">
      <c r="A103" s="11">
        <f t="shared" si="95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3" s="12">
        <f t="shared" si="9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57"/>
        <v>135.66666666666666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111.825</v>
      </c>
      <c r="L103" s="13">
        <f>VLOOKUP(A103,'Données projet'!$A$35:$I$55,9,0)</f>
        <v>1.4583333333333344</v>
      </c>
      <c r="M103" s="13">
        <f t="array" ref="M103">INDEX(L:L,MIN(IF(ISNUMBER(L103:L299),ROW(L103:L299),"")))</f>
        <v>1.4583333333333344</v>
      </c>
      <c r="N103" s="14">
        <f>IF(A103&lt;'Données projet'!$A$36,$K$205^A103,IF(A103='Données projet'!$A$36,'Données projet'!$B$36,N102+M103-V102))</f>
        <v>111.82499999999992</v>
      </c>
      <c r="O103" s="14">
        <f>N103*VLOOKUP('Données projet'!$B$9,Paramètres!$A$1:$I$88,3,0)*VLOOKUP('Données projet'!$B$9,Paramètres!$A$1:$I$88,5,0)</f>
        <v>128.8223999999999</v>
      </c>
      <c r="P103" s="14">
        <f t="shared" si="97"/>
        <v>33.72410660519936</v>
      </c>
      <c r="Q103" s="22">
        <f t="shared" si="107"/>
        <v>283.10183233738871</v>
      </c>
      <c r="R103" s="62">
        <f t="shared" si="55"/>
        <v>552.22266288329342</v>
      </c>
      <c r="S103" s="62">
        <f ca="1">AVERAGE(OFFSET($R$3,0,0,'Données projet'!$E$9+1,1))-AVERAGE(OFFSET($H$3,0,0,'Données projet'!$E$9+1,1))</f>
        <v>314.72063458462026</v>
      </c>
      <c r="T103" s="62">
        <f t="shared" si="56"/>
        <v>216.4380325968244</v>
      </c>
      <c r="U103" s="16">
        <f>IF(ISNA(VLOOKUP(A103,'Données projet'!$A$35:$I$55,3,0)),0,VLOOKUP(A103,'Données projet'!$A$35:$I$55,3,0))</f>
        <v>8</v>
      </c>
      <c r="V103" s="16">
        <f>IF(ISNA(VLOOKUP(A103,'Données projet'!$A$35:$I$55,4,0)),0,VLOOKUP(A103,'Données projet'!$A$35:$I$55,4,0))</f>
        <v>9.125</v>
      </c>
      <c r="W103" s="17">
        <f>IF(ISNA(VLOOKUP(A103,'Données projet'!$A$35:$I$55,5,0)),0%,VLOOKUP(A103,'Données projet'!$A$35:$I$55,5,0)*VLOOKUP('Données projet'!$B$9,Paramètres!$A$1:$I$88,7,0))</f>
        <v>0</v>
      </c>
      <c r="X103" s="17">
        <f>IF(ISNA(VLOOKUP(A103,'Données projet'!$A$35:$I$55,6,0)),0%,VLOOKUP(A103,'Données projet'!$A$35:$I$55,6,0)*VLOOKUP('Données projet'!$B$9,Paramètres!$A$1:$I$88,7,0))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projet'!$B$9,Paramètres!$A$1:$I$88,3,0)*0.475*44/12</f>
        <v>0</v>
      </c>
      <c r="AA103" s="23">
        <f>EXP(-LN(2)/25)*AA102+(1-EXP(-LN(2)/25))/(LN(2)/25)*Calculateur!V103*Calculateur!X103*VLOOKUP('Données projet'!$B$9,Paramètres!$A$1:$I$88,3,0)*0.475*44/12</f>
        <v>0</v>
      </c>
      <c r="AB103" s="23">
        <f>EXP(-LN(2)/2)*AB102+(1-EXP(-LN(2)/2))/(LN(2)/2)*V103*Y103*VLOOKUP('Données projet'!$B$9,Paramètres!$A$1:$I$88,3,0)*0.475*44/12</f>
        <v>0</v>
      </c>
      <c r="AC103" s="24">
        <f t="shared" si="58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>
        <f>VLOOKUP(A103,'Données projet'!$A$61:$I$81,2,0)</f>
        <v>248</v>
      </c>
      <c r="AG103" s="13">
        <f>VLOOKUP(A103,'Données projet'!$A$61:$I$81,9,0)</f>
        <v>3</v>
      </c>
      <c r="AH103" s="13">
        <f t="array" ref="AH103">INDEX(AG:AG,MIN(IF(ISNUMBER(AG103:AG299),ROW(AG103:AG299),"")))</f>
        <v>3</v>
      </c>
      <c r="AI103" s="14">
        <f>IF(A103&lt;'Données projet'!$A$62,$AF$205^A103,IF(A103='Données projet'!$A$62,'Données projet'!$B$62,AI102+AH103-AQ102))</f>
        <v>247.99999999999997</v>
      </c>
      <c r="AJ103" s="14">
        <f>AI103*VLOOKUP('Données projet'!$B$10,Paramètres!$A$1:$I$88,3,0)*VLOOKUP('Données projet'!$B$10,Paramètres!$A$1:$I$88,5,0)</f>
        <v>259.20960000000002</v>
      </c>
      <c r="AK103" s="14">
        <f t="shared" si="98"/>
        <v>62.553866774106702</v>
      </c>
      <c r="AL103" s="22">
        <f t="shared" si="59"/>
        <v>560.40470463156919</v>
      </c>
      <c r="AM103" s="62">
        <f t="shared" si="60"/>
        <v>829.52553517747378</v>
      </c>
      <c r="AN103" s="62">
        <f ca="1">AVERAGE(OFFSET($AM$3,0,0,'Données projet'!$E$10+1,1))-AVERAGE(OFFSET($H$3,0,0,'Données projet'!$E$10+1,1))</f>
        <v>458.33072853676879</v>
      </c>
      <c r="AO103" s="62">
        <f t="shared" si="61"/>
        <v>254.1734169352687</v>
      </c>
      <c r="AP103" s="16">
        <f>IF(ISNA(VLOOKUP(A103,'Données projet'!$A$61:$I$81,3,0)),0,VLOOKUP(A103,'Données projet'!$A$61:$I$81,3,0))</f>
        <v>8</v>
      </c>
      <c r="AQ103" s="16">
        <f>IF(ISNA(VLOOKUP(A103,'Données projet'!$A$61:$I$81,4,0)),0,VLOOKUP(A103,'Données projet'!$A$61:$I$81,4,0))</f>
        <v>18</v>
      </c>
      <c r="AR103" s="17">
        <f>IF(ISNA(VLOOKUP(A103,'Données projet'!$A$61:$I$81,5,0)),0%,VLOOKUP(A103,'Données projet'!$A$61:$I$81,5,0)*VLOOKUP('Données projet'!$B$10,Paramètres!$A$1:$I$88,7,0))</f>
        <v>0</v>
      </c>
      <c r="AS103" s="17">
        <f>IF(ISNA(VLOOKUP(A103,'Données projet'!$A$61:$I$81,6,0)),0%,VLOOKUP(A103,'Données projet'!$A$61:$I$81,6,0)*VLOOKUP('Données projet'!$B$10,Paramètres!$A$1:$I$88,7,0))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projet'!$B$9,Paramètres!$A$1:$I$88,3,0)*0.475*44/12</f>
        <v>0</v>
      </c>
      <c r="AV103" s="23">
        <f>EXP(-LN(2)/25)*AV102+(1-EXP(-LN(2)/25))/(LN(2)/25)*Calculateur!AQ103*Calculateur!AS103*VLOOKUP('Données projet'!$B$9,Paramètres!$A$1:$I$88,3,0)*0.475*44/12</f>
        <v>0</v>
      </c>
      <c r="AW103" s="23">
        <f>EXP(-LN(2)/2)*AW102+(1-EXP(-LN(2)/2))/(LN(2)/2)*AQ103*AT103*VLOOKUP('Données projet'!$B$9,Paramètres!$A$1:$I$88,3,0)*0.475*44/12</f>
        <v>0</v>
      </c>
      <c r="AX103" s="23">
        <f t="shared" si="62"/>
        <v>0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>
        <f>VLOOKUP(A103,'Données projet'!$A$87:$I$107,2,0)</f>
        <v>248</v>
      </c>
      <c r="BB103" s="13">
        <f>VLOOKUP(A103,'Données projet'!$A$87:$I$107,9,0)</f>
        <v>3</v>
      </c>
      <c r="BC103" s="13">
        <f t="array" ref="BC103">INDEX(BB:BB,MIN(IF(ISNUMBER(BB103:BB299),ROW(BB103:BB299),"")))</f>
        <v>3</v>
      </c>
      <c r="BD103" s="13">
        <f>IF(A103&lt;'Données projet'!$A$88,$BA$205^A103,IF(A103='Données projet'!$A$88,'Données projet'!$B$88,BD102+BC103-BL102))</f>
        <v>247.99999999999997</v>
      </c>
      <c r="BE103" s="14">
        <f>BD103*VLOOKUP('Données projet'!$B$11,Paramètres!$A$1:$I$88,3,0)*VLOOKUP('Données projet'!$B$11,Paramètres!$A$1:$I$88,5,0)</f>
        <v>251.47199999999998</v>
      </c>
      <c r="BF103" s="14">
        <f t="shared" si="99"/>
        <v>60.901039718208651</v>
      </c>
      <c r="BG103" s="22">
        <f t="shared" si="63"/>
        <v>544.04971084254669</v>
      </c>
      <c r="BH103" s="62">
        <f t="shared" si="64"/>
        <v>813.17054138845128</v>
      </c>
      <c r="BI103" s="62">
        <f ca="1">AVERAGE(OFFSET($BH$3,0,0,'Données projet'!$E$11+1,1))-AVERAGE(OFFSET($H$3,0,0,'Données projet'!$E$11+1,1))</f>
        <v>447.82618173893104</v>
      </c>
      <c r="BJ103" s="62">
        <f t="shared" si="65"/>
        <v>248.96509970783379</v>
      </c>
      <c r="BK103" s="16">
        <f>IF(ISNA(VLOOKUP(A103,'Données projet'!$A$87:$I$107,3,0)),0,VLOOKUP(A103,'Données projet'!$A$87:$I$107,3,0))</f>
        <v>8</v>
      </c>
      <c r="BL103" s="16">
        <f>IF(ISNA(VLOOKUP(A103,'Données projet'!$A$87:$I$107,4,0)),0,VLOOKUP(A103,'Données projet'!$A$87:$I$107,4,0))</f>
        <v>18</v>
      </c>
      <c r="BM103" s="17">
        <f>IF(ISNA(VLOOKUP(A103,'Données projet'!$A$87:$I$107,5,0)),0%,VLOOKUP(A103,'Données projet'!$A$87:$I$107,5,0)*VLOOKUP('Données projet'!$B$11,Paramètres!$A$1:$I$88,7,0))</f>
        <v>0</v>
      </c>
      <c r="BN103" s="17">
        <f>IF(ISNA(VLOOKUP(A103,'Données projet'!$A$87:$I$107,6,0)),0%,VLOOKUP(A103,'Données projet'!$A$87:$I$107,6,0)*VLOOKUP('Données projet'!$B$11,Paramètres!$A$1:$I$88,7,0))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projet'!$B$9,Paramètres!$A$1:$I$88,3,0)*0.475*44/12</f>
        <v>0</v>
      </c>
      <c r="BQ103" s="23">
        <f>EXP(-LN(2)/25)*BQ102+(1-EXP(-LN(2)/25))/(LN(2)/25)*Calculateur!BL103*Calculateur!BN103*VLOOKUP('Données projet'!$B$9,Paramètres!$A$1:$I$88,3,0)*0.475*44/12</f>
        <v>0</v>
      </c>
      <c r="BR103" s="23">
        <f>EXP(-LN(2)/2)*BR102+(1-EXP(-LN(2)/2))/(LN(2)/2)*BL103*BO103*VLOOKUP('Données projet'!$B$9,Paramètres!$A$1:$I$88,3,0)*0.475*44/12</f>
        <v>0</v>
      </c>
      <c r="BS103" s="24">
        <f t="shared" si="66"/>
        <v>0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>
        <f>VLOOKUP(A103,'Données projet'!$A$113:$I$133,2,0)</f>
        <v>248</v>
      </c>
      <c r="BW103" s="13">
        <f>VLOOKUP(A103,'Données projet'!$A$113:$I$133,9,0)</f>
        <v>3</v>
      </c>
      <c r="BX103" s="13">
        <f t="array" ref="BX103">INDEX(BW:BW,MIN(IF(ISNUMBER(BW103:BW299),ROW(BW103:BW299),"")))</f>
        <v>3</v>
      </c>
      <c r="BY103" s="13">
        <f>IF(A103&lt;'Données projet'!$A$114,$BV$205^A103,IF(A103='Données projet'!$A$114,'Données projet'!$B$114,BY102+BX103-CG102))</f>
        <v>247.99999999999997</v>
      </c>
      <c r="BZ103" s="14">
        <f>BY103*VLOOKUP('Données projet'!$B$12,Paramètres!$A$1:$I$88,3,0)*VLOOKUP('Données projet'!$B$12,Paramètres!$A$1:$I$88,5,0)</f>
        <v>266.94719999999995</v>
      </c>
      <c r="CA103" s="14">
        <f t="shared" si="100"/>
        <v>64.200959938746379</v>
      </c>
      <c r="CB103" s="22">
        <f t="shared" si="67"/>
        <v>576.74971189331654</v>
      </c>
      <c r="CC103" s="62">
        <f t="shared" si="68"/>
        <v>845.87054243922125</v>
      </c>
      <c r="CD103" s="62">
        <f ca="1">AVERAGE(OFFSET($CC$3,0,0,'Données projet'!$E$12+1,1))-AVERAGE(OFFSET($H$3,0,0,'Données projet'!$E$12+1,1))</f>
        <v>468.82871618425406</v>
      </c>
      <c r="CE103" s="62">
        <f t="shared" si="69"/>
        <v>259.37818128554397</v>
      </c>
      <c r="CF103" s="16">
        <f>IF(ISNA(VLOOKUP(A103,'Données projet'!$A$113:$I$133,3,0)),0,VLOOKUP(A103,'Données projet'!$A$113:$I$133,3,0))</f>
        <v>8</v>
      </c>
      <c r="CG103" s="16">
        <f>IF(ISNA(VLOOKUP(A103,'Données projet'!$A$113:$I$133,4,0)),0,VLOOKUP(A103,'Données projet'!$A$113:$I$133,4,0))</f>
        <v>18</v>
      </c>
      <c r="CH103" s="17">
        <f>IF(ISNA(VLOOKUP(A103,'Données projet'!$A$113:$I$133,5,0)),0%,VLOOKUP(A103,'Données projet'!$A$113:$I$133,5,0)*VLOOKUP('Données projet'!$B$12,Paramètres!$A$1:$I$88,7,0))</f>
        <v>0</v>
      </c>
      <c r="CI103" s="17">
        <f>IF(ISNA(VLOOKUP(A103,'Données projet'!$A$113:$I$133,6,0)),0%,VLOOKUP(A103,'Données projet'!$A$113:$I$133,6,0)*VLOOKUP('Données projet'!$B$12,Paramètres!$A$1:$I$88,7,0))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projet'!$B$9,Paramètres!$A$1:$I$88,3,0)*0.475*44/12</f>
        <v>0</v>
      </c>
      <c r="CL103" s="23">
        <f>EXP(-LN(2)/25)*CL102+(1-EXP(-LN(2)/25))/(LN(2)/25)*Calculateur!CG103*Calculateur!CI103*VLOOKUP('Données projet'!$B$9,Paramètres!$A$1:$I$88,3,0)*0.475*44/12</f>
        <v>0</v>
      </c>
      <c r="CM103" s="23">
        <f>EXP(-LN(2)/2)*CM102+(1-EXP(-LN(2)/2))/(LN(2)/2)*CG103*CJ103*VLOOKUP('Données projet'!$B$9,Paramètres!$A$1:$I$88,3,0)*0.475*44/12</f>
        <v>0</v>
      </c>
      <c r="CN103" s="24">
        <f t="shared" si="70"/>
        <v>0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>
        <f>VLOOKUP(A103,'Données projet'!$A$139:$I$159,2,0)</f>
        <v>248</v>
      </c>
      <c r="CR103" s="13">
        <f>VLOOKUP(A103,'Données projet'!$A$139:$I$159,9,0)</f>
        <v>3</v>
      </c>
      <c r="CS103" s="13">
        <f t="array" ref="CS103">INDEX(CR:CR,MIN(IF(ISNUMBER(CR103:CR299),ROW(CR103:CR299),"")))</f>
        <v>3</v>
      </c>
      <c r="CT103" s="13">
        <f>IF(A103&lt;'Données projet'!$A$140,$CQ$205^A103,IF(A103='Données projet'!$A$140,'Données projet'!$B$140,CT102+CS103-DB102))</f>
        <v>247.99999999999997</v>
      </c>
      <c r="CU103" s="18">
        <f>CT103*VLOOKUP('Données projet'!$B$13,Paramètres!$A$1:$I$88,3,0)*VLOOKUP('Données projet'!$B$13,Paramètres!$A$1:$I$88,5,0)</f>
        <v>212.78400000000002</v>
      </c>
      <c r="CV103" s="14">
        <f t="shared" si="101"/>
        <v>52.543492641808065</v>
      </c>
      <c r="CW103" s="22">
        <f t="shared" si="71"/>
        <v>462.11204968448237</v>
      </c>
      <c r="CX103" s="62">
        <f t="shared" si="72"/>
        <v>731.23288023038708</v>
      </c>
      <c r="CY103" s="62">
        <f ca="1">AVERAGE(OFFSET($CX$3,0,0,'Données projet'!$E$13+1,1))-AVERAGE(OFFSET($H$3,0,0,'Données projet'!$E$13+1,1))</f>
        <v>395.19659151668884</v>
      </c>
      <c r="CZ103" s="62">
        <f t="shared" si="73"/>
        <v>222.86563304507339</v>
      </c>
      <c r="DA103" s="16">
        <f>IF(ISNA(VLOOKUP(A103,'Données projet'!$A$139:$I$159,3,0)),0,VLOOKUP(A103,'Données projet'!$A$139:$I$159,3,0))</f>
        <v>8</v>
      </c>
      <c r="DB103" s="16">
        <f>IF(ISNA(VLOOKUP(A103,'Données projet'!$A$139:$I$159,4,0)),0,VLOOKUP(A103,'Données projet'!$A$139:$I$159,4,0))</f>
        <v>18</v>
      </c>
      <c r="DC103" s="17">
        <f>IF(ISNA(VLOOKUP(A103,'Données projet'!$A$139:$I$159,5,0)),0%,VLOOKUP(A103,'Données projet'!$A$139:$I$159,5,0)*VLOOKUP('Données projet'!$B$13,Paramètres!$A$1:$I$88,7,0))</f>
        <v>0</v>
      </c>
      <c r="DD103" s="17">
        <f>IF(ISNA(VLOOKUP(A103,'Données projet'!$A$139:$I$159,6,0)),0%,VLOOKUP(A103,'Données projet'!$A$139:$I$159,6,0)*VLOOKUP('Données projet'!$B$13,Paramètres!$A$1:$I$88,7,0))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projet'!$B$9,Paramètres!$A$1:$I$88,3,0)*0.475*44/12</f>
        <v>0</v>
      </c>
      <c r="DG103" s="23">
        <f>EXP(-LN(2)/25)*DG102+(1-EXP(-LN(2)/25))/(LN(2)/25)*Calculateur!DB103*Calculateur!DD103*VLOOKUP('Données projet'!$B$9,Paramètres!$A$1:$I$88,3,0)*0.475*44/12</f>
        <v>0</v>
      </c>
      <c r="DH103" s="23">
        <f>EXP(-LN(2)/2)*DH102+(1-EXP(-LN(2)/2))/(LN(2)/2)*DB103*DE103*VLOOKUP('Données projet'!$B$9,Paramètres!$A$1:$I$88,3,0)*0.475*44/12</f>
        <v>0</v>
      </c>
      <c r="DI103" s="24">
        <f t="shared" si="74"/>
        <v>0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IF(A103&lt;'Données projet'!$A$166,$DL$205^A103,IF(A103='Données projet'!$A$166,'Données projet'!$B$166,DO102+DN103-DW102))</f>
        <v>-8.5265128291212022E-14</v>
      </c>
      <c r="DP103" s="18">
        <f>DO103*VLOOKUP('Données projet'!$B$14,Paramètres!$A$1:$I$88,3,0)*VLOOKUP('Données projet'!$B$14,Paramètres!$A$1:$I$88,5,0)</f>
        <v>-4.9880100050359036E-14</v>
      </c>
      <c r="DQ103" s="14" t="e">
        <f t="shared" si="102"/>
        <v>#NUM!</v>
      </c>
      <c r="DR103" s="22" t="e">
        <f t="shared" si="75"/>
        <v>#NUM!</v>
      </c>
      <c r="DS103" s="62" t="e">
        <f t="shared" si="76"/>
        <v>#NUM!</v>
      </c>
      <c r="DT103" s="62">
        <f ca="1">AVERAGE(OFFSET($DS$3,0,0,'Données projet'!$E$14+1,1))-AVERAGE(OFFSET($H$3,0,0,'Données projet'!$E$14+1,1))</f>
        <v>155.18073137151848</v>
      </c>
      <c r="DU103" s="62">
        <f t="shared" si="77"/>
        <v>115.19459155667272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projet'!$B$14,Paramètres!$A$1:$I$88,7,0))</f>
        <v>0</v>
      </c>
      <c r="DY103" s="17">
        <f>IF(ISNA(VLOOKUP(A103,'Données projet'!$A$165:$I$185,6,0)),0%,VLOOKUP(A103,'Données projet'!$A$165:$I$185,6,0)*VLOOKUP('Données projet'!$B$14,Paramètres!$A$1:$I$88,7,0))</f>
        <v>0</v>
      </c>
      <c r="DZ103" s="17">
        <f>IF(ISNA(VLOOKUP(A103,'Données projet'!$A$165:$I$185,7,0)),0%,VLOOKUP(A103,'Données projet'!$A$165:$I$185,7,0))</f>
        <v>0</v>
      </c>
      <c r="EA103" s="23">
        <f>EXP(-LN(2)/35)*EA102+(1-EXP(-LN(2)/35))/(LN(2)/35)*DW103*DX103*VLOOKUP('Données projet'!$B$9,Paramètres!$A$1:$I$88,3,0)*0.475*44/12</f>
        <v>0</v>
      </c>
      <c r="EB103" s="23">
        <f>EXP(-LN(2)/25)*EB102+(1-EXP(-LN(2)/25))/(LN(2)/25)*Calculateur!DW103*Calculateur!DY103*VLOOKUP('Données projet'!$B$9,Paramètres!$A$1:$I$88,3,0)*0.475*44/12</f>
        <v>0</v>
      </c>
      <c r="EC103" s="23">
        <f>EXP(-LN(2)/2)*EC102+(1-EXP(-LN(2)/2))/(LN(2)/2)*DW103*DZ103*VLOOKUP('Données projet'!$B$9,Paramètres!$A$1:$I$88,3,0)*0.475*44/12</f>
        <v>0</v>
      </c>
      <c r="ED103" s="24">
        <f t="shared" si="78"/>
        <v>0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>
        <f>VLOOKUP(A103,'Données projet'!$A$191:$I$211,2,0)</f>
        <v>298</v>
      </c>
      <c r="EH103" s="13">
        <f>VLOOKUP(A103,'Données projet'!$A$191:$I$211,9,0)</f>
        <v>6.4</v>
      </c>
      <c r="EI103" s="13">
        <f t="array" ref="EI103">INDEX(EH:EH,MIN(IF(ISNUMBER(EH103:EH299),ROW(EH103:EH299),"")))</f>
        <v>6.4</v>
      </c>
      <c r="EJ103" s="13">
        <f>IF(A103&lt;'Données projet'!$A$192,$EG$205^A103,IF(A103='Données projet'!$A$192,'Données projet'!$B$192,EJ102+EI103-ER102))</f>
        <v>297.99999999999983</v>
      </c>
      <c r="EK103" s="18">
        <f>EJ103*VLOOKUP('Données projet'!$B$15,Paramètres!$A$1:$I$88,3,0)*VLOOKUP('Données projet'!$B$15,Paramètres!$A$1:$I$88,5,0)</f>
        <v>139.46399999999991</v>
      </c>
      <c r="EL103" s="14">
        <f t="shared" si="103"/>
        <v>36.174188022271757</v>
      </c>
      <c r="EM103" s="22">
        <f t="shared" si="79"/>
        <v>305.90317747212316</v>
      </c>
      <c r="EN103" s="62">
        <f t="shared" si="80"/>
        <v>575.02400801802787</v>
      </c>
      <c r="EO103" s="62">
        <f ca="1">AVERAGE(OFFSET($EN$3,0,0,'Données projet'!$E$15+1,1))-AVERAGE(OFFSET($H$3,0,0,'Données projet'!$E$15+1,1))</f>
        <v>238.59014604384171</v>
      </c>
      <c r="EP103" s="62">
        <f t="shared" si="81"/>
        <v>90.841373219575217</v>
      </c>
      <c r="EQ103" s="16">
        <f>IF(ISNA(VLOOKUP(A103,'Données projet'!$A$191:$I$211,3,0)),0,VLOOKUP(A103,'Données projet'!$A$191:$I$211,3,0))</f>
        <v>4</v>
      </c>
      <c r="ER103" s="16">
        <f>IF(ISNA(VLOOKUP(A103,'Données projet'!$A$191:$I$211,4,0)),0,VLOOKUP(A103,'Données projet'!$A$191:$I$211,4,0))</f>
        <v>71</v>
      </c>
      <c r="ES103" s="17">
        <f>IF(ISNA(VLOOKUP(A103,'Données projet'!$A$191:$I$211,5,0)),0%,VLOOKUP(A103,'Données projet'!$A$191:$I$211,5,0)*VLOOKUP('Données projet'!$B$15,Paramètres!$A$1:$I$88,7,0))</f>
        <v>0</v>
      </c>
      <c r="ET103" s="17">
        <f>IF(ISNA(VLOOKUP(A103,'Données projet'!$A$191:$I$211,6,0)),0%,VLOOKUP(A103,'Données projet'!$A$191:$I$211,6,0)*VLOOKUP('Données projet'!$B$15,Paramètres!$A$1:$I$88,7,0))</f>
        <v>0</v>
      </c>
      <c r="EU103" s="17">
        <f>IF(ISNA(VLOOKUP(A103,'Données projet'!$A$191:$I$211,7,0)),0%,VLOOKUP(A103,'Données projet'!$A$191:$I$211,7,0))</f>
        <v>0</v>
      </c>
      <c r="EV103" s="23">
        <f>EXP(-LN(2)/35)*EV102+(1-EXP(-LN(2)/35))/(LN(2)/35)*ER103*ES103*VLOOKUP('Données projet'!$B$9,Paramètres!$A$1:$I$88,3,0)*0.475*44/12</f>
        <v>0</v>
      </c>
      <c r="EW103" s="23">
        <f>EXP(-LN(2)/25)*EW102+(1-EXP(-LN(2)/25))/(LN(2)/25)*Calculateur!ER103*Calculateur!ET103*VLOOKUP('Données projet'!$B$9,Paramètres!$A$1:$I$88,3,0)*0.475*44/12</f>
        <v>0</v>
      </c>
      <c r="EX103" s="23">
        <f>EXP(-LN(2)/2)*EX102+(1-EXP(-LN(2)/2))/(LN(2)/2)*ER103*EU103*VLOOKUP('Données projet'!$B$9,Paramètres!$A$1:$I$88,3,0)*0.475*44/12</f>
        <v>0</v>
      </c>
      <c r="EY103" s="24">
        <f t="shared" si="82"/>
        <v>0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IF(A103&lt;'Données projet'!$A$218,$FB$205^A103,IF(A103='Données projet'!$A$218,'Données projet'!$B$218,FE102+FD103-FM102))</f>
        <v>0</v>
      </c>
      <c r="FF103" s="18" t="e">
        <f>FE103*VLOOKUP('Données projet'!$B$16,Paramètres!$A$1:$I$88,3,0)*VLOOKUP('Données projet'!$B$16,Paramètres!$A$1:$I$88,5,0)</f>
        <v>#N/A</v>
      </c>
      <c r="FG103" s="14" t="e">
        <f t="shared" si="104"/>
        <v>#N/A</v>
      </c>
      <c r="FH103" s="22" t="e">
        <f t="shared" si="83"/>
        <v>#N/A</v>
      </c>
      <c r="FI103" s="62" t="e">
        <f t="shared" si="84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85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projet'!$B$16,Paramètres!$A$1:$I$88,7,0))</f>
        <v>0</v>
      </c>
      <c r="FO103" s="17">
        <f>IF(ISNA(VLOOKUP(A103,'Données projet'!$A$217:$I$237,6,0)),0%,VLOOKUP(A103,'Données projet'!$A$217:$I$237,6,0)*VLOOKUP('Données projet'!$B$16,Paramètres!$A$1:$I$88,7,0))</f>
        <v>0</v>
      </c>
      <c r="FP103" s="17">
        <f>IF(ISNA(VLOOKUP(A103,'Données projet'!$A$217:$I$237,7,0)),0%,VLOOKUP(A103,'Données projet'!$A$217:$I$237,7,0))</f>
        <v>0</v>
      </c>
      <c r="FQ103" s="23">
        <f>EXP(-LN(2)/35)*FQ102+(1-EXP(-LN(2)/35))/(LN(2)/35)*FM103*FN103*VLOOKUP('Données projet'!$B$9,Paramètres!$A$1:$I$88,3,0)*0.475*44/12</f>
        <v>0</v>
      </c>
      <c r="FR103" s="23">
        <f>EXP(-LN(2)/25)*FR102+(1-EXP(-LN(2)/25))/(LN(2)/25)*Calculateur!FM103*Calculateur!FO103*VLOOKUP('Données projet'!$B$9,Paramètres!$A$1:$I$88,3,0)*0.475*44/12</f>
        <v>0</v>
      </c>
      <c r="FS103" s="23">
        <f>EXP(-LN(2)/2)*FS102+(1-EXP(-LN(2)/2))/(LN(2)/2)*FM103*FP103*VLOOKUP('Données projet'!$B$9,Paramètres!$A$1:$I$88,3,0)*0.475*44/12</f>
        <v>0</v>
      </c>
      <c r="FT103" s="24">
        <f t="shared" si="86"/>
        <v>0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IF(A103&lt;'Données projet'!$A$244,$FW$205^A103,IF(A103='Données projet'!$A$244,'Données projet'!$B$244,FZ102+FY103-GH102))</f>
        <v>0</v>
      </c>
      <c r="GA103" s="18" t="e">
        <f>FZ103*VLOOKUP('Données projet'!$B$17,Paramètres!$A$1:$I$88,3,0)*VLOOKUP('Données projet'!$B$17,Paramètres!$A$1:$I$88,5,0)</f>
        <v>#N/A</v>
      </c>
      <c r="GB103" s="14" t="e">
        <f t="shared" si="105"/>
        <v>#N/A</v>
      </c>
      <c r="GC103" s="22" t="e">
        <f t="shared" si="87"/>
        <v>#N/A</v>
      </c>
      <c r="GD103" s="62" t="e">
        <f t="shared" si="88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89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projet'!$B$17,Paramètres!$A$1:$I$88,7,0))</f>
        <v>0</v>
      </c>
      <c r="GJ103" s="17">
        <f>IF(ISNA(VLOOKUP(A103,'Données projet'!$A$243:$I$263,6,0)),0%,VLOOKUP(A103,'Données projet'!$A$243:$I$263,6,0)*VLOOKUP('Données projet'!$B$17,Paramètres!$A$1:$I$88,7,0))</f>
        <v>0</v>
      </c>
      <c r="GK103" s="17">
        <f>IF(ISNA(VLOOKUP(A103,'Données projet'!$A$243:$I$263,7,0)),0%,VLOOKUP(A103,'Données projet'!$A$243:$I$263,7,0))</f>
        <v>0</v>
      </c>
      <c r="GL103" s="23">
        <f>EXP(-LN(2)/35)*GL102+(1-EXP(-LN(2)/35))/(LN(2)/35)*GH103*GI103*VLOOKUP('Données projet'!$B$9,Paramètres!$A$1:$I$88,3,0)*0.475*44/12</f>
        <v>0</v>
      </c>
      <c r="GM103" s="23">
        <f>EXP(-LN(2)/25)*GM102+(1-EXP(-LN(2)/25))/(LN(2)/25)*Calculateur!GH103*Calculateur!GJ103*VLOOKUP('Données projet'!$B$9,Paramètres!$A$1:$I$88,3,0)*0.475*44/12</f>
        <v>0</v>
      </c>
      <c r="GN103" s="23">
        <f>EXP(-LN(2)/2)*GN102+(1-EXP(-LN(2)/2))/(LN(2)/2)*GH103*GK103*VLOOKUP('Données projet'!$B$9,Paramètres!$A$1:$I$88,3,0)*0.475*44/12</f>
        <v>0</v>
      </c>
      <c r="GO103" s="23">
        <f t="shared" si="90"/>
        <v>0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IF(A103&lt;'Données projet'!$A$270,$GR$205^A103,IF(A103='Données projet'!$A$270,'Données projet'!$B$270,GU102+GT103-HC102))</f>
        <v>0</v>
      </c>
      <c r="GV103" s="18" t="e">
        <f>GU103*VLOOKUP('Données projet'!$B$18,Paramètres!$A$1:$I$88,3,0)*VLOOKUP('Données projet'!$B$18,Paramètres!$A$1:$I$88,5,0)</f>
        <v>#N/A</v>
      </c>
      <c r="GW103" s="14" t="e">
        <f t="shared" si="106"/>
        <v>#N/A</v>
      </c>
      <c r="GX103" s="22" t="e">
        <f t="shared" si="91"/>
        <v>#N/A</v>
      </c>
      <c r="GY103" s="62" t="e">
        <f t="shared" si="92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93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projet'!$B$18,Paramètres!$A$1:$I$88,7,0))</f>
        <v>0</v>
      </c>
      <c r="HE103" s="17">
        <f>IF(ISNA(VLOOKUP(A103,'Données projet'!$A$269:$I$289,6,0)),0%,VLOOKUP(A103,'Données projet'!$A$269:$I$289,6,0)*VLOOKUP('Données projet'!$B$18,Paramètres!$A$1:$I$88,7,0))</f>
        <v>0</v>
      </c>
      <c r="HF103" s="17">
        <f>IF(ISNA(VLOOKUP(A103,'Données projet'!$A$269:$I$289,7,0)),0%,VLOOKUP(A103,'Données projet'!$A$269:$I$289,7,0))</f>
        <v>0</v>
      </c>
      <c r="HG103" s="23">
        <f>EXP(-LN(2)/35)*HG102+(1-EXP(-LN(2)/35))/(LN(2)/35)*HC103*HD103*VLOOKUP('Données projet'!$B$9,Paramètres!$A$1:$I$88,3,0)*0.475*44/12</f>
        <v>0</v>
      </c>
      <c r="HH103" s="23">
        <f>EXP(-LN(2)/25)*HH102+(1-EXP(-LN(2)/25))/(LN(2)/25)*Calculateur!HC103*Calculateur!HE103*VLOOKUP('Données projet'!$B$9,Paramètres!$A$1:$I$88,3,0)*0.475*44/12</f>
        <v>0</v>
      </c>
      <c r="HI103" s="23">
        <f>EXP(-LN(2)/2)*HI102+(1-EXP(-LN(2)/2))/(LN(2)/2)*HC103*HF103*VLOOKUP('Données projet'!$B$9,Paramètres!$A$1:$I$88,3,0)*0.475*44/12</f>
        <v>0</v>
      </c>
      <c r="HJ103" s="24">
        <f t="shared" si="94"/>
        <v>0</v>
      </c>
    </row>
    <row r="104" spans="1:218" s="5" customFormat="1" x14ac:dyDescent="0.25">
      <c r="A104" s="11">
        <f t="shared" si="95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4" s="12">
        <f t="shared" si="9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57"/>
        <v>135.66666666666666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1.3833333333333342</v>
      </c>
      <c r="N104" s="14">
        <f>IF(A104&lt;'Données projet'!$A$36,$K$205^A104,IF(A104='Données projet'!$A$36,'Données projet'!$B$36,N103+M104-V103))</f>
        <v>104.08333333333326</v>
      </c>
      <c r="O104" s="14">
        <f>N104*VLOOKUP('Données projet'!$B$9,Paramètres!$A$1:$I$88,3,0)*VLOOKUP('Données projet'!$B$9,Paramètres!$A$1:$I$88,5,0)</f>
        <v>119.90399999999991</v>
      </c>
      <c r="P104" s="14">
        <f t="shared" si="97"/>
        <v>31.65260782781338</v>
      </c>
      <c r="Q104" s="22">
        <f t="shared" si="107"/>
        <v>263.96109196677475</v>
      </c>
      <c r="R104" s="62">
        <f t="shared" si="55"/>
        <v>533.50195530499445</v>
      </c>
      <c r="S104" s="62">
        <f ca="1">AVERAGE(OFFSET($R$3,0,0,'Données projet'!$E$9+1,1))-AVERAGE(OFFSET($H$3,0,0,'Données projet'!$E$9+1,1))</f>
        <v>314.72063458462026</v>
      </c>
      <c r="T104" s="62">
        <f t="shared" si="56"/>
        <v>216.4380325968244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projet'!$B$9,Paramètres!$A$1:$I$88,7,0))</f>
        <v>0</v>
      </c>
      <c r="X104" s="17">
        <f>IF(ISNA(VLOOKUP(A104,'Données projet'!$A$35:$I$55,6,0)),0%,VLOOKUP(A104,'Données projet'!$A$35:$I$55,6,0)*VLOOKUP('Données projet'!$B$9,Paramètres!$A$1:$I$88,7,0))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projet'!$B$9,Paramètres!$A$1:$I$88,3,0)*0.475*44/12</f>
        <v>0</v>
      </c>
      <c r="AA104" s="23">
        <f>EXP(-LN(2)/25)*AA103+(1-EXP(-LN(2)/25))/(LN(2)/25)*Calculateur!V104*Calculateur!X104*VLOOKUP('Données projet'!$B$9,Paramètres!$A$1:$I$88,3,0)*0.475*44/12</f>
        <v>0</v>
      </c>
      <c r="AB104" s="23">
        <f>EXP(-LN(2)/2)*AB103+(1-EXP(-LN(2)/2))/(LN(2)/2)*V104*Y104*VLOOKUP('Données projet'!$B$9,Paramètres!$A$1:$I$88,3,0)*0.475*44/12</f>
        <v>0</v>
      </c>
      <c r="AC104" s="24">
        <f t="shared" si="58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2.9</v>
      </c>
      <c r="AI104" s="14">
        <f>IF(A104&lt;'Données projet'!$A$62,$AF$205^A104,IF(A104='Données projet'!$A$62,'Données projet'!$B$62,AI103+AH104-AQ103))</f>
        <v>232.89999999999998</v>
      </c>
      <c r="AJ104" s="14">
        <f>AI104*VLOOKUP('Données projet'!$B$10,Paramètres!$A$1:$I$88,3,0)*VLOOKUP('Données projet'!$B$10,Paramètres!$A$1:$I$88,5,0)</f>
        <v>243.42708000000002</v>
      </c>
      <c r="AK104" s="14">
        <f t="shared" si="98"/>
        <v>59.176273881132779</v>
      </c>
      <c r="AL104" s="22">
        <f t="shared" si="59"/>
        <v>527.03417467630641</v>
      </c>
      <c r="AM104" s="62">
        <f t="shared" si="60"/>
        <v>796.57503801452617</v>
      </c>
      <c r="AN104" s="62">
        <f ca="1">AVERAGE(OFFSET($AM$3,0,0,'Données projet'!$E$10+1,1))-AVERAGE(OFFSET($H$3,0,0,'Données projet'!$E$10+1,1))</f>
        <v>458.33072853676879</v>
      </c>
      <c r="AO104" s="62">
        <f t="shared" si="61"/>
        <v>254.1734169352687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projet'!$B$10,Paramètres!$A$1:$I$88,7,0))</f>
        <v>0</v>
      </c>
      <c r="AS104" s="17">
        <f>IF(ISNA(VLOOKUP(A104,'Données projet'!$A$61:$I$81,6,0)),0%,VLOOKUP(A104,'Données projet'!$A$61:$I$81,6,0)*VLOOKUP('Données projet'!$B$10,Paramètres!$A$1:$I$88,7,0))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projet'!$B$9,Paramètres!$A$1:$I$88,3,0)*0.475*44/12</f>
        <v>0</v>
      </c>
      <c r="AV104" s="23">
        <f>EXP(-LN(2)/25)*AV103+(1-EXP(-LN(2)/25))/(LN(2)/25)*Calculateur!AQ104*Calculateur!AS104*VLOOKUP('Données projet'!$B$9,Paramètres!$A$1:$I$88,3,0)*0.475*44/12</f>
        <v>0</v>
      </c>
      <c r="AW104" s="23">
        <f>EXP(-LN(2)/2)*AW103+(1-EXP(-LN(2)/2))/(LN(2)/2)*AQ104*AT104*VLOOKUP('Données projet'!$B$9,Paramètres!$A$1:$I$88,3,0)*0.475*44/12</f>
        <v>0</v>
      </c>
      <c r="AX104" s="23">
        <f t="shared" si="62"/>
        <v>0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2.9</v>
      </c>
      <c r="BD104" s="13">
        <f>IF(A104&lt;'Données projet'!$A$88,$BA$205^A104,IF(A104='Données projet'!$A$88,'Données projet'!$B$88,BD103+BC104-BL103))</f>
        <v>232.89999999999998</v>
      </c>
      <c r="BE104" s="14">
        <f>BD104*VLOOKUP('Données projet'!$B$11,Paramètres!$A$1:$I$88,3,0)*VLOOKUP('Données projet'!$B$11,Paramètres!$A$1:$I$88,5,0)</f>
        <v>236.16059999999999</v>
      </c>
      <c r="BF104" s="14">
        <f t="shared" si="99"/>
        <v>57.612691139059045</v>
      </c>
      <c r="BG104" s="22">
        <f t="shared" si="63"/>
        <v>511.6551487338611</v>
      </c>
      <c r="BH104" s="62">
        <f t="shared" si="64"/>
        <v>781.19601207208075</v>
      </c>
      <c r="BI104" s="62">
        <f ca="1">AVERAGE(OFFSET($BH$3,0,0,'Données projet'!$E$11+1,1))-AVERAGE(OFFSET($H$3,0,0,'Données projet'!$E$11+1,1))</f>
        <v>447.82618173893104</v>
      </c>
      <c r="BJ104" s="62">
        <f t="shared" si="65"/>
        <v>248.96509970783379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projet'!$B$11,Paramètres!$A$1:$I$88,7,0))</f>
        <v>0</v>
      </c>
      <c r="BN104" s="17">
        <f>IF(ISNA(VLOOKUP(A104,'Données projet'!$A$87:$I$107,6,0)),0%,VLOOKUP(A104,'Données projet'!$A$87:$I$107,6,0)*VLOOKUP('Données projet'!$B$11,Paramètres!$A$1:$I$88,7,0))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projet'!$B$9,Paramètres!$A$1:$I$88,3,0)*0.475*44/12</f>
        <v>0</v>
      </c>
      <c r="BQ104" s="23">
        <f>EXP(-LN(2)/25)*BQ103+(1-EXP(-LN(2)/25))/(LN(2)/25)*Calculateur!BL104*Calculateur!BN104*VLOOKUP('Données projet'!$B$9,Paramètres!$A$1:$I$88,3,0)*0.475*44/12</f>
        <v>0</v>
      </c>
      <c r="BR104" s="23">
        <f>EXP(-LN(2)/2)*BR103+(1-EXP(-LN(2)/2))/(LN(2)/2)*BL104*BO104*VLOOKUP('Données projet'!$B$9,Paramètres!$A$1:$I$88,3,0)*0.475*44/12</f>
        <v>0</v>
      </c>
      <c r="BS104" s="24">
        <f t="shared" si="66"/>
        <v>0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2.9</v>
      </c>
      <c r="BY104" s="13">
        <f>IF(A104&lt;'Données projet'!$A$114,$BV$205^A104,IF(A104='Données projet'!$A$114,'Données projet'!$B$114,BY103+BX104-CG103))</f>
        <v>232.89999999999998</v>
      </c>
      <c r="BZ104" s="14">
        <f>BY104*VLOOKUP('Données projet'!$B$12,Paramètres!$A$1:$I$88,3,0)*VLOOKUP('Données projet'!$B$12,Paramètres!$A$1:$I$88,5,0)</f>
        <v>250.69355999999996</v>
      </c>
      <c r="CA104" s="14">
        <f t="shared" si="100"/>
        <v>60.734432333118377</v>
      </c>
      <c r="CB104" s="22">
        <f t="shared" si="67"/>
        <v>542.40375331351447</v>
      </c>
      <c r="CC104" s="62">
        <f t="shared" si="68"/>
        <v>811.94461665173412</v>
      </c>
      <c r="CD104" s="62">
        <f ca="1">AVERAGE(OFFSET($CC$3,0,0,'Données projet'!$E$12+1,1))-AVERAGE(OFFSET($H$3,0,0,'Données projet'!$E$12+1,1))</f>
        <v>468.82871618425406</v>
      </c>
      <c r="CE104" s="62">
        <f t="shared" si="69"/>
        <v>259.37818128554397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projet'!$B$12,Paramètres!$A$1:$I$88,7,0))</f>
        <v>0</v>
      </c>
      <c r="CI104" s="17">
        <f>IF(ISNA(VLOOKUP(A104,'Données projet'!$A$113:$I$133,6,0)),0%,VLOOKUP(A104,'Données projet'!$A$113:$I$133,6,0)*VLOOKUP('Données projet'!$B$12,Paramètres!$A$1:$I$88,7,0))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projet'!$B$9,Paramètres!$A$1:$I$88,3,0)*0.475*44/12</f>
        <v>0</v>
      </c>
      <c r="CL104" s="23">
        <f>EXP(-LN(2)/25)*CL103+(1-EXP(-LN(2)/25))/(LN(2)/25)*Calculateur!CG104*Calculateur!CI104*VLOOKUP('Données projet'!$B$9,Paramètres!$A$1:$I$88,3,0)*0.475*44/12</f>
        <v>0</v>
      </c>
      <c r="CM104" s="23">
        <f>EXP(-LN(2)/2)*CM103+(1-EXP(-LN(2)/2))/(LN(2)/2)*CG104*CJ104*VLOOKUP('Données projet'!$B$9,Paramètres!$A$1:$I$88,3,0)*0.475*44/12</f>
        <v>0</v>
      </c>
      <c r="CN104" s="24">
        <f t="shared" si="70"/>
        <v>0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2.9</v>
      </c>
      <c r="CT104" s="13">
        <f>IF(A104&lt;'Données projet'!$A$140,$CQ$205^A104,IF(A104='Données projet'!$A$140,'Données projet'!$B$140,CT103+CS104-DB103))</f>
        <v>232.89999999999998</v>
      </c>
      <c r="CU104" s="18">
        <f>CT104*VLOOKUP('Données projet'!$B$13,Paramètres!$A$1:$I$88,3,0)*VLOOKUP('Données projet'!$B$13,Paramètres!$A$1:$I$88,5,0)</f>
        <v>199.82820000000001</v>
      </c>
      <c r="CV104" s="14">
        <f t="shared" si="101"/>
        <v>49.706409397060355</v>
      </c>
      <c r="CW104" s="22">
        <f t="shared" si="71"/>
        <v>434.60611136654671</v>
      </c>
      <c r="CX104" s="62">
        <f t="shared" si="72"/>
        <v>704.14697470476642</v>
      </c>
      <c r="CY104" s="62">
        <f ca="1">AVERAGE(OFFSET($CX$3,0,0,'Données projet'!$E$13+1,1))-AVERAGE(OFFSET($H$3,0,0,'Données projet'!$E$13+1,1))</f>
        <v>395.19659151668884</v>
      </c>
      <c r="CZ104" s="62">
        <f t="shared" si="73"/>
        <v>222.86563304507339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projet'!$B$13,Paramètres!$A$1:$I$88,7,0))</f>
        <v>0</v>
      </c>
      <c r="DD104" s="17">
        <f>IF(ISNA(VLOOKUP(A104,'Données projet'!$A$139:$I$159,6,0)),0%,VLOOKUP(A104,'Données projet'!$A$139:$I$159,6,0)*VLOOKUP('Données projet'!$B$13,Paramètres!$A$1:$I$88,7,0))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projet'!$B$9,Paramètres!$A$1:$I$88,3,0)*0.475*44/12</f>
        <v>0</v>
      </c>
      <c r="DG104" s="23">
        <f>EXP(-LN(2)/25)*DG103+(1-EXP(-LN(2)/25))/(LN(2)/25)*Calculateur!DB104*Calculateur!DD104*VLOOKUP('Données projet'!$B$9,Paramètres!$A$1:$I$88,3,0)*0.475*44/12</f>
        <v>0</v>
      </c>
      <c r="DH104" s="23">
        <f>EXP(-LN(2)/2)*DH103+(1-EXP(-LN(2)/2))/(LN(2)/2)*DB104*DE104*VLOOKUP('Données projet'!$B$9,Paramètres!$A$1:$I$88,3,0)*0.475*44/12</f>
        <v>0</v>
      </c>
      <c r="DI104" s="24">
        <f t="shared" si="74"/>
        <v>0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IF(A104&lt;'Données projet'!$A$166,$DL$205^A104,IF(A104='Données projet'!$A$166,'Données projet'!$B$166,DO103+DN104-DW103))</f>
        <v>-8.5265128291212022E-14</v>
      </c>
      <c r="DP104" s="18">
        <f>DO104*VLOOKUP('Données projet'!$B$14,Paramètres!$A$1:$I$88,3,0)*VLOOKUP('Données projet'!$B$14,Paramètres!$A$1:$I$88,5,0)</f>
        <v>-4.9880100050359036E-14</v>
      </c>
      <c r="DQ104" s="14" t="e">
        <f t="shared" si="102"/>
        <v>#NUM!</v>
      </c>
      <c r="DR104" s="22" t="e">
        <f t="shared" si="75"/>
        <v>#NUM!</v>
      </c>
      <c r="DS104" s="62" t="e">
        <f t="shared" si="76"/>
        <v>#NUM!</v>
      </c>
      <c r="DT104" s="62">
        <f ca="1">AVERAGE(OFFSET($DS$3,0,0,'Données projet'!$E$14+1,1))-AVERAGE(OFFSET($H$3,0,0,'Données projet'!$E$14+1,1))</f>
        <v>155.18073137151848</v>
      </c>
      <c r="DU104" s="62">
        <f t="shared" si="77"/>
        <v>115.19459155667272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projet'!$B$14,Paramètres!$A$1:$I$88,7,0))</f>
        <v>0</v>
      </c>
      <c r="DY104" s="17">
        <f>IF(ISNA(VLOOKUP(A104,'Données projet'!$A$165:$I$185,6,0)),0%,VLOOKUP(A104,'Données projet'!$A$165:$I$185,6,0)*VLOOKUP('Données projet'!$B$14,Paramètres!$A$1:$I$88,7,0))</f>
        <v>0</v>
      </c>
      <c r="DZ104" s="17">
        <f>IF(ISNA(VLOOKUP(A104,'Données projet'!$A$165:$I$185,7,0)),0%,VLOOKUP(A104,'Données projet'!$A$165:$I$185,7,0))</f>
        <v>0</v>
      </c>
      <c r="EA104" s="23">
        <f>EXP(-LN(2)/35)*EA103+(1-EXP(-LN(2)/35))/(LN(2)/35)*DW104*DX104*VLOOKUP('Données projet'!$B$9,Paramètres!$A$1:$I$88,3,0)*0.475*44/12</f>
        <v>0</v>
      </c>
      <c r="EB104" s="23">
        <f>EXP(-LN(2)/25)*EB103+(1-EXP(-LN(2)/25))/(LN(2)/25)*Calculateur!DW104*Calculateur!DY104*VLOOKUP('Données projet'!$B$9,Paramètres!$A$1:$I$88,3,0)*0.475*44/12</f>
        <v>0</v>
      </c>
      <c r="EC104" s="23">
        <f>EXP(-LN(2)/2)*EC103+(1-EXP(-LN(2)/2))/(LN(2)/2)*DW104*DZ104*VLOOKUP('Données projet'!$B$9,Paramètres!$A$1:$I$88,3,0)*0.475*44/12</f>
        <v>0</v>
      </c>
      <c r="ED104" s="24">
        <f t="shared" si="78"/>
        <v>0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5.3</v>
      </c>
      <c r="EJ104" s="13">
        <f>IF(A104&lt;'Données projet'!$A$192,$EG$205^A104,IF(A104='Données projet'!$A$192,'Données projet'!$B$192,EJ103+EI104-ER103))</f>
        <v>232.29999999999984</v>
      </c>
      <c r="EK104" s="18">
        <f>EJ104*VLOOKUP('Données projet'!$B$15,Paramètres!$A$1:$I$88,3,0)*VLOOKUP('Données projet'!$B$15,Paramètres!$A$1:$I$88,5,0)</f>
        <v>108.71639999999994</v>
      </c>
      <c r="EL104" s="14">
        <f t="shared" si="103"/>
        <v>29.028352113363987</v>
      </c>
      <c r="EM104" s="22">
        <f t="shared" si="79"/>
        <v>239.90544326410884</v>
      </c>
      <c r="EN104" s="62">
        <f t="shared" si="80"/>
        <v>509.44630660232855</v>
      </c>
      <c r="EO104" s="62">
        <f ca="1">AVERAGE(OFFSET($EN$3,0,0,'Données projet'!$E$15+1,1))-AVERAGE(OFFSET($H$3,0,0,'Données projet'!$E$15+1,1))</f>
        <v>238.59014604384171</v>
      </c>
      <c r="EP104" s="62">
        <f t="shared" si="81"/>
        <v>90.841373219575217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projet'!$B$15,Paramètres!$A$1:$I$88,7,0))</f>
        <v>0</v>
      </c>
      <c r="ET104" s="17">
        <f>IF(ISNA(VLOOKUP(A104,'Données projet'!$A$191:$I$211,6,0)),0%,VLOOKUP(A104,'Données projet'!$A$191:$I$211,6,0)*VLOOKUP('Données projet'!$B$15,Paramètres!$A$1:$I$88,7,0))</f>
        <v>0</v>
      </c>
      <c r="EU104" s="17">
        <f>IF(ISNA(VLOOKUP(A104,'Données projet'!$A$191:$I$211,7,0)),0%,VLOOKUP(A104,'Données projet'!$A$191:$I$211,7,0))</f>
        <v>0</v>
      </c>
      <c r="EV104" s="23">
        <f>EXP(-LN(2)/35)*EV103+(1-EXP(-LN(2)/35))/(LN(2)/35)*ER104*ES104*VLOOKUP('Données projet'!$B$9,Paramètres!$A$1:$I$88,3,0)*0.475*44/12</f>
        <v>0</v>
      </c>
      <c r="EW104" s="23">
        <f>EXP(-LN(2)/25)*EW103+(1-EXP(-LN(2)/25))/(LN(2)/25)*Calculateur!ER104*Calculateur!ET104*VLOOKUP('Données projet'!$B$9,Paramètres!$A$1:$I$88,3,0)*0.475*44/12</f>
        <v>0</v>
      </c>
      <c r="EX104" s="23">
        <f>EXP(-LN(2)/2)*EX103+(1-EXP(-LN(2)/2))/(LN(2)/2)*ER104*EU104*VLOOKUP('Données projet'!$B$9,Paramètres!$A$1:$I$88,3,0)*0.475*44/12</f>
        <v>0</v>
      </c>
      <c r="EY104" s="24">
        <f t="shared" si="82"/>
        <v>0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IF(A104&lt;'Données projet'!$A$218,$FB$205^A104,IF(A104='Données projet'!$A$218,'Données projet'!$B$218,FE103+FD104-FM103))</f>
        <v>0</v>
      </c>
      <c r="FF104" s="18" t="e">
        <f>FE104*VLOOKUP('Données projet'!$B$16,Paramètres!$A$1:$I$88,3,0)*VLOOKUP('Données projet'!$B$16,Paramètres!$A$1:$I$88,5,0)</f>
        <v>#N/A</v>
      </c>
      <c r="FG104" s="14" t="e">
        <f t="shared" si="104"/>
        <v>#N/A</v>
      </c>
      <c r="FH104" s="22" t="e">
        <f t="shared" si="83"/>
        <v>#N/A</v>
      </c>
      <c r="FI104" s="62" t="e">
        <f t="shared" si="84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85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projet'!$B$16,Paramètres!$A$1:$I$88,7,0))</f>
        <v>0</v>
      </c>
      <c r="FO104" s="17">
        <f>IF(ISNA(VLOOKUP(A104,'Données projet'!$A$217:$I$237,6,0)),0%,VLOOKUP(A104,'Données projet'!$A$217:$I$237,6,0)*VLOOKUP('Données projet'!$B$16,Paramètres!$A$1:$I$88,7,0))</f>
        <v>0</v>
      </c>
      <c r="FP104" s="17">
        <f>IF(ISNA(VLOOKUP(A104,'Données projet'!$A$217:$I$237,7,0)),0%,VLOOKUP(A104,'Données projet'!$A$217:$I$237,7,0))</f>
        <v>0</v>
      </c>
      <c r="FQ104" s="23">
        <f>EXP(-LN(2)/35)*FQ103+(1-EXP(-LN(2)/35))/(LN(2)/35)*FM104*FN104*VLOOKUP('Données projet'!$B$9,Paramètres!$A$1:$I$88,3,0)*0.475*44/12</f>
        <v>0</v>
      </c>
      <c r="FR104" s="23">
        <f>EXP(-LN(2)/25)*FR103+(1-EXP(-LN(2)/25))/(LN(2)/25)*Calculateur!FM104*Calculateur!FO104*VLOOKUP('Données projet'!$B$9,Paramètres!$A$1:$I$88,3,0)*0.475*44/12</f>
        <v>0</v>
      </c>
      <c r="FS104" s="23">
        <f>EXP(-LN(2)/2)*FS103+(1-EXP(-LN(2)/2))/(LN(2)/2)*FM104*FP104*VLOOKUP('Données projet'!$B$9,Paramètres!$A$1:$I$88,3,0)*0.475*44/12</f>
        <v>0</v>
      </c>
      <c r="FT104" s="24">
        <f t="shared" si="86"/>
        <v>0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IF(A104&lt;'Données projet'!$A$244,$FW$205^A104,IF(A104='Données projet'!$A$244,'Données projet'!$B$244,FZ103+FY104-GH103))</f>
        <v>0</v>
      </c>
      <c r="GA104" s="18" t="e">
        <f>FZ104*VLOOKUP('Données projet'!$B$17,Paramètres!$A$1:$I$88,3,0)*VLOOKUP('Données projet'!$B$17,Paramètres!$A$1:$I$88,5,0)</f>
        <v>#N/A</v>
      </c>
      <c r="GB104" s="14" t="e">
        <f t="shared" si="105"/>
        <v>#N/A</v>
      </c>
      <c r="GC104" s="22" t="e">
        <f t="shared" si="87"/>
        <v>#N/A</v>
      </c>
      <c r="GD104" s="62" t="e">
        <f t="shared" si="88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89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projet'!$B$17,Paramètres!$A$1:$I$88,7,0))</f>
        <v>0</v>
      </c>
      <c r="GJ104" s="17">
        <f>IF(ISNA(VLOOKUP(A104,'Données projet'!$A$243:$I$263,6,0)),0%,VLOOKUP(A104,'Données projet'!$A$243:$I$263,6,0)*VLOOKUP('Données projet'!$B$17,Paramètres!$A$1:$I$88,7,0))</f>
        <v>0</v>
      </c>
      <c r="GK104" s="17">
        <f>IF(ISNA(VLOOKUP(A104,'Données projet'!$A$243:$I$263,7,0)),0%,VLOOKUP(A104,'Données projet'!$A$243:$I$263,7,0))</f>
        <v>0</v>
      </c>
      <c r="GL104" s="23">
        <f>EXP(-LN(2)/35)*GL103+(1-EXP(-LN(2)/35))/(LN(2)/35)*GH104*GI104*VLOOKUP('Données projet'!$B$9,Paramètres!$A$1:$I$88,3,0)*0.475*44/12</f>
        <v>0</v>
      </c>
      <c r="GM104" s="23">
        <f>EXP(-LN(2)/25)*GM103+(1-EXP(-LN(2)/25))/(LN(2)/25)*Calculateur!GH104*Calculateur!GJ104*VLOOKUP('Données projet'!$B$9,Paramètres!$A$1:$I$88,3,0)*0.475*44/12</f>
        <v>0</v>
      </c>
      <c r="GN104" s="23">
        <f>EXP(-LN(2)/2)*GN103+(1-EXP(-LN(2)/2))/(LN(2)/2)*GH104*GK104*VLOOKUP('Données projet'!$B$9,Paramètres!$A$1:$I$88,3,0)*0.475*44/12</f>
        <v>0</v>
      </c>
      <c r="GO104" s="23">
        <f t="shared" si="90"/>
        <v>0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IF(A104&lt;'Données projet'!$A$270,$GR$205^A104,IF(A104='Données projet'!$A$270,'Données projet'!$B$270,GU103+GT104-HC103))</f>
        <v>0</v>
      </c>
      <c r="GV104" s="18" t="e">
        <f>GU104*VLOOKUP('Données projet'!$B$18,Paramètres!$A$1:$I$88,3,0)*VLOOKUP('Données projet'!$B$18,Paramètres!$A$1:$I$88,5,0)</f>
        <v>#N/A</v>
      </c>
      <c r="GW104" s="14" t="e">
        <f t="shared" si="106"/>
        <v>#N/A</v>
      </c>
      <c r="GX104" s="22" t="e">
        <f t="shared" si="91"/>
        <v>#N/A</v>
      </c>
      <c r="GY104" s="62" t="e">
        <f t="shared" si="92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93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projet'!$B$18,Paramètres!$A$1:$I$88,7,0))</f>
        <v>0</v>
      </c>
      <c r="HE104" s="17">
        <f>IF(ISNA(VLOOKUP(A104,'Données projet'!$A$269:$I$289,6,0)),0%,VLOOKUP(A104,'Données projet'!$A$269:$I$289,6,0)*VLOOKUP('Données projet'!$B$18,Paramètres!$A$1:$I$88,7,0))</f>
        <v>0</v>
      </c>
      <c r="HF104" s="17">
        <f>IF(ISNA(VLOOKUP(A104,'Données projet'!$A$269:$I$289,7,0)),0%,VLOOKUP(A104,'Données projet'!$A$269:$I$289,7,0))</f>
        <v>0</v>
      </c>
      <c r="HG104" s="23">
        <f>EXP(-LN(2)/35)*HG103+(1-EXP(-LN(2)/35))/(LN(2)/35)*HC104*HD104*VLOOKUP('Données projet'!$B$9,Paramètres!$A$1:$I$88,3,0)*0.475*44/12</f>
        <v>0</v>
      </c>
      <c r="HH104" s="23">
        <f>EXP(-LN(2)/25)*HH103+(1-EXP(-LN(2)/25))/(LN(2)/25)*Calculateur!HC104*Calculateur!HE104*VLOOKUP('Données projet'!$B$9,Paramètres!$A$1:$I$88,3,0)*0.475*44/12</f>
        <v>0</v>
      </c>
      <c r="HI104" s="23">
        <f>EXP(-LN(2)/2)*HI103+(1-EXP(-LN(2)/2))/(LN(2)/2)*HC104*HF104*VLOOKUP('Données projet'!$B$9,Paramètres!$A$1:$I$88,3,0)*0.475*44/12</f>
        <v>0</v>
      </c>
      <c r="HJ104" s="24">
        <f t="shared" si="94"/>
        <v>0</v>
      </c>
    </row>
    <row r="105" spans="1:218" s="5" customFormat="1" x14ac:dyDescent="0.25">
      <c r="A105" s="11">
        <f t="shared" si="95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5" s="12">
        <f t="shared" si="9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57"/>
        <v>135.66666666666666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1.3833333333333342</v>
      </c>
      <c r="N105" s="14">
        <f>IF(A105&lt;'Données projet'!$A$36,$K$205^A105,IF(A105='Données projet'!$A$36,'Données projet'!$B$36,N104+M105-V104))</f>
        <v>105.4666666666666</v>
      </c>
      <c r="O105" s="14">
        <f>N105*VLOOKUP('Données projet'!$B$9,Paramètres!$A$1:$I$88,3,0)*VLOOKUP('Données projet'!$B$9,Paramètres!$A$1:$I$88,5,0)</f>
        <v>121.49759999999992</v>
      </c>
      <c r="P105" s="14">
        <f t="shared" si="97"/>
        <v>32.024037368927388</v>
      </c>
      <c r="Q105" s="22">
        <f t="shared" si="107"/>
        <v>267.38351841754837</v>
      </c>
      <c r="R105" s="62">
        <f t="shared" si="55"/>
        <v>537.33712791818914</v>
      </c>
      <c r="S105" s="62">
        <f ca="1">AVERAGE(OFFSET($R$3,0,0,'Données projet'!$E$9+1,1))-AVERAGE(OFFSET($H$3,0,0,'Données projet'!$E$9+1,1))</f>
        <v>314.72063458462026</v>
      </c>
      <c r="T105" s="62">
        <f t="shared" si="56"/>
        <v>216.4380325968244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projet'!$B$9,Paramètres!$A$1:$I$88,7,0))</f>
        <v>0</v>
      </c>
      <c r="X105" s="17">
        <f>IF(ISNA(VLOOKUP(A105,'Données projet'!$A$35:$I$55,6,0)),0%,VLOOKUP(A105,'Données projet'!$A$35:$I$55,6,0)*VLOOKUP('Données projet'!$B$9,Paramètres!$A$1:$I$88,7,0))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projet'!$B$9,Paramètres!$A$1:$I$88,3,0)*0.475*44/12</f>
        <v>0</v>
      </c>
      <c r="AA105" s="23">
        <f>EXP(-LN(2)/25)*AA104+(1-EXP(-LN(2)/25))/(LN(2)/25)*Calculateur!V105*Calculateur!X105*VLOOKUP('Données projet'!$B$9,Paramètres!$A$1:$I$88,3,0)*0.475*44/12</f>
        <v>0</v>
      </c>
      <c r="AB105" s="23">
        <f>EXP(-LN(2)/2)*AB104+(1-EXP(-LN(2)/2))/(LN(2)/2)*V105*Y105*VLOOKUP('Données projet'!$B$9,Paramètres!$A$1:$I$88,3,0)*0.475*44/12</f>
        <v>0</v>
      </c>
      <c r="AC105" s="24">
        <f t="shared" si="58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2.9</v>
      </c>
      <c r="AI105" s="14">
        <f>IF(A105&lt;'Données projet'!$A$62,$AF$205^A105,IF(A105='Données projet'!$A$62,'Données projet'!$B$62,AI104+AH105-AQ104))</f>
        <v>235.79999999999998</v>
      </c>
      <c r="AJ105" s="14">
        <f>AI105*VLOOKUP('Données projet'!$B$10,Paramètres!$A$1:$I$88,3,0)*VLOOKUP('Données projet'!$B$10,Paramètres!$A$1:$I$88,5,0)</f>
        <v>246.45815999999999</v>
      </c>
      <c r="AK105" s="14">
        <f t="shared" si="98"/>
        <v>59.826880443868056</v>
      </c>
      <c r="AL105" s="22">
        <f t="shared" si="59"/>
        <v>533.44644543973675</v>
      </c>
      <c r="AM105" s="62">
        <f t="shared" si="60"/>
        <v>803.40005494037746</v>
      </c>
      <c r="AN105" s="62">
        <f ca="1">AVERAGE(OFFSET($AM$3,0,0,'Données projet'!$E$10+1,1))-AVERAGE(OFFSET($H$3,0,0,'Données projet'!$E$10+1,1))</f>
        <v>458.33072853676879</v>
      </c>
      <c r="AO105" s="62">
        <f t="shared" si="61"/>
        <v>254.1734169352687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projet'!$B$10,Paramètres!$A$1:$I$88,7,0))</f>
        <v>0</v>
      </c>
      <c r="AS105" s="17">
        <f>IF(ISNA(VLOOKUP(A105,'Données projet'!$A$61:$I$81,6,0)),0%,VLOOKUP(A105,'Données projet'!$A$61:$I$81,6,0)*VLOOKUP('Données projet'!$B$10,Paramètres!$A$1:$I$88,7,0))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projet'!$B$9,Paramètres!$A$1:$I$88,3,0)*0.475*44/12</f>
        <v>0</v>
      </c>
      <c r="AV105" s="23">
        <f>EXP(-LN(2)/25)*AV104+(1-EXP(-LN(2)/25))/(LN(2)/25)*Calculateur!AQ105*Calculateur!AS105*VLOOKUP('Données projet'!$B$9,Paramètres!$A$1:$I$88,3,0)*0.475*44/12</f>
        <v>0</v>
      </c>
      <c r="AW105" s="23">
        <f>EXP(-LN(2)/2)*AW104+(1-EXP(-LN(2)/2))/(LN(2)/2)*AQ105*AT105*VLOOKUP('Données projet'!$B$9,Paramètres!$A$1:$I$88,3,0)*0.475*44/12</f>
        <v>0</v>
      </c>
      <c r="AX105" s="23">
        <f t="shared" si="62"/>
        <v>0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2.9</v>
      </c>
      <c r="BD105" s="13">
        <f>IF(A105&lt;'Données projet'!$A$88,$BA$205^A105,IF(A105='Données projet'!$A$88,'Données projet'!$B$88,BD104+BC105-BL104))</f>
        <v>235.79999999999998</v>
      </c>
      <c r="BE105" s="14">
        <f>BD105*VLOOKUP('Données projet'!$B$11,Paramètres!$A$1:$I$88,3,0)*VLOOKUP('Données projet'!$B$11,Paramètres!$A$1:$I$88,5,0)</f>
        <v>239.10119999999998</v>
      </c>
      <c r="BF105" s="14">
        <f t="shared" si="99"/>
        <v>58.246107075777331</v>
      </c>
      <c r="BG105" s="22">
        <f t="shared" si="63"/>
        <v>517.87989315697871</v>
      </c>
      <c r="BH105" s="62">
        <f t="shared" si="64"/>
        <v>787.83350265761942</v>
      </c>
      <c r="BI105" s="62">
        <f ca="1">AVERAGE(OFFSET($BH$3,0,0,'Données projet'!$E$11+1,1))-AVERAGE(OFFSET($H$3,0,0,'Données projet'!$E$11+1,1))</f>
        <v>447.82618173893104</v>
      </c>
      <c r="BJ105" s="62">
        <f t="shared" si="65"/>
        <v>248.96509970783379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projet'!$B$11,Paramètres!$A$1:$I$88,7,0))</f>
        <v>0</v>
      </c>
      <c r="BN105" s="17">
        <f>IF(ISNA(VLOOKUP(A105,'Données projet'!$A$87:$I$107,6,0)),0%,VLOOKUP(A105,'Données projet'!$A$87:$I$107,6,0)*VLOOKUP('Données projet'!$B$11,Paramètres!$A$1:$I$88,7,0))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projet'!$B$9,Paramètres!$A$1:$I$88,3,0)*0.475*44/12</f>
        <v>0</v>
      </c>
      <c r="BQ105" s="23">
        <f>EXP(-LN(2)/25)*BQ104+(1-EXP(-LN(2)/25))/(LN(2)/25)*Calculateur!BL105*Calculateur!BN105*VLOOKUP('Données projet'!$B$9,Paramètres!$A$1:$I$88,3,0)*0.475*44/12</f>
        <v>0</v>
      </c>
      <c r="BR105" s="23">
        <f>EXP(-LN(2)/2)*BR104+(1-EXP(-LN(2)/2))/(LN(2)/2)*BL105*BO105*VLOOKUP('Données projet'!$B$9,Paramètres!$A$1:$I$88,3,0)*0.475*44/12</f>
        <v>0</v>
      </c>
      <c r="BS105" s="24">
        <f t="shared" si="66"/>
        <v>0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2.9</v>
      </c>
      <c r="BY105" s="13">
        <f>IF(A105&lt;'Données projet'!$A$114,$BV$205^A105,IF(A105='Données projet'!$A$114,'Données projet'!$B$114,BY104+BX105-CG104))</f>
        <v>235.79999999999998</v>
      </c>
      <c r="BZ105" s="14">
        <f>BY105*VLOOKUP('Données projet'!$B$12,Paramètres!$A$1:$I$88,3,0)*VLOOKUP('Données projet'!$B$12,Paramètres!$A$1:$I$88,5,0)</f>
        <v>253.81511999999995</v>
      </c>
      <c r="CA105" s="14">
        <f t="shared" si="100"/>
        <v>61.402169885153235</v>
      </c>
      <c r="CB105" s="22">
        <f t="shared" si="67"/>
        <v>549.00344654997514</v>
      </c>
      <c r="CC105" s="62">
        <f t="shared" si="68"/>
        <v>818.95705605061585</v>
      </c>
      <c r="CD105" s="62">
        <f ca="1">AVERAGE(OFFSET($CC$3,0,0,'Données projet'!$E$12+1,1))-AVERAGE(OFFSET($H$3,0,0,'Données projet'!$E$12+1,1))</f>
        <v>468.82871618425406</v>
      </c>
      <c r="CE105" s="62">
        <f t="shared" si="69"/>
        <v>259.37818128554397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projet'!$B$12,Paramètres!$A$1:$I$88,7,0))</f>
        <v>0</v>
      </c>
      <c r="CI105" s="17">
        <f>IF(ISNA(VLOOKUP(A105,'Données projet'!$A$113:$I$133,6,0)),0%,VLOOKUP(A105,'Données projet'!$A$113:$I$133,6,0)*VLOOKUP('Données projet'!$B$12,Paramètres!$A$1:$I$88,7,0))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projet'!$B$9,Paramètres!$A$1:$I$88,3,0)*0.475*44/12</f>
        <v>0</v>
      </c>
      <c r="CL105" s="23">
        <f>EXP(-LN(2)/25)*CL104+(1-EXP(-LN(2)/25))/(LN(2)/25)*Calculateur!CG105*Calculateur!CI105*VLOOKUP('Données projet'!$B$9,Paramètres!$A$1:$I$88,3,0)*0.475*44/12</f>
        <v>0</v>
      </c>
      <c r="CM105" s="23">
        <f>EXP(-LN(2)/2)*CM104+(1-EXP(-LN(2)/2))/(LN(2)/2)*CG105*CJ105*VLOOKUP('Données projet'!$B$9,Paramètres!$A$1:$I$88,3,0)*0.475*44/12</f>
        <v>0</v>
      </c>
      <c r="CN105" s="24">
        <f t="shared" si="70"/>
        <v>0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2.9</v>
      </c>
      <c r="CT105" s="13">
        <f>IF(A105&lt;'Données projet'!$A$140,$CQ$205^A105,IF(A105='Données projet'!$A$140,'Données projet'!$B$140,CT104+CS105-DB104))</f>
        <v>235.79999999999998</v>
      </c>
      <c r="CU105" s="18">
        <f>CT105*VLOOKUP('Données projet'!$B$13,Paramètres!$A$1:$I$88,3,0)*VLOOKUP('Données projet'!$B$13,Paramètres!$A$1:$I$88,5,0)</f>
        <v>202.31640000000002</v>
      </c>
      <c r="CV105" s="14">
        <f t="shared" si="101"/>
        <v>50.252900651793567</v>
      </c>
      <c r="CW105" s="22">
        <f t="shared" si="71"/>
        <v>439.89153196854045</v>
      </c>
      <c r="CX105" s="62">
        <f t="shared" si="72"/>
        <v>709.84514146918127</v>
      </c>
      <c r="CY105" s="62">
        <f ca="1">AVERAGE(OFFSET($CX$3,0,0,'Données projet'!$E$13+1,1))-AVERAGE(OFFSET($H$3,0,0,'Données projet'!$E$13+1,1))</f>
        <v>395.19659151668884</v>
      </c>
      <c r="CZ105" s="62">
        <f t="shared" si="73"/>
        <v>222.86563304507339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projet'!$B$13,Paramètres!$A$1:$I$88,7,0))</f>
        <v>0</v>
      </c>
      <c r="DD105" s="17">
        <f>IF(ISNA(VLOOKUP(A105,'Données projet'!$A$139:$I$159,6,0)),0%,VLOOKUP(A105,'Données projet'!$A$139:$I$159,6,0)*VLOOKUP('Données projet'!$B$13,Paramètres!$A$1:$I$88,7,0))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projet'!$B$9,Paramètres!$A$1:$I$88,3,0)*0.475*44/12</f>
        <v>0</v>
      </c>
      <c r="DG105" s="23">
        <f>EXP(-LN(2)/25)*DG104+(1-EXP(-LN(2)/25))/(LN(2)/25)*Calculateur!DB105*Calculateur!DD105*VLOOKUP('Données projet'!$B$9,Paramètres!$A$1:$I$88,3,0)*0.475*44/12</f>
        <v>0</v>
      </c>
      <c r="DH105" s="23">
        <f>EXP(-LN(2)/2)*DH104+(1-EXP(-LN(2)/2))/(LN(2)/2)*DB105*DE105*VLOOKUP('Données projet'!$B$9,Paramètres!$A$1:$I$88,3,0)*0.475*44/12</f>
        <v>0</v>
      </c>
      <c r="DI105" s="24">
        <f t="shared" si="74"/>
        <v>0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IF(A105&lt;'Données projet'!$A$166,$DL$205^A105,IF(A105='Données projet'!$A$166,'Données projet'!$B$166,DO104+DN105-DW104))</f>
        <v>-8.5265128291212022E-14</v>
      </c>
      <c r="DP105" s="18">
        <f>DO105*VLOOKUP('Données projet'!$B$14,Paramètres!$A$1:$I$88,3,0)*VLOOKUP('Données projet'!$B$14,Paramètres!$A$1:$I$88,5,0)</f>
        <v>-4.9880100050359036E-14</v>
      </c>
      <c r="DQ105" s="14" t="e">
        <f t="shared" si="102"/>
        <v>#NUM!</v>
      </c>
      <c r="DR105" s="22" t="e">
        <f t="shared" si="75"/>
        <v>#NUM!</v>
      </c>
      <c r="DS105" s="62" t="e">
        <f t="shared" si="76"/>
        <v>#NUM!</v>
      </c>
      <c r="DT105" s="62">
        <f ca="1">AVERAGE(OFFSET($DS$3,0,0,'Données projet'!$E$14+1,1))-AVERAGE(OFFSET($H$3,0,0,'Données projet'!$E$14+1,1))</f>
        <v>155.18073137151848</v>
      </c>
      <c r="DU105" s="62">
        <f t="shared" si="77"/>
        <v>115.19459155667272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projet'!$B$14,Paramètres!$A$1:$I$88,7,0))</f>
        <v>0</v>
      </c>
      <c r="DY105" s="17">
        <f>IF(ISNA(VLOOKUP(A105,'Données projet'!$A$165:$I$185,6,0)),0%,VLOOKUP(A105,'Données projet'!$A$165:$I$185,6,0)*VLOOKUP('Données projet'!$B$14,Paramètres!$A$1:$I$88,7,0))</f>
        <v>0</v>
      </c>
      <c r="DZ105" s="17">
        <f>IF(ISNA(VLOOKUP(A105,'Données projet'!$A$165:$I$185,7,0)),0%,VLOOKUP(A105,'Données projet'!$A$165:$I$185,7,0))</f>
        <v>0</v>
      </c>
      <c r="EA105" s="23">
        <f>EXP(-LN(2)/35)*EA104+(1-EXP(-LN(2)/35))/(LN(2)/35)*DW105*DX105*VLOOKUP('Données projet'!$B$9,Paramètres!$A$1:$I$88,3,0)*0.475*44/12</f>
        <v>0</v>
      </c>
      <c r="EB105" s="23">
        <f>EXP(-LN(2)/25)*EB104+(1-EXP(-LN(2)/25))/(LN(2)/25)*Calculateur!DW105*Calculateur!DY105*VLOOKUP('Données projet'!$B$9,Paramètres!$A$1:$I$88,3,0)*0.475*44/12</f>
        <v>0</v>
      </c>
      <c r="EC105" s="23">
        <f>EXP(-LN(2)/2)*EC104+(1-EXP(-LN(2)/2))/(LN(2)/2)*DW105*DZ105*VLOOKUP('Données projet'!$B$9,Paramètres!$A$1:$I$88,3,0)*0.475*44/12</f>
        <v>0</v>
      </c>
      <c r="ED105" s="24">
        <f t="shared" si="78"/>
        <v>0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5.3</v>
      </c>
      <c r="EJ105" s="13">
        <f>IF(A105&lt;'Données projet'!$A$192,$EG$205^A105,IF(A105='Données projet'!$A$192,'Données projet'!$B$192,EJ104+EI105-ER104))</f>
        <v>237.59999999999985</v>
      </c>
      <c r="EK105" s="18">
        <f>EJ105*VLOOKUP('Données projet'!$B$15,Paramètres!$A$1:$I$88,3,0)*VLOOKUP('Données projet'!$B$15,Paramètres!$A$1:$I$88,5,0)</f>
        <v>111.19679999999993</v>
      </c>
      <c r="EL105" s="14">
        <f t="shared" si="103"/>
        <v>29.612782154697104</v>
      </c>
      <c r="EM105" s="22">
        <f t="shared" si="79"/>
        <v>245.24335558609732</v>
      </c>
      <c r="EN105" s="62">
        <f t="shared" si="80"/>
        <v>515.19696508673815</v>
      </c>
      <c r="EO105" s="62">
        <f ca="1">AVERAGE(OFFSET($EN$3,0,0,'Données projet'!$E$15+1,1))-AVERAGE(OFFSET($H$3,0,0,'Données projet'!$E$15+1,1))</f>
        <v>238.59014604384171</v>
      </c>
      <c r="EP105" s="62">
        <f t="shared" si="81"/>
        <v>90.841373219575217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projet'!$B$15,Paramètres!$A$1:$I$88,7,0))</f>
        <v>0</v>
      </c>
      <c r="ET105" s="17">
        <f>IF(ISNA(VLOOKUP(A105,'Données projet'!$A$191:$I$211,6,0)),0%,VLOOKUP(A105,'Données projet'!$A$191:$I$211,6,0)*VLOOKUP('Données projet'!$B$15,Paramètres!$A$1:$I$88,7,0))</f>
        <v>0</v>
      </c>
      <c r="EU105" s="17">
        <f>IF(ISNA(VLOOKUP(A105,'Données projet'!$A$191:$I$211,7,0)),0%,VLOOKUP(A105,'Données projet'!$A$191:$I$211,7,0))</f>
        <v>0</v>
      </c>
      <c r="EV105" s="23">
        <f>EXP(-LN(2)/35)*EV104+(1-EXP(-LN(2)/35))/(LN(2)/35)*ER105*ES105*VLOOKUP('Données projet'!$B$9,Paramètres!$A$1:$I$88,3,0)*0.475*44/12</f>
        <v>0</v>
      </c>
      <c r="EW105" s="23">
        <f>EXP(-LN(2)/25)*EW104+(1-EXP(-LN(2)/25))/(LN(2)/25)*Calculateur!ER105*Calculateur!ET105*VLOOKUP('Données projet'!$B$9,Paramètres!$A$1:$I$88,3,0)*0.475*44/12</f>
        <v>0</v>
      </c>
      <c r="EX105" s="23">
        <f>EXP(-LN(2)/2)*EX104+(1-EXP(-LN(2)/2))/(LN(2)/2)*ER105*EU105*VLOOKUP('Données projet'!$B$9,Paramètres!$A$1:$I$88,3,0)*0.475*44/12</f>
        <v>0</v>
      </c>
      <c r="EY105" s="24">
        <f t="shared" si="82"/>
        <v>0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IF(A105&lt;'Données projet'!$A$218,$FB$205^A105,IF(A105='Données projet'!$A$218,'Données projet'!$B$218,FE104+FD105-FM104))</f>
        <v>0</v>
      </c>
      <c r="FF105" s="18" t="e">
        <f>FE105*VLOOKUP('Données projet'!$B$16,Paramètres!$A$1:$I$88,3,0)*VLOOKUP('Données projet'!$B$16,Paramètres!$A$1:$I$88,5,0)</f>
        <v>#N/A</v>
      </c>
      <c r="FG105" s="14" t="e">
        <f t="shared" si="104"/>
        <v>#N/A</v>
      </c>
      <c r="FH105" s="22" t="e">
        <f t="shared" si="83"/>
        <v>#N/A</v>
      </c>
      <c r="FI105" s="62" t="e">
        <f t="shared" si="84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85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projet'!$B$16,Paramètres!$A$1:$I$88,7,0))</f>
        <v>0</v>
      </c>
      <c r="FO105" s="17">
        <f>IF(ISNA(VLOOKUP(A105,'Données projet'!$A$217:$I$237,6,0)),0%,VLOOKUP(A105,'Données projet'!$A$217:$I$237,6,0)*VLOOKUP('Données projet'!$B$16,Paramètres!$A$1:$I$88,7,0))</f>
        <v>0</v>
      </c>
      <c r="FP105" s="17">
        <f>IF(ISNA(VLOOKUP(A105,'Données projet'!$A$217:$I$237,7,0)),0%,VLOOKUP(A105,'Données projet'!$A$217:$I$237,7,0))</f>
        <v>0</v>
      </c>
      <c r="FQ105" s="23">
        <f>EXP(-LN(2)/35)*FQ104+(1-EXP(-LN(2)/35))/(LN(2)/35)*FM105*FN105*VLOOKUP('Données projet'!$B$9,Paramètres!$A$1:$I$88,3,0)*0.475*44/12</f>
        <v>0</v>
      </c>
      <c r="FR105" s="23">
        <f>EXP(-LN(2)/25)*FR104+(1-EXP(-LN(2)/25))/(LN(2)/25)*Calculateur!FM105*Calculateur!FO105*VLOOKUP('Données projet'!$B$9,Paramètres!$A$1:$I$88,3,0)*0.475*44/12</f>
        <v>0</v>
      </c>
      <c r="FS105" s="23">
        <f>EXP(-LN(2)/2)*FS104+(1-EXP(-LN(2)/2))/(LN(2)/2)*FM105*FP105*VLOOKUP('Données projet'!$B$9,Paramètres!$A$1:$I$88,3,0)*0.475*44/12</f>
        <v>0</v>
      </c>
      <c r="FT105" s="24">
        <f t="shared" si="86"/>
        <v>0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IF(A105&lt;'Données projet'!$A$244,$FW$205^A105,IF(A105='Données projet'!$A$244,'Données projet'!$B$244,FZ104+FY105-GH104))</f>
        <v>0</v>
      </c>
      <c r="GA105" s="18" t="e">
        <f>FZ105*VLOOKUP('Données projet'!$B$17,Paramètres!$A$1:$I$88,3,0)*VLOOKUP('Données projet'!$B$17,Paramètres!$A$1:$I$88,5,0)</f>
        <v>#N/A</v>
      </c>
      <c r="GB105" s="14" t="e">
        <f t="shared" si="105"/>
        <v>#N/A</v>
      </c>
      <c r="GC105" s="22" t="e">
        <f t="shared" si="87"/>
        <v>#N/A</v>
      </c>
      <c r="GD105" s="62" t="e">
        <f t="shared" si="88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89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projet'!$B$17,Paramètres!$A$1:$I$88,7,0))</f>
        <v>0</v>
      </c>
      <c r="GJ105" s="17">
        <f>IF(ISNA(VLOOKUP(A105,'Données projet'!$A$243:$I$263,6,0)),0%,VLOOKUP(A105,'Données projet'!$A$243:$I$263,6,0)*VLOOKUP('Données projet'!$B$17,Paramètres!$A$1:$I$88,7,0))</f>
        <v>0</v>
      </c>
      <c r="GK105" s="17">
        <f>IF(ISNA(VLOOKUP(A105,'Données projet'!$A$243:$I$263,7,0)),0%,VLOOKUP(A105,'Données projet'!$A$243:$I$263,7,0))</f>
        <v>0</v>
      </c>
      <c r="GL105" s="23">
        <f>EXP(-LN(2)/35)*GL104+(1-EXP(-LN(2)/35))/(LN(2)/35)*GH105*GI105*VLOOKUP('Données projet'!$B$9,Paramètres!$A$1:$I$88,3,0)*0.475*44/12</f>
        <v>0</v>
      </c>
      <c r="GM105" s="23">
        <f>EXP(-LN(2)/25)*GM104+(1-EXP(-LN(2)/25))/(LN(2)/25)*Calculateur!GH105*Calculateur!GJ105*VLOOKUP('Données projet'!$B$9,Paramètres!$A$1:$I$88,3,0)*0.475*44/12</f>
        <v>0</v>
      </c>
      <c r="GN105" s="23">
        <f>EXP(-LN(2)/2)*GN104+(1-EXP(-LN(2)/2))/(LN(2)/2)*GH105*GK105*VLOOKUP('Données projet'!$B$9,Paramètres!$A$1:$I$88,3,0)*0.475*44/12</f>
        <v>0</v>
      </c>
      <c r="GO105" s="23">
        <f t="shared" si="90"/>
        <v>0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IF(A105&lt;'Données projet'!$A$270,$GR$205^A105,IF(A105='Données projet'!$A$270,'Données projet'!$B$270,GU104+GT105-HC104))</f>
        <v>0</v>
      </c>
      <c r="GV105" s="18" t="e">
        <f>GU105*VLOOKUP('Données projet'!$B$18,Paramètres!$A$1:$I$88,3,0)*VLOOKUP('Données projet'!$B$18,Paramètres!$A$1:$I$88,5,0)</f>
        <v>#N/A</v>
      </c>
      <c r="GW105" s="14" t="e">
        <f t="shared" si="106"/>
        <v>#N/A</v>
      </c>
      <c r="GX105" s="22" t="e">
        <f t="shared" si="91"/>
        <v>#N/A</v>
      </c>
      <c r="GY105" s="62" t="e">
        <f t="shared" si="92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93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projet'!$B$18,Paramètres!$A$1:$I$88,7,0))</f>
        <v>0</v>
      </c>
      <c r="HE105" s="17">
        <f>IF(ISNA(VLOOKUP(A105,'Données projet'!$A$269:$I$289,6,0)),0%,VLOOKUP(A105,'Données projet'!$A$269:$I$289,6,0)*VLOOKUP('Données projet'!$B$18,Paramètres!$A$1:$I$88,7,0))</f>
        <v>0</v>
      </c>
      <c r="HF105" s="17">
        <f>IF(ISNA(VLOOKUP(A105,'Données projet'!$A$269:$I$289,7,0)),0%,VLOOKUP(A105,'Données projet'!$A$269:$I$289,7,0))</f>
        <v>0</v>
      </c>
      <c r="HG105" s="23">
        <f>EXP(-LN(2)/35)*HG104+(1-EXP(-LN(2)/35))/(LN(2)/35)*HC105*HD105*VLOOKUP('Données projet'!$B$9,Paramètres!$A$1:$I$88,3,0)*0.475*44/12</f>
        <v>0</v>
      </c>
      <c r="HH105" s="23">
        <f>EXP(-LN(2)/25)*HH104+(1-EXP(-LN(2)/25))/(LN(2)/25)*Calculateur!HC105*Calculateur!HE105*VLOOKUP('Données projet'!$B$9,Paramètres!$A$1:$I$88,3,0)*0.475*44/12</f>
        <v>0</v>
      </c>
      <c r="HI105" s="23">
        <f>EXP(-LN(2)/2)*HI104+(1-EXP(-LN(2)/2))/(LN(2)/2)*HC105*HF105*VLOOKUP('Données projet'!$B$9,Paramètres!$A$1:$I$88,3,0)*0.475*44/12</f>
        <v>0</v>
      </c>
      <c r="HJ105" s="24">
        <f t="shared" si="94"/>
        <v>0</v>
      </c>
    </row>
    <row r="106" spans="1:218" s="5" customFormat="1" x14ac:dyDescent="0.25">
      <c r="A106" s="11">
        <f t="shared" si="95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6" s="12">
        <f t="shared" si="9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57"/>
        <v>135.66666666666666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1.3833333333333342</v>
      </c>
      <c r="N106" s="14">
        <f>IF(A106&lt;'Données projet'!$A$36,$K$205^A106,IF(A106='Données projet'!$A$36,'Données projet'!$B$36,N105+M106-V105))</f>
        <v>106.84999999999994</v>
      </c>
      <c r="O106" s="14">
        <f>N106*VLOOKUP('Données projet'!$B$9,Paramètres!$A$1:$I$88,3,0)*VLOOKUP('Données projet'!$B$9,Paramètres!$A$1:$I$88,5,0)</f>
        <v>123.09119999999992</v>
      </c>
      <c r="P106" s="14">
        <f t="shared" si="97"/>
        <v>32.394900249819841</v>
      </c>
      <c r="Q106" s="22">
        <f t="shared" si="107"/>
        <v>270.80495793510266</v>
      </c>
      <c r="R106" s="62">
        <f t="shared" si="55"/>
        <v>541.16415337500871</v>
      </c>
      <c r="S106" s="62">
        <f ca="1">AVERAGE(OFFSET($R$3,0,0,'Données projet'!$E$9+1,1))-AVERAGE(OFFSET($H$3,0,0,'Données projet'!$E$9+1,1))</f>
        <v>314.72063458462026</v>
      </c>
      <c r="T106" s="62">
        <f t="shared" si="56"/>
        <v>216.4380325968244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projet'!$B$9,Paramètres!$A$1:$I$88,7,0))</f>
        <v>0</v>
      </c>
      <c r="X106" s="17">
        <f>IF(ISNA(VLOOKUP(A106,'Données projet'!$A$35:$I$55,6,0)),0%,VLOOKUP(A106,'Données projet'!$A$35:$I$55,6,0)*VLOOKUP('Données projet'!$B$9,Paramètres!$A$1:$I$88,7,0))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projet'!$B$9,Paramètres!$A$1:$I$88,3,0)*0.475*44/12</f>
        <v>0</v>
      </c>
      <c r="AA106" s="23">
        <f>EXP(-LN(2)/25)*AA105+(1-EXP(-LN(2)/25))/(LN(2)/25)*Calculateur!V106*Calculateur!X106*VLOOKUP('Données projet'!$B$9,Paramètres!$A$1:$I$88,3,0)*0.475*44/12</f>
        <v>0</v>
      </c>
      <c r="AB106" s="23">
        <f>EXP(-LN(2)/2)*AB105+(1-EXP(-LN(2)/2))/(LN(2)/2)*V106*Y106*VLOOKUP('Données projet'!$B$9,Paramètres!$A$1:$I$88,3,0)*0.475*44/12</f>
        <v>0</v>
      </c>
      <c r="AC106" s="24">
        <f t="shared" si="58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2.9</v>
      </c>
      <c r="AI106" s="14">
        <f>IF(A106&lt;'Données projet'!$A$62,$AF$205^A106,IF(A106='Données projet'!$A$62,'Données projet'!$B$62,AI105+AH106-AQ105))</f>
        <v>238.7</v>
      </c>
      <c r="AJ106" s="14">
        <f>AI106*VLOOKUP('Données projet'!$B$10,Paramètres!$A$1:$I$88,3,0)*VLOOKUP('Données projet'!$B$10,Paramètres!$A$1:$I$88,5,0)</f>
        <v>249.48924000000002</v>
      </c>
      <c r="AK106" s="14">
        <f t="shared" si="98"/>
        <v>60.476556270899195</v>
      </c>
      <c r="AL106" s="22">
        <f t="shared" si="59"/>
        <v>539.85709517181601</v>
      </c>
      <c r="AM106" s="62">
        <f t="shared" si="60"/>
        <v>810.216290611722</v>
      </c>
      <c r="AN106" s="62">
        <f ca="1">AVERAGE(OFFSET($AM$3,0,0,'Données projet'!$E$10+1,1))-AVERAGE(OFFSET($H$3,0,0,'Données projet'!$E$10+1,1))</f>
        <v>458.33072853676879</v>
      </c>
      <c r="AO106" s="62">
        <f t="shared" si="61"/>
        <v>254.1734169352687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projet'!$B$10,Paramètres!$A$1:$I$88,7,0))</f>
        <v>0</v>
      </c>
      <c r="AS106" s="17">
        <f>IF(ISNA(VLOOKUP(A106,'Données projet'!$A$61:$I$81,6,0)),0%,VLOOKUP(A106,'Données projet'!$A$61:$I$81,6,0)*VLOOKUP('Données projet'!$B$10,Paramètres!$A$1:$I$88,7,0))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projet'!$B$9,Paramètres!$A$1:$I$88,3,0)*0.475*44/12</f>
        <v>0</v>
      </c>
      <c r="AV106" s="23">
        <f>EXP(-LN(2)/25)*AV105+(1-EXP(-LN(2)/25))/(LN(2)/25)*Calculateur!AQ106*Calculateur!AS106*VLOOKUP('Données projet'!$B$9,Paramètres!$A$1:$I$88,3,0)*0.475*44/12</f>
        <v>0</v>
      </c>
      <c r="AW106" s="23">
        <f>EXP(-LN(2)/2)*AW105+(1-EXP(-LN(2)/2))/(LN(2)/2)*AQ106*AT106*VLOOKUP('Données projet'!$B$9,Paramètres!$A$1:$I$88,3,0)*0.475*44/12</f>
        <v>0</v>
      </c>
      <c r="AX106" s="23">
        <f t="shared" si="62"/>
        <v>0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2.9</v>
      </c>
      <c r="BD106" s="13">
        <f>IF(A106&lt;'Données projet'!$A$88,$BA$205^A106,IF(A106='Données projet'!$A$88,'Données projet'!$B$88,BD105+BC106-BL105))</f>
        <v>238.7</v>
      </c>
      <c r="BE106" s="14">
        <f>BD106*VLOOKUP('Données projet'!$B$11,Paramètres!$A$1:$I$88,3,0)*VLOOKUP('Données projet'!$B$11,Paramètres!$A$1:$I$88,5,0)</f>
        <v>242.04180000000002</v>
      </c>
      <c r="BF106" s="14">
        <f t="shared" si="99"/>
        <v>58.878616869118531</v>
      </c>
      <c r="BG106" s="22">
        <f t="shared" si="63"/>
        <v>524.10305938038141</v>
      </c>
      <c r="BH106" s="62">
        <f t="shared" si="64"/>
        <v>794.4622548202874</v>
      </c>
      <c r="BI106" s="62">
        <f ca="1">AVERAGE(OFFSET($BH$3,0,0,'Données projet'!$E$11+1,1))-AVERAGE(OFFSET($H$3,0,0,'Données projet'!$E$11+1,1))</f>
        <v>447.82618173893104</v>
      </c>
      <c r="BJ106" s="62">
        <f t="shared" si="65"/>
        <v>248.96509970783379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projet'!$B$11,Paramètres!$A$1:$I$88,7,0))</f>
        <v>0</v>
      </c>
      <c r="BN106" s="17">
        <f>IF(ISNA(VLOOKUP(A106,'Données projet'!$A$87:$I$107,6,0)),0%,VLOOKUP(A106,'Données projet'!$A$87:$I$107,6,0)*VLOOKUP('Données projet'!$B$11,Paramètres!$A$1:$I$88,7,0))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projet'!$B$9,Paramètres!$A$1:$I$88,3,0)*0.475*44/12</f>
        <v>0</v>
      </c>
      <c r="BQ106" s="23">
        <f>EXP(-LN(2)/25)*BQ105+(1-EXP(-LN(2)/25))/(LN(2)/25)*Calculateur!BL106*Calculateur!BN106*VLOOKUP('Données projet'!$B$9,Paramètres!$A$1:$I$88,3,0)*0.475*44/12</f>
        <v>0</v>
      </c>
      <c r="BR106" s="23">
        <f>EXP(-LN(2)/2)*BR105+(1-EXP(-LN(2)/2))/(LN(2)/2)*BL106*BO106*VLOOKUP('Données projet'!$B$9,Paramètres!$A$1:$I$88,3,0)*0.475*44/12</f>
        <v>0</v>
      </c>
      <c r="BS106" s="24">
        <f t="shared" si="66"/>
        <v>0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2.9</v>
      </c>
      <c r="BY106" s="13">
        <f>IF(A106&lt;'Données projet'!$A$114,$BV$205^A106,IF(A106='Données projet'!$A$114,'Données projet'!$B$114,BY105+BX106-CG105))</f>
        <v>238.7</v>
      </c>
      <c r="BZ106" s="14">
        <f>BY106*VLOOKUP('Données projet'!$B$12,Paramètres!$A$1:$I$88,3,0)*VLOOKUP('Données projet'!$B$12,Paramètres!$A$1:$I$88,5,0)</f>
        <v>256.93667999999997</v>
      </c>
      <c r="CA106" s="14">
        <f t="shared" si="100"/>
        <v>62.068952194471052</v>
      </c>
      <c r="CB106" s="22">
        <f t="shared" si="67"/>
        <v>555.60147607203692</v>
      </c>
      <c r="CC106" s="62">
        <f t="shared" si="68"/>
        <v>825.96067151194291</v>
      </c>
      <c r="CD106" s="62">
        <f ca="1">AVERAGE(OFFSET($CC$3,0,0,'Données projet'!$E$12+1,1))-AVERAGE(OFFSET($H$3,0,0,'Données projet'!$E$12+1,1))</f>
        <v>468.82871618425406</v>
      </c>
      <c r="CE106" s="62">
        <f t="shared" si="69"/>
        <v>259.37818128554397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projet'!$B$12,Paramètres!$A$1:$I$88,7,0))</f>
        <v>0</v>
      </c>
      <c r="CI106" s="17">
        <f>IF(ISNA(VLOOKUP(A106,'Données projet'!$A$113:$I$133,6,0)),0%,VLOOKUP(A106,'Données projet'!$A$113:$I$133,6,0)*VLOOKUP('Données projet'!$B$12,Paramètres!$A$1:$I$88,7,0))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projet'!$B$9,Paramètres!$A$1:$I$88,3,0)*0.475*44/12</f>
        <v>0</v>
      </c>
      <c r="CL106" s="23">
        <f>EXP(-LN(2)/25)*CL105+(1-EXP(-LN(2)/25))/(LN(2)/25)*Calculateur!CG106*Calculateur!CI106*VLOOKUP('Données projet'!$B$9,Paramètres!$A$1:$I$88,3,0)*0.475*44/12</f>
        <v>0</v>
      </c>
      <c r="CM106" s="23">
        <f>EXP(-LN(2)/2)*CM105+(1-EXP(-LN(2)/2))/(LN(2)/2)*CG106*CJ106*VLOOKUP('Données projet'!$B$9,Paramètres!$A$1:$I$88,3,0)*0.475*44/12</f>
        <v>0</v>
      </c>
      <c r="CN106" s="24">
        <f t="shared" si="70"/>
        <v>0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2.9</v>
      </c>
      <c r="CT106" s="13">
        <f>IF(A106&lt;'Données projet'!$A$140,$CQ$205^A106,IF(A106='Données projet'!$A$140,'Données projet'!$B$140,CT105+CS106-DB105))</f>
        <v>238.7</v>
      </c>
      <c r="CU106" s="18">
        <f>CT106*VLOOKUP('Données projet'!$B$13,Paramètres!$A$1:$I$88,3,0)*VLOOKUP('Données projet'!$B$13,Paramètres!$A$1:$I$88,5,0)</f>
        <v>204.80459999999999</v>
      </c>
      <c r="CV106" s="14">
        <f t="shared" si="101"/>
        <v>50.798610114654437</v>
      </c>
      <c r="CW106" s="22">
        <f t="shared" si="71"/>
        <v>445.17559094968971</v>
      </c>
      <c r="CX106" s="62">
        <f t="shared" si="72"/>
        <v>715.53478638959564</v>
      </c>
      <c r="CY106" s="62">
        <f ca="1">AVERAGE(OFFSET($CX$3,0,0,'Données projet'!$E$13+1,1))-AVERAGE(OFFSET($H$3,0,0,'Données projet'!$E$13+1,1))</f>
        <v>395.19659151668884</v>
      </c>
      <c r="CZ106" s="62">
        <f t="shared" si="73"/>
        <v>222.86563304507339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projet'!$B$13,Paramètres!$A$1:$I$88,7,0))</f>
        <v>0</v>
      </c>
      <c r="DD106" s="17">
        <f>IF(ISNA(VLOOKUP(A106,'Données projet'!$A$139:$I$159,6,0)),0%,VLOOKUP(A106,'Données projet'!$A$139:$I$159,6,0)*VLOOKUP('Données projet'!$B$13,Paramètres!$A$1:$I$88,7,0))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projet'!$B$9,Paramètres!$A$1:$I$88,3,0)*0.475*44/12</f>
        <v>0</v>
      </c>
      <c r="DG106" s="23">
        <f>EXP(-LN(2)/25)*DG105+(1-EXP(-LN(2)/25))/(LN(2)/25)*Calculateur!DB106*Calculateur!DD106*VLOOKUP('Données projet'!$B$9,Paramètres!$A$1:$I$88,3,0)*0.475*44/12</f>
        <v>0</v>
      </c>
      <c r="DH106" s="23">
        <f>EXP(-LN(2)/2)*DH105+(1-EXP(-LN(2)/2))/(LN(2)/2)*DB106*DE106*VLOOKUP('Données projet'!$B$9,Paramètres!$A$1:$I$88,3,0)*0.475*44/12</f>
        <v>0</v>
      </c>
      <c r="DI106" s="24">
        <f t="shared" si="74"/>
        <v>0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IF(A106&lt;'Données projet'!$A$166,$DL$205^A106,IF(A106='Données projet'!$A$166,'Données projet'!$B$166,DO105+DN106-DW105))</f>
        <v>-8.5265128291212022E-14</v>
      </c>
      <c r="DP106" s="18">
        <f>DO106*VLOOKUP('Données projet'!$B$14,Paramètres!$A$1:$I$88,3,0)*VLOOKUP('Données projet'!$B$14,Paramètres!$A$1:$I$88,5,0)</f>
        <v>-4.9880100050359036E-14</v>
      </c>
      <c r="DQ106" s="14" t="e">
        <f t="shared" si="102"/>
        <v>#NUM!</v>
      </c>
      <c r="DR106" s="22" t="e">
        <f t="shared" si="75"/>
        <v>#NUM!</v>
      </c>
      <c r="DS106" s="62" t="e">
        <f t="shared" si="76"/>
        <v>#NUM!</v>
      </c>
      <c r="DT106" s="62">
        <f ca="1">AVERAGE(OFFSET($DS$3,0,0,'Données projet'!$E$14+1,1))-AVERAGE(OFFSET($H$3,0,0,'Données projet'!$E$14+1,1))</f>
        <v>155.18073137151848</v>
      </c>
      <c r="DU106" s="62">
        <f t="shared" si="77"/>
        <v>115.19459155667272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projet'!$B$14,Paramètres!$A$1:$I$88,7,0))</f>
        <v>0</v>
      </c>
      <c r="DY106" s="17">
        <f>IF(ISNA(VLOOKUP(A106,'Données projet'!$A$165:$I$185,6,0)),0%,VLOOKUP(A106,'Données projet'!$A$165:$I$185,6,0)*VLOOKUP('Données projet'!$B$14,Paramètres!$A$1:$I$88,7,0))</f>
        <v>0</v>
      </c>
      <c r="DZ106" s="17">
        <f>IF(ISNA(VLOOKUP(A106,'Données projet'!$A$165:$I$185,7,0)),0%,VLOOKUP(A106,'Données projet'!$A$165:$I$185,7,0))</f>
        <v>0</v>
      </c>
      <c r="EA106" s="23">
        <f>EXP(-LN(2)/35)*EA105+(1-EXP(-LN(2)/35))/(LN(2)/35)*DW106*DX106*VLOOKUP('Données projet'!$B$9,Paramètres!$A$1:$I$88,3,0)*0.475*44/12</f>
        <v>0</v>
      </c>
      <c r="EB106" s="23">
        <f>EXP(-LN(2)/25)*EB105+(1-EXP(-LN(2)/25))/(LN(2)/25)*Calculateur!DW106*Calculateur!DY106*VLOOKUP('Données projet'!$B$9,Paramètres!$A$1:$I$88,3,0)*0.475*44/12</f>
        <v>0</v>
      </c>
      <c r="EC106" s="23">
        <f>EXP(-LN(2)/2)*EC105+(1-EXP(-LN(2)/2))/(LN(2)/2)*DW106*DZ106*VLOOKUP('Données projet'!$B$9,Paramètres!$A$1:$I$88,3,0)*0.475*44/12</f>
        <v>0</v>
      </c>
      <c r="ED106" s="24">
        <f t="shared" si="78"/>
        <v>0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5.3</v>
      </c>
      <c r="EJ106" s="13">
        <f>IF(A106&lt;'Données projet'!$A$192,$EG$205^A106,IF(A106='Données projet'!$A$192,'Données projet'!$B$192,EJ105+EI106-ER105))</f>
        <v>242.89999999999986</v>
      </c>
      <c r="EK106" s="18">
        <f>EJ106*VLOOKUP('Données projet'!$B$15,Paramètres!$A$1:$I$88,3,0)*VLOOKUP('Données projet'!$B$15,Paramètres!$A$1:$I$88,5,0)</f>
        <v>113.67719999999993</v>
      </c>
      <c r="EL106" s="14">
        <f t="shared" si="103"/>
        <v>30.195696579543405</v>
      </c>
      <c r="EM106" s="22">
        <f t="shared" si="79"/>
        <v>250.57862820937126</v>
      </c>
      <c r="EN106" s="62">
        <f t="shared" si="80"/>
        <v>520.93782364927722</v>
      </c>
      <c r="EO106" s="62">
        <f ca="1">AVERAGE(OFFSET($EN$3,0,0,'Données projet'!$E$15+1,1))-AVERAGE(OFFSET($H$3,0,0,'Données projet'!$E$15+1,1))</f>
        <v>238.59014604384171</v>
      </c>
      <c r="EP106" s="62">
        <f t="shared" si="81"/>
        <v>90.841373219575217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projet'!$B$15,Paramètres!$A$1:$I$88,7,0))</f>
        <v>0</v>
      </c>
      <c r="ET106" s="17">
        <f>IF(ISNA(VLOOKUP(A106,'Données projet'!$A$191:$I$211,6,0)),0%,VLOOKUP(A106,'Données projet'!$A$191:$I$211,6,0)*VLOOKUP('Données projet'!$B$15,Paramètres!$A$1:$I$88,7,0))</f>
        <v>0</v>
      </c>
      <c r="EU106" s="17">
        <f>IF(ISNA(VLOOKUP(A106,'Données projet'!$A$191:$I$211,7,0)),0%,VLOOKUP(A106,'Données projet'!$A$191:$I$211,7,0))</f>
        <v>0</v>
      </c>
      <c r="EV106" s="23">
        <f>EXP(-LN(2)/35)*EV105+(1-EXP(-LN(2)/35))/(LN(2)/35)*ER106*ES106*VLOOKUP('Données projet'!$B$9,Paramètres!$A$1:$I$88,3,0)*0.475*44/12</f>
        <v>0</v>
      </c>
      <c r="EW106" s="23">
        <f>EXP(-LN(2)/25)*EW105+(1-EXP(-LN(2)/25))/(LN(2)/25)*Calculateur!ER106*Calculateur!ET106*VLOOKUP('Données projet'!$B$9,Paramètres!$A$1:$I$88,3,0)*0.475*44/12</f>
        <v>0</v>
      </c>
      <c r="EX106" s="23">
        <f>EXP(-LN(2)/2)*EX105+(1-EXP(-LN(2)/2))/(LN(2)/2)*ER106*EU106*VLOOKUP('Données projet'!$B$9,Paramètres!$A$1:$I$88,3,0)*0.475*44/12</f>
        <v>0</v>
      </c>
      <c r="EY106" s="24">
        <f t="shared" si="82"/>
        <v>0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IF(A106&lt;'Données projet'!$A$218,$FB$205^A106,IF(A106='Données projet'!$A$218,'Données projet'!$B$218,FE105+FD106-FM105))</f>
        <v>0</v>
      </c>
      <c r="FF106" s="18" t="e">
        <f>FE106*VLOOKUP('Données projet'!$B$16,Paramètres!$A$1:$I$88,3,0)*VLOOKUP('Données projet'!$B$16,Paramètres!$A$1:$I$88,5,0)</f>
        <v>#N/A</v>
      </c>
      <c r="FG106" s="14" t="e">
        <f t="shared" si="104"/>
        <v>#N/A</v>
      </c>
      <c r="FH106" s="22" t="e">
        <f t="shared" si="83"/>
        <v>#N/A</v>
      </c>
      <c r="FI106" s="62" t="e">
        <f t="shared" si="84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85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projet'!$B$16,Paramètres!$A$1:$I$88,7,0))</f>
        <v>0</v>
      </c>
      <c r="FO106" s="17">
        <f>IF(ISNA(VLOOKUP(A106,'Données projet'!$A$217:$I$237,6,0)),0%,VLOOKUP(A106,'Données projet'!$A$217:$I$237,6,0)*VLOOKUP('Données projet'!$B$16,Paramètres!$A$1:$I$88,7,0))</f>
        <v>0</v>
      </c>
      <c r="FP106" s="17">
        <f>IF(ISNA(VLOOKUP(A106,'Données projet'!$A$217:$I$237,7,0)),0%,VLOOKUP(A106,'Données projet'!$A$217:$I$237,7,0))</f>
        <v>0</v>
      </c>
      <c r="FQ106" s="23">
        <f>EXP(-LN(2)/35)*FQ105+(1-EXP(-LN(2)/35))/(LN(2)/35)*FM106*FN106*VLOOKUP('Données projet'!$B$9,Paramètres!$A$1:$I$88,3,0)*0.475*44/12</f>
        <v>0</v>
      </c>
      <c r="FR106" s="23">
        <f>EXP(-LN(2)/25)*FR105+(1-EXP(-LN(2)/25))/(LN(2)/25)*Calculateur!FM106*Calculateur!FO106*VLOOKUP('Données projet'!$B$9,Paramètres!$A$1:$I$88,3,0)*0.475*44/12</f>
        <v>0</v>
      </c>
      <c r="FS106" s="23">
        <f>EXP(-LN(2)/2)*FS105+(1-EXP(-LN(2)/2))/(LN(2)/2)*FM106*FP106*VLOOKUP('Données projet'!$B$9,Paramètres!$A$1:$I$88,3,0)*0.475*44/12</f>
        <v>0</v>
      </c>
      <c r="FT106" s="24">
        <f t="shared" si="86"/>
        <v>0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IF(A106&lt;'Données projet'!$A$244,$FW$205^A106,IF(A106='Données projet'!$A$244,'Données projet'!$B$244,FZ105+FY106-GH105))</f>
        <v>0</v>
      </c>
      <c r="GA106" s="18" t="e">
        <f>FZ106*VLOOKUP('Données projet'!$B$17,Paramètres!$A$1:$I$88,3,0)*VLOOKUP('Données projet'!$B$17,Paramètres!$A$1:$I$88,5,0)</f>
        <v>#N/A</v>
      </c>
      <c r="GB106" s="14" t="e">
        <f t="shared" si="105"/>
        <v>#N/A</v>
      </c>
      <c r="GC106" s="22" t="e">
        <f t="shared" si="87"/>
        <v>#N/A</v>
      </c>
      <c r="GD106" s="62" t="e">
        <f t="shared" si="88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89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projet'!$B$17,Paramètres!$A$1:$I$88,7,0))</f>
        <v>0</v>
      </c>
      <c r="GJ106" s="17">
        <f>IF(ISNA(VLOOKUP(A106,'Données projet'!$A$243:$I$263,6,0)),0%,VLOOKUP(A106,'Données projet'!$A$243:$I$263,6,0)*VLOOKUP('Données projet'!$B$17,Paramètres!$A$1:$I$88,7,0))</f>
        <v>0</v>
      </c>
      <c r="GK106" s="17">
        <f>IF(ISNA(VLOOKUP(A106,'Données projet'!$A$243:$I$263,7,0)),0%,VLOOKUP(A106,'Données projet'!$A$243:$I$263,7,0))</f>
        <v>0</v>
      </c>
      <c r="GL106" s="23">
        <f>EXP(-LN(2)/35)*GL105+(1-EXP(-LN(2)/35))/(LN(2)/35)*GH106*GI106*VLOOKUP('Données projet'!$B$9,Paramètres!$A$1:$I$88,3,0)*0.475*44/12</f>
        <v>0</v>
      </c>
      <c r="GM106" s="23">
        <f>EXP(-LN(2)/25)*GM105+(1-EXP(-LN(2)/25))/(LN(2)/25)*Calculateur!GH106*Calculateur!GJ106*VLOOKUP('Données projet'!$B$9,Paramètres!$A$1:$I$88,3,0)*0.475*44/12</f>
        <v>0</v>
      </c>
      <c r="GN106" s="23">
        <f>EXP(-LN(2)/2)*GN105+(1-EXP(-LN(2)/2))/(LN(2)/2)*GH106*GK106*VLOOKUP('Données projet'!$B$9,Paramètres!$A$1:$I$88,3,0)*0.475*44/12</f>
        <v>0</v>
      </c>
      <c r="GO106" s="23">
        <f t="shared" si="90"/>
        <v>0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IF(A106&lt;'Données projet'!$A$270,$GR$205^A106,IF(A106='Données projet'!$A$270,'Données projet'!$B$270,GU105+GT106-HC105))</f>
        <v>0</v>
      </c>
      <c r="GV106" s="18" t="e">
        <f>GU106*VLOOKUP('Données projet'!$B$18,Paramètres!$A$1:$I$88,3,0)*VLOOKUP('Données projet'!$B$18,Paramètres!$A$1:$I$88,5,0)</f>
        <v>#N/A</v>
      </c>
      <c r="GW106" s="14" t="e">
        <f t="shared" si="106"/>
        <v>#N/A</v>
      </c>
      <c r="GX106" s="22" t="e">
        <f t="shared" si="91"/>
        <v>#N/A</v>
      </c>
      <c r="GY106" s="62" t="e">
        <f t="shared" si="92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93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projet'!$B$18,Paramètres!$A$1:$I$88,7,0))</f>
        <v>0</v>
      </c>
      <c r="HE106" s="17">
        <f>IF(ISNA(VLOOKUP(A106,'Données projet'!$A$269:$I$289,6,0)),0%,VLOOKUP(A106,'Données projet'!$A$269:$I$289,6,0)*VLOOKUP('Données projet'!$B$18,Paramètres!$A$1:$I$88,7,0))</f>
        <v>0</v>
      </c>
      <c r="HF106" s="17">
        <f>IF(ISNA(VLOOKUP(A106,'Données projet'!$A$269:$I$289,7,0)),0%,VLOOKUP(A106,'Données projet'!$A$269:$I$289,7,0))</f>
        <v>0</v>
      </c>
      <c r="HG106" s="23">
        <f>EXP(-LN(2)/35)*HG105+(1-EXP(-LN(2)/35))/(LN(2)/35)*HC106*HD106*VLOOKUP('Données projet'!$B$9,Paramètres!$A$1:$I$88,3,0)*0.475*44/12</f>
        <v>0</v>
      </c>
      <c r="HH106" s="23">
        <f>EXP(-LN(2)/25)*HH105+(1-EXP(-LN(2)/25))/(LN(2)/25)*Calculateur!HC106*Calculateur!HE106*VLOOKUP('Données projet'!$B$9,Paramètres!$A$1:$I$88,3,0)*0.475*44/12</f>
        <v>0</v>
      </c>
      <c r="HI106" s="23">
        <f>EXP(-LN(2)/2)*HI105+(1-EXP(-LN(2)/2))/(LN(2)/2)*HC106*HF106*VLOOKUP('Données projet'!$B$9,Paramètres!$A$1:$I$88,3,0)*0.475*44/12</f>
        <v>0</v>
      </c>
      <c r="HJ106" s="24">
        <f t="shared" si="94"/>
        <v>0</v>
      </c>
    </row>
    <row r="107" spans="1:218" s="5" customFormat="1" x14ac:dyDescent="0.25">
      <c r="A107" s="11">
        <f t="shared" si="95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7" s="12">
        <f t="shared" si="9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57"/>
        <v>135.66666666666666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1.3833333333333342</v>
      </c>
      <c r="N107" s="14">
        <f>IF(A107&lt;'Données projet'!$A$36,$K$205^A107,IF(A107='Données projet'!$A$36,'Données projet'!$B$36,N106+M107-V106))</f>
        <v>108.23333333333328</v>
      </c>
      <c r="O107" s="14">
        <f>N107*VLOOKUP('Données projet'!$B$9,Paramètres!$A$1:$I$88,3,0)*VLOOKUP('Données projet'!$B$9,Paramètres!$A$1:$I$88,5,0)</f>
        <v>124.68479999999992</v>
      </c>
      <c r="P107" s="14">
        <f t="shared" si="97"/>
        <v>32.765204654989468</v>
      </c>
      <c r="Q107" s="22">
        <f t="shared" si="107"/>
        <v>274.2254247741065</v>
      </c>
      <c r="R107" s="62">
        <f t="shared" si="55"/>
        <v>544.98317014398572</v>
      </c>
      <c r="S107" s="62">
        <f ca="1">AVERAGE(OFFSET($R$3,0,0,'Données projet'!$E$9+1,1))-AVERAGE(OFFSET($H$3,0,0,'Données projet'!$E$9+1,1))</f>
        <v>314.72063458462026</v>
      </c>
      <c r="T107" s="62">
        <f t="shared" si="56"/>
        <v>216.4380325968244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projet'!$B$9,Paramètres!$A$1:$I$88,7,0))</f>
        <v>0</v>
      </c>
      <c r="X107" s="17">
        <f>IF(ISNA(VLOOKUP(A107,'Données projet'!$A$35:$I$55,6,0)),0%,VLOOKUP(A107,'Données projet'!$A$35:$I$55,6,0)*VLOOKUP('Données projet'!$B$9,Paramètres!$A$1:$I$88,7,0))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projet'!$B$9,Paramètres!$A$1:$I$88,3,0)*0.475*44/12</f>
        <v>0</v>
      </c>
      <c r="AA107" s="23">
        <f>EXP(-LN(2)/25)*AA106+(1-EXP(-LN(2)/25))/(LN(2)/25)*Calculateur!V107*Calculateur!X107*VLOOKUP('Données projet'!$B$9,Paramètres!$A$1:$I$88,3,0)*0.475*44/12</f>
        <v>0</v>
      </c>
      <c r="AB107" s="23">
        <f>EXP(-LN(2)/2)*AB106+(1-EXP(-LN(2)/2))/(LN(2)/2)*V107*Y107*VLOOKUP('Données projet'!$B$9,Paramètres!$A$1:$I$88,3,0)*0.475*44/12</f>
        <v>0</v>
      </c>
      <c r="AC107" s="24">
        <f t="shared" si="58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2.9</v>
      </c>
      <c r="AI107" s="14">
        <f>IF(A107&lt;'Données projet'!$A$62,$AF$205^A107,IF(A107='Données projet'!$A$62,'Données projet'!$B$62,AI106+AH107-AQ106))</f>
        <v>241.6</v>
      </c>
      <c r="AJ107" s="14">
        <f>AI107*VLOOKUP('Données projet'!$B$10,Paramètres!$A$1:$I$88,3,0)*VLOOKUP('Données projet'!$B$10,Paramètres!$A$1:$I$88,5,0)</f>
        <v>252.52032000000003</v>
      </c>
      <c r="AK107" s="14">
        <f t="shared" si="98"/>
        <v>61.125313977777019</v>
      </c>
      <c r="AL107" s="22">
        <f t="shared" si="59"/>
        <v>546.26614584462834</v>
      </c>
      <c r="AM107" s="62">
        <f t="shared" si="60"/>
        <v>817.02389121450756</v>
      </c>
      <c r="AN107" s="62">
        <f ca="1">AVERAGE(OFFSET($AM$3,0,0,'Données projet'!$E$10+1,1))-AVERAGE(OFFSET($H$3,0,0,'Données projet'!$E$10+1,1))</f>
        <v>458.33072853676879</v>
      </c>
      <c r="AO107" s="62">
        <f t="shared" si="61"/>
        <v>254.1734169352687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projet'!$B$10,Paramètres!$A$1:$I$88,7,0))</f>
        <v>0</v>
      </c>
      <c r="AS107" s="17">
        <f>IF(ISNA(VLOOKUP(A107,'Données projet'!$A$61:$I$81,6,0)),0%,VLOOKUP(A107,'Données projet'!$A$61:$I$81,6,0)*VLOOKUP('Données projet'!$B$10,Paramètres!$A$1:$I$88,7,0))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projet'!$B$9,Paramètres!$A$1:$I$88,3,0)*0.475*44/12</f>
        <v>0</v>
      </c>
      <c r="AV107" s="23">
        <f>EXP(-LN(2)/25)*AV106+(1-EXP(-LN(2)/25))/(LN(2)/25)*Calculateur!AQ107*Calculateur!AS107*VLOOKUP('Données projet'!$B$9,Paramètres!$A$1:$I$88,3,0)*0.475*44/12</f>
        <v>0</v>
      </c>
      <c r="AW107" s="23">
        <f>EXP(-LN(2)/2)*AW106+(1-EXP(-LN(2)/2))/(LN(2)/2)*AQ107*AT107*VLOOKUP('Données projet'!$B$9,Paramètres!$A$1:$I$88,3,0)*0.475*44/12</f>
        <v>0</v>
      </c>
      <c r="AX107" s="23">
        <f t="shared" si="62"/>
        <v>0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2.9</v>
      </c>
      <c r="BD107" s="13">
        <f>IF(A107&lt;'Données projet'!$A$88,$BA$205^A107,IF(A107='Données projet'!$A$88,'Données projet'!$B$88,BD106+BC107-BL106))</f>
        <v>241.6</v>
      </c>
      <c r="BE107" s="14">
        <f>BD107*VLOOKUP('Données projet'!$B$11,Paramètres!$A$1:$I$88,3,0)*VLOOKUP('Données projet'!$B$11,Paramètres!$A$1:$I$88,5,0)</f>
        <v>244.98239999999998</v>
      </c>
      <c r="BF107" s="14">
        <f t="shared" si="99"/>
        <v>59.510232801299644</v>
      </c>
      <c r="BG107" s="22">
        <f t="shared" si="63"/>
        <v>530.32466879559684</v>
      </c>
      <c r="BH107" s="62">
        <f t="shared" si="64"/>
        <v>801.08241416547617</v>
      </c>
      <c r="BI107" s="62">
        <f ca="1">AVERAGE(OFFSET($BH$3,0,0,'Données projet'!$E$11+1,1))-AVERAGE(OFFSET($H$3,0,0,'Données projet'!$E$11+1,1))</f>
        <v>447.82618173893104</v>
      </c>
      <c r="BJ107" s="62">
        <f t="shared" si="65"/>
        <v>248.96509970783379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projet'!$B$11,Paramètres!$A$1:$I$88,7,0))</f>
        <v>0</v>
      </c>
      <c r="BN107" s="17">
        <f>IF(ISNA(VLOOKUP(A107,'Données projet'!$A$87:$I$107,6,0)),0%,VLOOKUP(A107,'Données projet'!$A$87:$I$107,6,0)*VLOOKUP('Données projet'!$B$11,Paramètres!$A$1:$I$88,7,0))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projet'!$B$9,Paramètres!$A$1:$I$88,3,0)*0.475*44/12</f>
        <v>0</v>
      </c>
      <c r="BQ107" s="23">
        <f>EXP(-LN(2)/25)*BQ106+(1-EXP(-LN(2)/25))/(LN(2)/25)*Calculateur!BL107*Calculateur!BN107*VLOOKUP('Données projet'!$B$9,Paramètres!$A$1:$I$88,3,0)*0.475*44/12</f>
        <v>0</v>
      </c>
      <c r="BR107" s="23">
        <f>EXP(-LN(2)/2)*BR106+(1-EXP(-LN(2)/2))/(LN(2)/2)*BL107*BO107*VLOOKUP('Données projet'!$B$9,Paramètres!$A$1:$I$88,3,0)*0.475*44/12</f>
        <v>0</v>
      </c>
      <c r="BS107" s="24">
        <f t="shared" si="66"/>
        <v>0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2.9</v>
      </c>
      <c r="BY107" s="13">
        <f>IF(A107&lt;'Données projet'!$A$114,$BV$205^A107,IF(A107='Données projet'!$A$114,'Données projet'!$B$114,BY106+BX107-CG106))</f>
        <v>241.6</v>
      </c>
      <c r="BZ107" s="14">
        <f>BY107*VLOOKUP('Données projet'!$B$12,Paramètres!$A$1:$I$88,3,0)*VLOOKUP('Données projet'!$B$12,Paramètres!$A$1:$I$88,5,0)</f>
        <v>260.05823999999996</v>
      </c>
      <c r="CA107" s="14">
        <f t="shared" si="100"/>
        <v>62.734792208800222</v>
      </c>
      <c r="CB107" s="22">
        <f t="shared" si="67"/>
        <v>562.19786443032706</v>
      </c>
      <c r="CC107" s="62">
        <f t="shared" si="68"/>
        <v>832.95560980020628</v>
      </c>
      <c r="CD107" s="62">
        <f ca="1">AVERAGE(OFFSET($CC$3,0,0,'Données projet'!$E$12+1,1))-AVERAGE(OFFSET($H$3,0,0,'Données projet'!$E$12+1,1))</f>
        <v>468.82871618425406</v>
      </c>
      <c r="CE107" s="62">
        <f t="shared" si="69"/>
        <v>259.37818128554397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projet'!$B$12,Paramètres!$A$1:$I$88,7,0))</f>
        <v>0</v>
      </c>
      <c r="CI107" s="17">
        <f>IF(ISNA(VLOOKUP(A107,'Données projet'!$A$113:$I$133,6,0)),0%,VLOOKUP(A107,'Données projet'!$A$113:$I$133,6,0)*VLOOKUP('Données projet'!$B$12,Paramètres!$A$1:$I$88,7,0))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projet'!$B$9,Paramètres!$A$1:$I$88,3,0)*0.475*44/12</f>
        <v>0</v>
      </c>
      <c r="CL107" s="23">
        <f>EXP(-LN(2)/25)*CL106+(1-EXP(-LN(2)/25))/(LN(2)/25)*Calculateur!CG107*Calculateur!CI107*VLOOKUP('Données projet'!$B$9,Paramètres!$A$1:$I$88,3,0)*0.475*44/12</f>
        <v>0</v>
      </c>
      <c r="CM107" s="23">
        <f>EXP(-LN(2)/2)*CM106+(1-EXP(-LN(2)/2))/(LN(2)/2)*CG107*CJ107*VLOOKUP('Données projet'!$B$9,Paramètres!$A$1:$I$88,3,0)*0.475*44/12</f>
        <v>0</v>
      </c>
      <c r="CN107" s="24">
        <f t="shared" si="70"/>
        <v>0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2.9</v>
      </c>
      <c r="CT107" s="13">
        <f>IF(A107&lt;'Données projet'!$A$140,$CQ$205^A107,IF(A107='Données projet'!$A$140,'Données projet'!$B$140,CT106+CS107-DB106))</f>
        <v>241.6</v>
      </c>
      <c r="CU107" s="18">
        <f>CT107*VLOOKUP('Données projet'!$B$13,Paramètres!$A$1:$I$88,3,0)*VLOOKUP('Données projet'!$B$13,Paramètres!$A$1:$I$88,5,0)</f>
        <v>207.2928</v>
      </c>
      <c r="CV107" s="14">
        <f t="shared" si="101"/>
        <v>51.343548382351813</v>
      </c>
      <c r="CW107" s="22">
        <f t="shared" si="71"/>
        <v>450.45830676592936</v>
      </c>
      <c r="CX107" s="62">
        <f t="shared" si="72"/>
        <v>721.2160521358087</v>
      </c>
      <c r="CY107" s="62">
        <f ca="1">AVERAGE(OFFSET($CX$3,0,0,'Données projet'!$E$13+1,1))-AVERAGE(OFFSET($H$3,0,0,'Données projet'!$E$13+1,1))</f>
        <v>395.19659151668884</v>
      </c>
      <c r="CZ107" s="62">
        <f t="shared" si="73"/>
        <v>222.86563304507339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projet'!$B$13,Paramètres!$A$1:$I$88,7,0))</f>
        <v>0</v>
      </c>
      <c r="DD107" s="17">
        <f>IF(ISNA(VLOOKUP(A107,'Données projet'!$A$139:$I$159,6,0)),0%,VLOOKUP(A107,'Données projet'!$A$139:$I$159,6,0)*VLOOKUP('Données projet'!$B$13,Paramètres!$A$1:$I$88,7,0))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projet'!$B$9,Paramètres!$A$1:$I$88,3,0)*0.475*44/12</f>
        <v>0</v>
      </c>
      <c r="DG107" s="23">
        <f>EXP(-LN(2)/25)*DG106+(1-EXP(-LN(2)/25))/(LN(2)/25)*Calculateur!DB107*Calculateur!DD107*VLOOKUP('Données projet'!$B$9,Paramètres!$A$1:$I$88,3,0)*0.475*44/12</f>
        <v>0</v>
      </c>
      <c r="DH107" s="23">
        <f>EXP(-LN(2)/2)*DH106+(1-EXP(-LN(2)/2))/(LN(2)/2)*DB107*DE107*VLOOKUP('Données projet'!$B$9,Paramètres!$A$1:$I$88,3,0)*0.475*44/12</f>
        <v>0</v>
      </c>
      <c r="DI107" s="24">
        <f t="shared" si="74"/>
        <v>0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IF(A107&lt;'Données projet'!$A$166,$DL$205^A107,IF(A107='Données projet'!$A$166,'Données projet'!$B$166,DO106+DN107-DW106))</f>
        <v>-8.5265128291212022E-14</v>
      </c>
      <c r="DP107" s="18">
        <f>DO107*VLOOKUP('Données projet'!$B$14,Paramètres!$A$1:$I$88,3,0)*VLOOKUP('Données projet'!$B$14,Paramètres!$A$1:$I$88,5,0)</f>
        <v>-4.9880100050359036E-14</v>
      </c>
      <c r="DQ107" s="14" t="e">
        <f t="shared" si="102"/>
        <v>#NUM!</v>
      </c>
      <c r="DR107" s="22" t="e">
        <f t="shared" si="75"/>
        <v>#NUM!</v>
      </c>
      <c r="DS107" s="62" t="e">
        <f t="shared" si="76"/>
        <v>#NUM!</v>
      </c>
      <c r="DT107" s="62">
        <f ca="1">AVERAGE(OFFSET($DS$3,0,0,'Données projet'!$E$14+1,1))-AVERAGE(OFFSET($H$3,0,0,'Données projet'!$E$14+1,1))</f>
        <v>155.18073137151848</v>
      </c>
      <c r="DU107" s="62">
        <f t="shared" si="77"/>
        <v>115.19459155667272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projet'!$B$14,Paramètres!$A$1:$I$88,7,0))</f>
        <v>0</v>
      </c>
      <c r="DY107" s="17">
        <f>IF(ISNA(VLOOKUP(A107,'Données projet'!$A$165:$I$185,6,0)),0%,VLOOKUP(A107,'Données projet'!$A$165:$I$185,6,0)*VLOOKUP('Données projet'!$B$14,Paramètres!$A$1:$I$88,7,0))</f>
        <v>0</v>
      </c>
      <c r="DZ107" s="17">
        <f>IF(ISNA(VLOOKUP(A107,'Données projet'!$A$165:$I$185,7,0)),0%,VLOOKUP(A107,'Données projet'!$A$165:$I$185,7,0))</f>
        <v>0</v>
      </c>
      <c r="EA107" s="23">
        <f>EXP(-LN(2)/35)*EA106+(1-EXP(-LN(2)/35))/(LN(2)/35)*DW107*DX107*VLOOKUP('Données projet'!$B$9,Paramètres!$A$1:$I$88,3,0)*0.475*44/12</f>
        <v>0</v>
      </c>
      <c r="EB107" s="23">
        <f>EXP(-LN(2)/25)*EB106+(1-EXP(-LN(2)/25))/(LN(2)/25)*Calculateur!DW107*Calculateur!DY107*VLOOKUP('Données projet'!$B$9,Paramètres!$A$1:$I$88,3,0)*0.475*44/12</f>
        <v>0</v>
      </c>
      <c r="EC107" s="23">
        <f>EXP(-LN(2)/2)*EC106+(1-EXP(-LN(2)/2))/(LN(2)/2)*DW107*DZ107*VLOOKUP('Données projet'!$B$9,Paramètres!$A$1:$I$88,3,0)*0.475*44/12</f>
        <v>0</v>
      </c>
      <c r="ED107" s="24">
        <f t="shared" si="78"/>
        <v>0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5.3</v>
      </c>
      <c r="EJ107" s="13">
        <f>IF(A107&lt;'Données projet'!$A$192,$EG$205^A107,IF(A107='Données projet'!$A$192,'Données projet'!$B$192,EJ106+EI107-ER106))</f>
        <v>248.19999999999987</v>
      </c>
      <c r="EK107" s="18">
        <f>EJ107*VLOOKUP('Données projet'!$B$15,Paramètres!$A$1:$I$88,3,0)*VLOOKUP('Données projet'!$B$15,Paramètres!$A$1:$I$88,5,0)</f>
        <v>116.15759999999993</v>
      </c>
      <c r="EL107" s="14">
        <f t="shared" si="103"/>
        <v>30.777132266613055</v>
      </c>
      <c r="EM107" s="22">
        <f t="shared" si="79"/>
        <v>255.91132536435097</v>
      </c>
      <c r="EN107" s="62">
        <f t="shared" si="80"/>
        <v>526.66907073423022</v>
      </c>
      <c r="EO107" s="62">
        <f ca="1">AVERAGE(OFFSET($EN$3,0,0,'Données projet'!$E$15+1,1))-AVERAGE(OFFSET($H$3,0,0,'Données projet'!$E$15+1,1))</f>
        <v>238.59014604384171</v>
      </c>
      <c r="EP107" s="62">
        <f t="shared" si="81"/>
        <v>90.841373219575217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projet'!$B$15,Paramètres!$A$1:$I$88,7,0))</f>
        <v>0</v>
      </c>
      <c r="ET107" s="17">
        <f>IF(ISNA(VLOOKUP(A107,'Données projet'!$A$191:$I$211,6,0)),0%,VLOOKUP(A107,'Données projet'!$A$191:$I$211,6,0)*VLOOKUP('Données projet'!$B$15,Paramètres!$A$1:$I$88,7,0))</f>
        <v>0</v>
      </c>
      <c r="EU107" s="17">
        <f>IF(ISNA(VLOOKUP(A107,'Données projet'!$A$191:$I$211,7,0)),0%,VLOOKUP(A107,'Données projet'!$A$191:$I$211,7,0))</f>
        <v>0</v>
      </c>
      <c r="EV107" s="23">
        <f>EXP(-LN(2)/35)*EV106+(1-EXP(-LN(2)/35))/(LN(2)/35)*ER107*ES107*VLOOKUP('Données projet'!$B$9,Paramètres!$A$1:$I$88,3,0)*0.475*44/12</f>
        <v>0</v>
      </c>
      <c r="EW107" s="23">
        <f>EXP(-LN(2)/25)*EW106+(1-EXP(-LN(2)/25))/(LN(2)/25)*Calculateur!ER107*Calculateur!ET107*VLOOKUP('Données projet'!$B$9,Paramètres!$A$1:$I$88,3,0)*0.475*44/12</f>
        <v>0</v>
      </c>
      <c r="EX107" s="23">
        <f>EXP(-LN(2)/2)*EX106+(1-EXP(-LN(2)/2))/(LN(2)/2)*ER107*EU107*VLOOKUP('Données projet'!$B$9,Paramètres!$A$1:$I$88,3,0)*0.475*44/12</f>
        <v>0</v>
      </c>
      <c r="EY107" s="24">
        <f t="shared" si="82"/>
        <v>0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IF(A107&lt;'Données projet'!$A$218,$FB$205^A107,IF(A107='Données projet'!$A$218,'Données projet'!$B$218,FE106+FD107-FM106))</f>
        <v>0</v>
      </c>
      <c r="FF107" s="18" t="e">
        <f>FE107*VLOOKUP('Données projet'!$B$16,Paramètres!$A$1:$I$88,3,0)*VLOOKUP('Données projet'!$B$16,Paramètres!$A$1:$I$88,5,0)</f>
        <v>#N/A</v>
      </c>
      <c r="FG107" s="14" t="e">
        <f t="shared" si="104"/>
        <v>#N/A</v>
      </c>
      <c r="FH107" s="22" t="e">
        <f t="shared" si="83"/>
        <v>#N/A</v>
      </c>
      <c r="FI107" s="62" t="e">
        <f t="shared" si="84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85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projet'!$B$16,Paramètres!$A$1:$I$88,7,0))</f>
        <v>0</v>
      </c>
      <c r="FO107" s="17">
        <f>IF(ISNA(VLOOKUP(A107,'Données projet'!$A$217:$I$237,6,0)),0%,VLOOKUP(A107,'Données projet'!$A$217:$I$237,6,0)*VLOOKUP('Données projet'!$B$16,Paramètres!$A$1:$I$88,7,0))</f>
        <v>0</v>
      </c>
      <c r="FP107" s="17">
        <f>IF(ISNA(VLOOKUP(A107,'Données projet'!$A$217:$I$237,7,0)),0%,VLOOKUP(A107,'Données projet'!$A$217:$I$237,7,0))</f>
        <v>0</v>
      </c>
      <c r="FQ107" s="23">
        <f>EXP(-LN(2)/35)*FQ106+(1-EXP(-LN(2)/35))/(LN(2)/35)*FM107*FN107*VLOOKUP('Données projet'!$B$9,Paramètres!$A$1:$I$88,3,0)*0.475*44/12</f>
        <v>0</v>
      </c>
      <c r="FR107" s="23">
        <f>EXP(-LN(2)/25)*FR106+(1-EXP(-LN(2)/25))/(LN(2)/25)*Calculateur!FM107*Calculateur!FO107*VLOOKUP('Données projet'!$B$9,Paramètres!$A$1:$I$88,3,0)*0.475*44/12</f>
        <v>0</v>
      </c>
      <c r="FS107" s="23">
        <f>EXP(-LN(2)/2)*FS106+(1-EXP(-LN(2)/2))/(LN(2)/2)*FM107*FP107*VLOOKUP('Données projet'!$B$9,Paramètres!$A$1:$I$88,3,0)*0.475*44/12</f>
        <v>0</v>
      </c>
      <c r="FT107" s="24">
        <f t="shared" si="86"/>
        <v>0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IF(A107&lt;'Données projet'!$A$244,$FW$205^A107,IF(A107='Données projet'!$A$244,'Données projet'!$B$244,FZ106+FY107-GH106))</f>
        <v>0</v>
      </c>
      <c r="GA107" s="18" t="e">
        <f>FZ107*VLOOKUP('Données projet'!$B$17,Paramètres!$A$1:$I$88,3,0)*VLOOKUP('Données projet'!$B$17,Paramètres!$A$1:$I$88,5,0)</f>
        <v>#N/A</v>
      </c>
      <c r="GB107" s="14" t="e">
        <f t="shared" si="105"/>
        <v>#N/A</v>
      </c>
      <c r="GC107" s="22" t="e">
        <f t="shared" si="87"/>
        <v>#N/A</v>
      </c>
      <c r="GD107" s="62" t="e">
        <f t="shared" si="88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89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projet'!$B$17,Paramètres!$A$1:$I$88,7,0))</f>
        <v>0</v>
      </c>
      <c r="GJ107" s="17">
        <f>IF(ISNA(VLOOKUP(A107,'Données projet'!$A$243:$I$263,6,0)),0%,VLOOKUP(A107,'Données projet'!$A$243:$I$263,6,0)*VLOOKUP('Données projet'!$B$17,Paramètres!$A$1:$I$88,7,0))</f>
        <v>0</v>
      </c>
      <c r="GK107" s="17">
        <f>IF(ISNA(VLOOKUP(A107,'Données projet'!$A$243:$I$263,7,0)),0%,VLOOKUP(A107,'Données projet'!$A$243:$I$263,7,0))</f>
        <v>0</v>
      </c>
      <c r="GL107" s="23">
        <f>EXP(-LN(2)/35)*GL106+(1-EXP(-LN(2)/35))/(LN(2)/35)*GH107*GI107*VLOOKUP('Données projet'!$B$9,Paramètres!$A$1:$I$88,3,0)*0.475*44/12</f>
        <v>0</v>
      </c>
      <c r="GM107" s="23">
        <f>EXP(-LN(2)/25)*GM106+(1-EXP(-LN(2)/25))/(LN(2)/25)*Calculateur!GH107*Calculateur!GJ107*VLOOKUP('Données projet'!$B$9,Paramètres!$A$1:$I$88,3,0)*0.475*44/12</f>
        <v>0</v>
      </c>
      <c r="GN107" s="23">
        <f>EXP(-LN(2)/2)*GN106+(1-EXP(-LN(2)/2))/(LN(2)/2)*GH107*GK107*VLOOKUP('Données projet'!$B$9,Paramètres!$A$1:$I$88,3,0)*0.475*44/12</f>
        <v>0</v>
      </c>
      <c r="GO107" s="23">
        <f t="shared" si="90"/>
        <v>0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IF(A107&lt;'Données projet'!$A$270,$GR$205^A107,IF(A107='Données projet'!$A$270,'Données projet'!$B$270,GU106+GT107-HC106))</f>
        <v>0</v>
      </c>
      <c r="GV107" s="18" t="e">
        <f>GU107*VLOOKUP('Données projet'!$B$18,Paramètres!$A$1:$I$88,3,0)*VLOOKUP('Données projet'!$B$18,Paramètres!$A$1:$I$88,5,0)</f>
        <v>#N/A</v>
      </c>
      <c r="GW107" s="14" t="e">
        <f t="shared" si="106"/>
        <v>#N/A</v>
      </c>
      <c r="GX107" s="22" t="e">
        <f t="shared" si="91"/>
        <v>#N/A</v>
      </c>
      <c r="GY107" s="62" t="e">
        <f t="shared" si="92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93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projet'!$B$18,Paramètres!$A$1:$I$88,7,0))</f>
        <v>0</v>
      </c>
      <c r="HE107" s="17">
        <f>IF(ISNA(VLOOKUP(A107,'Données projet'!$A$269:$I$289,6,0)),0%,VLOOKUP(A107,'Données projet'!$A$269:$I$289,6,0)*VLOOKUP('Données projet'!$B$18,Paramètres!$A$1:$I$88,7,0))</f>
        <v>0</v>
      </c>
      <c r="HF107" s="17">
        <f>IF(ISNA(VLOOKUP(A107,'Données projet'!$A$269:$I$289,7,0)),0%,VLOOKUP(A107,'Données projet'!$A$269:$I$289,7,0))</f>
        <v>0</v>
      </c>
      <c r="HG107" s="23">
        <f>EXP(-LN(2)/35)*HG106+(1-EXP(-LN(2)/35))/(LN(2)/35)*HC107*HD107*VLOOKUP('Données projet'!$B$9,Paramètres!$A$1:$I$88,3,0)*0.475*44/12</f>
        <v>0</v>
      </c>
      <c r="HH107" s="23">
        <f>EXP(-LN(2)/25)*HH106+(1-EXP(-LN(2)/25))/(LN(2)/25)*Calculateur!HC107*Calculateur!HE107*VLOOKUP('Données projet'!$B$9,Paramètres!$A$1:$I$88,3,0)*0.475*44/12</f>
        <v>0</v>
      </c>
      <c r="HI107" s="23">
        <f>EXP(-LN(2)/2)*HI106+(1-EXP(-LN(2)/2))/(LN(2)/2)*HC107*HF107*VLOOKUP('Données projet'!$B$9,Paramètres!$A$1:$I$88,3,0)*0.475*44/12</f>
        <v>0</v>
      </c>
      <c r="HJ107" s="24">
        <f t="shared" si="94"/>
        <v>0</v>
      </c>
    </row>
    <row r="108" spans="1:218" s="5" customFormat="1" x14ac:dyDescent="0.25">
      <c r="A108" s="11">
        <f t="shared" si="95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8" s="12">
        <f t="shared" si="9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57"/>
        <v>135.66666666666666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1.3833333333333342</v>
      </c>
      <c r="N108" s="14">
        <f>IF(A108&lt;'Données projet'!$A$36,$K$205^A108,IF(A108='Données projet'!$A$36,'Données projet'!$B$36,N107+M108-V107))</f>
        <v>109.61666666666662</v>
      </c>
      <c r="O108" s="14">
        <f>N108*VLOOKUP('Données projet'!$B$9,Paramètres!$A$1:$I$88,3,0)*VLOOKUP('Données projet'!$B$9,Paramètres!$A$1:$I$88,5,0)</f>
        <v>126.27839999999992</v>
      </c>
      <c r="P108" s="14">
        <f t="shared" si="97"/>
        <v>33.134958547692797</v>
      </c>
      <c r="Q108" s="22">
        <f t="shared" si="107"/>
        <v>277.64493280389814</v>
      </c>
      <c r="R108" s="62">
        <f t="shared" si="55"/>
        <v>548.79431415348984</v>
      </c>
      <c r="S108" s="62">
        <f ca="1">AVERAGE(OFFSET($R$3,0,0,'Données projet'!$E$9+1,1))-AVERAGE(OFFSET($H$3,0,0,'Données projet'!$E$9+1,1))</f>
        <v>314.72063458462026</v>
      </c>
      <c r="T108" s="62">
        <f t="shared" si="56"/>
        <v>216.4380325968244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projet'!$B$9,Paramètres!$A$1:$I$88,7,0))</f>
        <v>0</v>
      </c>
      <c r="X108" s="17">
        <f>IF(ISNA(VLOOKUP(A108,'Données projet'!$A$35:$I$55,6,0)),0%,VLOOKUP(A108,'Données projet'!$A$35:$I$55,6,0)*VLOOKUP('Données projet'!$B$9,Paramètres!$A$1:$I$88,7,0))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projet'!$B$9,Paramètres!$A$1:$I$88,3,0)*0.475*44/12</f>
        <v>0</v>
      </c>
      <c r="AA108" s="23">
        <f>EXP(-LN(2)/25)*AA107+(1-EXP(-LN(2)/25))/(LN(2)/25)*Calculateur!V108*Calculateur!X108*VLOOKUP('Données projet'!$B$9,Paramètres!$A$1:$I$88,3,0)*0.475*44/12</f>
        <v>0</v>
      </c>
      <c r="AB108" s="23">
        <f>EXP(-LN(2)/2)*AB107+(1-EXP(-LN(2)/2))/(LN(2)/2)*V108*Y108*VLOOKUP('Données projet'!$B$9,Paramètres!$A$1:$I$88,3,0)*0.475*44/12</f>
        <v>0</v>
      </c>
      <c r="AC108" s="24">
        <f t="shared" si="58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2.9</v>
      </c>
      <c r="AI108" s="14">
        <f>IF(A108&lt;'Données projet'!$A$62,$AF$205^A108,IF(A108='Données projet'!$A$62,'Données projet'!$B$62,AI107+AH108-AQ107))</f>
        <v>244.5</v>
      </c>
      <c r="AJ108" s="14">
        <f>AI108*VLOOKUP('Données projet'!$B$10,Paramètres!$A$1:$I$88,3,0)*VLOOKUP('Données projet'!$B$10,Paramètres!$A$1:$I$88,5,0)</f>
        <v>255.5514</v>
      </c>
      <c r="AK108" s="14">
        <f t="shared" si="98"/>
        <v>61.773165859770423</v>
      </c>
      <c r="AL108" s="22">
        <f t="shared" si="59"/>
        <v>552.67361887243351</v>
      </c>
      <c r="AM108" s="62">
        <f t="shared" si="60"/>
        <v>823.82300022202526</v>
      </c>
      <c r="AN108" s="62">
        <f ca="1">AVERAGE(OFFSET($AM$3,0,0,'Données projet'!$E$10+1,1))-AVERAGE(OFFSET($H$3,0,0,'Données projet'!$E$10+1,1))</f>
        <v>458.33072853676879</v>
      </c>
      <c r="AO108" s="62">
        <f t="shared" si="61"/>
        <v>254.1734169352687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projet'!$B$10,Paramètres!$A$1:$I$88,7,0))</f>
        <v>0</v>
      </c>
      <c r="AS108" s="17">
        <f>IF(ISNA(VLOOKUP(A108,'Données projet'!$A$61:$I$81,6,0)),0%,VLOOKUP(A108,'Données projet'!$A$61:$I$81,6,0)*VLOOKUP('Données projet'!$B$10,Paramètres!$A$1:$I$88,7,0))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projet'!$B$9,Paramètres!$A$1:$I$88,3,0)*0.475*44/12</f>
        <v>0</v>
      </c>
      <c r="AV108" s="23">
        <f>EXP(-LN(2)/25)*AV107+(1-EXP(-LN(2)/25))/(LN(2)/25)*Calculateur!AQ108*Calculateur!AS108*VLOOKUP('Données projet'!$B$9,Paramètres!$A$1:$I$88,3,0)*0.475*44/12</f>
        <v>0</v>
      </c>
      <c r="AW108" s="23">
        <f>EXP(-LN(2)/2)*AW107+(1-EXP(-LN(2)/2))/(LN(2)/2)*AQ108*AT108*VLOOKUP('Données projet'!$B$9,Paramètres!$A$1:$I$88,3,0)*0.475*44/12</f>
        <v>0</v>
      </c>
      <c r="AX108" s="23">
        <f t="shared" si="62"/>
        <v>0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2.9</v>
      </c>
      <c r="BD108" s="13">
        <f>IF(A108&lt;'Données projet'!$A$88,$BA$205^A108,IF(A108='Données projet'!$A$88,'Données projet'!$B$88,BD107+BC108-BL107))</f>
        <v>244.5</v>
      </c>
      <c r="BE108" s="14">
        <f>BD108*VLOOKUP('Données projet'!$B$11,Paramètres!$A$1:$I$88,3,0)*VLOOKUP('Données projet'!$B$11,Paramètres!$A$1:$I$88,5,0)</f>
        <v>247.92300000000003</v>
      </c>
      <c r="BF108" s="14">
        <f t="shared" si="99"/>
        <v>60.140966842718292</v>
      </c>
      <c r="BG108" s="22">
        <f t="shared" si="63"/>
        <v>536.54474225106776</v>
      </c>
      <c r="BH108" s="62">
        <f t="shared" si="64"/>
        <v>807.6941236006594</v>
      </c>
      <c r="BI108" s="62">
        <f ca="1">AVERAGE(OFFSET($BH$3,0,0,'Données projet'!$E$11+1,1))-AVERAGE(OFFSET($H$3,0,0,'Données projet'!$E$11+1,1))</f>
        <v>447.82618173893104</v>
      </c>
      <c r="BJ108" s="62">
        <f t="shared" si="65"/>
        <v>248.96509970783379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projet'!$B$11,Paramètres!$A$1:$I$88,7,0))</f>
        <v>0</v>
      </c>
      <c r="BN108" s="17">
        <f>IF(ISNA(VLOOKUP(A108,'Données projet'!$A$87:$I$107,6,0)),0%,VLOOKUP(A108,'Données projet'!$A$87:$I$107,6,0)*VLOOKUP('Données projet'!$B$11,Paramètres!$A$1:$I$88,7,0))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projet'!$B$9,Paramètres!$A$1:$I$88,3,0)*0.475*44/12</f>
        <v>0</v>
      </c>
      <c r="BQ108" s="23">
        <f>EXP(-LN(2)/25)*BQ107+(1-EXP(-LN(2)/25))/(LN(2)/25)*Calculateur!BL108*Calculateur!BN108*VLOOKUP('Données projet'!$B$9,Paramètres!$A$1:$I$88,3,0)*0.475*44/12</f>
        <v>0</v>
      </c>
      <c r="BR108" s="23">
        <f>EXP(-LN(2)/2)*BR107+(1-EXP(-LN(2)/2))/(LN(2)/2)*BL108*BO108*VLOOKUP('Données projet'!$B$9,Paramètres!$A$1:$I$88,3,0)*0.475*44/12</f>
        <v>0</v>
      </c>
      <c r="BS108" s="24">
        <f t="shared" si="66"/>
        <v>0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2.9</v>
      </c>
      <c r="BY108" s="13">
        <f>IF(A108&lt;'Données projet'!$A$114,$BV$205^A108,IF(A108='Données projet'!$A$114,'Données projet'!$B$114,BY107+BX108-CG107))</f>
        <v>244.5</v>
      </c>
      <c r="BZ108" s="14">
        <f>BY108*VLOOKUP('Données projet'!$B$12,Paramètres!$A$1:$I$88,3,0)*VLOOKUP('Données projet'!$B$12,Paramètres!$A$1:$I$88,5,0)</f>
        <v>263.1798</v>
      </c>
      <c r="CA108" s="14">
        <f t="shared" si="100"/>
        <v>63.399702547153801</v>
      </c>
      <c r="CB108" s="22">
        <f t="shared" si="67"/>
        <v>568.79263360295954</v>
      </c>
      <c r="CC108" s="62">
        <f t="shared" si="68"/>
        <v>839.94201495255129</v>
      </c>
      <c r="CD108" s="62">
        <f ca="1">AVERAGE(OFFSET($CC$3,0,0,'Données projet'!$E$12+1,1))-AVERAGE(OFFSET($H$3,0,0,'Données projet'!$E$12+1,1))</f>
        <v>468.82871618425406</v>
      </c>
      <c r="CE108" s="62">
        <f t="shared" si="69"/>
        <v>259.37818128554397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projet'!$B$12,Paramètres!$A$1:$I$88,7,0))</f>
        <v>0</v>
      </c>
      <c r="CI108" s="17">
        <f>IF(ISNA(VLOOKUP(A108,'Données projet'!$A$113:$I$133,6,0)),0%,VLOOKUP(A108,'Données projet'!$A$113:$I$133,6,0)*VLOOKUP('Données projet'!$B$12,Paramètres!$A$1:$I$88,7,0))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projet'!$B$9,Paramètres!$A$1:$I$88,3,0)*0.475*44/12</f>
        <v>0</v>
      </c>
      <c r="CL108" s="23">
        <f>EXP(-LN(2)/25)*CL107+(1-EXP(-LN(2)/25))/(LN(2)/25)*Calculateur!CG108*Calculateur!CI108*VLOOKUP('Données projet'!$B$9,Paramètres!$A$1:$I$88,3,0)*0.475*44/12</f>
        <v>0</v>
      </c>
      <c r="CM108" s="23">
        <f>EXP(-LN(2)/2)*CM107+(1-EXP(-LN(2)/2))/(LN(2)/2)*CG108*CJ108*VLOOKUP('Données projet'!$B$9,Paramètres!$A$1:$I$88,3,0)*0.475*44/12</f>
        <v>0</v>
      </c>
      <c r="CN108" s="24">
        <f t="shared" si="70"/>
        <v>0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2.9</v>
      </c>
      <c r="CT108" s="13">
        <f>IF(A108&lt;'Données projet'!$A$140,$CQ$205^A108,IF(A108='Données projet'!$A$140,'Données projet'!$B$140,CT107+CS108-DB107))</f>
        <v>244.5</v>
      </c>
      <c r="CU108" s="18">
        <f>CT108*VLOOKUP('Données projet'!$B$13,Paramètres!$A$1:$I$88,3,0)*VLOOKUP('Données projet'!$B$13,Paramètres!$A$1:$I$88,5,0)</f>
        <v>209.78100000000003</v>
      </c>
      <c r="CV108" s="14">
        <f t="shared" si="101"/>
        <v>51.887725782566335</v>
      </c>
      <c r="CW108" s="22">
        <f t="shared" si="71"/>
        <v>455.73969740463639</v>
      </c>
      <c r="CX108" s="62">
        <f t="shared" si="72"/>
        <v>726.88907875422808</v>
      </c>
      <c r="CY108" s="62">
        <f ca="1">AVERAGE(OFFSET($CX$3,0,0,'Données projet'!$E$13+1,1))-AVERAGE(OFFSET($H$3,0,0,'Données projet'!$E$13+1,1))</f>
        <v>395.19659151668884</v>
      </c>
      <c r="CZ108" s="62">
        <f t="shared" si="73"/>
        <v>222.86563304507339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projet'!$B$13,Paramètres!$A$1:$I$88,7,0))</f>
        <v>0</v>
      </c>
      <c r="DD108" s="17">
        <f>IF(ISNA(VLOOKUP(A108,'Données projet'!$A$139:$I$159,6,0)),0%,VLOOKUP(A108,'Données projet'!$A$139:$I$159,6,0)*VLOOKUP('Données projet'!$B$13,Paramètres!$A$1:$I$88,7,0))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projet'!$B$9,Paramètres!$A$1:$I$88,3,0)*0.475*44/12</f>
        <v>0</v>
      </c>
      <c r="DG108" s="23">
        <f>EXP(-LN(2)/25)*DG107+(1-EXP(-LN(2)/25))/(LN(2)/25)*Calculateur!DB108*Calculateur!DD108*VLOOKUP('Données projet'!$B$9,Paramètres!$A$1:$I$88,3,0)*0.475*44/12</f>
        <v>0</v>
      </c>
      <c r="DH108" s="23">
        <f>EXP(-LN(2)/2)*DH107+(1-EXP(-LN(2)/2))/(LN(2)/2)*DB108*DE108*VLOOKUP('Données projet'!$B$9,Paramètres!$A$1:$I$88,3,0)*0.475*44/12</f>
        <v>0</v>
      </c>
      <c r="DI108" s="24">
        <f t="shared" si="74"/>
        <v>0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IF(A108&lt;'Données projet'!$A$166,$DL$205^A108,IF(A108='Données projet'!$A$166,'Données projet'!$B$166,DO107+DN108-DW107))</f>
        <v>-8.5265128291212022E-14</v>
      </c>
      <c r="DP108" s="18">
        <f>DO108*VLOOKUP('Données projet'!$B$14,Paramètres!$A$1:$I$88,3,0)*VLOOKUP('Données projet'!$B$14,Paramètres!$A$1:$I$88,5,0)</f>
        <v>-4.9880100050359036E-14</v>
      </c>
      <c r="DQ108" s="14" t="e">
        <f t="shared" si="102"/>
        <v>#NUM!</v>
      </c>
      <c r="DR108" s="22" t="e">
        <f t="shared" si="75"/>
        <v>#NUM!</v>
      </c>
      <c r="DS108" s="62" t="e">
        <f t="shared" si="76"/>
        <v>#NUM!</v>
      </c>
      <c r="DT108" s="62">
        <f ca="1">AVERAGE(OFFSET($DS$3,0,0,'Données projet'!$E$14+1,1))-AVERAGE(OFFSET($H$3,0,0,'Données projet'!$E$14+1,1))</f>
        <v>155.18073137151848</v>
      </c>
      <c r="DU108" s="62">
        <f t="shared" si="77"/>
        <v>115.19459155667272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projet'!$B$14,Paramètres!$A$1:$I$88,7,0))</f>
        <v>0</v>
      </c>
      <c r="DY108" s="17">
        <f>IF(ISNA(VLOOKUP(A108,'Données projet'!$A$165:$I$185,6,0)),0%,VLOOKUP(A108,'Données projet'!$A$165:$I$185,6,0)*VLOOKUP('Données projet'!$B$14,Paramètres!$A$1:$I$88,7,0))</f>
        <v>0</v>
      </c>
      <c r="DZ108" s="17">
        <f>IF(ISNA(VLOOKUP(A108,'Données projet'!$A$165:$I$185,7,0)),0%,VLOOKUP(A108,'Données projet'!$A$165:$I$185,7,0))</f>
        <v>0</v>
      </c>
      <c r="EA108" s="23">
        <f>EXP(-LN(2)/35)*EA107+(1-EXP(-LN(2)/35))/(LN(2)/35)*DW108*DX108*VLOOKUP('Données projet'!$B$9,Paramètres!$A$1:$I$88,3,0)*0.475*44/12</f>
        <v>0</v>
      </c>
      <c r="EB108" s="23">
        <f>EXP(-LN(2)/25)*EB107+(1-EXP(-LN(2)/25))/(LN(2)/25)*Calculateur!DW108*Calculateur!DY108*VLOOKUP('Données projet'!$B$9,Paramètres!$A$1:$I$88,3,0)*0.475*44/12</f>
        <v>0</v>
      </c>
      <c r="EC108" s="23">
        <f>EXP(-LN(2)/2)*EC107+(1-EXP(-LN(2)/2))/(LN(2)/2)*DW108*DZ108*VLOOKUP('Données projet'!$B$9,Paramètres!$A$1:$I$88,3,0)*0.475*44/12</f>
        <v>0</v>
      </c>
      <c r="ED108" s="24">
        <f t="shared" si="78"/>
        <v>0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5.3</v>
      </c>
      <c r="EJ108" s="13">
        <f>IF(A108&lt;'Données projet'!$A$192,$EG$205^A108,IF(A108='Données projet'!$A$192,'Données projet'!$B$192,EJ107+EI108-ER107))</f>
        <v>253.49999999999989</v>
      </c>
      <c r="EK108" s="18">
        <f>EJ108*VLOOKUP('Données projet'!$B$15,Paramètres!$A$1:$I$88,3,0)*VLOOKUP('Données projet'!$B$15,Paramètres!$A$1:$I$88,5,0)</f>
        <v>118.63799999999995</v>
      </c>
      <c r="EL108" s="14">
        <f t="shared" si="103"/>
        <v>31.357124429643687</v>
      </c>
      <c r="EM108" s="22">
        <f t="shared" si="79"/>
        <v>261.24150838162933</v>
      </c>
      <c r="EN108" s="62">
        <f t="shared" si="80"/>
        <v>532.39088973122102</v>
      </c>
      <c r="EO108" s="62">
        <f ca="1">AVERAGE(OFFSET($EN$3,0,0,'Données projet'!$E$15+1,1))-AVERAGE(OFFSET($H$3,0,0,'Données projet'!$E$15+1,1))</f>
        <v>238.59014604384171</v>
      </c>
      <c r="EP108" s="62">
        <f t="shared" si="81"/>
        <v>90.841373219575217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projet'!$B$15,Paramètres!$A$1:$I$88,7,0))</f>
        <v>0</v>
      </c>
      <c r="ET108" s="17">
        <f>IF(ISNA(VLOOKUP(A108,'Données projet'!$A$191:$I$211,6,0)),0%,VLOOKUP(A108,'Données projet'!$A$191:$I$211,6,0)*VLOOKUP('Données projet'!$B$15,Paramètres!$A$1:$I$88,7,0))</f>
        <v>0</v>
      </c>
      <c r="EU108" s="17">
        <f>IF(ISNA(VLOOKUP(A108,'Données projet'!$A$191:$I$211,7,0)),0%,VLOOKUP(A108,'Données projet'!$A$191:$I$211,7,0))</f>
        <v>0</v>
      </c>
      <c r="EV108" s="23">
        <f>EXP(-LN(2)/35)*EV107+(1-EXP(-LN(2)/35))/(LN(2)/35)*ER108*ES108*VLOOKUP('Données projet'!$B$9,Paramètres!$A$1:$I$88,3,0)*0.475*44/12</f>
        <v>0</v>
      </c>
      <c r="EW108" s="23">
        <f>EXP(-LN(2)/25)*EW107+(1-EXP(-LN(2)/25))/(LN(2)/25)*Calculateur!ER108*Calculateur!ET108*VLOOKUP('Données projet'!$B$9,Paramètres!$A$1:$I$88,3,0)*0.475*44/12</f>
        <v>0</v>
      </c>
      <c r="EX108" s="23">
        <f>EXP(-LN(2)/2)*EX107+(1-EXP(-LN(2)/2))/(LN(2)/2)*ER108*EU108*VLOOKUP('Données projet'!$B$9,Paramètres!$A$1:$I$88,3,0)*0.475*44/12</f>
        <v>0</v>
      </c>
      <c r="EY108" s="24">
        <f t="shared" si="82"/>
        <v>0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IF(A108&lt;'Données projet'!$A$218,$FB$205^A108,IF(A108='Données projet'!$A$218,'Données projet'!$B$218,FE107+FD108-FM107))</f>
        <v>0</v>
      </c>
      <c r="FF108" s="18" t="e">
        <f>FE108*VLOOKUP('Données projet'!$B$16,Paramètres!$A$1:$I$88,3,0)*VLOOKUP('Données projet'!$B$16,Paramètres!$A$1:$I$88,5,0)</f>
        <v>#N/A</v>
      </c>
      <c r="FG108" s="14" t="e">
        <f t="shared" si="104"/>
        <v>#N/A</v>
      </c>
      <c r="FH108" s="22" t="e">
        <f t="shared" si="83"/>
        <v>#N/A</v>
      </c>
      <c r="FI108" s="62" t="e">
        <f t="shared" si="84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85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projet'!$B$16,Paramètres!$A$1:$I$88,7,0))</f>
        <v>0</v>
      </c>
      <c r="FO108" s="17">
        <f>IF(ISNA(VLOOKUP(A108,'Données projet'!$A$217:$I$237,6,0)),0%,VLOOKUP(A108,'Données projet'!$A$217:$I$237,6,0)*VLOOKUP('Données projet'!$B$16,Paramètres!$A$1:$I$88,7,0))</f>
        <v>0</v>
      </c>
      <c r="FP108" s="17">
        <f>IF(ISNA(VLOOKUP(A108,'Données projet'!$A$217:$I$237,7,0)),0%,VLOOKUP(A108,'Données projet'!$A$217:$I$237,7,0))</f>
        <v>0</v>
      </c>
      <c r="FQ108" s="23">
        <f>EXP(-LN(2)/35)*FQ107+(1-EXP(-LN(2)/35))/(LN(2)/35)*FM108*FN108*VLOOKUP('Données projet'!$B$9,Paramètres!$A$1:$I$88,3,0)*0.475*44/12</f>
        <v>0</v>
      </c>
      <c r="FR108" s="23">
        <f>EXP(-LN(2)/25)*FR107+(1-EXP(-LN(2)/25))/(LN(2)/25)*Calculateur!FM108*Calculateur!FO108*VLOOKUP('Données projet'!$B$9,Paramètres!$A$1:$I$88,3,0)*0.475*44/12</f>
        <v>0</v>
      </c>
      <c r="FS108" s="23">
        <f>EXP(-LN(2)/2)*FS107+(1-EXP(-LN(2)/2))/(LN(2)/2)*FM108*FP108*VLOOKUP('Données projet'!$B$9,Paramètres!$A$1:$I$88,3,0)*0.475*44/12</f>
        <v>0</v>
      </c>
      <c r="FT108" s="24">
        <f t="shared" si="86"/>
        <v>0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IF(A108&lt;'Données projet'!$A$244,$FW$205^A108,IF(A108='Données projet'!$A$244,'Données projet'!$B$244,FZ107+FY108-GH107))</f>
        <v>0</v>
      </c>
      <c r="GA108" s="18" t="e">
        <f>FZ108*VLOOKUP('Données projet'!$B$17,Paramètres!$A$1:$I$88,3,0)*VLOOKUP('Données projet'!$B$17,Paramètres!$A$1:$I$88,5,0)</f>
        <v>#N/A</v>
      </c>
      <c r="GB108" s="14" t="e">
        <f t="shared" si="105"/>
        <v>#N/A</v>
      </c>
      <c r="GC108" s="22" t="e">
        <f t="shared" si="87"/>
        <v>#N/A</v>
      </c>
      <c r="GD108" s="62" t="e">
        <f t="shared" si="88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89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projet'!$B$17,Paramètres!$A$1:$I$88,7,0))</f>
        <v>0</v>
      </c>
      <c r="GJ108" s="17">
        <f>IF(ISNA(VLOOKUP(A108,'Données projet'!$A$243:$I$263,6,0)),0%,VLOOKUP(A108,'Données projet'!$A$243:$I$263,6,0)*VLOOKUP('Données projet'!$B$17,Paramètres!$A$1:$I$88,7,0))</f>
        <v>0</v>
      </c>
      <c r="GK108" s="17">
        <f>IF(ISNA(VLOOKUP(A108,'Données projet'!$A$243:$I$263,7,0)),0%,VLOOKUP(A108,'Données projet'!$A$243:$I$263,7,0))</f>
        <v>0</v>
      </c>
      <c r="GL108" s="23">
        <f>EXP(-LN(2)/35)*GL107+(1-EXP(-LN(2)/35))/(LN(2)/35)*GH108*GI108*VLOOKUP('Données projet'!$B$9,Paramètres!$A$1:$I$88,3,0)*0.475*44/12</f>
        <v>0</v>
      </c>
      <c r="GM108" s="23">
        <f>EXP(-LN(2)/25)*GM107+(1-EXP(-LN(2)/25))/(LN(2)/25)*Calculateur!GH108*Calculateur!GJ108*VLOOKUP('Données projet'!$B$9,Paramètres!$A$1:$I$88,3,0)*0.475*44/12</f>
        <v>0</v>
      </c>
      <c r="GN108" s="23">
        <f>EXP(-LN(2)/2)*GN107+(1-EXP(-LN(2)/2))/(LN(2)/2)*GH108*GK108*VLOOKUP('Données projet'!$B$9,Paramètres!$A$1:$I$88,3,0)*0.475*44/12</f>
        <v>0</v>
      </c>
      <c r="GO108" s="23">
        <f t="shared" si="90"/>
        <v>0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IF(A108&lt;'Données projet'!$A$270,$GR$205^A108,IF(A108='Données projet'!$A$270,'Données projet'!$B$270,GU107+GT108-HC107))</f>
        <v>0</v>
      </c>
      <c r="GV108" s="18" t="e">
        <f>GU108*VLOOKUP('Données projet'!$B$18,Paramètres!$A$1:$I$88,3,0)*VLOOKUP('Données projet'!$B$18,Paramètres!$A$1:$I$88,5,0)</f>
        <v>#N/A</v>
      </c>
      <c r="GW108" s="14" t="e">
        <f t="shared" si="106"/>
        <v>#N/A</v>
      </c>
      <c r="GX108" s="22" t="e">
        <f t="shared" si="91"/>
        <v>#N/A</v>
      </c>
      <c r="GY108" s="62" t="e">
        <f t="shared" si="92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93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projet'!$B$18,Paramètres!$A$1:$I$88,7,0))</f>
        <v>0</v>
      </c>
      <c r="HE108" s="17">
        <f>IF(ISNA(VLOOKUP(A108,'Données projet'!$A$269:$I$289,6,0)),0%,VLOOKUP(A108,'Données projet'!$A$269:$I$289,6,0)*VLOOKUP('Données projet'!$B$18,Paramètres!$A$1:$I$88,7,0))</f>
        <v>0</v>
      </c>
      <c r="HF108" s="17">
        <f>IF(ISNA(VLOOKUP(A108,'Données projet'!$A$269:$I$289,7,0)),0%,VLOOKUP(A108,'Données projet'!$A$269:$I$289,7,0))</f>
        <v>0</v>
      </c>
      <c r="HG108" s="23">
        <f>EXP(-LN(2)/35)*HG107+(1-EXP(-LN(2)/35))/(LN(2)/35)*HC108*HD108*VLOOKUP('Données projet'!$B$9,Paramètres!$A$1:$I$88,3,0)*0.475*44/12</f>
        <v>0</v>
      </c>
      <c r="HH108" s="23">
        <f>EXP(-LN(2)/25)*HH107+(1-EXP(-LN(2)/25))/(LN(2)/25)*Calculateur!HC108*Calculateur!HE108*VLOOKUP('Données projet'!$B$9,Paramètres!$A$1:$I$88,3,0)*0.475*44/12</f>
        <v>0</v>
      </c>
      <c r="HI108" s="23">
        <f>EXP(-LN(2)/2)*HI107+(1-EXP(-LN(2)/2))/(LN(2)/2)*HC108*HF108*VLOOKUP('Données projet'!$B$9,Paramètres!$A$1:$I$88,3,0)*0.475*44/12</f>
        <v>0</v>
      </c>
      <c r="HJ108" s="24">
        <f t="shared" si="94"/>
        <v>0</v>
      </c>
    </row>
    <row r="109" spans="1:218" s="5" customFormat="1" x14ac:dyDescent="0.25">
      <c r="A109" s="11">
        <f t="shared" si="95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09" s="12">
        <f t="shared" si="9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57"/>
        <v>135.66666666666666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1.3833333333333342</v>
      </c>
      <c r="N109" s="14">
        <f>IF(A109&lt;'Données projet'!$A$36,$K$205^A109,IF(A109='Données projet'!$A$36,'Données projet'!$B$36,N108+M109-V108))</f>
        <v>110.99999999999996</v>
      </c>
      <c r="O109" s="14">
        <f>N109*VLOOKUP('Données projet'!$B$9,Paramètres!$A$1:$I$88,3,0)*VLOOKUP('Données projet'!$B$9,Paramètres!$A$1:$I$88,5,0)</f>
        <v>127.87199999999994</v>
      </c>
      <c r="P109" s="14">
        <f t="shared" si="97"/>
        <v>33.504169678639819</v>
      </c>
      <c r="Q109" s="22">
        <f t="shared" si="107"/>
        <v>281.06349552363093</v>
      </c>
      <c r="R109" s="62">
        <f t="shared" si="55"/>
        <v>552.5977188442539</v>
      </c>
      <c r="S109" s="62">
        <f ca="1">AVERAGE(OFFSET($R$3,0,0,'Données projet'!$E$9+1,1))-AVERAGE(OFFSET($H$3,0,0,'Données projet'!$E$9+1,1))</f>
        <v>314.72063458462026</v>
      </c>
      <c r="T109" s="62">
        <f t="shared" si="56"/>
        <v>216.4380325968244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projet'!$B$9,Paramètres!$A$1:$I$88,7,0))</f>
        <v>0</v>
      </c>
      <c r="X109" s="17">
        <f>IF(ISNA(VLOOKUP(A109,'Données projet'!$A$35:$I$55,6,0)),0%,VLOOKUP(A109,'Données projet'!$A$35:$I$55,6,0)*VLOOKUP('Données projet'!$B$9,Paramètres!$A$1:$I$88,7,0))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projet'!$B$9,Paramètres!$A$1:$I$88,3,0)*0.475*44/12</f>
        <v>0</v>
      </c>
      <c r="AA109" s="23">
        <f>EXP(-LN(2)/25)*AA108+(1-EXP(-LN(2)/25))/(LN(2)/25)*Calculateur!V109*Calculateur!X109*VLOOKUP('Données projet'!$B$9,Paramètres!$A$1:$I$88,3,0)*0.475*44/12</f>
        <v>0</v>
      </c>
      <c r="AB109" s="23">
        <f>EXP(-LN(2)/2)*AB108+(1-EXP(-LN(2)/2))/(LN(2)/2)*V109*Y109*VLOOKUP('Données projet'!$B$9,Paramètres!$A$1:$I$88,3,0)*0.475*44/12</f>
        <v>0</v>
      </c>
      <c r="AC109" s="24">
        <f t="shared" si="58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2.9</v>
      </c>
      <c r="AI109" s="14">
        <f>IF(A109&lt;'Données projet'!$A$62,$AF$205^A109,IF(A109='Données projet'!$A$62,'Données projet'!$B$62,AI108+AH109-AQ108))</f>
        <v>247.4</v>
      </c>
      <c r="AJ109" s="14">
        <f>AI109*VLOOKUP('Données projet'!$B$10,Paramètres!$A$1:$I$88,3,0)*VLOOKUP('Données projet'!$B$10,Paramètres!$A$1:$I$88,5,0)</f>
        <v>258.58248000000003</v>
      </c>
      <c r="AK109" s="14">
        <f t="shared" si="98"/>
        <v>62.420123903697622</v>
      </c>
      <c r="AL109" s="22">
        <f t="shared" si="59"/>
        <v>559.07953513227335</v>
      </c>
      <c r="AM109" s="62">
        <f t="shared" si="60"/>
        <v>830.61375845289626</v>
      </c>
      <c r="AN109" s="62">
        <f ca="1">AVERAGE(OFFSET($AM$3,0,0,'Données projet'!$E$10+1,1))-AVERAGE(OFFSET($H$3,0,0,'Données projet'!$E$10+1,1))</f>
        <v>458.33072853676879</v>
      </c>
      <c r="AO109" s="62">
        <f t="shared" si="61"/>
        <v>254.1734169352687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projet'!$B$10,Paramètres!$A$1:$I$88,7,0))</f>
        <v>0</v>
      </c>
      <c r="AS109" s="17">
        <f>IF(ISNA(VLOOKUP(A109,'Données projet'!$A$61:$I$81,6,0)),0%,VLOOKUP(A109,'Données projet'!$A$61:$I$81,6,0)*VLOOKUP('Données projet'!$B$10,Paramètres!$A$1:$I$88,7,0))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projet'!$B$9,Paramètres!$A$1:$I$88,3,0)*0.475*44/12</f>
        <v>0</v>
      </c>
      <c r="AV109" s="23">
        <f>EXP(-LN(2)/25)*AV108+(1-EXP(-LN(2)/25))/(LN(2)/25)*Calculateur!AQ109*Calculateur!AS109*VLOOKUP('Données projet'!$B$9,Paramètres!$A$1:$I$88,3,0)*0.475*44/12</f>
        <v>0</v>
      </c>
      <c r="AW109" s="23">
        <f>EXP(-LN(2)/2)*AW108+(1-EXP(-LN(2)/2))/(LN(2)/2)*AQ109*AT109*VLOOKUP('Données projet'!$B$9,Paramètres!$A$1:$I$88,3,0)*0.475*44/12</f>
        <v>0</v>
      </c>
      <c r="AX109" s="23">
        <f t="shared" si="62"/>
        <v>0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2.9</v>
      </c>
      <c r="BD109" s="13">
        <f>IF(A109&lt;'Données projet'!$A$88,$BA$205^A109,IF(A109='Données projet'!$A$88,'Données projet'!$B$88,BD108+BC109-BL108))</f>
        <v>247.4</v>
      </c>
      <c r="BE109" s="14">
        <f>BD109*VLOOKUP('Données projet'!$B$11,Paramètres!$A$1:$I$88,3,0)*VLOOKUP('Données projet'!$B$11,Paramètres!$A$1:$I$88,5,0)</f>
        <v>250.86360000000002</v>
      </c>
      <c r="BF109" s="14">
        <f t="shared" si="99"/>
        <v>60.770830663471486</v>
      </c>
      <c r="BG109" s="22">
        <f t="shared" si="63"/>
        <v>542.76330007221281</v>
      </c>
      <c r="BH109" s="62">
        <f t="shared" si="64"/>
        <v>814.29752339283573</v>
      </c>
      <c r="BI109" s="62">
        <f ca="1">AVERAGE(OFFSET($BH$3,0,0,'Données projet'!$E$11+1,1))-AVERAGE(OFFSET($H$3,0,0,'Données projet'!$E$11+1,1))</f>
        <v>447.82618173893104</v>
      </c>
      <c r="BJ109" s="62">
        <f t="shared" si="65"/>
        <v>248.96509970783379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projet'!$B$11,Paramètres!$A$1:$I$88,7,0))</f>
        <v>0</v>
      </c>
      <c r="BN109" s="17">
        <f>IF(ISNA(VLOOKUP(A109,'Données projet'!$A$87:$I$107,6,0)),0%,VLOOKUP(A109,'Données projet'!$A$87:$I$107,6,0)*VLOOKUP('Données projet'!$B$11,Paramètres!$A$1:$I$88,7,0))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projet'!$B$9,Paramètres!$A$1:$I$88,3,0)*0.475*44/12</f>
        <v>0</v>
      </c>
      <c r="BQ109" s="23">
        <f>EXP(-LN(2)/25)*BQ108+(1-EXP(-LN(2)/25))/(LN(2)/25)*Calculateur!BL109*Calculateur!BN109*VLOOKUP('Données projet'!$B$9,Paramètres!$A$1:$I$88,3,0)*0.475*44/12</f>
        <v>0</v>
      </c>
      <c r="BR109" s="23">
        <f>EXP(-LN(2)/2)*BR108+(1-EXP(-LN(2)/2))/(LN(2)/2)*BL109*BO109*VLOOKUP('Données projet'!$B$9,Paramètres!$A$1:$I$88,3,0)*0.475*44/12</f>
        <v>0</v>
      </c>
      <c r="BS109" s="24">
        <f t="shared" si="66"/>
        <v>0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2.9</v>
      </c>
      <c r="BY109" s="13">
        <f>IF(A109&lt;'Données projet'!$A$114,$BV$205^A109,IF(A109='Données projet'!$A$114,'Données projet'!$B$114,BY108+BX109-CG108))</f>
        <v>247.4</v>
      </c>
      <c r="BZ109" s="14">
        <f>BY109*VLOOKUP('Données projet'!$B$12,Paramètres!$A$1:$I$88,3,0)*VLOOKUP('Données projet'!$B$12,Paramètres!$A$1:$I$88,5,0)</f>
        <v>266.30135999999999</v>
      </c>
      <c r="CA109" s="14">
        <f t="shared" si="100"/>
        <v>64.063695511972611</v>
      </c>
      <c r="CB109" s="22">
        <f t="shared" si="67"/>
        <v>575.38580501668559</v>
      </c>
      <c r="CC109" s="62">
        <f t="shared" si="68"/>
        <v>846.92002833730862</v>
      </c>
      <c r="CD109" s="62">
        <f ca="1">AVERAGE(OFFSET($CC$3,0,0,'Données projet'!$E$12+1,1))-AVERAGE(OFFSET($H$3,0,0,'Données projet'!$E$12+1,1))</f>
        <v>468.82871618425406</v>
      </c>
      <c r="CE109" s="62">
        <f t="shared" si="69"/>
        <v>259.37818128554397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projet'!$B$12,Paramètres!$A$1:$I$88,7,0))</f>
        <v>0</v>
      </c>
      <c r="CI109" s="17">
        <f>IF(ISNA(VLOOKUP(A109,'Données projet'!$A$113:$I$133,6,0)),0%,VLOOKUP(A109,'Données projet'!$A$113:$I$133,6,0)*VLOOKUP('Données projet'!$B$12,Paramètres!$A$1:$I$88,7,0))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projet'!$B$9,Paramètres!$A$1:$I$88,3,0)*0.475*44/12</f>
        <v>0</v>
      </c>
      <c r="CL109" s="23">
        <f>EXP(-LN(2)/25)*CL108+(1-EXP(-LN(2)/25))/(LN(2)/25)*Calculateur!CG109*Calculateur!CI109*VLOOKUP('Données projet'!$B$9,Paramètres!$A$1:$I$88,3,0)*0.475*44/12</f>
        <v>0</v>
      </c>
      <c r="CM109" s="23">
        <f>EXP(-LN(2)/2)*CM108+(1-EXP(-LN(2)/2))/(LN(2)/2)*CG109*CJ109*VLOOKUP('Données projet'!$B$9,Paramètres!$A$1:$I$88,3,0)*0.475*44/12</f>
        <v>0</v>
      </c>
      <c r="CN109" s="24">
        <f t="shared" si="70"/>
        <v>0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2.9</v>
      </c>
      <c r="CT109" s="13">
        <f>IF(A109&lt;'Données projet'!$A$140,$CQ$205^A109,IF(A109='Données projet'!$A$140,'Données projet'!$B$140,CT108+CS109-DB108))</f>
        <v>247.4</v>
      </c>
      <c r="CU109" s="18">
        <f>CT109*VLOOKUP('Données projet'!$B$13,Paramètres!$A$1:$I$88,3,0)*VLOOKUP('Données projet'!$B$13,Paramètres!$A$1:$I$88,5,0)</f>
        <v>212.26920000000004</v>
      </c>
      <c r="CV109" s="14">
        <f t="shared" si="101"/>
        <v>52.431152383889014</v>
      </c>
      <c r="CW109" s="22">
        <f t="shared" si="71"/>
        <v>461.01978040194007</v>
      </c>
      <c r="CX109" s="62">
        <f t="shared" si="72"/>
        <v>732.55400372256304</v>
      </c>
      <c r="CY109" s="62">
        <f ca="1">AVERAGE(OFFSET($CX$3,0,0,'Données projet'!$E$13+1,1))-AVERAGE(OFFSET($H$3,0,0,'Données projet'!$E$13+1,1))</f>
        <v>395.19659151668884</v>
      </c>
      <c r="CZ109" s="62">
        <f t="shared" si="73"/>
        <v>222.86563304507339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projet'!$B$13,Paramètres!$A$1:$I$88,7,0))</f>
        <v>0</v>
      </c>
      <c r="DD109" s="17">
        <f>IF(ISNA(VLOOKUP(A109,'Données projet'!$A$139:$I$159,6,0)),0%,VLOOKUP(A109,'Données projet'!$A$139:$I$159,6,0)*VLOOKUP('Données projet'!$B$13,Paramètres!$A$1:$I$88,7,0))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projet'!$B$9,Paramètres!$A$1:$I$88,3,0)*0.475*44/12</f>
        <v>0</v>
      </c>
      <c r="DG109" s="23">
        <f>EXP(-LN(2)/25)*DG108+(1-EXP(-LN(2)/25))/(LN(2)/25)*Calculateur!DB109*Calculateur!DD109*VLOOKUP('Données projet'!$B$9,Paramètres!$A$1:$I$88,3,0)*0.475*44/12</f>
        <v>0</v>
      </c>
      <c r="DH109" s="23">
        <f>EXP(-LN(2)/2)*DH108+(1-EXP(-LN(2)/2))/(LN(2)/2)*DB109*DE109*VLOOKUP('Données projet'!$B$9,Paramètres!$A$1:$I$88,3,0)*0.475*44/12</f>
        <v>0</v>
      </c>
      <c r="DI109" s="24">
        <f t="shared" si="74"/>
        <v>0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IF(A109&lt;'Données projet'!$A$166,$DL$205^A109,IF(A109='Données projet'!$A$166,'Données projet'!$B$166,DO108+DN109-DW108))</f>
        <v>-8.5265128291212022E-14</v>
      </c>
      <c r="DP109" s="18">
        <f>DO109*VLOOKUP('Données projet'!$B$14,Paramètres!$A$1:$I$88,3,0)*VLOOKUP('Données projet'!$B$14,Paramètres!$A$1:$I$88,5,0)</f>
        <v>-4.9880100050359036E-14</v>
      </c>
      <c r="DQ109" s="14" t="e">
        <f t="shared" si="102"/>
        <v>#NUM!</v>
      </c>
      <c r="DR109" s="22" t="e">
        <f t="shared" si="75"/>
        <v>#NUM!</v>
      </c>
      <c r="DS109" s="62" t="e">
        <f t="shared" si="76"/>
        <v>#NUM!</v>
      </c>
      <c r="DT109" s="62">
        <f ca="1">AVERAGE(OFFSET($DS$3,0,0,'Données projet'!$E$14+1,1))-AVERAGE(OFFSET($H$3,0,0,'Données projet'!$E$14+1,1))</f>
        <v>155.18073137151848</v>
      </c>
      <c r="DU109" s="62">
        <f t="shared" si="77"/>
        <v>115.19459155667272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projet'!$B$14,Paramètres!$A$1:$I$88,7,0))</f>
        <v>0</v>
      </c>
      <c r="DY109" s="17">
        <f>IF(ISNA(VLOOKUP(A109,'Données projet'!$A$165:$I$185,6,0)),0%,VLOOKUP(A109,'Données projet'!$A$165:$I$185,6,0)*VLOOKUP('Données projet'!$B$14,Paramètres!$A$1:$I$88,7,0))</f>
        <v>0</v>
      </c>
      <c r="DZ109" s="17">
        <f>IF(ISNA(VLOOKUP(A109,'Données projet'!$A$165:$I$185,7,0)),0%,VLOOKUP(A109,'Données projet'!$A$165:$I$185,7,0))</f>
        <v>0</v>
      </c>
      <c r="EA109" s="23">
        <f>EXP(-LN(2)/35)*EA108+(1-EXP(-LN(2)/35))/(LN(2)/35)*DW109*DX109*VLOOKUP('Données projet'!$B$9,Paramètres!$A$1:$I$88,3,0)*0.475*44/12</f>
        <v>0</v>
      </c>
      <c r="EB109" s="23">
        <f>EXP(-LN(2)/25)*EB108+(1-EXP(-LN(2)/25))/(LN(2)/25)*Calculateur!DW109*Calculateur!DY109*VLOOKUP('Données projet'!$B$9,Paramètres!$A$1:$I$88,3,0)*0.475*44/12</f>
        <v>0</v>
      </c>
      <c r="EC109" s="23">
        <f>EXP(-LN(2)/2)*EC108+(1-EXP(-LN(2)/2))/(LN(2)/2)*DW109*DZ109*VLOOKUP('Données projet'!$B$9,Paramètres!$A$1:$I$88,3,0)*0.475*44/12</f>
        <v>0</v>
      </c>
      <c r="ED109" s="24">
        <f t="shared" si="78"/>
        <v>0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5.3</v>
      </c>
      <c r="EJ109" s="13">
        <f>IF(A109&lt;'Données projet'!$A$192,$EG$205^A109,IF(A109='Données projet'!$A$192,'Données projet'!$B$192,EJ108+EI109-ER108))</f>
        <v>258.7999999999999</v>
      </c>
      <c r="EK109" s="18">
        <f>EJ109*VLOOKUP('Données projet'!$B$15,Paramètres!$A$1:$I$88,3,0)*VLOOKUP('Données projet'!$B$15,Paramètres!$A$1:$I$88,5,0)</f>
        <v>121.11839999999995</v>
      </c>
      <c r="EL109" s="14">
        <f t="shared" si="103"/>
        <v>31.935706725782151</v>
      </c>
      <c r="EM109" s="22">
        <f t="shared" si="79"/>
        <v>266.56923588073715</v>
      </c>
      <c r="EN109" s="62">
        <f t="shared" si="80"/>
        <v>538.10345920136012</v>
      </c>
      <c r="EO109" s="62">
        <f ca="1">AVERAGE(OFFSET($EN$3,0,0,'Données projet'!$E$15+1,1))-AVERAGE(OFFSET($H$3,0,0,'Données projet'!$E$15+1,1))</f>
        <v>238.59014604384171</v>
      </c>
      <c r="EP109" s="62">
        <f t="shared" si="81"/>
        <v>90.841373219575217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projet'!$B$15,Paramètres!$A$1:$I$88,7,0))</f>
        <v>0</v>
      </c>
      <c r="ET109" s="17">
        <f>IF(ISNA(VLOOKUP(A109,'Données projet'!$A$191:$I$211,6,0)),0%,VLOOKUP(A109,'Données projet'!$A$191:$I$211,6,0)*VLOOKUP('Données projet'!$B$15,Paramètres!$A$1:$I$88,7,0))</f>
        <v>0</v>
      </c>
      <c r="EU109" s="17">
        <f>IF(ISNA(VLOOKUP(A109,'Données projet'!$A$191:$I$211,7,0)),0%,VLOOKUP(A109,'Données projet'!$A$191:$I$211,7,0))</f>
        <v>0</v>
      </c>
      <c r="EV109" s="23">
        <f>EXP(-LN(2)/35)*EV108+(1-EXP(-LN(2)/35))/(LN(2)/35)*ER109*ES109*VLOOKUP('Données projet'!$B$9,Paramètres!$A$1:$I$88,3,0)*0.475*44/12</f>
        <v>0</v>
      </c>
      <c r="EW109" s="23">
        <f>EXP(-LN(2)/25)*EW108+(1-EXP(-LN(2)/25))/(LN(2)/25)*Calculateur!ER109*Calculateur!ET109*VLOOKUP('Données projet'!$B$9,Paramètres!$A$1:$I$88,3,0)*0.475*44/12</f>
        <v>0</v>
      </c>
      <c r="EX109" s="23">
        <f>EXP(-LN(2)/2)*EX108+(1-EXP(-LN(2)/2))/(LN(2)/2)*ER109*EU109*VLOOKUP('Données projet'!$B$9,Paramètres!$A$1:$I$88,3,0)*0.475*44/12</f>
        <v>0</v>
      </c>
      <c r="EY109" s="24">
        <f t="shared" si="82"/>
        <v>0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IF(A109&lt;'Données projet'!$A$218,$FB$205^A109,IF(A109='Données projet'!$A$218,'Données projet'!$B$218,FE108+FD109-FM108))</f>
        <v>0</v>
      </c>
      <c r="FF109" s="18" t="e">
        <f>FE109*VLOOKUP('Données projet'!$B$16,Paramètres!$A$1:$I$88,3,0)*VLOOKUP('Données projet'!$B$16,Paramètres!$A$1:$I$88,5,0)</f>
        <v>#N/A</v>
      </c>
      <c r="FG109" s="14" t="e">
        <f t="shared" si="104"/>
        <v>#N/A</v>
      </c>
      <c r="FH109" s="22" t="e">
        <f t="shared" si="83"/>
        <v>#N/A</v>
      </c>
      <c r="FI109" s="62" t="e">
        <f t="shared" si="84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85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projet'!$B$16,Paramètres!$A$1:$I$88,7,0))</f>
        <v>0</v>
      </c>
      <c r="FO109" s="17">
        <f>IF(ISNA(VLOOKUP(A109,'Données projet'!$A$217:$I$237,6,0)),0%,VLOOKUP(A109,'Données projet'!$A$217:$I$237,6,0)*VLOOKUP('Données projet'!$B$16,Paramètres!$A$1:$I$88,7,0))</f>
        <v>0</v>
      </c>
      <c r="FP109" s="17">
        <f>IF(ISNA(VLOOKUP(A109,'Données projet'!$A$217:$I$237,7,0)),0%,VLOOKUP(A109,'Données projet'!$A$217:$I$237,7,0))</f>
        <v>0</v>
      </c>
      <c r="FQ109" s="23">
        <f>EXP(-LN(2)/35)*FQ108+(1-EXP(-LN(2)/35))/(LN(2)/35)*FM109*FN109*VLOOKUP('Données projet'!$B$9,Paramètres!$A$1:$I$88,3,0)*0.475*44/12</f>
        <v>0</v>
      </c>
      <c r="FR109" s="23">
        <f>EXP(-LN(2)/25)*FR108+(1-EXP(-LN(2)/25))/(LN(2)/25)*Calculateur!FM109*Calculateur!FO109*VLOOKUP('Données projet'!$B$9,Paramètres!$A$1:$I$88,3,0)*0.475*44/12</f>
        <v>0</v>
      </c>
      <c r="FS109" s="23">
        <f>EXP(-LN(2)/2)*FS108+(1-EXP(-LN(2)/2))/(LN(2)/2)*FM109*FP109*VLOOKUP('Données projet'!$B$9,Paramètres!$A$1:$I$88,3,0)*0.475*44/12</f>
        <v>0</v>
      </c>
      <c r="FT109" s="24">
        <f t="shared" si="86"/>
        <v>0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IF(A109&lt;'Données projet'!$A$244,$FW$205^A109,IF(A109='Données projet'!$A$244,'Données projet'!$B$244,FZ108+FY109-GH108))</f>
        <v>0</v>
      </c>
      <c r="GA109" s="18" t="e">
        <f>FZ109*VLOOKUP('Données projet'!$B$17,Paramètres!$A$1:$I$88,3,0)*VLOOKUP('Données projet'!$B$17,Paramètres!$A$1:$I$88,5,0)</f>
        <v>#N/A</v>
      </c>
      <c r="GB109" s="14" t="e">
        <f t="shared" si="105"/>
        <v>#N/A</v>
      </c>
      <c r="GC109" s="22" t="e">
        <f t="shared" si="87"/>
        <v>#N/A</v>
      </c>
      <c r="GD109" s="62" t="e">
        <f t="shared" si="88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89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projet'!$B$17,Paramètres!$A$1:$I$88,7,0))</f>
        <v>0</v>
      </c>
      <c r="GJ109" s="17">
        <f>IF(ISNA(VLOOKUP(A109,'Données projet'!$A$243:$I$263,6,0)),0%,VLOOKUP(A109,'Données projet'!$A$243:$I$263,6,0)*VLOOKUP('Données projet'!$B$17,Paramètres!$A$1:$I$88,7,0))</f>
        <v>0</v>
      </c>
      <c r="GK109" s="17">
        <f>IF(ISNA(VLOOKUP(A109,'Données projet'!$A$243:$I$263,7,0)),0%,VLOOKUP(A109,'Données projet'!$A$243:$I$263,7,0))</f>
        <v>0</v>
      </c>
      <c r="GL109" s="23">
        <f>EXP(-LN(2)/35)*GL108+(1-EXP(-LN(2)/35))/(LN(2)/35)*GH109*GI109*VLOOKUP('Données projet'!$B$9,Paramètres!$A$1:$I$88,3,0)*0.475*44/12</f>
        <v>0</v>
      </c>
      <c r="GM109" s="23">
        <f>EXP(-LN(2)/25)*GM108+(1-EXP(-LN(2)/25))/(LN(2)/25)*Calculateur!GH109*Calculateur!GJ109*VLOOKUP('Données projet'!$B$9,Paramètres!$A$1:$I$88,3,0)*0.475*44/12</f>
        <v>0</v>
      </c>
      <c r="GN109" s="23">
        <f>EXP(-LN(2)/2)*GN108+(1-EXP(-LN(2)/2))/(LN(2)/2)*GH109*GK109*VLOOKUP('Données projet'!$B$9,Paramètres!$A$1:$I$88,3,0)*0.475*44/12</f>
        <v>0</v>
      </c>
      <c r="GO109" s="23">
        <f t="shared" si="90"/>
        <v>0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IF(A109&lt;'Données projet'!$A$270,$GR$205^A109,IF(A109='Données projet'!$A$270,'Données projet'!$B$270,GU108+GT109-HC108))</f>
        <v>0</v>
      </c>
      <c r="GV109" s="18" t="e">
        <f>GU109*VLOOKUP('Données projet'!$B$18,Paramètres!$A$1:$I$88,3,0)*VLOOKUP('Données projet'!$B$18,Paramètres!$A$1:$I$88,5,0)</f>
        <v>#N/A</v>
      </c>
      <c r="GW109" s="14" t="e">
        <f t="shared" si="106"/>
        <v>#N/A</v>
      </c>
      <c r="GX109" s="22" t="e">
        <f t="shared" si="91"/>
        <v>#N/A</v>
      </c>
      <c r="GY109" s="62" t="e">
        <f t="shared" si="92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93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projet'!$B$18,Paramètres!$A$1:$I$88,7,0))</f>
        <v>0</v>
      </c>
      <c r="HE109" s="17">
        <f>IF(ISNA(VLOOKUP(A109,'Données projet'!$A$269:$I$289,6,0)),0%,VLOOKUP(A109,'Données projet'!$A$269:$I$289,6,0)*VLOOKUP('Données projet'!$B$18,Paramètres!$A$1:$I$88,7,0))</f>
        <v>0</v>
      </c>
      <c r="HF109" s="17">
        <f>IF(ISNA(VLOOKUP(A109,'Données projet'!$A$269:$I$289,7,0)),0%,VLOOKUP(A109,'Données projet'!$A$269:$I$289,7,0))</f>
        <v>0</v>
      </c>
      <c r="HG109" s="23">
        <f>EXP(-LN(2)/35)*HG108+(1-EXP(-LN(2)/35))/(LN(2)/35)*HC109*HD109*VLOOKUP('Données projet'!$B$9,Paramètres!$A$1:$I$88,3,0)*0.475*44/12</f>
        <v>0</v>
      </c>
      <c r="HH109" s="23">
        <f>EXP(-LN(2)/25)*HH108+(1-EXP(-LN(2)/25))/(LN(2)/25)*Calculateur!HC109*Calculateur!HE109*VLOOKUP('Données projet'!$B$9,Paramètres!$A$1:$I$88,3,0)*0.475*44/12</f>
        <v>0</v>
      </c>
      <c r="HI109" s="23">
        <f>EXP(-LN(2)/2)*HI108+(1-EXP(-LN(2)/2))/(LN(2)/2)*HC109*HF109*VLOOKUP('Données projet'!$B$9,Paramètres!$A$1:$I$88,3,0)*0.475*44/12</f>
        <v>0</v>
      </c>
      <c r="HJ109" s="24">
        <f t="shared" si="94"/>
        <v>0</v>
      </c>
    </row>
    <row r="110" spans="1:218" s="5" customFormat="1" x14ac:dyDescent="0.25">
      <c r="A110" s="11">
        <f t="shared" si="95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0" s="12">
        <f t="shared" si="9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57"/>
        <v>135.66666666666666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1.3833333333333342</v>
      </c>
      <c r="N110" s="14">
        <f>IF(A110&lt;'Données projet'!$A$36,$K$205^A110,IF(A110='Données projet'!$A$36,'Données projet'!$B$36,N109+M110-V109))</f>
        <v>112.3833333333333</v>
      </c>
      <c r="O110" s="14">
        <f>N110*VLOOKUP('Données projet'!$B$9,Paramètres!$A$1:$I$88,3,0)*VLOOKUP('Données projet'!$B$9,Paramètres!$A$1:$I$88,5,0)</f>
        <v>129.46559999999994</v>
      </c>
      <c r="P110" s="14">
        <f t="shared" si="97"/>
        <v>33.872845594243692</v>
      </c>
      <c r="Q110" s="22">
        <f t="shared" si="107"/>
        <v>284.48112607664098</v>
      </c>
      <c r="R110" s="62">
        <f t="shared" si="55"/>
        <v>556.39351522047559</v>
      </c>
      <c r="S110" s="62">
        <f ca="1">AVERAGE(OFFSET($R$3,0,0,'Données projet'!$E$9+1,1))-AVERAGE(OFFSET($H$3,0,0,'Données projet'!$E$9+1,1))</f>
        <v>314.72063458462026</v>
      </c>
      <c r="T110" s="62">
        <f t="shared" si="56"/>
        <v>216.4380325968244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projet'!$B$9,Paramètres!$A$1:$I$88,7,0))</f>
        <v>0</v>
      </c>
      <c r="X110" s="17">
        <f>IF(ISNA(VLOOKUP(A110,'Données projet'!$A$35:$I$55,6,0)),0%,VLOOKUP(A110,'Données projet'!$A$35:$I$55,6,0)*VLOOKUP('Données projet'!$B$9,Paramètres!$A$1:$I$88,7,0))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projet'!$B$9,Paramètres!$A$1:$I$88,3,0)*0.475*44/12</f>
        <v>0</v>
      </c>
      <c r="AA110" s="23">
        <f>EXP(-LN(2)/25)*AA109+(1-EXP(-LN(2)/25))/(LN(2)/25)*Calculateur!V110*Calculateur!X110*VLOOKUP('Données projet'!$B$9,Paramètres!$A$1:$I$88,3,0)*0.475*44/12</f>
        <v>0</v>
      </c>
      <c r="AB110" s="23">
        <f>EXP(-LN(2)/2)*AB109+(1-EXP(-LN(2)/2))/(LN(2)/2)*V110*Y110*VLOOKUP('Données projet'!$B$9,Paramètres!$A$1:$I$88,3,0)*0.475*44/12</f>
        <v>0</v>
      </c>
      <c r="AC110" s="24">
        <f t="shared" si="58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2.9</v>
      </c>
      <c r="AI110" s="14">
        <f>IF(A110&lt;'Données projet'!$A$62,$AF$205^A110,IF(A110='Données projet'!$A$62,'Données projet'!$B$62,AI109+AH110-AQ109))</f>
        <v>250.3</v>
      </c>
      <c r="AJ110" s="14">
        <f>AI110*VLOOKUP('Données projet'!$B$10,Paramètres!$A$1:$I$88,3,0)*VLOOKUP('Données projet'!$B$10,Paramètres!$A$1:$I$88,5,0)</f>
        <v>261.61356000000006</v>
      </c>
      <c r="AK110" s="14">
        <f t="shared" si="98"/>
        <v>63.066199799187544</v>
      </c>
      <c r="AL110" s="22">
        <f t="shared" si="59"/>
        <v>565.48391498358501</v>
      </c>
      <c r="AM110" s="62">
        <f t="shared" si="60"/>
        <v>837.39630412741963</v>
      </c>
      <c r="AN110" s="62">
        <f ca="1">AVERAGE(OFFSET($AM$3,0,0,'Données projet'!$E$10+1,1))-AVERAGE(OFFSET($H$3,0,0,'Données projet'!$E$10+1,1))</f>
        <v>458.33072853676879</v>
      </c>
      <c r="AO110" s="62">
        <f t="shared" si="61"/>
        <v>254.1734169352687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projet'!$B$10,Paramètres!$A$1:$I$88,7,0))</f>
        <v>0</v>
      </c>
      <c r="AS110" s="17">
        <f>IF(ISNA(VLOOKUP(A110,'Données projet'!$A$61:$I$81,6,0)),0%,VLOOKUP(A110,'Données projet'!$A$61:$I$81,6,0)*VLOOKUP('Données projet'!$B$10,Paramètres!$A$1:$I$88,7,0))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projet'!$B$9,Paramètres!$A$1:$I$88,3,0)*0.475*44/12</f>
        <v>0</v>
      </c>
      <c r="AV110" s="23">
        <f>EXP(-LN(2)/25)*AV109+(1-EXP(-LN(2)/25))/(LN(2)/25)*Calculateur!AQ110*Calculateur!AS110*VLOOKUP('Données projet'!$B$9,Paramètres!$A$1:$I$88,3,0)*0.475*44/12</f>
        <v>0</v>
      </c>
      <c r="AW110" s="23">
        <f>EXP(-LN(2)/2)*AW109+(1-EXP(-LN(2)/2))/(LN(2)/2)*AQ110*AT110*VLOOKUP('Données projet'!$B$9,Paramètres!$A$1:$I$88,3,0)*0.475*44/12</f>
        <v>0</v>
      </c>
      <c r="AX110" s="23">
        <f t="shared" si="62"/>
        <v>0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2.9</v>
      </c>
      <c r="BD110" s="13">
        <f>IF(A110&lt;'Données projet'!$A$88,$BA$205^A110,IF(A110='Données projet'!$A$88,'Données projet'!$B$88,BD109+BC110-BL109))</f>
        <v>250.3</v>
      </c>
      <c r="BE110" s="14">
        <f>BD110*VLOOKUP('Données projet'!$B$11,Paramètres!$A$1:$I$88,3,0)*VLOOKUP('Données projet'!$B$11,Paramètres!$A$1:$I$88,5,0)</f>
        <v>253.80420000000004</v>
      </c>
      <c r="BF110" s="14">
        <f t="shared" si="99"/>
        <v>61.399835644319332</v>
      </c>
      <c r="BG110" s="22">
        <f t="shared" si="63"/>
        <v>548.98036208052292</v>
      </c>
      <c r="BH110" s="62">
        <f t="shared" si="64"/>
        <v>820.89275122435754</v>
      </c>
      <c r="BI110" s="62">
        <f ca="1">AVERAGE(OFFSET($BH$3,0,0,'Données projet'!$E$11+1,1))-AVERAGE(OFFSET($H$3,0,0,'Données projet'!$E$11+1,1))</f>
        <v>447.82618173893104</v>
      </c>
      <c r="BJ110" s="62">
        <f t="shared" si="65"/>
        <v>248.96509970783379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projet'!$B$11,Paramètres!$A$1:$I$88,7,0))</f>
        <v>0</v>
      </c>
      <c r="BN110" s="17">
        <f>IF(ISNA(VLOOKUP(A110,'Données projet'!$A$87:$I$107,6,0)),0%,VLOOKUP(A110,'Données projet'!$A$87:$I$107,6,0)*VLOOKUP('Données projet'!$B$11,Paramètres!$A$1:$I$88,7,0))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projet'!$B$9,Paramètres!$A$1:$I$88,3,0)*0.475*44/12</f>
        <v>0</v>
      </c>
      <c r="BQ110" s="23">
        <f>EXP(-LN(2)/25)*BQ109+(1-EXP(-LN(2)/25))/(LN(2)/25)*Calculateur!BL110*Calculateur!BN110*VLOOKUP('Données projet'!$B$9,Paramètres!$A$1:$I$88,3,0)*0.475*44/12</f>
        <v>0</v>
      </c>
      <c r="BR110" s="23">
        <f>EXP(-LN(2)/2)*BR109+(1-EXP(-LN(2)/2))/(LN(2)/2)*BL110*BO110*VLOOKUP('Données projet'!$B$9,Paramètres!$A$1:$I$88,3,0)*0.475*44/12</f>
        <v>0</v>
      </c>
      <c r="BS110" s="24">
        <f t="shared" si="66"/>
        <v>0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2.9</v>
      </c>
      <c r="BY110" s="13">
        <f>IF(A110&lt;'Données projet'!$A$114,$BV$205^A110,IF(A110='Données projet'!$A$114,'Données projet'!$B$114,BY109+BX110-CG109))</f>
        <v>250.3</v>
      </c>
      <c r="BZ110" s="14">
        <f>BY110*VLOOKUP('Données projet'!$B$12,Paramètres!$A$1:$I$88,3,0)*VLOOKUP('Données projet'!$B$12,Paramètres!$A$1:$I$88,5,0)</f>
        <v>269.42291999999998</v>
      </c>
      <c r="CA110" s="14">
        <f t="shared" si="100"/>
        <v>64.726783100682766</v>
      </c>
      <c r="CB110" s="22">
        <f t="shared" si="67"/>
        <v>581.97739956702242</v>
      </c>
      <c r="CC110" s="62">
        <f t="shared" si="68"/>
        <v>853.88978871085703</v>
      </c>
      <c r="CD110" s="62">
        <f ca="1">AVERAGE(OFFSET($CC$3,0,0,'Données projet'!$E$12+1,1))-AVERAGE(OFFSET($H$3,0,0,'Données projet'!$E$12+1,1))</f>
        <v>468.82871618425406</v>
      </c>
      <c r="CE110" s="62">
        <f t="shared" si="69"/>
        <v>259.37818128554397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projet'!$B$12,Paramètres!$A$1:$I$88,7,0))</f>
        <v>0</v>
      </c>
      <c r="CI110" s="17">
        <f>IF(ISNA(VLOOKUP(A110,'Données projet'!$A$113:$I$133,6,0)),0%,VLOOKUP(A110,'Données projet'!$A$113:$I$133,6,0)*VLOOKUP('Données projet'!$B$12,Paramètres!$A$1:$I$88,7,0))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projet'!$B$9,Paramètres!$A$1:$I$88,3,0)*0.475*44/12</f>
        <v>0</v>
      </c>
      <c r="CL110" s="23">
        <f>EXP(-LN(2)/25)*CL109+(1-EXP(-LN(2)/25))/(LN(2)/25)*Calculateur!CG110*Calculateur!CI110*VLOOKUP('Données projet'!$B$9,Paramètres!$A$1:$I$88,3,0)*0.475*44/12</f>
        <v>0</v>
      </c>
      <c r="CM110" s="23">
        <f>EXP(-LN(2)/2)*CM109+(1-EXP(-LN(2)/2))/(LN(2)/2)*CG110*CJ110*VLOOKUP('Données projet'!$B$9,Paramètres!$A$1:$I$88,3,0)*0.475*44/12</f>
        <v>0</v>
      </c>
      <c r="CN110" s="24">
        <f t="shared" si="70"/>
        <v>0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2.9</v>
      </c>
      <c r="CT110" s="13">
        <f>IF(A110&lt;'Données projet'!$A$140,$CQ$205^A110,IF(A110='Données projet'!$A$140,'Données projet'!$B$140,CT109+CS110-DB109))</f>
        <v>250.3</v>
      </c>
      <c r="CU110" s="18">
        <f>CT110*VLOOKUP('Données projet'!$B$13,Paramètres!$A$1:$I$88,3,0)*VLOOKUP('Données projet'!$B$13,Paramètres!$A$1:$I$88,5,0)</f>
        <v>214.75740000000005</v>
      </c>
      <c r="CV110" s="14">
        <f t="shared" si="101"/>
        <v>52.9738380052802</v>
      </c>
      <c r="CW110" s="22">
        <f t="shared" si="71"/>
        <v>466.29857285919644</v>
      </c>
      <c r="CX110" s="62">
        <f t="shared" si="72"/>
        <v>738.210962003031</v>
      </c>
      <c r="CY110" s="62">
        <f ca="1">AVERAGE(OFFSET($CX$3,0,0,'Données projet'!$E$13+1,1))-AVERAGE(OFFSET($H$3,0,0,'Données projet'!$E$13+1,1))</f>
        <v>395.19659151668884</v>
      </c>
      <c r="CZ110" s="62">
        <f t="shared" si="73"/>
        <v>222.86563304507339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projet'!$B$13,Paramètres!$A$1:$I$88,7,0))</f>
        <v>0</v>
      </c>
      <c r="DD110" s="17">
        <f>IF(ISNA(VLOOKUP(A110,'Données projet'!$A$139:$I$159,6,0)),0%,VLOOKUP(A110,'Données projet'!$A$139:$I$159,6,0)*VLOOKUP('Données projet'!$B$13,Paramètres!$A$1:$I$88,7,0))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projet'!$B$9,Paramètres!$A$1:$I$88,3,0)*0.475*44/12</f>
        <v>0</v>
      </c>
      <c r="DG110" s="23">
        <f>EXP(-LN(2)/25)*DG109+(1-EXP(-LN(2)/25))/(LN(2)/25)*Calculateur!DB110*Calculateur!DD110*VLOOKUP('Données projet'!$B$9,Paramètres!$A$1:$I$88,3,0)*0.475*44/12</f>
        <v>0</v>
      </c>
      <c r="DH110" s="23">
        <f>EXP(-LN(2)/2)*DH109+(1-EXP(-LN(2)/2))/(LN(2)/2)*DB110*DE110*VLOOKUP('Données projet'!$B$9,Paramètres!$A$1:$I$88,3,0)*0.475*44/12</f>
        <v>0</v>
      </c>
      <c r="DI110" s="24">
        <f t="shared" si="74"/>
        <v>0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IF(A110&lt;'Données projet'!$A$166,$DL$205^A110,IF(A110='Données projet'!$A$166,'Données projet'!$B$166,DO109+DN110-DW109))</f>
        <v>-8.5265128291212022E-14</v>
      </c>
      <c r="DP110" s="18">
        <f>DO110*VLOOKUP('Données projet'!$B$14,Paramètres!$A$1:$I$88,3,0)*VLOOKUP('Données projet'!$B$14,Paramètres!$A$1:$I$88,5,0)</f>
        <v>-4.9880100050359036E-14</v>
      </c>
      <c r="DQ110" s="14" t="e">
        <f t="shared" si="102"/>
        <v>#NUM!</v>
      </c>
      <c r="DR110" s="22" t="e">
        <f t="shared" si="75"/>
        <v>#NUM!</v>
      </c>
      <c r="DS110" s="62" t="e">
        <f t="shared" si="76"/>
        <v>#NUM!</v>
      </c>
      <c r="DT110" s="62">
        <f ca="1">AVERAGE(OFFSET($DS$3,0,0,'Données projet'!$E$14+1,1))-AVERAGE(OFFSET($H$3,0,0,'Données projet'!$E$14+1,1))</f>
        <v>155.18073137151848</v>
      </c>
      <c r="DU110" s="62">
        <f t="shared" si="77"/>
        <v>115.19459155667272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projet'!$B$14,Paramètres!$A$1:$I$88,7,0))</f>
        <v>0</v>
      </c>
      <c r="DY110" s="17">
        <f>IF(ISNA(VLOOKUP(A110,'Données projet'!$A$165:$I$185,6,0)),0%,VLOOKUP(A110,'Données projet'!$A$165:$I$185,6,0)*VLOOKUP('Données projet'!$B$14,Paramètres!$A$1:$I$88,7,0))</f>
        <v>0</v>
      </c>
      <c r="DZ110" s="17">
        <f>IF(ISNA(VLOOKUP(A110,'Données projet'!$A$165:$I$185,7,0)),0%,VLOOKUP(A110,'Données projet'!$A$165:$I$185,7,0))</f>
        <v>0</v>
      </c>
      <c r="EA110" s="23">
        <f>EXP(-LN(2)/35)*EA109+(1-EXP(-LN(2)/35))/(LN(2)/35)*DW110*DX110*VLOOKUP('Données projet'!$B$9,Paramètres!$A$1:$I$88,3,0)*0.475*44/12</f>
        <v>0</v>
      </c>
      <c r="EB110" s="23">
        <f>EXP(-LN(2)/25)*EB109+(1-EXP(-LN(2)/25))/(LN(2)/25)*Calculateur!DW110*Calculateur!DY110*VLOOKUP('Données projet'!$B$9,Paramètres!$A$1:$I$88,3,0)*0.475*44/12</f>
        <v>0</v>
      </c>
      <c r="EC110" s="23">
        <f>EXP(-LN(2)/2)*EC109+(1-EXP(-LN(2)/2))/(LN(2)/2)*DW110*DZ110*VLOOKUP('Données projet'!$B$9,Paramètres!$A$1:$I$88,3,0)*0.475*44/12</f>
        <v>0</v>
      </c>
      <c r="ED110" s="24">
        <f t="shared" si="78"/>
        <v>0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5.3</v>
      </c>
      <c r="EJ110" s="13">
        <f>IF(A110&lt;'Données projet'!$A$192,$EG$205^A110,IF(A110='Données projet'!$A$192,'Données projet'!$B$192,EJ109+EI110-ER109))</f>
        <v>264.09999999999991</v>
      </c>
      <c r="EK110" s="18">
        <f>EJ110*VLOOKUP('Données projet'!$B$15,Paramètres!$A$1:$I$88,3,0)*VLOOKUP('Données projet'!$B$15,Paramètres!$A$1:$I$88,5,0)</f>
        <v>123.59879999999995</v>
      </c>
      <c r="EL110" s="14">
        <f t="shared" si="103"/>
        <v>32.512911354837584</v>
      </c>
      <c r="EM110" s="22">
        <f t="shared" si="79"/>
        <v>271.89456394300873</v>
      </c>
      <c r="EN110" s="62">
        <f t="shared" si="80"/>
        <v>543.80695308684335</v>
      </c>
      <c r="EO110" s="62">
        <f ca="1">AVERAGE(OFFSET($EN$3,0,0,'Données projet'!$E$15+1,1))-AVERAGE(OFFSET($H$3,0,0,'Données projet'!$E$15+1,1))</f>
        <v>238.59014604384171</v>
      </c>
      <c r="EP110" s="62">
        <f t="shared" si="81"/>
        <v>90.841373219575217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projet'!$B$15,Paramètres!$A$1:$I$88,7,0))</f>
        <v>0</v>
      </c>
      <c r="ET110" s="17">
        <f>IF(ISNA(VLOOKUP(A110,'Données projet'!$A$191:$I$211,6,0)),0%,VLOOKUP(A110,'Données projet'!$A$191:$I$211,6,0)*VLOOKUP('Données projet'!$B$15,Paramètres!$A$1:$I$88,7,0))</f>
        <v>0</v>
      </c>
      <c r="EU110" s="17">
        <f>IF(ISNA(VLOOKUP(A110,'Données projet'!$A$191:$I$211,7,0)),0%,VLOOKUP(A110,'Données projet'!$A$191:$I$211,7,0))</f>
        <v>0</v>
      </c>
      <c r="EV110" s="23">
        <f>EXP(-LN(2)/35)*EV109+(1-EXP(-LN(2)/35))/(LN(2)/35)*ER110*ES110*VLOOKUP('Données projet'!$B$9,Paramètres!$A$1:$I$88,3,0)*0.475*44/12</f>
        <v>0</v>
      </c>
      <c r="EW110" s="23">
        <f>EXP(-LN(2)/25)*EW109+(1-EXP(-LN(2)/25))/(LN(2)/25)*Calculateur!ER110*Calculateur!ET110*VLOOKUP('Données projet'!$B$9,Paramètres!$A$1:$I$88,3,0)*0.475*44/12</f>
        <v>0</v>
      </c>
      <c r="EX110" s="23">
        <f>EXP(-LN(2)/2)*EX109+(1-EXP(-LN(2)/2))/(LN(2)/2)*ER110*EU110*VLOOKUP('Données projet'!$B$9,Paramètres!$A$1:$I$88,3,0)*0.475*44/12</f>
        <v>0</v>
      </c>
      <c r="EY110" s="24">
        <f t="shared" si="82"/>
        <v>0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IF(A110&lt;'Données projet'!$A$218,$FB$205^A110,IF(A110='Données projet'!$A$218,'Données projet'!$B$218,FE109+FD110-FM109))</f>
        <v>0</v>
      </c>
      <c r="FF110" s="18" t="e">
        <f>FE110*VLOOKUP('Données projet'!$B$16,Paramètres!$A$1:$I$88,3,0)*VLOOKUP('Données projet'!$B$16,Paramètres!$A$1:$I$88,5,0)</f>
        <v>#N/A</v>
      </c>
      <c r="FG110" s="14" t="e">
        <f t="shared" si="104"/>
        <v>#N/A</v>
      </c>
      <c r="FH110" s="22" t="e">
        <f t="shared" si="83"/>
        <v>#N/A</v>
      </c>
      <c r="FI110" s="62" t="e">
        <f t="shared" si="84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85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projet'!$B$16,Paramètres!$A$1:$I$88,7,0))</f>
        <v>0</v>
      </c>
      <c r="FO110" s="17">
        <f>IF(ISNA(VLOOKUP(A110,'Données projet'!$A$217:$I$237,6,0)),0%,VLOOKUP(A110,'Données projet'!$A$217:$I$237,6,0)*VLOOKUP('Données projet'!$B$16,Paramètres!$A$1:$I$88,7,0))</f>
        <v>0</v>
      </c>
      <c r="FP110" s="17">
        <f>IF(ISNA(VLOOKUP(A110,'Données projet'!$A$217:$I$237,7,0)),0%,VLOOKUP(A110,'Données projet'!$A$217:$I$237,7,0))</f>
        <v>0</v>
      </c>
      <c r="FQ110" s="23">
        <f>EXP(-LN(2)/35)*FQ109+(1-EXP(-LN(2)/35))/(LN(2)/35)*FM110*FN110*VLOOKUP('Données projet'!$B$9,Paramètres!$A$1:$I$88,3,0)*0.475*44/12</f>
        <v>0</v>
      </c>
      <c r="FR110" s="23">
        <f>EXP(-LN(2)/25)*FR109+(1-EXP(-LN(2)/25))/(LN(2)/25)*Calculateur!FM110*Calculateur!FO110*VLOOKUP('Données projet'!$B$9,Paramètres!$A$1:$I$88,3,0)*0.475*44/12</f>
        <v>0</v>
      </c>
      <c r="FS110" s="23">
        <f>EXP(-LN(2)/2)*FS109+(1-EXP(-LN(2)/2))/(LN(2)/2)*FM110*FP110*VLOOKUP('Données projet'!$B$9,Paramètres!$A$1:$I$88,3,0)*0.475*44/12</f>
        <v>0</v>
      </c>
      <c r="FT110" s="24">
        <f t="shared" si="86"/>
        <v>0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IF(A110&lt;'Données projet'!$A$244,$FW$205^A110,IF(A110='Données projet'!$A$244,'Données projet'!$B$244,FZ109+FY110-GH109))</f>
        <v>0</v>
      </c>
      <c r="GA110" s="18" t="e">
        <f>FZ110*VLOOKUP('Données projet'!$B$17,Paramètres!$A$1:$I$88,3,0)*VLOOKUP('Données projet'!$B$17,Paramètres!$A$1:$I$88,5,0)</f>
        <v>#N/A</v>
      </c>
      <c r="GB110" s="14" t="e">
        <f t="shared" si="105"/>
        <v>#N/A</v>
      </c>
      <c r="GC110" s="22" t="e">
        <f t="shared" si="87"/>
        <v>#N/A</v>
      </c>
      <c r="GD110" s="62" t="e">
        <f t="shared" si="88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89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projet'!$B$17,Paramètres!$A$1:$I$88,7,0))</f>
        <v>0</v>
      </c>
      <c r="GJ110" s="17">
        <f>IF(ISNA(VLOOKUP(A110,'Données projet'!$A$243:$I$263,6,0)),0%,VLOOKUP(A110,'Données projet'!$A$243:$I$263,6,0)*VLOOKUP('Données projet'!$B$17,Paramètres!$A$1:$I$88,7,0))</f>
        <v>0</v>
      </c>
      <c r="GK110" s="17">
        <f>IF(ISNA(VLOOKUP(A110,'Données projet'!$A$243:$I$263,7,0)),0%,VLOOKUP(A110,'Données projet'!$A$243:$I$263,7,0))</f>
        <v>0</v>
      </c>
      <c r="GL110" s="23">
        <f>EXP(-LN(2)/35)*GL109+(1-EXP(-LN(2)/35))/(LN(2)/35)*GH110*GI110*VLOOKUP('Données projet'!$B$9,Paramètres!$A$1:$I$88,3,0)*0.475*44/12</f>
        <v>0</v>
      </c>
      <c r="GM110" s="23">
        <f>EXP(-LN(2)/25)*GM109+(1-EXP(-LN(2)/25))/(LN(2)/25)*Calculateur!GH110*Calculateur!GJ110*VLOOKUP('Données projet'!$B$9,Paramètres!$A$1:$I$88,3,0)*0.475*44/12</f>
        <v>0</v>
      </c>
      <c r="GN110" s="23">
        <f>EXP(-LN(2)/2)*GN109+(1-EXP(-LN(2)/2))/(LN(2)/2)*GH110*GK110*VLOOKUP('Données projet'!$B$9,Paramètres!$A$1:$I$88,3,0)*0.475*44/12</f>
        <v>0</v>
      </c>
      <c r="GO110" s="23">
        <f t="shared" si="90"/>
        <v>0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IF(A110&lt;'Données projet'!$A$270,$GR$205^A110,IF(A110='Données projet'!$A$270,'Données projet'!$B$270,GU109+GT110-HC109))</f>
        <v>0</v>
      </c>
      <c r="GV110" s="18" t="e">
        <f>GU110*VLOOKUP('Données projet'!$B$18,Paramètres!$A$1:$I$88,3,0)*VLOOKUP('Données projet'!$B$18,Paramètres!$A$1:$I$88,5,0)</f>
        <v>#N/A</v>
      </c>
      <c r="GW110" s="14" t="e">
        <f t="shared" si="106"/>
        <v>#N/A</v>
      </c>
      <c r="GX110" s="22" t="e">
        <f t="shared" si="91"/>
        <v>#N/A</v>
      </c>
      <c r="GY110" s="62" t="e">
        <f t="shared" si="92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93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projet'!$B$18,Paramètres!$A$1:$I$88,7,0))</f>
        <v>0</v>
      </c>
      <c r="HE110" s="17">
        <f>IF(ISNA(VLOOKUP(A110,'Données projet'!$A$269:$I$289,6,0)),0%,VLOOKUP(A110,'Données projet'!$A$269:$I$289,6,0)*VLOOKUP('Données projet'!$B$18,Paramètres!$A$1:$I$88,7,0))</f>
        <v>0</v>
      </c>
      <c r="HF110" s="17">
        <f>IF(ISNA(VLOOKUP(A110,'Données projet'!$A$269:$I$289,7,0)),0%,VLOOKUP(A110,'Données projet'!$A$269:$I$289,7,0))</f>
        <v>0</v>
      </c>
      <c r="HG110" s="23">
        <f>EXP(-LN(2)/35)*HG109+(1-EXP(-LN(2)/35))/(LN(2)/35)*HC110*HD110*VLOOKUP('Données projet'!$B$9,Paramètres!$A$1:$I$88,3,0)*0.475*44/12</f>
        <v>0</v>
      </c>
      <c r="HH110" s="23">
        <f>EXP(-LN(2)/25)*HH109+(1-EXP(-LN(2)/25))/(LN(2)/25)*Calculateur!HC110*Calculateur!HE110*VLOOKUP('Données projet'!$B$9,Paramètres!$A$1:$I$88,3,0)*0.475*44/12</f>
        <v>0</v>
      </c>
      <c r="HI110" s="23">
        <f>EXP(-LN(2)/2)*HI109+(1-EXP(-LN(2)/2))/(LN(2)/2)*HC110*HF110*VLOOKUP('Données projet'!$B$9,Paramètres!$A$1:$I$88,3,0)*0.475*44/12</f>
        <v>0</v>
      </c>
      <c r="HJ110" s="24">
        <f t="shared" si="94"/>
        <v>0</v>
      </c>
    </row>
    <row r="111" spans="1:218" s="5" customFormat="1" x14ac:dyDescent="0.25">
      <c r="A111" s="11">
        <f t="shared" si="95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1" s="12">
        <f t="shared" si="9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57"/>
        <v>135.66666666666666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1.3833333333333342</v>
      </c>
      <c r="N111" s="14">
        <f>IF(A111&lt;'Données projet'!$A$36,$K$205^A111,IF(A111='Données projet'!$A$36,'Données projet'!$B$36,N110+M111-V110))</f>
        <v>113.76666666666664</v>
      </c>
      <c r="O111" s="14">
        <f>N111*VLOOKUP('Données projet'!$B$9,Paramètres!$A$1:$I$88,3,0)*VLOOKUP('Données projet'!$B$9,Paramètres!$A$1:$I$88,5,0)</f>
        <v>131.05919999999995</v>
      </c>
      <c r="P111" s="14">
        <f t="shared" si="97"/>
        <v>34.240993644452693</v>
      </c>
      <c r="Q111" s="22">
        <f t="shared" si="107"/>
        <v>287.89783726408837</v>
      </c>
      <c r="R111" s="62">
        <f t="shared" si="55"/>
        <v>560.18183189955403</v>
      </c>
      <c r="S111" s="62">
        <f ca="1">AVERAGE(OFFSET($R$3,0,0,'Données projet'!$E$9+1,1))-AVERAGE(OFFSET($H$3,0,0,'Données projet'!$E$9+1,1))</f>
        <v>314.72063458462026</v>
      </c>
      <c r="T111" s="62">
        <f t="shared" si="56"/>
        <v>216.4380325968244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projet'!$B$9,Paramètres!$A$1:$I$88,7,0))</f>
        <v>0</v>
      </c>
      <c r="X111" s="17">
        <f>IF(ISNA(VLOOKUP(A111,'Données projet'!$A$35:$I$55,6,0)),0%,VLOOKUP(A111,'Données projet'!$A$35:$I$55,6,0)*VLOOKUP('Données projet'!$B$9,Paramètres!$A$1:$I$88,7,0))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projet'!$B$9,Paramètres!$A$1:$I$88,3,0)*0.475*44/12</f>
        <v>0</v>
      </c>
      <c r="AA111" s="23">
        <f>EXP(-LN(2)/25)*AA110+(1-EXP(-LN(2)/25))/(LN(2)/25)*Calculateur!V111*Calculateur!X111*VLOOKUP('Données projet'!$B$9,Paramètres!$A$1:$I$88,3,0)*0.475*44/12</f>
        <v>0</v>
      </c>
      <c r="AB111" s="23">
        <f>EXP(-LN(2)/2)*AB110+(1-EXP(-LN(2)/2))/(LN(2)/2)*V111*Y111*VLOOKUP('Données projet'!$B$9,Paramètres!$A$1:$I$88,3,0)*0.475*44/12</f>
        <v>0</v>
      </c>
      <c r="AC111" s="24">
        <f t="shared" si="58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2.9</v>
      </c>
      <c r="AI111" s="14">
        <f>IF(A111&lt;'Données projet'!$A$62,$AF$205^A111,IF(A111='Données projet'!$A$62,'Données projet'!$B$62,AI110+AH111-AQ110))</f>
        <v>253.20000000000002</v>
      </c>
      <c r="AJ111" s="14">
        <f>AI111*VLOOKUP('Données projet'!$B$10,Paramètres!$A$1:$I$88,3,0)*VLOOKUP('Données projet'!$B$10,Paramètres!$A$1:$I$88,5,0)</f>
        <v>264.64464000000004</v>
      </c>
      <c r="AK111" s="14">
        <f t="shared" si="98"/>
        <v>63.711404949403999</v>
      </c>
      <c r="AL111" s="22">
        <f t="shared" si="59"/>
        <v>571.88677828687867</v>
      </c>
      <c r="AM111" s="62">
        <f t="shared" si="60"/>
        <v>844.17077292234444</v>
      </c>
      <c r="AN111" s="62">
        <f ca="1">AVERAGE(OFFSET($AM$3,0,0,'Données projet'!$E$10+1,1))-AVERAGE(OFFSET($H$3,0,0,'Données projet'!$E$10+1,1))</f>
        <v>458.33072853676879</v>
      </c>
      <c r="AO111" s="62">
        <f t="shared" si="61"/>
        <v>254.1734169352687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projet'!$B$10,Paramètres!$A$1:$I$88,7,0))</f>
        <v>0</v>
      </c>
      <c r="AS111" s="17">
        <f>IF(ISNA(VLOOKUP(A111,'Données projet'!$A$61:$I$81,6,0)),0%,VLOOKUP(A111,'Données projet'!$A$61:$I$81,6,0)*VLOOKUP('Données projet'!$B$10,Paramètres!$A$1:$I$88,7,0))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projet'!$B$9,Paramètres!$A$1:$I$88,3,0)*0.475*44/12</f>
        <v>0</v>
      </c>
      <c r="AV111" s="23">
        <f>EXP(-LN(2)/25)*AV110+(1-EXP(-LN(2)/25))/(LN(2)/25)*Calculateur!AQ111*Calculateur!AS111*VLOOKUP('Données projet'!$B$9,Paramètres!$A$1:$I$88,3,0)*0.475*44/12</f>
        <v>0</v>
      </c>
      <c r="AW111" s="23">
        <f>EXP(-LN(2)/2)*AW110+(1-EXP(-LN(2)/2))/(LN(2)/2)*AQ111*AT111*VLOOKUP('Données projet'!$B$9,Paramètres!$A$1:$I$88,3,0)*0.475*44/12</f>
        <v>0</v>
      </c>
      <c r="AX111" s="23">
        <f t="shared" si="62"/>
        <v>0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2.9</v>
      </c>
      <c r="BD111" s="13">
        <f>IF(A111&lt;'Données projet'!$A$88,$BA$205^A111,IF(A111='Données projet'!$A$88,'Données projet'!$B$88,BD110+BC111-BL110))</f>
        <v>253.20000000000002</v>
      </c>
      <c r="BE111" s="14">
        <f>BD111*VLOOKUP('Données projet'!$B$11,Paramètres!$A$1:$I$88,3,0)*VLOOKUP('Données projet'!$B$11,Paramètres!$A$1:$I$88,5,0)</f>
        <v>256.74480000000005</v>
      </c>
      <c r="BF111" s="14">
        <f t="shared" si="99"/>
        <v>62.02799288712616</v>
      </c>
      <c r="BG111" s="22">
        <f t="shared" si="63"/>
        <v>555.19594761174483</v>
      </c>
      <c r="BH111" s="62">
        <f t="shared" si="64"/>
        <v>827.4799422472106</v>
      </c>
      <c r="BI111" s="62">
        <f ca="1">AVERAGE(OFFSET($BH$3,0,0,'Données projet'!$E$11+1,1))-AVERAGE(OFFSET($H$3,0,0,'Données projet'!$E$11+1,1))</f>
        <v>447.82618173893104</v>
      </c>
      <c r="BJ111" s="62">
        <f t="shared" si="65"/>
        <v>248.96509970783379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projet'!$B$11,Paramètres!$A$1:$I$88,7,0))</f>
        <v>0</v>
      </c>
      <c r="BN111" s="17">
        <f>IF(ISNA(VLOOKUP(A111,'Données projet'!$A$87:$I$107,6,0)),0%,VLOOKUP(A111,'Données projet'!$A$87:$I$107,6,0)*VLOOKUP('Données projet'!$B$11,Paramètres!$A$1:$I$88,7,0))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projet'!$B$9,Paramètres!$A$1:$I$88,3,0)*0.475*44/12</f>
        <v>0</v>
      </c>
      <c r="BQ111" s="23">
        <f>EXP(-LN(2)/25)*BQ110+(1-EXP(-LN(2)/25))/(LN(2)/25)*Calculateur!BL111*Calculateur!BN111*VLOOKUP('Données projet'!$B$9,Paramètres!$A$1:$I$88,3,0)*0.475*44/12</f>
        <v>0</v>
      </c>
      <c r="BR111" s="23">
        <f>EXP(-LN(2)/2)*BR110+(1-EXP(-LN(2)/2))/(LN(2)/2)*BL111*BO111*VLOOKUP('Données projet'!$B$9,Paramètres!$A$1:$I$88,3,0)*0.475*44/12</f>
        <v>0</v>
      </c>
      <c r="BS111" s="24">
        <f t="shared" si="66"/>
        <v>0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2.9</v>
      </c>
      <c r="BY111" s="13">
        <f>IF(A111&lt;'Données projet'!$A$114,$BV$205^A111,IF(A111='Données projet'!$A$114,'Données projet'!$B$114,BY110+BX111-CG110))</f>
        <v>253.20000000000002</v>
      </c>
      <c r="BZ111" s="14">
        <f>BY111*VLOOKUP('Données projet'!$B$12,Paramètres!$A$1:$I$88,3,0)*VLOOKUP('Données projet'!$B$12,Paramètres!$A$1:$I$88,5,0)</f>
        <v>272.54448000000002</v>
      </c>
      <c r="CA111" s="14">
        <f t="shared" si="100"/>
        <v>65.388977016702498</v>
      </c>
      <c r="CB111" s="22">
        <f t="shared" si="67"/>
        <v>588.5674376374235</v>
      </c>
      <c r="CC111" s="62">
        <f t="shared" si="68"/>
        <v>860.85143227288927</v>
      </c>
      <c r="CD111" s="62">
        <f ca="1">AVERAGE(OFFSET($CC$3,0,0,'Données projet'!$E$12+1,1))-AVERAGE(OFFSET($H$3,0,0,'Données projet'!$E$12+1,1))</f>
        <v>468.82871618425406</v>
      </c>
      <c r="CE111" s="62">
        <f t="shared" si="69"/>
        <v>259.37818128554397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projet'!$B$12,Paramètres!$A$1:$I$88,7,0))</f>
        <v>0</v>
      </c>
      <c r="CI111" s="17">
        <f>IF(ISNA(VLOOKUP(A111,'Données projet'!$A$113:$I$133,6,0)),0%,VLOOKUP(A111,'Données projet'!$A$113:$I$133,6,0)*VLOOKUP('Données projet'!$B$12,Paramètres!$A$1:$I$88,7,0))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projet'!$B$9,Paramètres!$A$1:$I$88,3,0)*0.475*44/12</f>
        <v>0</v>
      </c>
      <c r="CL111" s="23">
        <f>EXP(-LN(2)/25)*CL110+(1-EXP(-LN(2)/25))/(LN(2)/25)*Calculateur!CG111*Calculateur!CI111*VLOOKUP('Données projet'!$B$9,Paramètres!$A$1:$I$88,3,0)*0.475*44/12</f>
        <v>0</v>
      </c>
      <c r="CM111" s="23">
        <f>EXP(-LN(2)/2)*CM110+(1-EXP(-LN(2)/2))/(LN(2)/2)*CG111*CJ111*VLOOKUP('Données projet'!$B$9,Paramètres!$A$1:$I$88,3,0)*0.475*44/12</f>
        <v>0</v>
      </c>
      <c r="CN111" s="24">
        <f t="shared" si="70"/>
        <v>0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2.9</v>
      </c>
      <c r="CT111" s="13">
        <f>IF(A111&lt;'Données projet'!$A$140,$CQ$205^A111,IF(A111='Données projet'!$A$140,'Données projet'!$B$140,CT110+CS111-DB110))</f>
        <v>253.20000000000002</v>
      </c>
      <c r="CU111" s="18">
        <f>CT111*VLOOKUP('Données projet'!$B$13,Paramètres!$A$1:$I$88,3,0)*VLOOKUP('Données projet'!$B$13,Paramètres!$A$1:$I$88,5,0)</f>
        <v>217.24560000000002</v>
      </c>
      <c r="CV111" s="14">
        <f t="shared" si="101"/>
        <v>53.515792225077334</v>
      </c>
      <c r="CW111" s="22">
        <f t="shared" si="71"/>
        <v>471.57609145867644</v>
      </c>
      <c r="CX111" s="62">
        <f t="shared" si="72"/>
        <v>743.86008609414216</v>
      </c>
      <c r="CY111" s="62">
        <f ca="1">AVERAGE(OFFSET($CX$3,0,0,'Données projet'!$E$13+1,1))-AVERAGE(OFFSET($H$3,0,0,'Données projet'!$E$13+1,1))</f>
        <v>395.19659151668884</v>
      </c>
      <c r="CZ111" s="62">
        <f t="shared" si="73"/>
        <v>222.86563304507339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projet'!$B$13,Paramètres!$A$1:$I$88,7,0))</f>
        <v>0</v>
      </c>
      <c r="DD111" s="17">
        <f>IF(ISNA(VLOOKUP(A111,'Données projet'!$A$139:$I$159,6,0)),0%,VLOOKUP(A111,'Données projet'!$A$139:$I$159,6,0)*VLOOKUP('Données projet'!$B$13,Paramètres!$A$1:$I$88,7,0))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projet'!$B$9,Paramètres!$A$1:$I$88,3,0)*0.475*44/12</f>
        <v>0</v>
      </c>
      <c r="DG111" s="23">
        <f>EXP(-LN(2)/25)*DG110+(1-EXP(-LN(2)/25))/(LN(2)/25)*Calculateur!DB111*Calculateur!DD111*VLOOKUP('Données projet'!$B$9,Paramètres!$A$1:$I$88,3,0)*0.475*44/12</f>
        <v>0</v>
      </c>
      <c r="DH111" s="23">
        <f>EXP(-LN(2)/2)*DH110+(1-EXP(-LN(2)/2))/(LN(2)/2)*DB111*DE111*VLOOKUP('Données projet'!$B$9,Paramètres!$A$1:$I$88,3,0)*0.475*44/12</f>
        <v>0</v>
      </c>
      <c r="DI111" s="24">
        <f t="shared" si="74"/>
        <v>0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IF(A111&lt;'Données projet'!$A$166,$DL$205^A111,IF(A111='Données projet'!$A$166,'Données projet'!$B$166,DO110+DN111-DW110))</f>
        <v>-8.5265128291212022E-14</v>
      </c>
      <c r="DP111" s="18">
        <f>DO111*VLOOKUP('Données projet'!$B$14,Paramètres!$A$1:$I$88,3,0)*VLOOKUP('Données projet'!$B$14,Paramètres!$A$1:$I$88,5,0)</f>
        <v>-4.9880100050359036E-14</v>
      </c>
      <c r="DQ111" s="14" t="e">
        <f t="shared" si="102"/>
        <v>#NUM!</v>
      </c>
      <c r="DR111" s="22" t="e">
        <f t="shared" si="75"/>
        <v>#NUM!</v>
      </c>
      <c r="DS111" s="62" t="e">
        <f t="shared" si="76"/>
        <v>#NUM!</v>
      </c>
      <c r="DT111" s="62">
        <f ca="1">AVERAGE(OFFSET($DS$3,0,0,'Données projet'!$E$14+1,1))-AVERAGE(OFFSET($H$3,0,0,'Données projet'!$E$14+1,1))</f>
        <v>155.18073137151848</v>
      </c>
      <c r="DU111" s="62">
        <f t="shared" si="77"/>
        <v>115.19459155667272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projet'!$B$14,Paramètres!$A$1:$I$88,7,0))</f>
        <v>0</v>
      </c>
      <c r="DY111" s="17">
        <f>IF(ISNA(VLOOKUP(A111,'Données projet'!$A$165:$I$185,6,0)),0%,VLOOKUP(A111,'Données projet'!$A$165:$I$185,6,0)*VLOOKUP('Données projet'!$B$14,Paramètres!$A$1:$I$88,7,0))</f>
        <v>0</v>
      </c>
      <c r="DZ111" s="17">
        <f>IF(ISNA(VLOOKUP(A111,'Données projet'!$A$165:$I$185,7,0)),0%,VLOOKUP(A111,'Données projet'!$A$165:$I$185,7,0))</f>
        <v>0</v>
      </c>
      <c r="EA111" s="23">
        <f>EXP(-LN(2)/35)*EA110+(1-EXP(-LN(2)/35))/(LN(2)/35)*DW111*DX111*VLOOKUP('Données projet'!$B$9,Paramètres!$A$1:$I$88,3,0)*0.475*44/12</f>
        <v>0</v>
      </c>
      <c r="EB111" s="23">
        <f>EXP(-LN(2)/25)*EB110+(1-EXP(-LN(2)/25))/(LN(2)/25)*Calculateur!DW111*Calculateur!DY111*VLOOKUP('Données projet'!$B$9,Paramètres!$A$1:$I$88,3,0)*0.475*44/12</f>
        <v>0</v>
      </c>
      <c r="EC111" s="23">
        <f>EXP(-LN(2)/2)*EC110+(1-EXP(-LN(2)/2))/(LN(2)/2)*DW111*DZ111*VLOOKUP('Données projet'!$B$9,Paramètres!$A$1:$I$88,3,0)*0.475*44/12</f>
        <v>0</v>
      </c>
      <c r="ED111" s="24">
        <f t="shared" si="78"/>
        <v>0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5.3</v>
      </c>
      <c r="EJ111" s="13">
        <f>IF(A111&lt;'Données projet'!$A$192,$EG$205^A111,IF(A111='Données projet'!$A$192,'Données projet'!$B$192,EJ110+EI111-ER110))</f>
        <v>269.39999999999992</v>
      </c>
      <c r="EK111" s="18">
        <f>EJ111*VLOOKUP('Données projet'!$B$15,Paramètres!$A$1:$I$88,3,0)*VLOOKUP('Données projet'!$B$15,Paramètres!$A$1:$I$88,5,0)</f>
        <v>126.07919999999996</v>
      </c>
      <c r="EL111" s="14">
        <f t="shared" si="103"/>
        <v>33.088769150341768</v>
      </c>
      <c r="EM111" s="22">
        <f t="shared" si="79"/>
        <v>277.2175462701785</v>
      </c>
      <c r="EN111" s="62">
        <f t="shared" si="80"/>
        <v>549.50154090564422</v>
      </c>
      <c r="EO111" s="62">
        <f ca="1">AVERAGE(OFFSET($EN$3,0,0,'Données projet'!$E$15+1,1))-AVERAGE(OFFSET($H$3,0,0,'Données projet'!$E$15+1,1))</f>
        <v>238.59014604384171</v>
      </c>
      <c r="EP111" s="62">
        <f t="shared" si="81"/>
        <v>90.841373219575217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projet'!$B$15,Paramètres!$A$1:$I$88,7,0))</f>
        <v>0</v>
      </c>
      <c r="ET111" s="17">
        <f>IF(ISNA(VLOOKUP(A111,'Données projet'!$A$191:$I$211,6,0)),0%,VLOOKUP(A111,'Données projet'!$A$191:$I$211,6,0)*VLOOKUP('Données projet'!$B$15,Paramètres!$A$1:$I$88,7,0))</f>
        <v>0</v>
      </c>
      <c r="EU111" s="17">
        <f>IF(ISNA(VLOOKUP(A111,'Données projet'!$A$191:$I$211,7,0)),0%,VLOOKUP(A111,'Données projet'!$A$191:$I$211,7,0))</f>
        <v>0</v>
      </c>
      <c r="EV111" s="23">
        <f>EXP(-LN(2)/35)*EV110+(1-EXP(-LN(2)/35))/(LN(2)/35)*ER111*ES111*VLOOKUP('Données projet'!$B$9,Paramètres!$A$1:$I$88,3,0)*0.475*44/12</f>
        <v>0</v>
      </c>
      <c r="EW111" s="23">
        <f>EXP(-LN(2)/25)*EW110+(1-EXP(-LN(2)/25))/(LN(2)/25)*Calculateur!ER111*Calculateur!ET111*VLOOKUP('Données projet'!$B$9,Paramètres!$A$1:$I$88,3,0)*0.475*44/12</f>
        <v>0</v>
      </c>
      <c r="EX111" s="23">
        <f>EXP(-LN(2)/2)*EX110+(1-EXP(-LN(2)/2))/(LN(2)/2)*ER111*EU111*VLOOKUP('Données projet'!$B$9,Paramètres!$A$1:$I$88,3,0)*0.475*44/12</f>
        <v>0</v>
      </c>
      <c r="EY111" s="24">
        <f t="shared" si="82"/>
        <v>0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IF(A111&lt;'Données projet'!$A$218,$FB$205^A111,IF(A111='Données projet'!$A$218,'Données projet'!$B$218,FE110+FD111-FM110))</f>
        <v>0</v>
      </c>
      <c r="FF111" s="18" t="e">
        <f>FE111*VLOOKUP('Données projet'!$B$16,Paramètres!$A$1:$I$88,3,0)*VLOOKUP('Données projet'!$B$16,Paramètres!$A$1:$I$88,5,0)</f>
        <v>#N/A</v>
      </c>
      <c r="FG111" s="14" t="e">
        <f t="shared" si="104"/>
        <v>#N/A</v>
      </c>
      <c r="FH111" s="22" t="e">
        <f t="shared" si="83"/>
        <v>#N/A</v>
      </c>
      <c r="FI111" s="62" t="e">
        <f t="shared" si="84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85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projet'!$B$16,Paramètres!$A$1:$I$88,7,0))</f>
        <v>0</v>
      </c>
      <c r="FO111" s="17">
        <f>IF(ISNA(VLOOKUP(A111,'Données projet'!$A$217:$I$237,6,0)),0%,VLOOKUP(A111,'Données projet'!$A$217:$I$237,6,0)*VLOOKUP('Données projet'!$B$16,Paramètres!$A$1:$I$88,7,0))</f>
        <v>0</v>
      </c>
      <c r="FP111" s="17">
        <f>IF(ISNA(VLOOKUP(A111,'Données projet'!$A$217:$I$237,7,0)),0%,VLOOKUP(A111,'Données projet'!$A$217:$I$237,7,0))</f>
        <v>0</v>
      </c>
      <c r="FQ111" s="23">
        <f>EXP(-LN(2)/35)*FQ110+(1-EXP(-LN(2)/35))/(LN(2)/35)*FM111*FN111*VLOOKUP('Données projet'!$B$9,Paramètres!$A$1:$I$88,3,0)*0.475*44/12</f>
        <v>0</v>
      </c>
      <c r="FR111" s="23">
        <f>EXP(-LN(2)/25)*FR110+(1-EXP(-LN(2)/25))/(LN(2)/25)*Calculateur!FM111*Calculateur!FO111*VLOOKUP('Données projet'!$B$9,Paramètres!$A$1:$I$88,3,0)*0.475*44/12</f>
        <v>0</v>
      </c>
      <c r="FS111" s="23">
        <f>EXP(-LN(2)/2)*FS110+(1-EXP(-LN(2)/2))/(LN(2)/2)*FM111*FP111*VLOOKUP('Données projet'!$B$9,Paramètres!$A$1:$I$88,3,0)*0.475*44/12</f>
        <v>0</v>
      </c>
      <c r="FT111" s="24">
        <f t="shared" si="86"/>
        <v>0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IF(A111&lt;'Données projet'!$A$244,$FW$205^A111,IF(A111='Données projet'!$A$244,'Données projet'!$B$244,FZ110+FY111-GH110))</f>
        <v>0</v>
      </c>
      <c r="GA111" s="18" t="e">
        <f>FZ111*VLOOKUP('Données projet'!$B$17,Paramètres!$A$1:$I$88,3,0)*VLOOKUP('Données projet'!$B$17,Paramètres!$A$1:$I$88,5,0)</f>
        <v>#N/A</v>
      </c>
      <c r="GB111" s="14" t="e">
        <f t="shared" si="105"/>
        <v>#N/A</v>
      </c>
      <c r="GC111" s="22" t="e">
        <f t="shared" si="87"/>
        <v>#N/A</v>
      </c>
      <c r="GD111" s="62" t="e">
        <f t="shared" si="88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89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projet'!$B$17,Paramètres!$A$1:$I$88,7,0))</f>
        <v>0</v>
      </c>
      <c r="GJ111" s="17">
        <f>IF(ISNA(VLOOKUP(A111,'Données projet'!$A$243:$I$263,6,0)),0%,VLOOKUP(A111,'Données projet'!$A$243:$I$263,6,0)*VLOOKUP('Données projet'!$B$17,Paramètres!$A$1:$I$88,7,0))</f>
        <v>0</v>
      </c>
      <c r="GK111" s="17">
        <f>IF(ISNA(VLOOKUP(A111,'Données projet'!$A$243:$I$263,7,0)),0%,VLOOKUP(A111,'Données projet'!$A$243:$I$263,7,0))</f>
        <v>0</v>
      </c>
      <c r="GL111" s="23">
        <f>EXP(-LN(2)/35)*GL110+(1-EXP(-LN(2)/35))/(LN(2)/35)*GH111*GI111*VLOOKUP('Données projet'!$B$9,Paramètres!$A$1:$I$88,3,0)*0.475*44/12</f>
        <v>0</v>
      </c>
      <c r="GM111" s="23">
        <f>EXP(-LN(2)/25)*GM110+(1-EXP(-LN(2)/25))/(LN(2)/25)*Calculateur!GH111*Calculateur!GJ111*VLOOKUP('Données projet'!$B$9,Paramètres!$A$1:$I$88,3,0)*0.475*44/12</f>
        <v>0</v>
      </c>
      <c r="GN111" s="23">
        <f>EXP(-LN(2)/2)*GN110+(1-EXP(-LN(2)/2))/(LN(2)/2)*GH111*GK111*VLOOKUP('Données projet'!$B$9,Paramètres!$A$1:$I$88,3,0)*0.475*44/12</f>
        <v>0</v>
      </c>
      <c r="GO111" s="23">
        <f t="shared" si="90"/>
        <v>0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IF(A111&lt;'Données projet'!$A$270,$GR$205^A111,IF(A111='Données projet'!$A$270,'Données projet'!$B$270,GU110+GT111-HC110))</f>
        <v>0</v>
      </c>
      <c r="GV111" s="18" t="e">
        <f>GU111*VLOOKUP('Données projet'!$B$18,Paramètres!$A$1:$I$88,3,0)*VLOOKUP('Données projet'!$B$18,Paramètres!$A$1:$I$88,5,0)</f>
        <v>#N/A</v>
      </c>
      <c r="GW111" s="14" t="e">
        <f t="shared" si="106"/>
        <v>#N/A</v>
      </c>
      <c r="GX111" s="22" t="e">
        <f t="shared" si="91"/>
        <v>#N/A</v>
      </c>
      <c r="GY111" s="62" t="e">
        <f t="shared" si="92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93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projet'!$B$18,Paramètres!$A$1:$I$88,7,0))</f>
        <v>0</v>
      </c>
      <c r="HE111" s="17">
        <f>IF(ISNA(VLOOKUP(A111,'Données projet'!$A$269:$I$289,6,0)),0%,VLOOKUP(A111,'Données projet'!$A$269:$I$289,6,0)*VLOOKUP('Données projet'!$B$18,Paramètres!$A$1:$I$88,7,0))</f>
        <v>0</v>
      </c>
      <c r="HF111" s="17">
        <f>IF(ISNA(VLOOKUP(A111,'Données projet'!$A$269:$I$289,7,0)),0%,VLOOKUP(A111,'Données projet'!$A$269:$I$289,7,0))</f>
        <v>0</v>
      </c>
      <c r="HG111" s="23">
        <f>EXP(-LN(2)/35)*HG110+(1-EXP(-LN(2)/35))/(LN(2)/35)*HC111*HD111*VLOOKUP('Données projet'!$B$9,Paramètres!$A$1:$I$88,3,0)*0.475*44/12</f>
        <v>0</v>
      </c>
      <c r="HH111" s="23">
        <f>EXP(-LN(2)/25)*HH110+(1-EXP(-LN(2)/25))/(LN(2)/25)*Calculateur!HC111*Calculateur!HE111*VLOOKUP('Données projet'!$B$9,Paramètres!$A$1:$I$88,3,0)*0.475*44/12</f>
        <v>0</v>
      </c>
      <c r="HI111" s="23">
        <f>EXP(-LN(2)/2)*HI110+(1-EXP(-LN(2)/2))/(LN(2)/2)*HC111*HF111*VLOOKUP('Données projet'!$B$9,Paramètres!$A$1:$I$88,3,0)*0.475*44/12</f>
        <v>0</v>
      </c>
      <c r="HJ111" s="24">
        <f t="shared" si="94"/>
        <v>0</v>
      </c>
    </row>
    <row r="112" spans="1:218" s="5" customFormat="1" x14ac:dyDescent="0.25">
      <c r="A112" s="11">
        <f t="shared" si="95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2" s="12">
        <f t="shared" si="9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57"/>
        <v>135.66666666666666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1.3833333333333342</v>
      </c>
      <c r="N112" s="14">
        <f>IF(A112&lt;'Données projet'!$A$36,$K$205^A112,IF(A112='Données projet'!$A$36,'Données projet'!$B$36,N111+M112-V111))</f>
        <v>115.14999999999998</v>
      </c>
      <c r="O112" s="14">
        <f>N112*VLOOKUP('Données projet'!$B$9,Paramètres!$A$1:$I$88,3,0)*VLOOKUP('Données projet'!$B$9,Paramètres!$A$1:$I$88,5,0)</f>
        <v>132.65279999999996</v>
      </c>
      <c r="P112" s="14">
        <f t="shared" si="97"/>
        <v>34.608620990190566</v>
      </c>
      <c r="Q112" s="22">
        <f t="shared" si="107"/>
        <v>291.31364155791516</v>
      </c>
      <c r="R112" s="62">
        <f t="shared" si="55"/>
        <v>563.96279516051754</v>
      </c>
      <c r="S112" s="62">
        <f ca="1">AVERAGE(OFFSET($R$3,0,0,'Données projet'!$E$9+1,1))-AVERAGE(OFFSET($H$3,0,0,'Données projet'!$E$9+1,1))</f>
        <v>314.72063458462026</v>
      </c>
      <c r="T112" s="62">
        <f t="shared" si="56"/>
        <v>216.4380325968244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projet'!$B$9,Paramètres!$A$1:$I$88,7,0))</f>
        <v>0</v>
      </c>
      <c r="X112" s="17">
        <f>IF(ISNA(VLOOKUP(A112,'Données projet'!$A$35:$I$55,6,0)),0%,VLOOKUP(A112,'Données projet'!$A$35:$I$55,6,0)*VLOOKUP('Données projet'!$B$9,Paramètres!$A$1:$I$88,7,0))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projet'!$B$9,Paramètres!$A$1:$I$88,3,0)*0.475*44/12</f>
        <v>0</v>
      </c>
      <c r="AA112" s="23">
        <f>EXP(-LN(2)/25)*AA111+(1-EXP(-LN(2)/25))/(LN(2)/25)*Calculateur!V112*Calculateur!X112*VLOOKUP('Données projet'!$B$9,Paramètres!$A$1:$I$88,3,0)*0.475*44/12</f>
        <v>0</v>
      </c>
      <c r="AB112" s="23">
        <f>EXP(-LN(2)/2)*AB111+(1-EXP(-LN(2)/2))/(LN(2)/2)*V112*Y112*VLOOKUP('Données projet'!$B$9,Paramètres!$A$1:$I$88,3,0)*0.475*44/12</f>
        <v>0</v>
      </c>
      <c r="AC112" s="24">
        <f t="shared" si="58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2.9</v>
      </c>
      <c r="AI112" s="14">
        <f>IF(A112&lt;'Données projet'!$A$62,$AF$205^A112,IF(A112='Données projet'!$A$62,'Données projet'!$B$62,AI111+AH112-AQ111))</f>
        <v>256.10000000000002</v>
      </c>
      <c r="AJ112" s="14">
        <f>AI112*VLOOKUP('Données projet'!$B$10,Paramètres!$A$1:$I$88,3,0)*VLOOKUP('Données projet'!$B$10,Paramètres!$A$1:$I$88,5,0)</f>
        <v>267.67572000000001</v>
      </c>
      <c r="AK112" s="14">
        <f t="shared" si="98"/>
        <v>64.355750481264721</v>
      </c>
      <c r="AL112" s="22">
        <f t="shared" si="59"/>
        <v>578.288144421536</v>
      </c>
      <c r="AM112" s="62">
        <f t="shared" si="60"/>
        <v>850.93729802413827</v>
      </c>
      <c r="AN112" s="62">
        <f ca="1">AVERAGE(OFFSET($AM$3,0,0,'Données projet'!$E$10+1,1))-AVERAGE(OFFSET($H$3,0,0,'Données projet'!$E$10+1,1))</f>
        <v>458.33072853676879</v>
      </c>
      <c r="AO112" s="62">
        <f t="shared" si="61"/>
        <v>254.1734169352687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projet'!$B$10,Paramètres!$A$1:$I$88,7,0))</f>
        <v>0</v>
      </c>
      <c r="AS112" s="17">
        <f>IF(ISNA(VLOOKUP(A112,'Données projet'!$A$61:$I$81,6,0)),0%,VLOOKUP(A112,'Données projet'!$A$61:$I$81,6,0)*VLOOKUP('Données projet'!$B$10,Paramètres!$A$1:$I$88,7,0))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projet'!$B$9,Paramètres!$A$1:$I$88,3,0)*0.475*44/12</f>
        <v>0</v>
      </c>
      <c r="AV112" s="23">
        <f>EXP(-LN(2)/25)*AV111+(1-EXP(-LN(2)/25))/(LN(2)/25)*Calculateur!AQ112*Calculateur!AS112*VLOOKUP('Données projet'!$B$9,Paramètres!$A$1:$I$88,3,0)*0.475*44/12</f>
        <v>0</v>
      </c>
      <c r="AW112" s="23">
        <f>EXP(-LN(2)/2)*AW111+(1-EXP(-LN(2)/2))/(LN(2)/2)*AQ112*AT112*VLOOKUP('Données projet'!$B$9,Paramètres!$A$1:$I$88,3,0)*0.475*44/12</f>
        <v>0</v>
      </c>
      <c r="AX112" s="23">
        <f t="shared" si="62"/>
        <v>0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2.9</v>
      </c>
      <c r="BD112" s="13">
        <f>IF(A112&lt;'Données projet'!$A$88,$BA$205^A112,IF(A112='Données projet'!$A$88,'Données projet'!$B$88,BD111+BC112-BL111))</f>
        <v>256.10000000000002</v>
      </c>
      <c r="BE112" s="14">
        <f>BD112*VLOOKUP('Données projet'!$B$11,Paramètres!$A$1:$I$88,3,0)*VLOOKUP('Données projet'!$B$11,Paramètres!$A$1:$I$88,5,0)</f>
        <v>259.68540000000007</v>
      </c>
      <c r="BF112" s="14">
        <f t="shared" si="99"/>
        <v>62.655313224808999</v>
      </c>
      <c r="BG112" s="22">
        <f t="shared" si="63"/>
        <v>561.41007553320912</v>
      </c>
      <c r="BH112" s="62">
        <f t="shared" si="64"/>
        <v>834.05922913581139</v>
      </c>
      <c r="BI112" s="62">
        <f ca="1">AVERAGE(OFFSET($BH$3,0,0,'Données projet'!$E$11+1,1))-AVERAGE(OFFSET($H$3,0,0,'Données projet'!$E$11+1,1))</f>
        <v>447.82618173893104</v>
      </c>
      <c r="BJ112" s="62">
        <f t="shared" si="65"/>
        <v>248.96509970783379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projet'!$B$11,Paramètres!$A$1:$I$88,7,0))</f>
        <v>0</v>
      </c>
      <c r="BN112" s="17">
        <f>IF(ISNA(VLOOKUP(A112,'Données projet'!$A$87:$I$107,6,0)),0%,VLOOKUP(A112,'Données projet'!$A$87:$I$107,6,0)*VLOOKUP('Données projet'!$B$11,Paramètres!$A$1:$I$88,7,0))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projet'!$B$9,Paramètres!$A$1:$I$88,3,0)*0.475*44/12</f>
        <v>0</v>
      </c>
      <c r="BQ112" s="23">
        <f>EXP(-LN(2)/25)*BQ111+(1-EXP(-LN(2)/25))/(LN(2)/25)*Calculateur!BL112*Calculateur!BN112*VLOOKUP('Données projet'!$B$9,Paramètres!$A$1:$I$88,3,0)*0.475*44/12</f>
        <v>0</v>
      </c>
      <c r="BR112" s="23">
        <f>EXP(-LN(2)/2)*BR111+(1-EXP(-LN(2)/2))/(LN(2)/2)*BL112*BO112*VLOOKUP('Données projet'!$B$9,Paramètres!$A$1:$I$88,3,0)*0.475*44/12</f>
        <v>0</v>
      </c>
      <c r="BS112" s="24">
        <f t="shared" si="66"/>
        <v>0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2.9</v>
      </c>
      <c r="BY112" s="13">
        <f>IF(A112&lt;'Données projet'!$A$114,$BV$205^A112,IF(A112='Données projet'!$A$114,'Données projet'!$B$114,BY111+BX112-CG111))</f>
        <v>256.10000000000002</v>
      </c>
      <c r="BZ112" s="14">
        <f>BY112*VLOOKUP('Données projet'!$B$12,Paramètres!$A$1:$I$88,3,0)*VLOOKUP('Données projet'!$B$12,Paramètres!$A$1:$I$88,5,0)</f>
        <v>275.66604000000001</v>
      </c>
      <c r="CA112" s="14">
        <f t="shared" si="100"/>
        <v>66.05028867993002</v>
      </c>
      <c r="CB112" s="22">
        <f t="shared" si="67"/>
        <v>595.15593911754479</v>
      </c>
      <c r="CC112" s="62">
        <f t="shared" si="68"/>
        <v>867.80509272014706</v>
      </c>
      <c r="CD112" s="62">
        <f ca="1">AVERAGE(OFFSET($CC$3,0,0,'Données projet'!$E$12+1,1))-AVERAGE(OFFSET($H$3,0,0,'Données projet'!$E$12+1,1))</f>
        <v>468.82871618425406</v>
      </c>
      <c r="CE112" s="62">
        <f t="shared" si="69"/>
        <v>259.37818128554397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projet'!$B$12,Paramètres!$A$1:$I$88,7,0))</f>
        <v>0</v>
      </c>
      <c r="CI112" s="17">
        <f>IF(ISNA(VLOOKUP(A112,'Données projet'!$A$113:$I$133,6,0)),0%,VLOOKUP(A112,'Données projet'!$A$113:$I$133,6,0)*VLOOKUP('Données projet'!$B$12,Paramètres!$A$1:$I$88,7,0))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projet'!$B$9,Paramètres!$A$1:$I$88,3,0)*0.475*44/12</f>
        <v>0</v>
      </c>
      <c r="CL112" s="23">
        <f>EXP(-LN(2)/25)*CL111+(1-EXP(-LN(2)/25))/(LN(2)/25)*Calculateur!CG112*Calculateur!CI112*VLOOKUP('Données projet'!$B$9,Paramètres!$A$1:$I$88,3,0)*0.475*44/12</f>
        <v>0</v>
      </c>
      <c r="CM112" s="23">
        <f>EXP(-LN(2)/2)*CM111+(1-EXP(-LN(2)/2))/(LN(2)/2)*CG112*CJ112*VLOOKUP('Données projet'!$B$9,Paramètres!$A$1:$I$88,3,0)*0.475*44/12</f>
        <v>0</v>
      </c>
      <c r="CN112" s="24">
        <f t="shared" si="70"/>
        <v>0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2.9</v>
      </c>
      <c r="CT112" s="13">
        <f>IF(A112&lt;'Données projet'!$A$140,$CQ$205^A112,IF(A112='Données projet'!$A$140,'Données projet'!$B$140,CT111+CS112-DB111))</f>
        <v>256.10000000000002</v>
      </c>
      <c r="CU112" s="18">
        <f>CT112*VLOOKUP('Données projet'!$B$13,Paramètres!$A$1:$I$88,3,0)*VLOOKUP('Données projet'!$B$13,Paramètres!$A$1:$I$88,5,0)</f>
        <v>219.73380000000003</v>
      </c>
      <c r="CV112" s="14">
        <f t="shared" si="101"/>
        <v>54.057024389579112</v>
      </c>
      <c r="CW112" s="22">
        <f t="shared" si="71"/>
        <v>476.85235247851693</v>
      </c>
      <c r="CX112" s="62">
        <f t="shared" si="72"/>
        <v>749.50150608111926</v>
      </c>
      <c r="CY112" s="62">
        <f ca="1">AVERAGE(OFFSET($CX$3,0,0,'Données projet'!$E$13+1,1))-AVERAGE(OFFSET($H$3,0,0,'Données projet'!$E$13+1,1))</f>
        <v>395.19659151668884</v>
      </c>
      <c r="CZ112" s="62">
        <f t="shared" si="73"/>
        <v>222.86563304507339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projet'!$B$13,Paramètres!$A$1:$I$88,7,0))</f>
        <v>0</v>
      </c>
      <c r="DD112" s="17">
        <f>IF(ISNA(VLOOKUP(A112,'Données projet'!$A$139:$I$159,6,0)),0%,VLOOKUP(A112,'Données projet'!$A$139:$I$159,6,0)*VLOOKUP('Données projet'!$B$13,Paramètres!$A$1:$I$88,7,0))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projet'!$B$9,Paramètres!$A$1:$I$88,3,0)*0.475*44/12</f>
        <v>0</v>
      </c>
      <c r="DG112" s="23">
        <f>EXP(-LN(2)/25)*DG111+(1-EXP(-LN(2)/25))/(LN(2)/25)*Calculateur!DB112*Calculateur!DD112*VLOOKUP('Données projet'!$B$9,Paramètres!$A$1:$I$88,3,0)*0.475*44/12</f>
        <v>0</v>
      </c>
      <c r="DH112" s="23">
        <f>EXP(-LN(2)/2)*DH111+(1-EXP(-LN(2)/2))/(LN(2)/2)*DB112*DE112*VLOOKUP('Données projet'!$B$9,Paramètres!$A$1:$I$88,3,0)*0.475*44/12</f>
        <v>0</v>
      </c>
      <c r="DI112" s="24">
        <f t="shared" si="74"/>
        <v>0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IF(A112&lt;'Données projet'!$A$166,$DL$205^A112,IF(A112='Données projet'!$A$166,'Données projet'!$B$166,DO111+DN112-DW111))</f>
        <v>-8.5265128291212022E-14</v>
      </c>
      <c r="DP112" s="18">
        <f>DO112*VLOOKUP('Données projet'!$B$14,Paramètres!$A$1:$I$88,3,0)*VLOOKUP('Données projet'!$B$14,Paramètres!$A$1:$I$88,5,0)</f>
        <v>-4.9880100050359036E-14</v>
      </c>
      <c r="DQ112" s="14" t="e">
        <f t="shared" si="102"/>
        <v>#NUM!</v>
      </c>
      <c r="DR112" s="22" t="e">
        <f t="shared" si="75"/>
        <v>#NUM!</v>
      </c>
      <c r="DS112" s="62" t="e">
        <f t="shared" si="76"/>
        <v>#NUM!</v>
      </c>
      <c r="DT112" s="62">
        <f ca="1">AVERAGE(OFFSET($DS$3,0,0,'Données projet'!$E$14+1,1))-AVERAGE(OFFSET($H$3,0,0,'Données projet'!$E$14+1,1))</f>
        <v>155.18073137151848</v>
      </c>
      <c r="DU112" s="62">
        <f t="shared" si="77"/>
        <v>115.19459155667272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projet'!$B$14,Paramètres!$A$1:$I$88,7,0))</f>
        <v>0</v>
      </c>
      <c r="DY112" s="17">
        <f>IF(ISNA(VLOOKUP(A112,'Données projet'!$A$165:$I$185,6,0)),0%,VLOOKUP(A112,'Données projet'!$A$165:$I$185,6,0)*VLOOKUP('Données projet'!$B$14,Paramètres!$A$1:$I$88,7,0))</f>
        <v>0</v>
      </c>
      <c r="DZ112" s="17">
        <f>IF(ISNA(VLOOKUP(A112,'Données projet'!$A$165:$I$185,7,0)),0%,VLOOKUP(A112,'Données projet'!$A$165:$I$185,7,0))</f>
        <v>0</v>
      </c>
      <c r="EA112" s="23">
        <f>EXP(-LN(2)/35)*EA111+(1-EXP(-LN(2)/35))/(LN(2)/35)*DW112*DX112*VLOOKUP('Données projet'!$B$9,Paramètres!$A$1:$I$88,3,0)*0.475*44/12</f>
        <v>0</v>
      </c>
      <c r="EB112" s="23">
        <f>EXP(-LN(2)/25)*EB111+(1-EXP(-LN(2)/25))/(LN(2)/25)*Calculateur!DW112*Calculateur!DY112*VLOOKUP('Données projet'!$B$9,Paramètres!$A$1:$I$88,3,0)*0.475*44/12</f>
        <v>0</v>
      </c>
      <c r="EC112" s="23">
        <f>EXP(-LN(2)/2)*EC111+(1-EXP(-LN(2)/2))/(LN(2)/2)*DW112*DZ112*VLOOKUP('Données projet'!$B$9,Paramètres!$A$1:$I$88,3,0)*0.475*44/12</f>
        <v>0</v>
      </c>
      <c r="ED112" s="24">
        <f t="shared" si="78"/>
        <v>0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5.3</v>
      </c>
      <c r="EJ112" s="13">
        <f>IF(A112&lt;'Données projet'!$A$192,$EG$205^A112,IF(A112='Données projet'!$A$192,'Données projet'!$B$192,EJ111+EI112-ER111))</f>
        <v>274.69999999999993</v>
      </c>
      <c r="EK112" s="18">
        <f>EJ112*VLOOKUP('Données projet'!$B$15,Paramètres!$A$1:$I$88,3,0)*VLOOKUP('Données projet'!$B$15,Paramètres!$A$1:$I$88,5,0)</f>
        <v>128.55959999999996</v>
      </c>
      <c r="EL112" s="14">
        <f t="shared" si="103"/>
        <v>33.663309663241684</v>
      </c>
      <c r="EM112" s="22">
        <f t="shared" si="79"/>
        <v>282.53823433014583</v>
      </c>
      <c r="EN112" s="62">
        <f t="shared" si="80"/>
        <v>555.18738793274815</v>
      </c>
      <c r="EO112" s="62">
        <f ca="1">AVERAGE(OFFSET($EN$3,0,0,'Données projet'!$E$15+1,1))-AVERAGE(OFFSET($H$3,0,0,'Données projet'!$E$15+1,1))</f>
        <v>238.59014604384171</v>
      </c>
      <c r="EP112" s="62">
        <f t="shared" si="81"/>
        <v>90.841373219575217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projet'!$B$15,Paramètres!$A$1:$I$88,7,0))</f>
        <v>0</v>
      </c>
      <c r="ET112" s="17">
        <f>IF(ISNA(VLOOKUP(A112,'Données projet'!$A$191:$I$211,6,0)),0%,VLOOKUP(A112,'Données projet'!$A$191:$I$211,6,0)*VLOOKUP('Données projet'!$B$15,Paramètres!$A$1:$I$88,7,0))</f>
        <v>0</v>
      </c>
      <c r="EU112" s="17">
        <f>IF(ISNA(VLOOKUP(A112,'Données projet'!$A$191:$I$211,7,0)),0%,VLOOKUP(A112,'Données projet'!$A$191:$I$211,7,0))</f>
        <v>0</v>
      </c>
      <c r="EV112" s="23">
        <f>EXP(-LN(2)/35)*EV111+(1-EXP(-LN(2)/35))/(LN(2)/35)*ER112*ES112*VLOOKUP('Données projet'!$B$9,Paramètres!$A$1:$I$88,3,0)*0.475*44/12</f>
        <v>0</v>
      </c>
      <c r="EW112" s="23">
        <f>EXP(-LN(2)/25)*EW111+(1-EXP(-LN(2)/25))/(LN(2)/25)*Calculateur!ER112*Calculateur!ET112*VLOOKUP('Données projet'!$B$9,Paramètres!$A$1:$I$88,3,0)*0.475*44/12</f>
        <v>0</v>
      </c>
      <c r="EX112" s="23">
        <f>EXP(-LN(2)/2)*EX111+(1-EXP(-LN(2)/2))/(LN(2)/2)*ER112*EU112*VLOOKUP('Données projet'!$B$9,Paramètres!$A$1:$I$88,3,0)*0.475*44/12</f>
        <v>0</v>
      </c>
      <c r="EY112" s="24">
        <f t="shared" si="82"/>
        <v>0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IF(A112&lt;'Données projet'!$A$218,$FB$205^A112,IF(A112='Données projet'!$A$218,'Données projet'!$B$218,FE111+FD112-FM111))</f>
        <v>0</v>
      </c>
      <c r="FF112" s="18" t="e">
        <f>FE112*VLOOKUP('Données projet'!$B$16,Paramètres!$A$1:$I$88,3,0)*VLOOKUP('Données projet'!$B$16,Paramètres!$A$1:$I$88,5,0)</f>
        <v>#N/A</v>
      </c>
      <c r="FG112" s="14" t="e">
        <f t="shared" si="104"/>
        <v>#N/A</v>
      </c>
      <c r="FH112" s="22" t="e">
        <f t="shared" si="83"/>
        <v>#N/A</v>
      </c>
      <c r="FI112" s="62" t="e">
        <f t="shared" si="84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85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projet'!$B$16,Paramètres!$A$1:$I$88,7,0))</f>
        <v>0</v>
      </c>
      <c r="FO112" s="17">
        <f>IF(ISNA(VLOOKUP(A112,'Données projet'!$A$217:$I$237,6,0)),0%,VLOOKUP(A112,'Données projet'!$A$217:$I$237,6,0)*VLOOKUP('Données projet'!$B$16,Paramètres!$A$1:$I$88,7,0))</f>
        <v>0</v>
      </c>
      <c r="FP112" s="17">
        <f>IF(ISNA(VLOOKUP(A112,'Données projet'!$A$217:$I$237,7,0)),0%,VLOOKUP(A112,'Données projet'!$A$217:$I$237,7,0))</f>
        <v>0</v>
      </c>
      <c r="FQ112" s="23">
        <f>EXP(-LN(2)/35)*FQ111+(1-EXP(-LN(2)/35))/(LN(2)/35)*FM112*FN112*VLOOKUP('Données projet'!$B$9,Paramètres!$A$1:$I$88,3,0)*0.475*44/12</f>
        <v>0</v>
      </c>
      <c r="FR112" s="23">
        <f>EXP(-LN(2)/25)*FR111+(1-EXP(-LN(2)/25))/(LN(2)/25)*Calculateur!FM112*Calculateur!FO112*VLOOKUP('Données projet'!$B$9,Paramètres!$A$1:$I$88,3,0)*0.475*44/12</f>
        <v>0</v>
      </c>
      <c r="FS112" s="23">
        <f>EXP(-LN(2)/2)*FS111+(1-EXP(-LN(2)/2))/(LN(2)/2)*FM112*FP112*VLOOKUP('Données projet'!$B$9,Paramètres!$A$1:$I$88,3,0)*0.475*44/12</f>
        <v>0</v>
      </c>
      <c r="FT112" s="24">
        <f t="shared" si="86"/>
        <v>0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IF(A112&lt;'Données projet'!$A$244,$FW$205^A112,IF(A112='Données projet'!$A$244,'Données projet'!$B$244,FZ111+FY112-GH111))</f>
        <v>0</v>
      </c>
      <c r="GA112" s="18" t="e">
        <f>FZ112*VLOOKUP('Données projet'!$B$17,Paramètres!$A$1:$I$88,3,0)*VLOOKUP('Données projet'!$B$17,Paramètres!$A$1:$I$88,5,0)</f>
        <v>#N/A</v>
      </c>
      <c r="GB112" s="14" t="e">
        <f t="shared" si="105"/>
        <v>#N/A</v>
      </c>
      <c r="GC112" s="22" t="e">
        <f t="shared" si="87"/>
        <v>#N/A</v>
      </c>
      <c r="GD112" s="62" t="e">
        <f t="shared" si="88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89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projet'!$B$17,Paramètres!$A$1:$I$88,7,0))</f>
        <v>0</v>
      </c>
      <c r="GJ112" s="17">
        <f>IF(ISNA(VLOOKUP(A112,'Données projet'!$A$243:$I$263,6,0)),0%,VLOOKUP(A112,'Données projet'!$A$243:$I$263,6,0)*VLOOKUP('Données projet'!$B$17,Paramètres!$A$1:$I$88,7,0))</f>
        <v>0</v>
      </c>
      <c r="GK112" s="17">
        <f>IF(ISNA(VLOOKUP(A112,'Données projet'!$A$243:$I$263,7,0)),0%,VLOOKUP(A112,'Données projet'!$A$243:$I$263,7,0))</f>
        <v>0</v>
      </c>
      <c r="GL112" s="23">
        <f>EXP(-LN(2)/35)*GL111+(1-EXP(-LN(2)/35))/(LN(2)/35)*GH112*GI112*VLOOKUP('Données projet'!$B$9,Paramètres!$A$1:$I$88,3,0)*0.475*44/12</f>
        <v>0</v>
      </c>
      <c r="GM112" s="23">
        <f>EXP(-LN(2)/25)*GM111+(1-EXP(-LN(2)/25))/(LN(2)/25)*Calculateur!GH112*Calculateur!GJ112*VLOOKUP('Données projet'!$B$9,Paramètres!$A$1:$I$88,3,0)*0.475*44/12</f>
        <v>0</v>
      </c>
      <c r="GN112" s="23">
        <f>EXP(-LN(2)/2)*GN111+(1-EXP(-LN(2)/2))/(LN(2)/2)*GH112*GK112*VLOOKUP('Données projet'!$B$9,Paramètres!$A$1:$I$88,3,0)*0.475*44/12</f>
        <v>0</v>
      </c>
      <c r="GO112" s="23">
        <f t="shared" si="90"/>
        <v>0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IF(A112&lt;'Données projet'!$A$270,$GR$205^A112,IF(A112='Données projet'!$A$270,'Données projet'!$B$270,GU111+GT112-HC111))</f>
        <v>0</v>
      </c>
      <c r="GV112" s="18" t="e">
        <f>GU112*VLOOKUP('Données projet'!$B$18,Paramètres!$A$1:$I$88,3,0)*VLOOKUP('Données projet'!$B$18,Paramètres!$A$1:$I$88,5,0)</f>
        <v>#N/A</v>
      </c>
      <c r="GW112" s="14" t="e">
        <f t="shared" si="106"/>
        <v>#N/A</v>
      </c>
      <c r="GX112" s="22" t="e">
        <f t="shared" si="91"/>
        <v>#N/A</v>
      </c>
      <c r="GY112" s="62" t="e">
        <f t="shared" si="92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93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projet'!$B$18,Paramètres!$A$1:$I$88,7,0))</f>
        <v>0</v>
      </c>
      <c r="HE112" s="17">
        <f>IF(ISNA(VLOOKUP(A112,'Données projet'!$A$269:$I$289,6,0)),0%,VLOOKUP(A112,'Données projet'!$A$269:$I$289,6,0)*VLOOKUP('Données projet'!$B$18,Paramètres!$A$1:$I$88,7,0))</f>
        <v>0</v>
      </c>
      <c r="HF112" s="17">
        <f>IF(ISNA(VLOOKUP(A112,'Données projet'!$A$269:$I$289,7,0)),0%,VLOOKUP(A112,'Données projet'!$A$269:$I$289,7,0))</f>
        <v>0</v>
      </c>
      <c r="HG112" s="23">
        <f>EXP(-LN(2)/35)*HG111+(1-EXP(-LN(2)/35))/(LN(2)/35)*HC112*HD112*VLOOKUP('Données projet'!$B$9,Paramètres!$A$1:$I$88,3,0)*0.475*44/12</f>
        <v>0</v>
      </c>
      <c r="HH112" s="23">
        <f>EXP(-LN(2)/25)*HH111+(1-EXP(-LN(2)/25))/(LN(2)/25)*Calculateur!HC112*Calculateur!HE112*VLOOKUP('Données projet'!$B$9,Paramètres!$A$1:$I$88,3,0)*0.475*44/12</f>
        <v>0</v>
      </c>
      <c r="HI112" s="23">
        <f>EXP(-LN(2)/2)*HI111+(1-EXP(-LN(2)/2))/(LN(2)/2)*HC112*HF112*VLOOKUP('Données projet'!$B$9,Paramètres!$A$1:$I$88,3,0)*0.475*44/12</f>
        <v>0</v>
      </c>
      <c r="HJ112" s="24">
        <f t="shared" si="94"/>
        <v>0</v>
      </c>
    </row>
    <row r="113" spans="1:218" s="5" customFormat="1" x14ac:dyDescent="0.25">
      <c r="A113" s="11">
        <f t="shared" si="95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3" s="12">
        <f t="shared" si="9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57"/>
        <v>135.66666666666666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>
        <f>VLOOKUP(A113,'Données projet'!$A$35:$I$55,2,0)</f>
        <v>116.53333333333335</v>
      </c>
      <c r="L113" s="13">
        <f>VLOOKUP(A113,'Données projet'!$A$35:$I$55,9,0)</f>
        <v>1.3833333333333342</v>
      </c>
      <c r="M113" s="13">
        <f t="array" ref="M113">INDEX(L:L,MIN(IF(ISNUMBER(L113:L309),ROW(L113:L309),"")))</f>
        <v>1.3833333333333342</v>
      </c>
      <c r="N113" s="14">
        <f>IF(A113&lt;'Données projet'!$A$36,$K$205^A113,IF(A113='Données projet'!$A$36,'Données projet'!$B$36,N112+M113-V112))</f>
        <v>116.53333333333332</v>
      </c>
      <c r="O113" s="14">
        <f>N113*VLOOKUP('Données projet'!$B$9,Paramètres!$A$1:$I$88,3,0)*VLOOKUP('Données projet'!$B$9,Paramètres!$A$1:$I$88,5,0)</f>
        <v>134.24639999999997</v>
      </c>
      <c r="P113" s="14">
        <f t="shared" si="97"/>
        <v>34.975734610428823</v>
      </c>
      <c r="Q113" s="22">
        <f t="shared" si="107"/>
        <v>294.72855111316346</v>
      </c>
      <c r="R113" s="62">
        <f t="shared" si="55"/>
        <v>567.73652899119588</v>
      </c>
      <c r="S113" s="62">
        <f ca="1">AVERAGE(OFFSET($R$3,0,0,'Données projet'!$E$9+1,1))-AVERAGE(OFFSET($H$3,0,0,'Données projet'!$E$9+1,1))</f>
        <v>314.72063458462026</v>
      </c>
      <c r="T113" s="62">
        <f t="shared" si="56"/>
        <v>216.4380325968244</v>
      </c>
      <c r="U113" s="16">
        <f>IF(ISNA(VLOOKUP(A113,'Données projet'!$A$35:$I$55,3,0)),0,VLOOKUP(A113,'Données projet'!$A$35:$I$55,3,0))</f>
        <v>9</v>
      </c>
      <c r="V113" s="16">
        <f>IF(ISNA(VLOOKUP(A113,'Données projet'!$A$35:$I$55,4,0)),0,VLOOKUP(A113,'Données projet'!$A$35:$I$55,4,0))</f>
        <v>9.0416666666666661</v>
      </c>
      <c r="W113" s="17">
        <f>IF(ISNA(VLOOKUP(A113,'Données projet'!$A$35:$I$55,5,0)),0%,VLOOKUP(A113,'Données projet'!$A$35:$I$55,5,0)*VLOOKUP('Données projet'!$B$9,Paramètres!$A$1:$I$88,7,0))</f>
        <v>0</v>
      </c>
      <c r="X113" s="17">
        <f>IF(ISNA(VLOOKUP(A113,'Données projet'!$A$35:$I$55,6,0)),0%,VLOOKUP(A113,'Données projet'!$A$35:$I$55,6,0)*VLOOKUP('Données projet'!$B$9,Paramètres!$A$1:$I$88,7,0))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projet'!$B$9,Paramètres!$A$1:$I$88,3,0)*0.475*44/12</f>
        <v>0</v>
      </c>
      <c r="AA113" s="23">
        <f>EXP(-LN(2)/25)*AA112+(1-EXP(-LN(2)/25))/(LN(2)/25)*Calculateur!V113*Calculateur!X113*VLOOKUP('Données projet'!$B$9,Paramètres!$A$1:$I$88,3,0)*0.475*44/12</f>
        <v>0</v>
      </c>
      <c r="AB113" s="23">
        <f>EXP(-LN(2)/2)*AB112+(1-EXP(-LN(2)/2))/(LN(2)/2)*V113*Y113*VLOOKUP('Données projet'!$B$9,Paramètres!$A$1:$I$88,3,0)*0.475*44/12</f>
        <v>0</v>
      </c>
      <c r="AC113" s="24">
        <f t="shared" si="58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>
        <f>VLOOKUP(A113,'Données projet'!$A$61:$I$81,2,0)</f>
        <v>259</v>
      </c>
      <c r="AG113" s="13">
        <f>VLOOKUP(A113,'Données projet'!$A$61:$I$81,9,0)</f>
        <v>2.9</v>
      </c>
      <c r="AH113" s="13">
        <f t="array" ref="AH113">INDEX(AG:AG,MIN(IF(ISNUMBER(AG113:AG309),ROW(AG113:AG309),"")))</f>
        <v>2.9</v>
      </c>
      <c r="AI113" s="14">
        <f>IF(A113&lt;'Données projet'!$A$62,$AF$205^A113,IF(A113='Données projet'!$A$62,'Données projet'!$B$62,AI112+AH113-AQ112))</f>
        <v>259</v>
      </c>
      <c r="AJ113" s="14">
        <f>AI113*VLOOKUP('Données projet'!$B$10,Paramètres!$A$1:$I$88,3,0)*VLOOKUP('Données projet'!$B$10,Paramètres!$A$1:$I$88,5,0)</f>
        <v>270.70679999999999</v>
      </c>
      <c r="AK113" s="14">
        <f t="shared" si="98"/>
        <v>64.999247255184116</v>
      </c>
      <c r="AL113" s="22">
        <f t="shared" si="59"/>
        <v>584.68803230277888</v>
      </c>
      <c r="AM113" s="62">
        <f t="shared" si="60"/>
        <v>857.6960101808113</v>
      </c>
      <c r="AN113" s="62">
        <f ca="1">AVERAGE(OFFSET($AM$3,0,0,'Données projet'!$E$10+1,1))-AVERAGE(OFFSET($H$3,0,0,'Données projet'!$E$10+1,1))</f>
        <v>458.33072853676879</v>
      </c>
      <c r="AO113" s="62">
        <f t="shared" si="61"/>
        <v>254.1734169352687</v>
      </c>
      <c r="AP113" s="16">
        <f>IF(ISNA(VLOOKUP(A113,'Données projet'!$A$61:$I$81,3,0)),0,VLOOKUP(A113,'Données projet'!$A$61:$I$81,3,0))</f>
        <v>9</v>
      </c>
      <c r="AQ113" s="16">
        <f>IF(ISNA(VLOOKUP(A113,'Données projet'!$A$61:$I$81,4,0)),0,VLOOKUP(A113,'Données projet'!$A$61:$I$81,4,0))</f>
        <v>17</v>
      </c>
      <c r="AR113" s="17">
        <f>IF(ISNA(VLOOKUP(A113,'Données projet'!$A$61:$I$81,5,0)),0%,VLOOKUP(A113,'Données projet'!$A$61:$I$81,5,0)*VLOOKUP('Données projet'!$B$10,Paramètres!$A$1:$I$88,7,0))</f>
        <v>0</v>
      </c>
      <c r="AS113" s="17">
        <f>IF(ISNA(VLOOKUP(A113,'Données projet'!$A$61:$I$81,6,0)),0%,VLOOKUP(A113,'Données projet'!$A$61:$I$81,6,0)*VLOOKUP('Données projet'!$B$10,Paramètres!$A$1:$I$88,7,0))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projet'!$B$9,Paramètres!$A$1:$I$88,3,0)*0.475*44/12</f>
        <v>0</v>
      </c>
      <c r="AV113" s="23">
        <f>EXP(-LN(2)/25)*AV112+(1-EXP(-LN(2)/25))/(LN(2)/25)*Calculateur!AQ113*Calculateur!AS113*VLOOKUP('Données projet'!$B$9,Paramètres!$A$1:$I$88,3,0)*0.475*44/12</f>
        <v>0</v>
      </c>
      <c r="AW113" s="23">
        <f>EXP(-LN(2)/2)*AW112+(1-EXP(-LN(2)/2))/(LN(2)/2)*AQ113*AT113*VLOOKUP('Données projet'!$B$9,Paramètres!$A$1:$I$88,3,0)*0.475*44/12</f>
        <v>0</v>
      </c>
      <c r="AX113" s="23">
        <f t="shared" si="62"/>
        <v>0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>
        <f>VLOOKUP(A113,'Données projet'!$A$87:$I$107,2,0)</f>
        <v>259</v>
      </c>
      <c r="BB113" s="13">
        <f>VLOOKUP(A113,'Données projet'!$A$87:$I$107,9,0)</f>
        <v>2.9</v>
      </c>
      <c r="BC113" s="13">
        <f t="array" ref="BC113">INDEX(BB:BB,MIN(IF(ISNUMBER(BB113:BB309),ROW(BB113:BB309),"")))</f>
        <v>2.9</v>
      </c>
      <c r="BD113" s="13">
        <f>IF(A113&lt;'Données projet'!$A$88,$BA$205^A113,IF(A113='Données projet'!$A$88,'Données projet'!$B$88,BD112+BC113-BL112))</f>
        <v>259</v>
      </c>
      <c r="BE113" s="14">
        <f>BD113*VLOOKUP('Données projet'!$B$11,Paramètres!$A$1:$I$88,3,0)*VLOOKUP('Données projet'!$B$11,Paramètres!$A$1:$I$88,5,0)</f>
        <v>262.62599999999998</v>
      </c>
      <c r="BF113" s="14">
        <f t="shared" si="99"/>
        <v>63.281807230823453</v>
      </c>
      <c r="BG113" s="22">
        <f t="shared" si="63"/>
        <v>567.62276426035078</v>
      </c>
      <c r="BH113" s="62">
        <f t="shared" si="64"/>
        <v>840.63074213838308</v>
      </c>
      <c r="BI113" s="62">
        <f ca="1">AVERAGE(OFFSET($BH$3,0,0,'Données projet'!$E$11+1,1))-AVERAGE(OFFSET($H$3,0,0,'Données projet'!$E$11+1,1))</f>
        <v>447.82618173893104</v>
      </c>
      <c r="BJ113" s="62">
        <f t="shared" si="65"/>
        <v>248.96509970783379</v>
      </c>
      <c r="BK113" s="16">
        <f>IF(ISNA(VLOOKUP(A113,'Données projet'!$A$87:$I$107,3,0)),0,VLOOKUP(A113,'Données projet'!$A$87:$I$107,3,0))</f>
        <v>9</v>
      </c>
      <c r="BL113" s="16">
        <f>IF(ISNA(VLOOKUP(A113,'Données projet'!$A$87:$I$107,4,0)),0,VLOOKUP(A113,'Données projet'!$A$87:$I$107,4,0))</f>
        <v>17</v>
      </c>
      <c r="BM113" s="17">
        <f>IF(ISNA(VLOOKUP(A113,'Données projet'!$A$87:$I$107,5,0)),0%,VLOOKUP(A113,'Données projet'!$A$87:$I$107,5,0)*VLOOKUP('Données projet'!$B$11,Paramètres!$A$1:$I$88,7,0))</f>
        <v>0</v>
      </c>
      <c r="BN113" s="17">
        <f>IF(ISNA(VLOOKUP(A113,'Données projet'!$A$87:$I$107,6,0)),0%,VLOOKUP(A113,'Données projet'!$A$87:$I$107,6,0)*VLOOKUP('Données projet'!$B$11,Paramètres!$A$1:$I$88,7,0))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projet'!$B$9,Paramètres!$A$1:$I$88,3,0)*0.475*44/12</f>
        <v>0</v>
      </c>
      <c r="BQ113" s="23">
        <f>EXP(-LN(2)/25)*BQ112+(1-EXP(-LN(2)/25))/(LN(2)/25)*Calculateur!BL113*Calculateur!BN113*VLOOKUP('Données projet'!$B$9,Paramètres!$A$1:$I$88,3,0)*0.475*44/12</f>
        <v>0</v>
      </c>
      <c r="BR113" s="23">
        <f>EXP(-LN(2)/2)*BR112+(1-EXP(-LN(2)/2))/(LN(2)/2)*BL113*BO113*VLOOKUP('Données projet'!$B$9,Paramètres!$A$1:$I$88,3,0)*0.475*44/12</f>
        <v>0</v>
      </c>
      <c r="BS113" s="24">
        <f t="shared" si="66"/>
        <v>0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>
        <f>VLOOKUP(A113,'Données projet'!$A$113:$I$133,2,0)</f>
        <v>259</v>
      </c>
      <c r="BW113" s="13">
        <f>VLOOKUP(A113,'Données projet'!$A$113:$I$133,9,0)</f>
        <v>2.9</v>
      </c>
      <c r="BX113" s="13">
        <f t="array" ref="BX113">INDEX(BW:BW,MIN(IF(ISNUMBER(BW113:BW309),ROW(BW113:BW309),"")))</f>
        <v>2.9</v>
      </c>
      <c r="BY113" s="13">
        <f>IF(A113&lt;'Données projet'!$A$114,$BV$205^A113,IF(A113='Données projet'!$A$114,'Données projet'!$B$114,BY112+BX113-CG112))</f>
        <v>259</v>
      </c>
      <c r="BZ113" s="14">
        <f>BY113*VLOOKUP('Données projet'!$B$12,Paramètres!$A$1:$I$88,3,0)*VLOOKUP('Données projet'!$B$12,Paramètres!$A$1:$I$88,5,0)</f>
        <v>278.7876</v>
      </c>
      <c r="CA113" s="14">
        <f t="shared" si="100"/>
        <v>66.710729236743305</v>
      </c>
      <c r="CB113" s="22">
        <f t="shared" si="67"/>
        <v>601.74292342066121</v>
      </c>
      <c r="CC113" s="62">
        <f t="shared" si="68"/>
        <v>874.75090129869363</v>
      </c>
      <c r="CD113" s="62">
        <f ca="1">AVERAGE(OFFSET($CC$3,0,0,'Données projet'!$E$12+1,1))-AVERAGE(OFFSET($H$3,0,0,'Données projet'!$E$12+1,1))</f>
        <v>468.82871618425406</v>
      </c>
      <c r="CE113" s="62">
        <f t="shared" si="69"/>
        <v>259.37818128554397</v>
      </c>
      <c r="CF113" s="16">
        <f>IF(ISNA(VLOOKUP(A113,'Données projet'!$A$113:$I$133,3,0)),0,VLOOKUP(A113,'Données projet'!$A$113:$I$133,3,0))</f>
        <v>9</v>
      </c>
      <c r="CG113" s="16">
        <f>IF(ISNA(VLOOKUP(A113,'Données projet'!$A$113:$I$133,4,0)),0,VLOOKUP(A113,'Données projet'!$A$113:$I$133,4,0))</f>
        <v>17</v>
      </c>
      <c r="CH113" s="17">
        <f>IF(ISNA(VLOOKUP(A113,'Données projet'!$A$113:$I$133,5,0)),0%,VLOOKUP(A113,'Données projet'!$A$113:$I$133,5,0)*VLOOKUP('Données projet'!$B$12,Paramètres!$A$1:$I$88,7,0))</f>
        <v>0</v>
      </c>
      <c r="CI113" s="17">
        <f>IF(ISNA(VLOOKUP(A113,'Données projet'!$A$113:$I$133,6,0)),0%,VLOOKUP(A113,'Données projet'!$A$113:$I$133,6,0)*VLOOKUP('Données projet'!$B$12,Paramètres!$A$1:$I$88,7,0))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projet'!$B$9,Paramètres!$A$1:$I$88,3,0)*0.475*44/12</f>
        <v>0</v>
      </c>
      <c r="CL113" s="23">
        <f>EXP(-LN(2)/25)*CL112+(1-EXP(-LN(2)/25))/(LN(2)/25)*Calculateur!CG113*Calculateur!CI113*VLOOKUP('Données projet'!$B$9,Paramètres!$A$1:$I$88,3,0)*0.475*44/12</f>
        <v>0</v>
      </c>
      <c r="CM113" s="23">
        <f>EXP(-LN(2)/2)*CM112+(1-EXP(-LN(2)/2))/(LN(2)/2)*CG113*CJ113*VLOOKUP('Données projet'!$B$9,Paramètres!$A$1:$I$88,3,0)*0.475*44/12</f>
        <v>0</v>
      </c>
      <c r="CN113" s="24">
        <f t="shared" si="70"/>
        <v>0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>
        <f>VLOOKUP(A113,'Données projet'!$A$139:$I$159,2,0)</f>
        <v>259</v>
      </c>
      <c r="CR113" s="13">
        <f>VLOOKUP(A113,'Données projet'!$A$139:$I$159,9,0)</f>
        <v>2.9</v>
      </c>
      <c r="CS113" s="13">
        <f t="array" ref="CS113">INDEX(CR:CR,MIN(IF(ISNUMBER(CR113:CR309),ROW(CR113:CR309),"")))</f>
        <v>2.9</v>
      </c>
      <c r="CT113" s="13">
        <f>IF(A113&lt;'Données projet'!$A$140,$CQ$205^A113,IF(A113='Données projet'!$A$140,'Données projet'!$B$140,CT112+CS113-DB112))</f>
        <v>259</v>
      </c>
      <c r="CU113" s="18">
        <f>CT113*VLOOKUP('Données projet'!$B$13,Paramètres!$A$1:$I$88,3,0)*VLOOKUP('Données projet'!$B$13,Paramètres!$A$1:$I$88,5,0)</f>
        <v>222.22200000000004</v>
      </c>
      <c r="CV113" s="14">
        <f t="shared" si="101"/>
        <v>54.597543621228866</v>
      </c>
      <c r="CW113" s="22">
        <f t="shared" si="71"/>
        <v>482.1273718069736</v>
      </c>
      <c r="CX113" s="62">
        <f t="shared" si="72"/>
        <v>755.13534968500596</v>
      </c>
      <c r="CY113" s="62">
        <f ca="1">AVERAGE(OFFSET($CX$3,0,0,'Données projet'!$E$13+1,1))-AVERAGE(OFFSET($H$3,0,0,'Données projet'!$E$13+1,1))</f>
        <v>395.19659151668884</v>
      </c>
      <c r="CZ113" s="62">
        <f t="shared" si="73"/>
        <v>222.86563304507339</v>
      </c>
      <c r="DA113" s="16">
        <f>IF(ISNA(VLOOKUP(A113,'Données projet'!$A$139:$I$159,3,0)),0,VLOOKUP(A113,'Données projet'!$A$139:$I$159,3,0))</f>
        <v>9</v>
      </c>
      <c r="DB113" s="16">
        <f>IF(ISNA(VLOOKUP(A113,'Données projet'!$A$139:$I$159,4,0)),0,VLOOKUP(A113,'Données projet'!$A$139:$I$159,4,0))</f>
        <v>17</v>
      </c>
      <c r="DC113" s="17">
        <f>IF(ISNA(VLOOKUP(A113,'Données projet'!$A$139:$I$159,5,0)),0%,VLOOKUP(A113,'Données projet'!$A$139:$I$159,5,0)*VLOOKUP('Données projet'!$B$13,Paramètres!$A$1:$I$88,7,0))</f>
        <v>0</v>
      </c>
      <c r="DD113" s="17">
        <f>IF(ISNA(VLOOKUP(A113,'Données projet'!$A$139:$I$159,6,0)),0%,VLOOKUP(A113,'Données projet'!$A$139:$I$159,6,0)*VLOOKUP('Données projet'!$B$13,Paramètres!$A$1:$I$88,7,0))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projet'!$B$9,Paramètres!$A$1:$I$88,3,0)*0.475*44/12</f>
        <v>0</v>
      </c>
      <c r="DG113" s="23">
        <f>EXP(-LN(2)/25)*DG112+(1-EXP(-LN(2)/25))/(LN(2)/25)*Calculateur!DB113*Calculateur!DD113*VLOOKUP('Données projet'!$B$9,Paramètres!$A$1:$I$88,3,0)*0.475*44/12</f>
        <v>0</v>
      </c>
      <c r="DH113" s="23">
        <f>EXP(-LN(2)/2)*DH112+(1-EXP(-LN(2)/2))/(LN(2)/2)*DB113*DE113*VLOOKUP('Données projet'!$B$9,Paramètres!$A$1:$I$88,3,0)*0.475*44/12</f>
        <v>0</v>
      </c>
      <c r="DI113" s="24">
        <f t="shared" si="74"/>
        <v>0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IF(A113&lt;'Données projet'!$A$166,$DL$205^A113,IF(A113='Données projet'!$A$166,'Données projet'!$B$166,DO112+DN113-DW112))</f>
        <v>-8.5265128291212022E-14</v>
      </c>
      <c r="DP113" s="18">
        <f>DO113*VLOOKUP('Données projet'!$B$14,Paramètres!$A$1:$I$88,3,0)*VLOOKUP('Données projet'!$B$14,Paramètres!$A$1:$I$88,5,0)</f>
        <v>-4.9880100050359036E-14</v>
      </c>
      <c r="DQ113" s="14" t="e">
        <f t="shared" si="102"/>
        <v>#NUM!</v>
      </c>
      <c r="DR113" s="22" t="e">
        <f t="shared" si="75"/>
        <v>#NUM!</v>
      </c>
      <c r="DS113" s="62" t="e">
        <f t="shared" si="76"/>
        <v>#NUM!</v>
      </c>
      <c r="DT113" s="62">
        <f ca="1">AVERAGE(OFFSET($DS$3,0,0,'Données projet'!$E$14+1,1))-AVERAGE(OFFSET($H$3,0,0,'Données projet'!$E$14+1,1))</f>
        <v>155.18073137151848</v>
      </c>
      <c r="DU113" s="62">
        <f t="shared" si="77"/>
        <v>115.19459155667272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projet'!$B$14,Paramètres!$A$1:$I$88,7,0))</f>
        <v>0</v>
      </c>
      <c r="DY113" s="17">
        <f>IF(ISNA(VLOOKUP(A113,'Données projet'!$A$165:$I$185,6,0)),0%,VLOOKUP(A113,'Données projet'!$A$165:$I$185,6,0)*VLOOKUP('Données projet'!$B$14,Paramètres!$A$1:$I$88,7,0))</f>
        <v>0</v>
      </c>
      <c r="DZ113" s="17">
        <f>IF(ISNA(VLOOKUP(A113,'Données projet'!$A$165:$I$185,7,0)),0%,VLOOKUP(A113,'Données projet'!$A$165:$I$185,7,0))</f>
        <v>0</v>
      </c>
      <c r="EA113" s="23">
        <f>EXP(-LN(2)/35)*EA112+(1-EXP(-LN(2)/35))/(LN(2)/35)*DW113*DX113*VLOOKUP('Données projet'!$B$9,Paramètres!$A$1:$I$88,3,0)*0.475*44/12</f>
        <v>0</v>
      </c>
      <c r="EB113" s="23">
        <f>EXP(-LN(2)/25)*EB112+(1-EXP(-LN(2)/25))/(LN(2)/25)*Calculateur!DW113*Calculateur!DY113*VLOOKUP('Données projet'!$B$9,Paramètres!$A$1:$I$88,3,0)*0.475*44/12</f>
        <v>0</v>
      </c>
      <c r="EC113" s="23">
        <f>EXP(-LN(2)/2)*EC112+(1-EXP(-LN(2)/2))/(LN(2)/2)*DW113*DZ113*VLOOKUP('Données projet'!$B$9,Paramètres!$A$1:$I$88,3,0)*0.475*44/12</f>
        <v>0</v>
      </c>
      <c r="ED113" s="24">
        <f t="shared" si="78"/>
        <v>0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>
        <f>VLOOKUP(A113,'Données projet'!$A$191:$I$211,2,0)</f>
        <v>280</v>
      </c>
      <c r="EH113" s="13">
        <f>VLOOKUP(A113,'Données projet'!$A$191:$I$211,9,0)</f>
        <v>5.3</v>
      </c>
      <c r="EI113" s="13">
        <f t="array" ref="EI113">INDEX(EH:EH,MIN(IF(ISNUMBER(EH113:EH309),ROW(EH113:EH309),"")))</f>
        <v>5.3</v>
      </c>
      <c r="EJ113" s="13">
        <f>IF(A113&lt;'Données projet'!$A$192,$EG$205^A113,IF(A113='Données projet'!$A$192,'Données projet'!$B$192,EJ112+EI113-ER112))</f>
        <v>279.99999999999994</v>
      </c>
      <c r="EK113" s="18">
        <f>EJ113*VLOOKUP('Données projet'!$B$15,Paramètres!$A$1:$I$88,3,0)*VLOOKUP('Données projet'!$B$15,Paramètres!$A$1:$I$88,5,0)</f>
        <v>131.03999999999996</v>
      </c>
      <c r="EL113" s="14">
        <f t="shared" si="103"/>
        <v>34.236561238949889</v>
      </c>
      <c r="EM113" s="22">
        <f t="shared" si="79"/>
        <v>287.85667749117101</v>
      </c>
      <c r="EN113" s="62">
        <f t="shared" si="80"/>
        <v>560.86465536920332</v>
      </c>
      <c r="EO113" s="62">
        <f ca="1">AVERAGE(OFFSET($EN$3,0,0,'Données projet'!$E$15+1,1))-AVERAGE(OFFSET($H$3,0,0,'Données projet'!$E$15+1,1))</f>
        <v>238.59014604384171</v>
      </c>
      <c r="EP113" s="62">
        <f t="shared" si="81"/>
        <v>90.841373219575217</v>
      </c>
      <c r="EQ113" s="16">
        <f>IF(ISNA(VLOOKUP(A113,'Données projet'!$A$191:$I$211,3,0)),0,VLOOKUP(A113,'Données projet'!$A$191:$I$211,3,0))</f>
        <v>5</v>
      </c>
      <c r="ER113" s="16">
        <f>IF(ISNA(VLOOKUP(A113,'Données projet'!$A$191:$I$211,4,0)),0,VLOOKUP(A113,'Données projet'!$A$191:$I$211,4,0))</f>
        <v>64</v>
      </c>
      <c r="ES113" s="17">
        <f>IF(ISNA(VLOOKUP(A113,'Données projet'!$A$191:$I$211,5,0)),0%,VLOOKUP(A113,'Données projet'!$A$191:$I$211,5,0)*VLOOKUP('Données projet'!$B$15,Paramètres!$A$1:$I$88,7,0))</f>
        <v>0</v>
      </c>
      <c r="ET113" s="17">
        <f>IF(ISNA(VLOOKUP(A113,'Données projet'!$A$191:$I$211,6,0)),0%,VLOOKUP(A113,'Données projet'!$A$191:$I$211,6,0)*VLOOKUP('Données projet'!$B$15,Paramètres!$A$1:$I$88,7,0))</f>
        <v>0</v>
      </c>
      <c r="EU113" s="17">
        <f>IF(ISNA(VLOOKUP(A113,'Données projet'!$A$191:$I$211,7,0)),0%,VLOOKUP(A113,'Données projet'!$A$191:$I$211,7,0))</f>
        <v>0</v>
      </c>
      <c r="EV113" s="23">
        <f>EXP(-LN(2)/35)*EV112+(1-EXP(-LN(2)/35))/(LN(2)/35)*ER113*ES113*VLOOKUP('Données projet'!$B$9,Paramètres!$A$1:$I$88,3,0)*0.475*44/12</f>
        <v>0</v>
      </c>
      <c r="EW113" s="23">
        <f>EXP(-LN(2)/25)*EW112+(1-EXP(-LN(2)/25))/(LN(2)/25)*Calculateur!ER113*Calculateur!ET113*VLOOKUP('Données projet'!$B$9,Paramètres!$A$1:$I$88,3,0)*0.475*44/12</f>
        <v>0</v>
      </c>
      <c r="EX113" s="23">
        <f>EXP(-LN(2)/2)*EX112+(1-EXP(-LN(2)/2))/(LN(2)/2)*ER113*EU113*VLOOKUP('Données projet'!$B$9,Paramètres!$A$1:$I$88,3,0)*0.475*44/12</f>
        <v>0</v>
      </c>
      <c r="EY113" s="24">
        <f t="shared" si="82"/>
        <v>0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IF(A113&lt;'Données projet'!$A$218,$FB$205^A113,IF(A113='Données projet'!$A$218,'Données projet'!$B$218,FE112+FD113-FM112))</f>
        <v>0</v>
      </c>
      <c r="FF113" s="18" t="e">
        <f>FE113*VLOOKUP('Données projet'!$B$16,Paramètres!$A$1:$I$88,3,0)*VLOOKUP('Données projet'!$B$16,Paramètres!$A$1:$I$88,5,0)</f>
        <v>#N/A</v>
      </c>
      <c r="FG113" s="14" t="e">
        <f t="shared" si="104"/>
        <v>#N/A</v>
      </c>
      <c r="FH113" s="22" t="e">
        <f t="shared" si="83"/>
        <v>#N/A</v>
      </c>
      <c r="FI113" s="62" t="e">
        <f t="shared" si="84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85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projet'!$B$16,Paramètres!$A$1:$I$88,7,0))</f>
        <v>0</v>
      </c>
      <c r="FO113" s="17">
        <f>IF(ISNA(VLOOKUP(A113,'Données projet'!$A$217:$I$237,6,0)),0%,VLOOKUP(A113,'Données projet'!$A$217:$I$237,6,0)*VLOOKUP('Données projet'!$B$16,Paramètres!$A$1:$I$88,7,0))</f>
        <v>0</v>
      </c>
      <c r="FP113" s="17">
        <f>IF(ISNA(VLOOKUP(A113,'Données projet'!$A$217:$I$237,7,0)),0%,VLOOKUP(A113,'Données projet'!$A$217:$I$237,7,0))</f>
        <v>0</v>
      </c>
      <c r="FQ113" s="23">
        <f>EXP(-LN(2)/35)*FQ112+(1-EXP(-LN(2)/35))/(LN(2)/35)*FM113*FN113*VLOOKUP('Données projet'!$B$9,Paramètres!$A$1:$I$88,3,0)*0.475*44/12</f>
        <v>0</v>
      </c>
      <c r="FR113" s="23">
        <f>EXP(-LN(2)/25)*FR112+(1-EXP(-LN(2)/25))/(LN(2)/25)*Calculateur!FM113*Calculateur!FO113*VLOOKUP('Données projet'!$B$9,Paramètres!$A$1:$I$88,3,0)*0.475*44/12</f>
        <v>0</v>
      </c>
      <c r="FS113" s="23">
        <f>EXP(-LN(2)/2)*FS112+(1-EXP(-LN(2)/2))/(LN(2)/2)*FM113*FP113*VLOOKUP('Données projet'!$B$9,Paramètres!$A$1:$I$88,3,0)*0.475*44/12</f>
        <v>0</v>
      </c>
      <c r="FT113" s="24">
        <f t="shared" si="86"/>
        <v>0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IF(A113&lt;'Données projet'!$A$244,$FW$205^A113,IF(A113='Données projet'!$A$244,'Données projet'!$B$244,FZ112+FY113-GH112))</f>
        <v>0</v>
      </c>
      <c r="GA113" s="18" t="e">
        <f>FZ113*VLOOKUP('Données projet'!$B$17,Paramètres!$A$1:$I$88,3,0)*VLOOKUP('Données projet'!$B$17,Paramètres!$A$1:$I$88,5,0)</f>
        <v>#N/A</v>
      </c>
      <c r="GB113" s="14" t="e">
        <f t="shared" si="105"/>
        <v>#N/A</v>
      </c>
      <c r="GC113" s="22" t="e">
        <f t="shared" si="87"/>
        <v>#N/A</v>
      </c>
      <c r="GD113" s="62" t="e">
        <f t="shared" si="88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89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projet'!$B$17,Paramètres!$A$1:$I$88,7,0))</f>
        <v>0</v>
      </c>
      <c r="GJ113" s="17">
        <f>IF(ISNA(VLOOKUP(A113,'Données projet'!$A$243:$I$263,6,0)),0%,VLOOKUP(A113,'Données projet'!$A$243:$I$263,6,0)*VLOOKUP('Données projet'!$B$17,Paramètres!$A$1:$I$88,7,0))</f>
        <v>0</v>
      </c>
      <c r="GK113" s="17">
        <f>IF(ISNA(VLOOKUP(A113,'Données projet'!$A$243:$I$263,7,0)),0%,VLOOKUP(A113,'Données projet'!$A$243:$I$263,7,0))</f>
        <v>0</v>
      </c>
      <c r="GL113" s="23">
        <f>EXP(-LN(2)/35)*GL112+(1-EXP(-LN(2)/35))/(LN(2)/35)*GH113*GI113*VLOOKUP('Données projet'!$B$9,Paramètres!$A$1:$I$88,3,0)*0.475*44/12</f>
        <v>0</v>
      </c>
      <c r="GM113" s="23">
        <f>EXP(-LN(2)/25)*GM112+(1-EXP(-LN(2)/25))/(LN(2)/25)*Calculateur!GH113*Calculateur!GJ113*VLOOKUP('Données projet'!$B$9,Paramètres!$A$1:$I$88,3,0)*0.475*44/12</f>
        <v>0</v>
      </c>
      <c r="GN113" s="23">
        <f>EXP(-LN(2)/2)*GN112+(1-EXP(-LN(2)/2))/(LN(2)/2)*GH113*GK113*VLOOKUP('Données projet'!$B$9,Paramètres!$A$1:$I$88,3,0)*0.475*44/12</f>
        <v>0</v>
      </c>
      <c r="GO113" s="23">
        <f t="shared" si="90"/>
        <v>0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IF(A113&lt;'Données projet'!$A$270,$GR$205^A113,IF(A113='Données projet'!$A$270,'Données projet'!$B$270,GU112+GT113-HC112))</f>
        <v>0</v>
      </c>
      <c r="GV113" s="18" t="e">
        <f>GU113*VLOOKUP('Données projet'!$B$18,Paramètres!$A$1:$I$88,3,0)*VLOOKUP('Données projet'!$B$18,Paramètres!$A$1:$I$88,5,0)</f>
        <v>#N/A</v>
      </c>
      <c r="GW113" s="14" t="e">
        <f t="shared" si="106"/>
        <v>#N/A</v>
      </c>
      <c r="GX113" s="22" t="e">
        <f t="shared" si="91"/>
        <v>#N/A</v>
      </c>
      <c r="GY113" s="62" t="e">
        <f t="shared" si="92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93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projet'!$B$18,Paramètres!$A$1:$I$88,7,0))</f>
        <v>0</v>
      </c>
      <c r="HE113" s="17">
        <f>IF(ISNA(VLOOKUP(A113,'Données projet'!$A$269:$I$289,6,0)),0%,VLOOKUP(A113,'Données projet'!$A$269:$I$289,6,0)*VLOOKUP('Données projet'!$B$18,Paramètres!$A$1:$I$88,7,0))</f>
        <v>0</v>
      </c>
      <c r="HF113" s="17">
        <f>IF(ISNA(VLOOKUP(A113,'Données projet'!$A$269:$I$289,7,0)),0%,VLOOKUP(A113,'Données projet'!$A$269:$I$289,7,0))</f>
        <v>0</v>
      </c>
      <c r="HG113" s="23">
        <f>EXP(-LN(2)/35)*HG112+(1-EXP(-LN(2)/35))/(LN(2)/35)*HC113*HD113*VLOOKUP('Données projet'!$B$9,Paramètres!$A$1:$I$88,3,0)*0.475*44/12</f>
        <v>0</v>
      </c>
      <c r="HH113" s="23">
        <f>EXP(-LN(2)/25)*HH112+(1-EXP(-LN(2)/25))/(LN(2)/25)*Calculateur!HC113*Calculateur!HE113*VLOOKUP('Données projet'!$B$9,Paramètres!$A$1:$I$88,3,0)*0.475*44/12</f>
        <v>0</v>
      </c>
      <c r="HI113" s="23">
        <f>EXP(-LN(2)/2)*HI112+(1-EXP(-LN(2)/2))/(LN(2)/2)*HC113*HF113*VLOOKUP('Données projet'!$B$9,Paramètres!$A$1:$I$88,3,0)*0.475*44/12</f>
        <v>0</v>
      </c>
      <c r="HJ113" s="24">
        <f t="shared" si="94"/>
        <v>0</v>
      </c>
    </row>
    <row r="114" spans="1:218" s="5" customFormat="1" x14ac:dyDescent="0.25">
      <c r="A114" s="11">
        <f t="shared" si="95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4" s="12">
        <f t="shared" si="9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57"/>
        <v>135.66666666666666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1.3150000000000006</v>
      </c>
      <c r="N114" s="14">
        <f>IF(A114&lt;'Données projet'!$A$36,$K$205^A114,IF(A114='Données projet'!$A$36,'Données projet'!$B$36,N113+M114-V113))</f>
        <v>108.80666666666664</v>
      </c>
      <c r="O114" s="14">
        <f>N114*VLOOKUP('Données projet'!$B$9,Paramètres!$A$1:$I$88,3,0)*VLOOKUP('Données projet'!$B$9,Paramètres!$A$1:$I$88,5,0)</f>
        <v>125.34527999999997</v>
      </c>
      <c r="P114" s="14">
        <f t="shared" si="97"/>
        <v>32.918518403213277</v>
      </c>
      <c r="Q114" s="22">
        <f t="shared" si="107"/>
        <v>275.64278221892977</v>
      </c>
      <c r="R114" s="62">
        <f t="shared" si="55"/>
        <v>549.00335957342429</v>
      </c>
      <c r="S114" s="62">
        <f ca="1">AVERAGE(OFFSET($R$3,0,0,'Données projet'!$E$9+1,1))-AVERAGE(OFFSET($H$3,0,0,'Données projet'!$E$9+1,1))</f>
        <v>314.72063458462026</v>
      </c>
      <c r="T114" s="62">
        <f t="shared" si="56"/>
        <v>216.4380325968244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projet'!$B$9,Paramètres!$A$1:$I$88,7,0))</f>
        <v>0</v>
      </c>
      <c r="X114" s="17">
        <f>IF(ISNA(VLOOKUP(A114,'Données projet'!$A$35:$I$55,6,0)),0%,VLOOKUP(A114,'Données projet'!$A$35:$I$55,6,0)*VLOOKUP('Données projet'!$B$9,Paramètres!$A$1:$I$88,7,0))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projet'!$B$9,Paramètres!$A$1:$I$88,3,0)*0.475*44/12</f>
        <v>0</v>
      </c>
      <c r="AA114" s="23">
        <f>EXP(-LN(2)/25)*AA113+(1-EXP(-LN(2)/25))/(LN(2)/25)*Calculateur!V114*Calculateur!X114*VLOOKUP('Données projet'!$B$9,Paramètres!$A$1:$I$88,3,0)*0.475*44/12</f>
        <v>0</v>
      </c>
      <c r="AB114" s="23">
        <f>EXP(-LN(2)/2)*AB113+(1-EXP(-LN(2)/2))/(LN(2)/2)*V114*Y114*VLOOKUP('Données projet'!$B$9,Paramètres!$A$1:$I$88,3,0)*0.475*44/12</f>
        <v>0</v>
      </c>
      <c r="AC114" s="24">
        <f t="shared" si="58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2.5</v>
      </c>
      <c r="AI114" s="14">
        <f>IF(A114&lt;'Données projet'!$A$62,$AF$205^A114,IF(A114='Données projet'!$A$62,'Données projet'!$B$62,AI113+AH114-AQ113))</f>
        <v>244.5</v>
      </c>
      <c r="AJ114" s="14">
        <f>AI114*VLOOKUP('Données projet'!$B$10,Paramètres!$A$1:$I$88,3,0)*VLOOKUP('Données projet'!$B$10,Paramètres!$A$1:$I$88,5,0)</f>
        <v>255.5514</v>
      </c>
      <c r="AK114" s="14">
        <f t="shared" si="98"/>
        <v>61.773165859770423</v>
      </c>
      <c r="AL114" s="22">
        <f t="shared" si="59"/>
        <v>552.67361887243351</v>
      </c>
      <c r="AM114" s="62">
        <f t="shared" si="60"/>
        <v>826.03419622692809</v>
      </c>
      <c r="AN114" s="62">
        <f ca="1">AVERAGE(OFFSET($AM$3,0,0,'Données projet'!$E$10+1,1))-AVERAGE(OFFSET($H$3,0,0,'Données projet'!$E$10+1,1))</f>
        <v>458.33072853676879</v>
      </c>
      <c r="AO114" s="62">
        <f t="shared" si="61"/>
        <v>254.1734169352687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projet'!$B$10,Paramètres!$A$1:$I$88,7,0))</f>
        <v>0</v>
      </c>
      <c r="AS114" s="17">
        <f>IF(ISNA(VLOOKUP(A114,'Données projet'!$A$61:$I$81,6,0)),0%,VLOOKUP(A114,'Données projet'!$A$61:$I$81,6,0)*VLOOKUP('Données projet'!$B$10,Paramètres!$A$1:$I$88,7,0))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projet'!$B$9,Paramètres!$A$1:$I$88,3,0)*0.475*44/12</f>
        <v>0</v>
      </c>
      <c r="AV114" s="23">
        <f>EXP(-LN(2)/25)*AV113+(1-EXP(-LN(2)/25))/(LN(2)/25)*Calculateur!AQ114*Calculateur!AS114*VLOOKUP('Données projet'!$B$9,Paramètres!$A$1:$I$88,3,0)*0.475*44/12</f>
        <v>0</v>
      </c>
      <c r="AW114" s="23">
        <f>EXP(-LN(2)/2)*AW113+(1-EXP(-LN(2)/2))/(LN(2)/2)*AQ114*AT114*VLOOKUP('Données projet'!$B$9,Paramètres!$A$1:$I$88,3,0)*0.475*44/12</f>
        <v>0</v>
      </c>
      <c r="AX114" s="23">
        <f t="shared" si="62"/>
        <v>0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2.5</v>
      </c>
      <c r="BD114" s="13">
        <f>IF(A114&lt;'Données projet'!$A$88,$BA$205^A114,IF(A114='Données projet'!$A$88,'Données projet'!$B$88,BD113+BC114-BL113))</f>
        <v>244.5</v>
      </c>
      <c r="BE114" s="14">
        <f>BD114*VLOOKUP('Données projet'!$B$11,Paramètres!$A$1:$I$88,3,0)*VLOOKUP('Données projet'!$B$11,Paramètres!$A$1:$I$88,5,0)</f>
        <v>247.92300000000003</v>
      </c>
      <c r="BF114" s="14">
        <f t="shared" si="99"/>
        <v>60.140966842718292</v>
      </c>
      <c r="BG114" s="22">
        <f t="shared" si="63"/>
        <v>536.54474225106776</v>
      </c>
      <c r="BH114" s="62">
        <f t="shared" si="64"/>
        <v>809.90531960556223</v>
      </c>
      <c r="BI114" s="62">
        <f ca="1">AVERAGE(OFFSET($BH$3,0,0,'Données projet'!$E$11+1,1))-AVERAGE(OFFSET($H$3,0,0,'Données projet'!$E$11+1,1))</f>
        <v>447.82618173893104</v>
      </c>
      <c r="BJ114" s="62">
        <f t="shared" si="65"/>
        <v>248.96509970783379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projet'!$B$11,Paramètres!$A$1:$I$88,7,0))</f>
        <v>0</v>
      </c>
      <c r="BN114" s="17">
        <f>IF(ISNA(VLOOKUP(A114,'Données projet'!$A$87:$I$107,6,0)),0%,VLOOKUP(A114,'Données projet'!$A$87:$I$107,6,0)*VLOOKUP('Données projet'!$B$11,Paramètres!$A$1:$I$88,7,0))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projet'!$B$9,Paramètres!$A$1:$I$88,3,0)*0.475*44/12</f>
        <v>0</v>
      </c>
      <c r="BQ114" s="23">
        <f>EXP(-LN(2)/25)*BQ113+(1-EXP(-LN(2)/25))/(LN(2)/25)*Calculateur!BL114*Calculateur!BN114*VLOOKUP('Données projet'!$B$9,Paramètres!$A$1:$I$88,3,0)*0.475*44/12</f>
        <v>0</v>
      </c>
      <c r="BR114" s="23">
        <f>EXP(-LN(2)/2)*BR113+(1-EXP(-LN(2)/2))/(LN(2)/2)*BL114*BO114*VLOOKUP('Données projet'!$B$9,Paramètres!$A$1:$I$88,3,0)*0.475*44/12</f>
        <v>0</v>
      </c>
      <c r="BS114" s="24">
        <f t="shared" si="66"/>
        <v>0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2.5</v>
      </c>
      <c r="BY114" s="13">
        <f>IF(A114&lt;'Données projet'!$A$114,$BV$205^A114,IF(A114='Données projet'!$A$114,'Données projet'!$B$114,BY113+BX114-CG113))</f>
        <v>244.5</v>
      </c>
      <c r="BZ114" s="14">
        <f>BY114*VLOOKUP('Données projet'!$B$12,Paramètres!$A$1:$I$88,3,0)*VLOOKUP('Données projet'!$B$12,Paramètres!$A$1:$I$88,5,0)</f>
        <v>263.1798</v>
      </c>
      <c r="CA114" s="14">
        <f t="shared" si="100"/>
        <v>63.399702547153801</v>
      </c>
      <c r="CB114" s="22">
        <f t="shared" si="67"/>
        <v>568.79263360295954</v>
      </c>
      <c r="CC114" s="62">
        <f t="shared" si="68"/>
        <v>842.15321095745412</v>
      </c>
      <c r="CD114" s="62">
        <f ca="1">AVERAGE(OFFSET($CC$3,0,0,'Données projet'!$E$12+1,1))-AVERAGE(OFFSET($H$3,0,0,'Données projet'!$E$12+1,1))</f>
        <v>468.82871618425406</v>
      </c>
      <c r="CE114" s="62">
        <f t="shared" si="69"/>
        <v>259.37818128554397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projet'!$B$12,Paramètres!$A$1:$I$88,7,0))</f>
        <v>0</v>
      </c>
      <c r="CI114" s="17">
        <f>IF(ISNA(VLOOKUP(A114,'Données projet'!$A$113:$I$133,6,0)),0%,VLOOKUP(A114,'Données projet'!$A$113:$I$133,6,0)*VLOOKUP('Données projet'!$B$12,Paramètres!$A$1:$I$88,7,0))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projet'!$B$9,Paramètres!$A$1:$I$88,3,0)*0.475*44/12</f>
        <v>0</v>
      </c>
      <c r="CL114" s="23">
        <f>EXP(-LN(2)/25)*CL113+(1-EXP(-LN(2)/25))/(LN(2)/25)*Calculateur!CG114*Calculateur!CI114*VLOOKUP('Données projet'!$B$9,Paramètres!$A$1:$I$88,3,0)*0.475*44/12</f>
        <v>0</v>
      </c>
      <c r="CM114" s="23">
        <f>EXP(-LN(2)/2)*CM113+(1-EXP(-LN(2)/2))/(LN(2)/2)*CG114*CJ114*VLOOKUP('Données projet'!$B$9,Paramètres!$A$1:$I$88,3,0)*0.475*44/12</f>
        <v>0</v>
      </c>
      <c r="CN114" s="24">
        <f t="shared" si="70"/>
        <v>0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2.5</v>
      </c>
      <c r="CT114" s="13">
        <f>IF(A114&lt;'Données projet'!$A$140,$CQ$205^A114,IF(A114='Données projet'!$A$140,'Données projet'!$B$140,CT113+CS114-DB113))</f>
        <v>244.5</v>
      </c>
      <c r="CU114" s="18">
        <f>CT114*VLOOKUP('Données projet'!$B$13,Paramètres!$A$1:$I$88,3,0)*VLOOKUP('Données projet'!$B$13,Paramètres!$A$1:$I$88,5,0)</f>
        <v>209.78100000000003</v>
      </c>
      <c r="CV114" s="14">
        <f t="shared" si="101"/>
        <v>51.887725782566335</v>
      </c>
      <c r="CW114" s="22">
        <f t="shared" si="71"/>
        <v>455.73969740463639</v>
      </c>
      <c r="CX114" s="62">
        <f t="shared" si="72"/>
        <v>729.10027475913091</v>
      </c>
      <c r="CY114" s="62">
        <f ca="1">AVERAGE(OFFSET($CX$3,0,0,'Données projet'!$E$13+1,1))-AVERAGE(OFFSET($H$3,0,0,'Données projet'!$E$13+1,1))</f>
        <v>395.19659151668884</v>
      </c>
      <c r="CZ114" s="62">
        <f t="shared" si="73"/>
        <v>222.86563304507339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projet'!$B$13,Paramètres!$A$1:$I$88,7,0))</f>
        <v>0</v>
      </c>
      <c r="DD114" s="17">
        <f>IF(ISNA(VLOOKUP(A114,'Données projet'!$A$139:$I$159,6,0)),0%,VLOOKUP(A114,'Données projet'!$A$139:$I$159,6,0)*VLOOKUP('Données projet'!$B$13,Paramètres!$A$1:$I$88,7,0))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projet'!$B$9,Paramètres!$A$1:$I$88,3,0)*0.475*44/12</f>
        <v>0</v>
      </c>
      <c r="DG114" s="23">
        <f>EXP(-LN(2)/25)*DG113+(1-EXP(-LN(2)/25))/(LN(2)/25)*Calculateur!DB114*Calculateur!DD114*VLOOKUP('Données projet'!$B$9,Paramètres!$A$1:$I$88,3,0)*0.475*44/12</f>
        <v>0</v>
      </c>
      <c r="DH114" s="23">
        <f>EXP(-LN(2)/2)*DH113+(1-EXP(-LN(2)/2))/(LN(2)/2)*DB114*DE114*VLOOKUP('Données projet'!$B$9,Paramètres!$A$1:$I$88,3,0)*0.475*44/12</f>
        <v>0</v>
      </c>
      <c r="DI114" s="24">
        <f t="shared" si="74"/>
        <v>0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IF(A114&lt;'Données projet'!$A$166,$DL$205^A114,IF(A114='Données projet'!$A$166,'Données projet'!$B$166,DO113+DN114-DW113))</f>
        <v>-8.5265128291212022E-14</v>
      </c>
      <c r="DP114" s="18">
        <f>DO114*VLOOKUP('Données projet'!$B$14,Paramètres!$A$1:$I$88,3,0)*VLOOKUP('Données projet'!$B$14,Paramètres!$A$1:$I$88,5,0)</f>
        <v>-4.9880100050359036E-14</v>
      </c>
      <c r="DQ114" s="14" t="e">
        <f t="shared" si="102"/>
        <v>#NUM!</v>
      </c>
      <c r="DR114" s="22" t="e">
        <f t="shared" si="75"/>
        <v>#NUM!</v>
      </c>
      <c r="DS114" s="62" t="e">
        <f t="shared" si="76"/>
        <v>#NUM!</v>
      </c>
      <c r="DT114" s="62">
        <f ca="1">AVERAGE(OFFSET($DS$3,0,0,'Données projet'!$E$14+1,1))-AVERAGE(OFFSET($H$3,0,0,'Données projet'!$E$14+1,1))</f>
        <v>155.18073137151848</v>
      </c>
      <c r="DU114" s="62">
        <f t="shared" si="77"/>
        <v>115.19459155667272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projet'!$B$14,Paramètres!$A$1:$I$88,7,0))</f>
        <v>0</v>
      </c>
      <c r="DY114" s="17">
        <f>IF(ISNA(VLOOKUP(A114,'Données projet'!$A$165:$I$185,6,0)),0%,VLOOKUP(A114,'Données projet'!$A$165:$I$185,6,0)*VLOOKUP('Données projet'!$B$14,Paramètres!$A$1:$I$88,7,0))</f>
        <v>0</v>
      </c>
      <c r="DZ114" s="17">
        <f>IF(ISNA(VLOOKUP(A114,'Données projet'!$A$165:$I$185,7,0)),0%,VLOOKUP(A114,'Données projet'!$A$165:$I$185,7,0))</f>
        <v>0</v>
      </c>
      <c r="EA114" s="23">
        <f>EXP(-LN(2)/35)*EA113+(1-EXP(-LN(2)/35))/(LN(2)/35)*DW114*DX114*VLOOKUP('Données projet'!$B$9,Paramètres!$A$1:$I$88,3,0)*0.475*44/12</f>
        <v>0</v>
      </c>
      <c r="EB114" s="23">
        <f>EXP(-LN(2)/25)*EB113+(1-EXP(-LN(2)/25))/(LN(2)/25)*Calculateur!DW114*Calculateur!DY114*VLOOKUP('Données projet'!$B$9,Paramètres!$A$1:$I$88,3,0)*0.475*44/12</f>
        <v>0</v>
      </c>
      <c r="EC114" s="23">
        <f>EXP(-LN(2)/2)*EC113+(1-EXP(-LN(2)/2))/(LN(2)/2)*DW114*DZ114*VLOOKUP('Données projet'!$B$9,Paramètres!$A$1:$I$88,3,0)*0.475*44/12</f>
        <v>0</v>
      </c>
      <c r="ED114" s="24">
        <f t="shared" si="78"/>
        <v>0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5.2</v>
      </c>
      <c r="EJ114" s="13">
        <f>IF(A114&lt;'Données projet'!$A$192,$EG$205^A114,IF(A114='Données projet'!$A$192,'Données projet'!$B$192,EJ113+EI114-ER113))</f>
        <v>221.19999999999993</v>
      </c>
      <c r="EK114" s="18">
        <f>EJ114*VLOOKUP('Données projet'!$B$15,Paramètres!$A$1:$I$88,3,0)*VLOOKUP('Données projet'!$B$15,Paramètres!$A$1:$I$88,5,0)</f>
        <v>103.52159999999998</v>
      </c>
      <c r="EL114" s="14">
        <f t="shared" si="103"/>
        <v>27.79927277621136</v>
      </c>
      <c r="EM114" s="22">
        <f t="shared" si="79"/>
        <v>228.71718675190141</v>
      </c>
      <c r="EN114" s="62">
        <f t="shared" si="80"/>
        <v>502.07776410639593</v>
      </c>
      <c r="EO114" s="62">
        <f ca="1">AVERAGE(OFFSET($EN$3,0,0,'Données projet'!$E$15+1,1))-AVERAGE(OFFSET($H$3,0,0,'Données projet'!$E$15+1,1))</f>
        <v>238.59014604384171</v>
      </c>
      <c r="EP114" s="62">
        <f t="shared" si="81"/>
        <v>90.841373219575217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projet'!$B$15,Paramètres!$A$1:$I$88,7,0))</f>
        <v>0</v>
      </c>
      <c r="ET114" s="17">
        <f>IF(ISNA(VLOOKUP(A114,'Données projet'!$A$191:$I$211,6,0)),0%,VLOOKUP(A114,'Données projet'!$A$191:$I$211,6,0)*VLOOKUP('Données projet'!$B$15,Paramètres!$A$1:$I$88,7,0))</f>
        <v>0</v>
      </c>
      <c r="EU114" s="17">
        <f>IF(ISNA(VLOOKUP(A114,'Données projet'!$A$191:$I$211,7,0)),0%,VLOOKUP(A114,'Données projet'!$A$191:$I$211,7,0))</f>
        <v>0</v>
      </c>
      <c r="EV114" s="23">
        <f>EXP(-LN(2)/35)*EV113+(1-EXP(-LN(2)/35))/(LN(2)/35)*ER114*ES114*VLOOKUP('Données projet'!$B$9,Paramètres!$A$1:$I$88,3,0)*0.475*44/12</f>
        <v>0</v>
      </c>
      <c r="EW114" s="23">
        <f>EXP(-LN(2)/25)*EW113+(1-EXP(-LN(2)/25))/(LN(2)/25)*Calculateur!ER114*Calculateur!ET114*VLOOKUP('Données projet'!$B$9,Paramètres!$A$1:$I$88,3,0)*0.475*44/12</f>
        <v>0</v>
      </c>
      <c r="EX114" s="23">
        <f>EXP(-LN(2)/2)*EX113+(1-EXP(-LN(2)/2))/(LN(2)/2)*ER114*EU114*VLOOKUP('Données projet'!$B$9,Paramètres!$A$1:$I$88,3,0)*0.475*44/12</f>
        <v>0</v>
      </c>
      <c r="EY114" s="24">
        <f t="shared" si="82"/>
        <v>0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IF(A114&lt;'Données projet'!$A$218,$FB$205^A114,IF(A114='Données projet'!$A$218,'Données projet'!$B$218,FE113+FD114-FM113))</f>
        <v>0</v>
      </c>
      <c r="FF114" s="18" t="e">
        <f>FE114*VLOOKUP('Données projet'!$B$16,Paramètres!$A$1:$I$88,3,0)*VLOOKUP('Données projet'!$B$16,Paramètres!$A$1:$I$88,5,0)</f>
        <v>#N/A</v>
      </c>
      <c r="FG114" s="14" t="e">
        <f t="shared" si="104"/>
        <v>#N/A</v>
      </c>
      <c r="FH114" s="22" t="e">
        <f t="shared" si="83"/>
        <v>#N/A</v>
      </c>
      <c r="FI114" s="62" t="e">
        <f t="shared" si="84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85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projet'!$B$16,Paramètres!$A$1:$I$88,7,0))</f>
        <v>0</v>
      </c>
      <c r="FO114" s="17">
        <f>IF(ISNA(VLOOKUP(A114,'Données projet'!$A$217:$I$237,6,0)),0%,VLOOKUP(A114,'Données projet'!$A$217:$I$237,6,0)*VLOOKUP('Données projet'!$B$16,Paramètres!$A$1:$I$88,7,0))</f>
        <v>0</v>
      </c>
      <c r="FP114" s="17">
        <f>IF(ISNA(VLOOKUP(A114,'Données projet'!$A$217:$I$237,7,0)),0%,VLOOKUP(A114,'Données projet'!$A$217:$I$237,7,0))</f>
        <v>0</v>
      </c>
      <c r="FQ114" s="23">
        <f>EXP(-LN(2)/35)*FQ113+(1-EXP(-LN(2)/35))/(LN(2)/35)*FM114*FN114*VLOOKUP('Données projet'!$B$9,Paramètres!$A$1:$I$88,3,0)*0.475*44/12</f>
        <v>0</v>
      </c>
      <c r="FR114" s="23">
        <f>EXP(-LN(2)/25)*FR113+(1-EXP(-LN(2)/25))/(LN(2)/25)*Calculateur!FM114*Calculateur!FO114*VLOOKUP('Données projet'!$B$9,Paramètres!$A$1:$I$88,3,0)*0.475*44/12</f>
        <v>0</v>
      </c>
      <c r="FS114" s="23">
        <f>EXP(-LN(2)/2)*FS113+(1-EXP(-LN(2)/2))/(LN(2)/2)*FM114*FP114*VLOOKUP('Données projet'!$B$9,Paramètres!$A$1:$I$88,3,0)*0.475*44/12</f>
        <v>0</v>
      </c>
      <c r="FT114" s="24">
        <f t="shared" si="86"/>
        <v>0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IF(A114&lt;'Données projet'!$A$244,$FW$205^A114,IF(A114='Données projet'!$A$244,'Données projet'!$B$244,FZ113+FY114-GH113))</f>
        <v>0</v>
      </c>
      <c r="GA114" s="18" t="e">
        <f>FZ114*VLOOKUP('Données projet'!$B$17,Paramètres!$A$1:$I$88,3,0)*VLOOKUP('Données projet'!$B$17,Paramètres!$A$1:$I$88,5,0)</f>
        <v>#N/A</v>
      </c>
      <c r="GB114" s="14" t="e">
        <f t="shared" si="105"/>
        <v>#N/A</v>
      </c>
      <c r="GC114" s="22" t="e">
        <f t="shared" si="87"/>
        <v>#N/A</v>
      </c>
      <c r="GD114" s="62" t="e">
        <f t="shared" si="88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89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projet'!$B$17,Paramètres!$A$1:$I$88,7,0))</f>
        <v>0</v>
      </c>
      <c r="GJ114" s="17">
        <f>IF(ISNA(VLOOKUP(A114,'Données projet'!$A$243:$I$263,6,0)),0%,VLOOKUP(A114,'Données projet'!$A$243:$I$263,6,0)*VLOOKUP('Données projet'!$B$17,Paramètres!$A$1:$I$88,7,0))</f>
        <v>0</v>
      </c>
      <c r="GK114" s="17">
        <f>IF(ISNA(VLOOKUP(A114,'Données projet'!$A$243:$I$263,7,0)),0%,VLOOKUP(A114,'Données projet'!$A$243:$I$263,7,0))</f>
        <v>0</v>
      </c>
      <c r="GL114" s="23">
        <f>EXP(-LN(2)/35)*GL113+(1-EXP(-LN(2)/35))/(LN(2)/35)*GH114*GI114*VLOOKUP('Données projet'!$B$9,Paramètres!$A$1:$I$88,3,0)*0.475*44/12</f>
        <v>0</v>
      </c>
      <c r="GM114" s="23">
        <f>EXP(-LN(2)/25)*GM113+(1-EXP(-LN(2)/25))/(LN(2)/25)*Calculateur!GH114*Calculateur!GJ114*VLOOKUP('Données projet'!$B$9,Paramètres!$A$1:$I$88,3,0)*0.475*44/12</f>
        <v>0</v>
      </c>
      <c r="GN114" s="23">
        <f>EXP(-LN(2)/2)*GN113+(1-EXP(-LN(2)/2))/(LN(2)/2)*GH114*GK114*VLOOKUP('Données projet'!$B$9,Paramètres!$A$1:$I$88,3,0)*0.475*44/12</f>
        <v>0</v>
      </c>
      <c r="GO114" s="23">
        <f t="shared" si="90"/>
        <v>0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IF(A114&lt;'Données projet'!$A$270,$GR$205^A114,IF(A114='Données projet'!$A$270,'Données projet'!$B$270,GU113+GT114-HC113))</f>
        <v>0</v>
      </c>
      <c r="GV114" s="18" t="e">
        <f>GU114*VLOOKUP('Données projet'!$B$18,Paramètres!$A$1:$I$88,3,0)*VLOOKUP('Données projet'!$B$18,Paramètres!$A$1:$I$88,5,0)</f>
        <v>#N/A</v>
      </c>
      <c r="GW114" s="14" t="e">
        <f t="shared" si="106"/>
        <v>#N/A</v>
      </c>
      <c r="GX114" s="22" t="e">
        <f t="shared" si="91"/>
        <v>#N/A</v>
      </c>
      <c r="GY114" s="62" t="e">
        <f t="shared" si="92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93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projet'!$B$18,Paramètres!$A$1:$I$88,7,0))</f>
        <v>0</v>
      </c>
      <c r="HE114" s="17">
        <f>IF(ISNA(VLOOKUP(A114,'Données projet'!$A$269:$I$289,6,0)),0%,VLOOKUP(A114,'Données projet'!$A$269:$I$289,6,0)*VLOOKUP('Données projet'!$B$18,Paramètres!$A$1:$I$88,7,0))</f>
        <v>0</v>
      </c>
      <c r="HF114" s="17">
        <f>IF(ISNA(VLOOKUP(A114,'Données projet'!$A$269:$I$289,7,0)),0%,VLOOKUP(A114,'Données projet'!$A$269:$I$289,7,0))</f>
        <v>0</v>
      </c>
      <c r="HG114" s="23">
        <f>EXP(-LN(2)/35)*HG113+(1-EXP(-LN(2)/35))/(LN(2)/35)*HC114*HD114*VLOOKUP('Données projet'!$B$9,Paramètres!$A$1:$I$88,3,0)*0.475*44/12</f>
        <v>0</v>
      </c>
      <c r="HH114" s="23">
        <f>EXP(-LN(2)/25)*HH113+(1-EXP(-LN(2)/25))/(LN(2)/25)*Calculateur!HC114*Calculateur!HE114*VLOOKUP('Données projet'!$B$9,Paramètres!$A$1:$I$88,3,0)*0.475*44/12</f>
        <v>0</v>
      </c>
      <c r="HI114" s="23">
        <f>EXP(-LN(2)/2)*HI113+(1-EXP(-LN(2)/2))/(LN(2)/2)*HC114*HF114*VLOOKUP('Données projet'!$B$9,Paramètres!$A$1:$I$88,3,0)*0.475*44/12</f>
        <v>0</v>
      </c>
      <c r="HJ114" s="24">
        <f t="shared" si="94"/>
        <v>0</v>
      </c>
    </row>
    <row r="115" spans="1:218" s="5" customFormat="1" x14ac:dyDescent="0.25">
      <c r="A115" s="11">
        <f t="shared" si="95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5" s="12">
        <f t="shared" si="9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57"/>
        <v>135.66666666666666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1.3150000000000006</v>
      </c>
      <c r="N115" s="14">
        <f>IF(A115&lt;'Données projet'!$A$36,$K$205^A115,IF(A115='Données projet'!$A$36,'Données projet'!$B$36,N114+M115-V114))</f>
        <v>110.12166666666664</v>
      </c>
      <c r="O115" s="14">
        <f>N115*VLOOKUP('Données projet'!$B$9,Paramètres!$A$1:$I$88,3,0)*VLOOKUP('Données projet'!$B$9,Paramètres!$A$1:$I$88,5,0)</f>
        <v>126.86015999999996</v>
      </c>
      <c r="P115" s="14">
        <f t="shared" si="97"/>
        <v>33.269805353558191</v>
      </c>
      <c r="Q115" s="22">
        <f t="shared" si="107"/>
        <v>278.89302299078042</v>
      </c>
      <c r="R115" s="62">
        <f t="shared" si="55"/>
        <v>552.60008300911477</v>
      </c>
      <c r="S115" s="62">
        <f ca="1">AVERAGE(OFFSET($R$3,0,0,'Données projet'!$E$9+1,1))-AVERAGE(OFFSET($H$3,0,0,'Données projet'!$E$9+1,1))</f>
        <v>314.72063458462026</v>
      </c>
      <c r="T115" s="62">
        <f t="shared" si="56"/>
        <v>216.4380325968244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projet'!$B$9,Paramètres!$A$1:$I$88,7,0))</f>
        <v>0</v>
      </c>
      <c r="X115" s="17">
        <f>IF(ISNA(VLOOKUP(A115,'Données projet'!$A$35:$I$55,6,0)),0%,VLOOKUP(A115,'Données projet'!$A$35:$I$55,6,0)*VLOOKUP('Données projet'!$B$9,Paramètres!$A$1:$I$88,7,0))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projet'!$B$9,Paramètres!$A$1:$I$88,3,0)*0.475*44/12</f>
        <v>0</v>
      </c>
      <c r="AA115" s="23">
        <f>EXP(-LN(2)/25)*AA114+(1-EXP(-LN(2)/25))/(LN(2)/25)*Calculateur!V115*Calculateur!X115*VLOOKUP('Données projet'!$B$9,Paramètres!$A$1:$I$88,3,0)*0.475*44/12</f>
        <v>0</v>
      </c>
      <c r="AB115" s="23">
        <f>EXP(-LN(2)/2)*AB114+(1-EXP(-LN(2)/2))/(LN(2)/2)*V115*Y115*VLOOKUP('Données projet'!$B$9,Paramètres!$A$1:$I$88,3,0)*0.475*44/12</f>
        <v>0</v>
      </c>
      <c r="AC115" s="24">
        <f t="shared" si="58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2.5</v>
      </c>
      <c r="AI115" s="14">
        <f>IF(A115&lt;'Données projet'!$A$62,$AF$205^A115,IF(A115='Données projet'!$A$62,'Données projet'!$B$62,AI114+AH115-AQ114))</f>
        <v>247</v>
      </c>
      <c r="AJ115" s="14">
        <f>AI115*VLOOKUP('Données projet'!$B$10,Paramètres!$A$1:$I$88,3,0)*VLOOKUP('Données projet'!$B$10,Paramètres!$A$1:$I$88,5,0)</f>
        <v>258.1644</v>
      </c>
      <c r="AK115" s="14">
        <f t="shared" si="98"/>
        <v>62.3309410183914</v>
      </c>
      <c r="AL115" s="22">
        <f t="shared" si="59"/>
        <v>558.19605227369834</v>
      </c>
      <c r="AM115" s="62">
        <f t="shared" si="60"/>
        <v>831.9031122920328</v>
      </c>
      <c r="AN115" s="62">
        <f ca="1">AVERAGE(OFFSET($AM$3,0,0,'Données projet'!$E$10+1,1))-AVERAGE(OFFSET($H$3,0,0,'Données projet'!$E$10+1,1))</f>
        <v>458.33072853676879</v>
      </c>
      <c r="AO115" s="62">
        <f t="shared" si="61"/>
        <v>254.1734169352687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projet'!$B$10,Paramètres!$A$1:$I$88,7,0))</f>
        <v>0</v>
      </c>
      <c r="AS115" s="17">
        <f>IF(ISNA(VLOOKUP(A115,'Données projet'!$A$61:$I$81,6,0)),0%,VLOOKUP(A115,'Données projet'!$A$61:$I$81,6,0)*VLOOKUP('Données projet'!$B$10,Paramètres!$A$1:$I$88,7,0))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projet'!$B$9,Paramètres!$A$1:$I$88,3,0)*0.475*44/12</f>
        <v>0</v>
      </c>
      <c r="AV115" s="23">
        <f>EXP(-LN(2)/25)*AV114+(1-EXP(-LN(2)/25))/(LN(2)/25)*Calculateur!AQ115*Calculateur!AS115*VLOOKUP('Données projet'!$B$9,Paramètres!$A$1:$I$88,3,0)*0.475*44/12</f>
        <v>0</v>
      </c>
      <c r="AW115" s="23">
        <f>EXP(-LN(2)/2)*AW114+(1-EXP(-LN(2)/2))/(LN(2)/2)*AQ115*AT115*VLOOKUP('Données projet'!$B$9,Paramètres!$A$1:$I$88,3,0)*0.475*44/12</f>
        <v>0</v>
      </c>
      <c r="AX115" s="23">
        <f t="shared" si="62"/>
        <v>0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2.5</v>
      </c>
      <c r="BD115" s="13">
        <f>IF(A115&lt;'Données projet'!$A$88,$BA$205^A115,IF(A115='Données projet'!$A$88,'Données projet'!$B$88,BD114+BC115-BL114))</f>
        <v>247</v>
      </c>
      <c r="BE115" s="14">
        <f>BD115*VLOOKUP('Données projet'!$B$11,Paramètres!$A$1:$I$88,3,0)*VLOOKUP('Données projet'!$B$11,Paramètres!$A$1:$I$88,5,0)</f>
        <v>250.45800000000003</v>
      </c>
      <c r="BF115" s="14">
        <f t="shared" si="99"/>
        <v>60.684004209403788</v>
      </c>
      <c r="BG115" s="22">
        <f t="shared" si="63"/>
        <v>541.90565733137828</v>
      </c>
      <c r="BH115" s="62">
        <f t="shared" si="64"/>
        <v>815.61271734971274</v>
      </c>
      <c r="BI115" s="62">
        <f ca="1">AVERAGE(OFFSET($BH$3,0,0,'Données projet'!$E$11+1,1))-AVERAGE(OFFSET($H$3,0,0,'Données projet'!$E$11+1,1))</f>
        <v>447.82618173893104</v>
      </c>
      <c r="BJ115" s="62">
        <f t="shared" si="65"/>
        <v>248.96509970783379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projet'!$B$11,Paramètres!$A$1:$I$88,7,0))</f>
        <v>0</v>
      </c>
      <c r="BN115" s="17">
        <f>IF(ISNA(VLOOKUP(A115,'Données projet'!$A$87:$I$107,6,0)),0%,VLOOKUP(A115,'Données projet'!$A$87:$I$107,6,0)*VLOOKUP('Données projet'!$B$11,Paramètres!$A$1:$I$88,7,0))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projet'!$B$9,Paramètres!$A$1:$I$88,3,0)*0.475*44/12</f>
        <v>0</v>
      </c>
      <c r="BQ115" s="23">
        <f>EXP(-LN(2)/25)*BQ114+(1-EXP(-LN(2)/25))/(LN(2)/25)*Calculateur!BL115*Calculateur!BN115*VLOOKUP('Données projet'!$B$9,Paramètres!$A$1:$I$88,3,0)*0.475*44/12</f>
        <v>0</v>
      </c>
      <c r="BR115" s="23">
        <f>EXP(-LN(2)/2)*BR114+(1-EXP(-LN(2)/2))/(LN(2)/2)*BL115*BO115*VLOOKUP('Données projet'!$B$9,Paramètres!$A$1:$I$88,3,0)*0.475*44/12</f>
        <v>0</v>
      </c>
      <c r="BS115" s="24">
        <f t="shared" si="66"/>
        <v>0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2.5</v>
      </c>
      <c r="BY115" s="13">
        <f>IF(A115&lt;'Données projet'!$A$114,$BV$205^A115,IF(A115='Données projet'!$A$114,'Données projet'!$B$114,BY114+BX115-CG114))</f>
        <v>247</v>
      </c>
      <c r="BZ115" s="14">
        <f>BY115*VLOOKUP('Données projet'!$B$12,Paramètres!$A$1:$I$88,3,0)*VLOOKUP('Données projet'!$B$12,Paramètres!$A$1:$I$88,5,0)</f>
        <v>265.87079999999997</v>
      </c>
      <c r="CA115" s="14">
        <f t="shared" si="100"/>
        <v>63.972164370221783</v>
      </c>
      <c r="CB115" s="22">
        <f t="shared" si="67"/>
        <v>574.47649627813621</v>
      </c>
      <c r="CC115" s="62">
        <f t="shared" si="68"/>
        <v>848.18355629647067</v>
      </c>
      <c r="CD115" s="62">
        <f ca="1">AVERAGE(OFFSET($CC$3,0,0,'Données projet'!$E$12+1,1))-AVERAGE(OFFSET($H$3,0,0,'Données projet'!$E$12+1,1))</f>
        <v>468.82871618425406</v>
      </c>
      <c r="CE115" s="62">
        <f t="shared" si="69"/>
        <v>259.37818128554397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projet'!$B$12,Paramètres!$A$1:$I$88,7,0))</f>
        <v>0</v>
      </c>
      <c r="CI115" s="17">
        <f>IF(ISNA(VLOOKUP(A115,'Données projet'!$A$113:$I$133,6,0)),0%,VLOOKUP(A115,'Données projet'!$A$113:$I$133,6,0)*VLOOKUP('Données projet'!$B$12,Paramètres!$A$1:$I$88,7,0))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projet'!$B$9,Paramètres!$A$1:$I$88,3,0)*0.475*44/12</f>
        <v>0</v>
      </c>
      <c r="CL115" s="23">
        <f>EXP(-LN(2)/25)*CL114+(1-EXP(-LN(2)/25))/(LN(2)/25)*Calculateur!CG115*Calculateur!CI115*VLOOKUP('Données projet'!$B$9,Paramètres!$A$1:$I$88,3,0)*0.475*44/12</f>
        <v>0</v>
      </c>
      <c r="CM115" s="23">
        <f>EXP(-LN(2)/2)*CM114+(1-EXP(-LN(2)/2))/(LN(2)/2)*CG115*CJ115*VLOOKUP('Données projet'!$B$9,Paramètres!$A$1:$I$88,3,0)*0.475*44/12</f>
        <v>0</v>
      </c>
      <c r="CN115" s="24">
        <f t="shared" si="70"/>
        <v>0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2.5</v>
      </c>
      <c r="CT115" s="13">
        <f>IF(A115&lt;'Données projet'!$A$140,$CQ$205^A115,IF(A115='Données projet'!$A$140,'Données projet'!$B$140,CT114+CS115-DB114))</f>
        <v>247</v>
      </c>
      <c r="CU115" s="18">
        <f>CT115*VLOOKUP('Données projet'!$B$13,Paramètres!$A$1:$I$88,3,0)*VLOOKUP('Données projet'!$B$13,Paramètres!$A$1:$I$88,5,0)</f>
        <v>211.92600000000004</v>
      </c>
      <c r="CV115" s="14">
        <f t="shared" si="101"/>
        <v>52.356241262970165</v>
      </c>
      <c r="CW115" s="22">
        <f t="shared" si="71"/>
        <v>460.29157019967312</v>
      </c>
      <c r="CX115" s="62">
        <f t="shared" si="72"/>
        <v>733.99863021800752</v>
      </c>
      <c r="CY115" s="62">
        <f ca="1">AVERAGE(OFFSET($CX$3,0,0,'Données projet'!$E$13+1,1))-AVERAGE(OFFSET($H$3,0,0,'Données projet'!$E$13+1,1))</f>
        <v>395.19659151668884</v>
      </c>
      <c r="CZ115" s="62">
        <f t="shared" si="73"/>
        <v>222.86563304507339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projet'!$B$13,Paramètres!$A$1:$I$88,7,0))</f>
        <v>0</v>
      </c>
      <c r="DD115" s="17">
        <f>IF(ISNA(VLOOKUP(A115,'Données projet'!$A$139:$I$159,6,0)),0%,VLOOKUP(A115,'Données projet'!$A$139:$I$159,6,0)*VLOOKUP('Données projet'!$B$13,Paramètres!$A$1:$I$88,7,0))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projet'!$B$9,Paramètres!$A$1:$I$88,3,0)*0.475*44/12</f>
        <v>0</v>
      </c>
      <c r="DG115" s="23">
        <f>EXP(-LN(2)/25)*DG114+(1-EXP(-LN(2)/25))/(LN(2)/25)*Calculateur!DB115*Calculateur!DD115*VLOOKUP('Données projet'!$B$9,Paramètres!$A$1:$I$88,3,0)*0.475*44/12</f>
        <v>0</v>
      </c>
      <c r="DH115" s="23">
        <f>EXP(-LN(2)/2)*DH114+(1-EXP(-LN(2)/2))/(LN(2)/2)*DB115*DE115*VLOOKUP('Données projet'!$B$9,Paramètres!$A$1:$I$88,3,0)*0.475*44/12</f>
        <v>0</v>
      </c>
      <c r="DI115" s="24">
        <f t="shared" si="74"/>
        <v>0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IF(A115&lt;'Données projet'!$A$166,$DL$205^A115,IF(A115='Données projet'!$A$166,'Données projet'!$B$166,DO114+DN115-DW114))</f>
        <v>-8.5265128291212022E-14</v>
      </c>
      <c r="DP115" s="18">
        <f>DO115*VLOOKUP('Données projet'!$B$14,Paramètres!$A$1:$I$88,3,0)*VLOOKUP('Données projet'!$B$14,Paramètres!$A$1:$I$88,5,0)</f>
        <v>-4.9880100050359036E-14</v>
      </c>
      <c r="DQ115" s="14" t="e">
        <f t="shared" si="102"/>
        <v>#NUM!</v>
      </c>
      <c r="DR115" s="22" t="e">
        <f t="shared" si="75"/>
        <v>#NUM!</v>
      </c>
      <c r="DS115" s="62" t="e">
        <f t="shared" si="76"/>
        <v>#NUM!</v>
      </c>
      <c r="DT115" s="62">
        <f ca="1">AVERAGE(OFFSET($DS$3,0,0,'Données projet'!$E$14+1,1))-AVERAGE(OFFSET($H$3,0,0,'Données projet'!$E$14+1,1))</f>
        <v>155.18073137151848</v>
      </c>
      <c r="DU115" s="62">
        <f t="shared" si="77"/>
        <v>115.19459155667272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projet'!$B$14,Paramètres!$A$1:$I$88,7,0))</f>
        <v>0</v>
      </c>
      <c r="DY115" s="17">
        <f>IF(ISNA(VLOOKUP(A115,'Données projet'!$A$165:$I$185,6,0)),0%,VLOOKUP(A115,'Données projet'!$A$165:$I$185,6,0)*VLOOKUP('Données projet'!$B$14,Paramètres!$A$1:$I$88,7,0))</f>
        <v>0</v>
      </c>
      <c r="DZ115" s="17">
        <f>IF(ISNA(VLOOKUP(A115,'Données projet'!$A$165:$I$185,7,0)),0%,VLOOKUP(A115,'Données projet'!$A$165:$I$185,7,0))</f>
        <v>0</v>
      </c>
      <c r="EA115" s="23">
        <f>EXP(-LN(2)/35)*EA114+(1-EXP(-LN(2)/35))/(LN(2)/35)*DW115*DX115*VLOOKUP('Données projet'!$B$9,Paramètres!$A$1:$I$88,3,0)*0.475*44/12</f>
        <v>0</v>
      </c>
      <c r="EB115" s="23">
        <f>EXP(-LN(2)/25)*EB114+(1-EXP(-LN(2)/25))/(LN(2)/25)*Calculateur!DW115*Calculateur!DY115*VLOOKUP('Données projet'!$B$9,Paramètres!$A$1:$I$88,3,0)*0.475*44/12</f>
        <v>0</v>
      </c>
      <c r="EC115" s="23">
        <f>EXP(-LN(2)/2)*EC114+(1-EXP(-LN(2)/2))/(LN(2)/2)*DW115*DZ115*VLOOKUP('Données projet'!$B$9,Paramètres!$A$1:$I$88,3,0)*0.475*44/12</f>
        <v>0</v>
      </c>
      <c r="ED115" s="24">
        <f t="shared" si="78"/>
        <v>0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5.2</v>
      </c>
      <c r="EJ115" s="13">
        <f>IF(A115&lt;'Données projet'!$A$192,$EG$205^A115,IF(A115='Données projet'!$A$192,'Données projet'!$B$192,EJ114+EI115-ER114))</f>
        <v>226.39999999999992</v>
      </c>
      <c r="EK115" s="18">
        <f>EJ115*VLOOKUP('Données projet'!$B$15,Paramètres!$A$1:$I$88,3,0)*VLOOKUP('Données projet'!$B$15,Paramètres!$A$1:$I$88,5,0)</f>
        <v>105.95519999999995</v>
      </c>
      <c r="EL115" s="14">
        <f t="shared" si="103"/>
        <v>28.375930226601138</v>
      </c>
      <c r="EM115" s="22">
        <f t="shared" si="79"/>
        <v>233.96005181133023</v>
      </c>
      <c r="EN115" s="62">
        <f t="shared" si="80"/>
        <v>507.66711182966463</v>
      </c>
      <c r="EO115" s="62">
        <f ca="1">AVERAGE(OFFSET($EN$3,0,0,'Données projet'!$E$15+1,1))-AVERAGE(OFFSET($H$3,0,0,'Données projet'!$E$15+1,1))</f>
        <v>238.59014604384171</v>
      </c>
      <c r="EP115" s="62">
        <f t="shared" si="81"/>
        <v>90.841373219575217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projet'!$B$15,Paramètres!$A$1:$I$88,7,0))</f>
        <v>0</v>
      </c>
      <c r="ET115" s="17">
        <f>IF(ISNA(VLOOKUP(A115,'Données projet'!$A$191:$I$211,6,0)),0%,VLOOKUP(A115,'Données projet'!$A$191:$I$211,6,0)*VLOOKUP('Données projet'!$B$15,Paramètres!$A$1:$I$88,7,0))</f>
        <v>0</v>
      </c>
      <c r="EU115" s="17">
        <f>IF(ISNA(VLOOKUP(A115,'Données projet'!$A$191:$I$211,7,0)),0%,VLOOKUP(A115,'Données projet'!$A$191:$I$211,7,0))</f>
        <v>0</v>
      </c>
      <c r="EV115" s="23">
        <f>EXP(-LN(2)/35)*EV114+(1-EXP(-LN(2)/35))/(LN(2)/35)*ER115*ES115*VLOOKUP('Données projet'!$B$9,Paramètres!$A$1:$I$88,3,0)*0.475*44/12</f>
        <v>0</v>
      </c>
      <c r="EW115" s="23">
        <f>EXP(-LN(2)/25)*EW114+(1-EXP(-LN(2)/25))/(LN(2)/25)*Calculateur!ER115*Calculateur!ET115*VLOOKUP('Données projet'!$B$9,Paramètres!$A$1:$I$88,3,0)*0.475*44/12</f>
        <v>0</v>
      </c>
      <c r="EX115" s="23">
        <f>EXP(-LN(2)/2)*EX114+(1-EXP(-LN(2)/2))/(LN(2)/2)*ER115*EU115*VLOOKUP('Données projet'!$B$9,Paramètres!$A$1:$I$88,3,0)*0.475*44/12</f>
        <v>0</v>
      </c>
      <c r="EY115" s="24">
        <f t="shared" si="82"/>
        <v>0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IF(A115&lt;'Données projet'!$A$218,$FB$205^A115,IF(A115='Données projet'!$A$218,'Données projet'!$B$218,FE114+FD115-FM114))</f>
        <v>0</v>
      </c>
      <c r="FF115" s="18" t="e">
        <f>FE115*VLOOKUP('Données projet'!$B$16,Paramètres!$A$1:$I$88,3,0)*VLOOKUP('Données projet'!$B$16,Paramètres!$A$1:$I$88,5,0)</f>
        <v>#N/A</v>
      </c>
      <c r="FG115" s="14" t="e">
        <f t="shared" si="104"/>
        <v>#N/A</v>
      </c>
      <c r="FH115" s="22" t="e">
        <f t="shared" si="83"/>
        <v>#N/A</v>
      </c>
      <c r="FI115" s="62" t="e">
        <f t="shared" si="84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85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projet'!$B$16,Paramètres!$A$1:$I$88,7,0))</f>
        <v>0</v>
      </c>
      <c r="FO115" s="17">
        <f>IF(ISNA(VLOOKUP(A115,'Données projet'!$A$217:$I$237,6,0)),0%,VLOOKUP(A115,'Données projet'!$A$217:$I$237,6,0)*VLOOKUP('Données projet'!$B$16,Paramètres!$A$1:$I$88,7,0))</f>
        <v>0</v>
      </c>
      <c r="FP115" s="17">
        <f>IF(ISNA(VLOOKUP(A115,'Données projet'!$A$217:$I$237,7,0)),0%,VLOOKUP(A115,'Données projet'!$A$217:$I$237,7,0))</f>
        <v>0</v>
      </c>
      <c r="FQ115" s="23">
        <f>EXP(-LN(2)/35)*FQ114+(1-EXP(-LN(2)/35))/(LN(2)/35)*FM115*FN115*VLOOKUP('Données projet'!$B$9,Paramètres!$A$1:$I$88,3,0)*0.475*44/12</f>
        <v>0</v>
      </c>
      <c r="FR115" s="23">
        <f>EXP(-LN(2)/25)*FR114+(1-EXP(-LN(2)/25))/(LN(2)/25)*Calculateur!FM115*Calculateur!FO115*VLOOKUP('Données projet'!$B$9,Paramètres!$A$1:$I$88,3,0)*0.475*44/12</f>
        <v>0</v>
      </c>
      <c r="FS115" s="23">
        <f>EXP(-LN(2)/2)*FS114+(1-EXP(-LN(2)/2))/(LN(2)/2)*FM115*FP115*VLOOKUP('Données projet'!$B$9,Paramètres!$A$1:$I$88,3,0)*0.475*44/12</f>
        <v>0</v>
      </c>
      <c r="FT115" s="24">
        <f t="shared" si="86"/>
        <v>0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IF(A115&lt;'Données projet'!$A$244,$FW$205^A115,IF(A115='Données projet'!$A$244,'Données projet'!$B$244,FZ114+FY115-GH114))</f>
        <v>0</v>
      </c>
      <c r="GA115" s="18" t="e">
        <f>FZ115*VLOOKUP('Données projet'!$B$17,Paramètres!$A$1:$I$88,3,0)*VLOOKUP('Données projet'!$B$17,Paramètres!$A$1:$I$88,5,0)</f>
        <v>#N/A</v>
      </c>
      <c r="GB115" s="14" t="e">
        <f t="shared" si="105"/>
        <v>#N/A</v>
      </c>
      <c r="GC115" s="22" t="e">
        <f t="shared" si="87"/>
        <v>#N/A</v>
      </c>
      <c r="GD115" s="62" t="e">
        <f t="shared" si="88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89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projet'!$B$17,Paramètres!$A$1:$I$88,7,0))</f>
        <v>0</v>
      </c>
      <c r="GJ115" s="17">
        <f>IF(ISNA(VLOOKUP(A115,'Données projet'!$A$243:$I$263,6,0)),0%,VLOOKUP(A115,'Données projet'!$A$243:$I$263,6,0)*VLOOKUP('Données projet'!$B$17,Paramètres!$A$1:$I$88,7,0))</f>
        <v>0</v>
      </c>
      <c r="GK115" s="17">
        <f>IF(ISNA(VLOOKUP(A115,'Données projet'!$A$243:$I$263,7,0)),0%,VLOOKUP(A115,'Données projet'!$A$243:$I$263,7,0))</f>
        <v>0</v>
      </c>
      <c r="GL115" s="23">
        <f>EXP(-LN(2)/35)*GL114+(1-EXP(-LN(2)/35))/(LN(2)/35)*GH115*GI115*VLOOKUP('Données projet'!$B$9,Paramètres!$A$1:$I$88,3,0)*0.475*44/12</f>
        <v>0</v>
      </c>
      <c r="GM115" s="23">
        <f>EXP(-LN(2)/25)*GM114+(1-EXP(-LN(2)/25))/(LN(2)/25)*Calculateur!GH115*Calculateur!GJ115*VLOOKUP('Données projet'!$B$9,Paramètres!$A$1:$I$88,3,0)*0.475*44/12</f>
        <v>0</v>
      </c>
      <c r="GN115" s="23">
        <f>EXP(-LN(2)/2)*GN114+(1-EXP(-LN(2)/2))/(LN(2)/2)*GH115*GK115*VLOOKUP('Données projet'!$B$9,Paramètres!$A$1:$I$88,3,0)*0.475*44/12</f>
        <v>0</v>
      </c>
      <c r="GO115" s="23">
        <f t="shared" si="90"/>
        <v>0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IF(A115&lt;'Données projet'!$A$270,$GR$205^A115,IF(A115='Données projet'!$A$270,'Données projet'!$B$270,GU114+GT115-HC114))</f>
        <v>0</v>
      </c>
      <c r="GV115" s="18" t="e">
        <f>GU115*VLOOKUP('Données projet'!$B$18,Paramètres!$A$1:$I$88,3,0)*VLOOKUP('Données projet'!$B$18,Paramètres!$A$1:$I$88,5,0)</f>
        <v>#N/A</v>
      </c>
      <c r="GW115" s="14" t="e">
        <f t="shared" si="106"/>
        <v>#N/A</v>
      </c>
      <c r="GX115" s="22" t="e">
        <f t="shared" si="91"/>
        <v>#N/A</v>
      </c>
      <c r="GY115" s="62" t="e">
        <f t="shared" si="92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93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projet'!$B$18,Paramètres!$A$1:$I$88,7,0))</f>
        <v>0</v>
      </c>
      <c r="HE115" s="17">
        <f>IF(ISNA(VLOOKUP(A115,'Données projet'!$A$269:$I$289,6,0)),0%,VLOOKUP(A115,'Données projet'!$A$269:$I$289,6,0)*VLOOKUP('Données projet'!$B$18,Paramètres!$A$1:$I$88,7,0))</f>
        <v>0</v>
      </c>
      <c r="HF115" s="17">
        <f>IF(ISNA(VLOOKUP(A115,'Données projet'!$A$269:$I$289,7,0)),0%,VLOOKUP(A115,'Données projet'!$A$269:$I$289,7,0))</f>
        <v>0</v>
      </c>
      <c r="HG115" s="23">
        <f>EXP(-LN(2)/35)*HG114+(1-EXP(-LN(2)/35))/(LN(2)/35)*HC115*HD115*VLOOKUP('Données projet'!$B$9,Paramètres!$A$1:$I$88,3,0)*0.475*44/12</f>
        <v>0</v>
      </c>
      <c r="HH115" s="23">
        <f>EXP(-LN(2)/25)*HH114+(1-EXP(-LN(2)/25))/(LN(2)/25)*Calculateur!HC115*Calculateur!HE115*VLOOKUP('Données projet'!$B$9,Paramètres!$A$1:$I$88,3,0)*0.475*44/12</f>
        <v>0</v>
      </c>
      <c r="HI115" s="23">
        <f>EXP(-LN(2)/2)*HI114+(1-EXP(-LN(2)/2))/(LN(2)/2)*HC115*HF115*VLOOKUP('Données projet'!$B$9,Paramètres!$A$1:$I$88,3,0)*0.475*44/12</f>
        <v>0</v>
      </c>
      <c r="HJ115" s="24">
        <f t="shared" si="94"/>
        <v>0</v>
      </c>
    </row>
    <row r="116" spans="1:218" s="5" customFormat="1" x14ac:dyDescent="0.25">
      <c r="A116" s="11">
        <f t="shared" si="95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6" s="12">
        <f t="shared" si="9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57"/>
        <v>135.66666666666666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1.3150000000000006</v>
      </c>
      <c r="N116" s="14">
        <f>IF(A116&lt;'Données projet'!$A$36,$K$205^A116,IF(A116='Données projet'!$A$36,'Données projet'!$B$36,N115+M116-V115))</f>
        <v>111.43666666666664</v>
      </c>
      <c r="O116" s="14">
        <f>N116*VLOOKUP('Données projet'!$B$9,Paramètres!$A$1:$I$88,3,0)*VLOOKUP('Données projet'!$B$9,Paramètres!$A$1:$I$88,5,0)</f>
        <v>128.37503999999996</v>
      </c>
      <c r="P116" s="14">
        <f t="shared" si="97"/>
        <v>33.6206043519106</v>
      </c>
      <c r="Q116" s="22">
        <f t="shared" si="107"/>
        <v>282.14241391291085</v>
      </c>
      <c r="R116" s="62">
        <f t="shared" si="55"/>
        <v>556.18994589548674</v>
      </c>
      <c r="S116" s="62">
        <f ca="1">AVERAGE(OFFSET($R$3,0,0,'Données projet'!$E$9+1,1))-AVERAGE(OFFSET($H$3,0,0,'Données projet'!$E$9+1,1))</f>
        <v>314.72063458462026</v>
      </c>
      <c r="T116" s="62">
        <f t="shared" si="56"/>
        <v>216.4380325968244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projet'!$B$9,Paramètres!$A$1:$I$88,7,0))</f>
        <v>0</v>
      </c>
      <c r="X116" s="17">
        <f>IF(ISNA(VLOOKUP(A116,'Données projet'!$A$35:$I$55,6,0)),0%,VLOOKUP(A116,'Données projet'!$A$35:$I$55,6,0)*VLOOKUP('Données projet'!$B$9,Paramètres!$A$1:$I$88,7,0))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projet'!$B$9,Paramètres!$A$1:$I$88,3,0)*0.475*44/12</f>
        <v>0</v>
      </c>
      <c r="AA116" s="23">
        <f>EXP(-LN(2)/25)*AA115+(1-EXP(-LN(2)/25))/(LN(2)/25)*Calculateur!V116*Calculateur!X116*VLOOKUP('Données projet'!$B$9,Paramètres!$A$1:$I$88,3,0)*0.475*44/12</f>
        <v>0</v>
      </c>
      <c r="AB116" s="23">
        <f>EXP(-LN(2)/2)*AB115+(1-EXP(-LN(2)/2))/(LN(2)/2)*V116*Y116*VLOOKUP('Données projet'!$B$9,Paramètres!$A$1:$I$88,3,0)*0.475*44/12</f>
        <v>0</v>
      </c>
      <c r="AC116" s="24">
        <f t="shared" si="58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2.5</v>
      </c>
      <c r="AI116" s="14">
        <f>IF(A116&lt;'Données projet'!$A$62,$AF$205^A116,IF(A116='Données projet'!$A$62,'Données projet'!$B$62,AI115+AH116-AQ115))</f>
        <v>249.5</v>
      </c>
      <c r="AJ116" s="14">
        <f>AI116*VLOOKUP('Données projet'!$B$10,Paramètres!$A$1:$I$88,3,0)*VLOOKUP('Données projet'!$B$10,Paramètres!$A$1:$I$88,5,0)</f>
        <v>260.77740000000006</v>
      </c>
      <c r="AK116" s="14">
        <f t="shared" si="98"/>
        <v>62.888059416183644</v>
      </c>
      <c r="AL116" s="22">
        <f t="shared" si="59"/>
        <v>563.71734181651993</v>
      </c>
      <c r="AM116" s="62">
        <f t="shared" si="60"/>
        <v>837.76487379909577</v>
      </c>
      <c r="AN116" s="62">
        <f ca="1">AVERAGE(OFFSET($AM$3,0,0,'Données projet'!$E$10+1,1))-AVERAGE(OFFSET($H$3,0,0,'Données projet'!$E$10+1,1))</f>
        <v>458.33072853676879</v>
      </c>
      <c r="AO116" s="62">
        <f t="shared" si="61"/>
        <v>254.1734169352687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projet'!$B$10,Paramètres!$A$1:$I$88,7,0))</f>
        <v>0</v>
      </c>
      <c r="AS116" s="17">
        <f>IF(ISNA(VLOOKUP(A116,'Données projet'!$A$61:$I$81,6,0)),0%,VLOOKUP(A116,'Données projet'!$A$61:$I$81,6,0)*VLOOKUP('Données projet'!$B$10,Paramètres!$A$1:$I$88,7,0))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projet'!$B$9,Paramètres!$A$1:$I$88,3,0)*0.475*44/12</f>
        <v>0</v>
      </c>
      <c r="AV116" s="23">
        <f>EXP(-LN(2)/25)*AV115+(1-EXP(-LN(2)/25))/(LN(2)/25)*Calculateur!AQ116*Calculateur!AS116*VLOOKUP('Données projet'!$B$9,Paramètres!$A$1:$I$88,3,0)*0.475*44/12</f>
        <v>0</v>
      </c>
      <c r="AW116" s="23">
        <f>EXP(-LN(2)/2)*AW115+(1-EXP(-LN(2)/2))/(LN(2)/2)*AQ116*AT116*VLOOKUP('Données projet'!$B$9,Paramètres!$A$1:$I$88,3,0)*0.475*44/12</f>
        <v>0</v>
      </c>
      <c r="AX116" s="23">
        <f t="shared" si="62"/>
        <v>0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2.5</v>
      </c>
      <c r="BD116" s="13">
        <f>IF(A116&lt;'Données projet'!$A$88,$BA$205^A116,IF(A116='Données projet'!$A$88,'Données projet'!$B$88,BD115+BC116-BL115))</f>
        <v>249.5</v>
      </c>
      <c r="BE116" s="14">
        <f>BD116*VLOOKUP('Données projet'!$B$11,Paramètres!$A$1:$I$88,3,0)*VLOOKUP('Données projet'!$B$11,Paramètres!$A$1:$I$88,5,0)</f>
        <v>252.99300000000002</v>
      </c>
      <c r="BF116" s="14">
        <f t="shared" si="99"/>
        <v>61.226402168497366</v>
      </c>
      <c r="BG116" s="22">
        <f t="shared" si="63"/>
        <v>547.26545877679962</v>
      </c>
      <c r="BH116" s="62">
        <f t="shared" si="64"/>
        <v>821.31299075937545</v>
      </c>
      <c r="BI116" s="62">
        <f ca="1">AVERAGE(OFFSET($BH$3,0,0,'Données projet'!$E$11+1,1))-AVERAGE(OFFSET($H$3,0,0,'Données projet'!$E$11+1,1))</f>
        <v>447.82618173893104</v>
      </c>
      <c r="BJ116" s="62">
        <f t="shared" si="65"/>
        <v>248.96509970783379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projet'!$B$11,Paramètres!$A$1:$I$88,7,0))</f>
        <v>0</v>
      </c>
      <c r="BN116" s="17">
        <f>IF(ISNA(VLOOKUP(A116,'Données projet'!$A$87:$I$107,6,0)),0%,VLOOKUP(A116,'Données projet'!$A$87:$I$107,6,0)*VLOOKUP('Données projet'!$B$11,Paramètres!$A$1:$I$88,7,0))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projet'!$B$9,Paramètres!$A$1:$I$88,3,0)*0.475*44/12</f>
        <v>0</v>
      </c>
      <c r="BQ116" s="23">
        <f>EXP(-LN(2)/25)*BQ115+(1-EXP(-LN(2)/25))/(LN(2)/25)*Calculateur!BL116*Calculateur!BN116*VLOOKUP('Données projet'!$B$9,Paramètres!$A$1:$I$88,3,0)*0.475*44/12</f>
        <v>0</v>
      </c>
      <c r="BR116" s="23">
        <f>EXP(-LN(2)/2)*BR115+(1-EXP(-LN(2)/2))/(LN(2)/2)*BL116*BO116*VLOOKUP('Données projet'!$B$9,Paramètres!$A$1:$I$88,3,0)*0.475*44/12</f>
        <v>0</v>
      </c>
      <c r="BS116" s="24">
        <f t="shared" si="66"/>
        <v>0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2.5</v>
      </c>
      <c r="BY116" s="13">
        <f>IF(A116&lt;'Données projet'!$A$114,$BV$205^A116,IF(A116='Données projet'!$A$114,'Données projet'!$B$114,BY115+BX116-CG115))</f>
        <v>249.5</v>
      </c>
      <c r="BZ116" s="14">
        <f>BY116*VLOOKUP('Données projet'!$B$12,Paramètres!$A$1:$I$88,3,0)*VLOOKUP('Données projet'!$B$12,Paramètres!$A$1:$I$88,5,0)</f>
        <v>268.56179999999995</v>
      </c>
      <c r="CA116" s="14">
        <f t="shared" si="100"/>
        <v>64.543952139424889</v>
      </c>
      <c r="CB116" s="22">
        <f t="shared" si="67"/>
        <v>580.15918497616485</v>
      </c>
      <c r="CC116" s="62">
        <f t="shared" si="68"/>
        <v>854.20671695874069</v>
      </c>
      <c r="CD116" s="62">
        <f ca="1">AVERAGE(OFFSET($CC$3,0,0,'Données projet'!$E$12+1,1))-AVERAGE(OFFSET($H$3,0,0,'Données projet'!$E$12+1,1))</f>
        <v>468.82871618425406</v>
      </c>
      <c r="CE116" s="62">
        <f t="shared" si="69"/>
        <v>259.37818128554397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projet'!$B$12,Paramètres!$A$1:$I$88,7,0))</f>
        <v>0</v>
      </c>
      <c r="CI116" s="17">
        <f>IF(ISNA(VLOOKUP(A116,'Données projet'!$A$113:$I$133,6,0)),0%,VLOOKUP(A116,'Données projet'!$A$113:$I$133,6,0)*VLOOKUP('Données projet'!$B$12,Paramètres!$A$1:$I$88,7,0))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projet'!$B$9,Paramètres!$A$1:$I$88,3,0)*0.475*44/12</f>
        <v>0</v>
      </c>
      <c r="CL116" s="23">
        <f>EXP(-LN(2)/25)*CL115+(1-EXP(-LN(2)/25))/(LN(2)/25)*Calculateur!CG116*Calculateur!CI116*VLOOKUP('Données projet'!$B$9,Paramètres!$A$1:$I$88,3,0)*0.475*44/12</f>
        <v>0</v>
      </c>
      <c r="CM116" s="23">
        <f>EXP(-LN(2)/2)*CM115+(1-EXP(-LN(2)/2))/(LN(2)/2)*CG116*CJ116*VLOOKUP('Données projet'!$B$9,Paramètres!$A$1:$I$88,3,0)*0.475*44/12</f>
        <v>0</v>
      </c>
      <c r="CN116" s="24">
        <f t="shared" si="70"/>
        <v>0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2.5</v>
      </c>
      <c r="CT116" s="13">
        <f>IF(A116&lt;'Données projet'!$A$140,$CQ$205^A116,IF(A116='Données projet'!$A$140,'Données projet'!$B$140,CT115+CS116-DB115))</f>
        <v>249.5</v>
      </c>
      <c r="CU116" s="18">
        <f>CT116*VLOOKUP('Données projet'!$B$13,Paramètres!$A$1:$I$88,3,0)*VLOOKUP('Données projet'!$B$13,Paramètres!$A$1:$I$88,5,0)</f>
        <v>214.07100000000005</v>
      </c>
      <c r="CV116" s="14">
        <f t="shared" si="101"/>
        <v>52.824205082708431</v>
      </c>
      <c r="CW116" s="22">
        <f t="shared" si="71"/>
        <v>464.84248218571724</v>
      </c>
      <c r="CX116" s="62">
        <f t="shared" si="72"/>
        <v>738.89001416829308</v>
      </c>
      <c r="CY116" s="62">
        <f ca="1">AVERAGE(OFFSET($CX$3,0,0,'Données projet'!$E$13+1,1))-AVERAGE(OFFSET($H$3,0,0,'Données projet'!$E$13+1,1))</f>
        <v>395.19659151668884</v>
      </c>
      <c r="CZ116" s="62">
        <f t="shared" si="73"/>
        <v>222.86563304507339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projet'!$B$13,Paramètres!$A$1:$I$88,7,0))</f>
        <v>0</v>
      </c>
      <c r="DD116" s="17">
        <f>IF(ISNA(VLOOKUP(A116,'Données projet'!$A$139:$I$159,6,0)),0%,VLOOKUP(A116,'Données projet'!$A$139:$I$159,6,0)*VLOOKUP('Données projet'!$B$13,Paramètres!$A$1:$I$88,7,0))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projet'!$B$9,Paramètres!$A$1:$I$88,3,0)*0.475*44/12</f>
        <v>0</v>
      </c>
      <c r="DG116" s="23">
        <f>EXP(-LN(2)/25)*DG115+(1-EXP(-LN(2)/25))/(LN(2)/25)*Calculateur!DB116*Calculateur!DD116*VLOOKUP('Données projet'!$B$9,Paramètres!$A$1:$I$88,3,0)*0.475*44/12</f>
        <v>0</v>
      </c>
      <c r="DH116" s="23">
        <f>EXP(-LN(2)/2)*DH115+(1-EXP(-LN(2)/2))/(LN(2)/2)*DB116*DE116*VLOOKUP('Données projet'!$B$9,Paramètres!$A$1:$I$88,3,0)*0.475*44/12</f>
        <v>0</v>
      </c>
      <c r="DI116" s="24">
        <f t="shared" si="74"/>
        <v>0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IF(A116&lt;'Données projet'!$A$166,$DL$205^A116,IF(A116='Données projet'!$A$166,'Données projet'!$B$166,DO115+DN116-DW115))</f>
        <v>-8.5265128291212022E-14</v>
      </c>
      <c r="DP116" s="18">
        <f>DO116*VLOOKUP('Données projet'!$B$14,Paramètres!$A$1:$I$88,3,0)*VLOOKUP('Données projet'!$B$14,Paramètres!$A$1:$I$88,5,0)</f>
        <v>-4.9880100050359036E-14</v>
      </c>
      <c r="DQ116" s="14" t="e">
        <f t="shared" si="102"/>
        <v>#NUM!</v>
      </c>
      <c r="DR116" s="22" t="e">
        <f t="shared" si="75"/>
        <v>#NUM!</v>
      </c>
      <c r="DS116" s="62" t="e">
        <f t="shared" si="76"/>
        <v>#NUM!</v>
      </c>
      <c r="DT116" s="62">
        <f ca="1">AVERAGE(OFFSET($DS$3,0,0,'Données projet'!$E$14+1,1))-AVERAGE(OFFSET($H$3,0,0,'Données projet'!$E$14+1,1))</f>
        <v>155.18073137151848</v>
      </c>
      <c r="DU116" s="62">
        <f t="shared" si="77"/>
        <v>115.19459155667272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projet'!$B$14,Paramètres!$A$1:$I$88,7,0))</f>
        <v>0</v>
      </c>
      <c r="DY116" s="17">
        <f>IF(ISNA(VLOOKUP(A116,'Données projet'!$A$165:$I$185,6,0)),0%,VLOOKUP(A116,'Données projet'!$A$165:$I$185,6,0)*VLOOKUP('Données projet'!$B$14,Paramètres!$A$1:$I$88,7,0))</f>
        <v>0</v>
      </c>
      <c r="DZ116" s="17">
        <f>IF(ISNA(VLOOKUP(A116,'Données projet'!$A$165:$I$185,7,0)),0%,VLOOKUP(A116,'Données projet'!$A$165:$I$185,7,0))</f>
        <v>0</v>
      </c>
      <c r="EA116" s="23">
        <f>EXP(-LN(2)/35)*EA115+(1-EXP(-LN(2)/35))/(LN(2)/35)*DW116*DX116*VLOOKUP('Données projet'!$B$9,Paramètres!$A$1:$I$88,3,0)*0.475*44/12</f>
        <v>0</v>
      </c>
      <c r="EB116" s="23">
        <f>EXP(-LN(2)/25)*EB115+(1-EXP(-LN(2)/25))/(LN(2)/25)*Calculateur!DW116*Calculateur!DY116*VLOOKUP('Données projet'!$B$9,Paramètres!$A$1:$I$88,3,0)*0.475*44/12</f>
        <v>0</v>
      </c>
      <c r="EC116" s="23">
        <f>EXP(-LN(2)/2)*EC115+(1-EXP(-LN(2)/2))/(LN(2)/2)*DW116*DZ116*VLOOKUP('Données projet'!$B$9,Paramètres!$A$1:$I$88,3,0)*0.475*44/12</f>
        <v>0</v>
      </c>
      <c r="ED116" s="24">
        <f t="shared" si="78"/>
        <v>0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5.2</v>
      </c>
      <c r="EJ116" s="13">
        <f>IF(A116&lt;'Données projet'!$A$192,$EG$205^A116,IF(A116='Données projet'!$A$192,'Données projet'!$B$192,EJ115+EI116-ER115))</f>
        <v>231.59999999999991</v>
      </c>
      <c r="EK116" s="18">
        <f>EJ116*VLOOKUP('Données projet'!$B$15,Paramètres!$A$1:$I$88,3,0)*VLOOKUP('Données projet'!$B$15,Paramètres!$A$1:$I$88,5,0)</f>
        <v>108.38879999999996</v>
      </c>
      <c r="EL116" s="14">
        <f t="shared" si="103"/>
        <v>28.95104790024919</v>
      </c>
      <c r="EM116" s="22">
        <f t="shared" si="79"/>
        <v>239.20023509293392</v>
      </c>
      <c r="EN116" s="62">
        <f t="shared" si="80"/>
        <v>513.24776707550973</v>
      </c>
      <c r="EO116" s="62">
        <f ca="1">AVERAGE(OFFSET($EN$3,0,0,'Données projet'!$E$15+1,1))-AVERAGE(OFFSET($H$3,0,0,'Données projet'!$E$15+1,1))</f>
        <v>238.59014604384171</v>
      </c>
      <c r="EP116" s="62">
        <f t="shared" si="81"/>
        <v>90.841373219575217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projet'!$B$15,Paramètres!$A$1:$I$88,7,0))</f>
        <v>0</v>
      </c>
      <c r="ET116" s="17">
        <f>IF(ISNA(VLOOKUP(A116,'Données projet'!$A$191:$I$211,6,0)),0%,VLOOKUP(A116,'Données projet'!$A$191:$I$211,6,0)*VLOOKUP('Données projet'!$B$15,Paramètres!$A$1:$I$88,7,0))</f>
        <v>0</v>
      </c>
      <c r="EU116" s="17">
        <f>IF(ISNA(VLOOKUP(A116,'Données projet'!$A$191:$I$211,7,0)),0%,VLOOKUP(A116,'Données projet'!$A$191:$I$211,7,0))</f>
        <v>0</v>
      </c>
      <c r="EV116" s="23">
        <f>EXP(-LN(2)/35)*EV115+(1-EXP(-LN(2)/35))/(LN(2)/35)*ER116*ES116*VLOOKUP('Données projet'!$B$9,Paramètres!$A$1:$I$88,3,0)*0.475*44/12</f>
        <v>0</v>
      </c>
      <c r="EW116" s="23">
        <f>EXP(-LN(2)/25)*EW115+(1-EXP(-LN(2)/25))/(LN(2)/25)*Calculateur!ER116*Calculateur!ET116*VLOOKUP('Données projet'!$B$9,Paramètres!$A$1:$I$88,3,0)*0.475*44/12</f>
        <v>0</v>
      </c>
      <c r="EX116" s="23">
        <f>EXP(-LN(2)/2)*EX115+(1-EXP(-LN(2)/2))/(LN(2)/2)*ER116*EU116*VLOOKUP('Données projet'!$B$9,Paramètres!$A$1:$I$88,3,0)*0.475*44/12</f>
        <v>0</v>
      </c>
      <c r="EY116" s="24">
        <f t="shared" si="82"/>
        <v>0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IF(A116&lt;'Données projet'!$A$218,$FB$205^A116,IF(A116='Données projet'!$A$218,'Données projet'!$B$218,FE115+FD116-FM115))</f>
        <v>0</v>
      </c>
      <c r="FF116" s="18" t="e">
        <f>FE116*VLOOKUP('Données projet'!$B$16,Paramètres!$A$1:$I$88,3,0)*VLOOKUP('Données projet'!$B$16,Paramètres!$A$1:$I$88,5,0)</f>
        <v>#N/A</v>
      </c>
      <c r="FG116" s="14" t="e">
        <f t="shared" si="104"/>
        <v>#N/A</v>
      </c>
      <c r="FH116" s="22" t="e">
        <f t="shared" si="83"/>
        <v>#N/A</v>
      </c>
      <c r="FI116" s="62" t="e">
        <f t="shared" si="84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85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projet'!$B$16,Paramètres!$A$1:$I$88,7,0))</f>
        <v>0</v>
      </c>
      <c r="FO116" s="17">
        <f>IF(ISNA(VLOOKUP(A116,'Données projet'!$A$217:$I$237,6,0)),0%,VLOOKUP(A116,'Données projet'!$A$217:$I$237,6,0)*VLOOKUP('Données projet'!$B$16,Paramètres!$A$1:$I$88,7,0))</f>
        <v>0</v>
      </c>
      <c r="FP116" s="17">
        <f>IF(ISNA(VLOOKUP(A116,'Données projet'!$A$217:$I$237,7,0)),0%,VLOOKUP(A116,'Données projet'!$A$217:$I$237,7,0))</f>
        <v>0</v>
      </c>
      <c r="FQ116" s="23">
        <f>EXP(-LN(2)/35)*FQ115+(1-EXP(-LN(2)/35))/(LN(2)/35)*FM116*FN116*VLOOKUP('Données projet'!$B$9,Paramètres!$A$1:$I$88,3,0)*0.475*44/12</f>
        <v>0</v>
      </c>
      <c r="FR116" s="23">
        <f>EXP(-LN(2)/25)*FR115+(1-EXP(-LN(2)/25))/(LN(2)/25)*Calculateur!FM116*Calculateur!FO116*VLOOKUP('Données projet'!$B$9,Paramètres!$A$1:$I$88,3,0)*0.475*44/12</f>
        <v>0</v>
      </c>
      <c r="FS116" s="23">
        <f>EXP(-LN(2)/2)*FS115+(1-EXP(-LN(2)/2))/(LN(2)/2)*FM116*FP116*VLOOKUP('Données projet'!$B$9,Paramètres!$A$1:$I$88,3,0)*0.475*44/12</f>
        <v>0</v>
      </c>
      <c r="FT116" s="24">
        <f t="shared" si="86"/>
        <v>0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IF(A116&lt;'Données projet'!$A$244,$FW$205^A116,IF(A116='Données projet'!$A$244,'Données projet'!$B$244,FZ115+FY116-GH115))</f>
        <v>0</v>
      </c>
      <c r="GA116" s="18" t="e">
        <f>FZ116*VLOOKUP('Données projet'!$B$17,Paramètres!$A$1:$I$88,3,0)*VLOOKUP('Données projet'!$B$17,Paramètres!$A$1:$I$88,5,0)</f>
        <v>#N/A</v>
      </c>
      <c r="GB116" s="14" t="e">
        <f t="shared" si="105"/>
        <v>#N/A</v>
      </c>
      <c r="GC116" s="22" t="e">
        <f t="shared" si="87"/>
        <v>#N/A</v>
      </c>
      <c r="GD116" s="62" t="e">
        <f t="shared" si="88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89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projet'!$B$17,Paramètres!$A$1:$I$88,7,0))</f>
        <v>0</v>
      </c>
      <c r="GJ116" s="17">
        <f>IF(ISNA(VLOOKUP(A116,'Données projet'!$A$243:$I$263,6,0)),0%,VLOOKUP(A116,'Données projet'!$A$243:$I$263,6,0)*VLOOKUP('Données projet'!$B$17,Paramètres!$A$1:$I$88,7,0))</f>
        <v>0</v>
      </c>
      <c r="GK116" s="17">
        <f>IF(ISNA(VLOOKUP(A116,'Données projet'!$A$243:$I$263,7,0)),0%,VLOOKUP(A116,'Données projet'!$A$243:$I$263,7,0))</f>
        <v>0</v>
      </c>
      <c r="GL116" s="23">
        <f>EXP(-LN(2)/35)*GL115+(1-EXP(-LN(2)/35))/(LN(2)/35)*GH116*GI116*VLOOKUP('Données projet'!$B$9,Paramètres!$A$1:$I$88,3,0)*0.475*44/12</f>
        <v>0</v>
      </c>
      <c r="GM116" s="23">
        <f>EXP(-LN(2)/25)*GM115+(1-EXP(-LN(2)/25))/(LN(2)/25)*Calculateur!GH116*Calculateur!GJ116*VLOOKUP('Données projet'!$B$9,Paramètres!$A$1:$I$88,3,0)*0.475*44/12</f>
        <v>0</v>
      </c>
      <c r="GN116" s="23">
        <f>EXP(-LN(2)/2)*GN115+(1-EXP(-LN(2)/2))/(LN(2)/2)*GH116*GK116*VLOOKUP('Données projet'!$B$9,Paramètres!$A$1:$I$88,3,0)*0.475*44/12</f>
        <v>0</v>
      </c>
      <c r="GO116" s="23">
        <f t="shared" si="90"/>
        <v>0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IF(A116&lt;'Données projet'!$A$270,$GR$205^A116,IF(A116='Données projet'!$A$270,'Données projet'!$B$270,GU115+GT116-HC115))</f>
        <v>0</v>
      </c>
      <c r="GV116" s="18" t="e">
        <f>GU116*VLOOKUP('Données projet'!$B$18,Paramètres!$A$1:$I$88,3,0)*VLOOKUP('Données projet'!$B$18,Paramètres!$A$1:$I$88,5,0)</f>
        <v>#N/A</v>
      </c>
      <c r="GW116" s="14" t="e">
        <f t="shared" si="106"/>
        <v>#N/A</v>
      </c>
      <c r="GX116" s="22" t="e">
        <f t="shared" si="91"/>
        <v>#N/A</v>
      </c>
      <c r="GY116" s="62" t="e">
        <f t="shared" si="92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93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projet'!$B$18,Paramètres!$A$1:$I$88,7,0))</f>
        <v>0</v>
      </c>
      <c r="HE116" s="17">
        <f>IF(ISNA(VLOOKUP(A116,'Données projet'!$A$269:$I$289,6,0)),0%,VLOOKUP(A116,'Données projet'!$A$269:$I$289,6,0)*VLOOKUP('Données projet'!$B$18,Paramètres!$A$1:$I$88,7,0))</f>
        <v>0</v>
      </c>
      <c r="HF116" s="17">
        <f>IF(ISNA(VLOOKUP(A116,'Données projet'!$A$269:$I$289,7,0)),0%,VLOOKUP(A116,'Données projet'!$A$269:$I$289,7,0))</f>
        <v>0</v>
      </c>
      <c r="HG116" s="23">
        <f>EXP(-LN(2)/35)*HG115+(1-EXP(-LN(2)/35))/(LN(2)/35)*HC116*HD116*VLOOKUP('Données projet'!$B$9,Paramètres!$A$1:$I$88,3,0)*0.475*44/12</f>
        <v>0</v>
      </c>
      <c r="HH116" s="23">
        <f>EXP(-LN(2)/25)*HH115+(1-EXP(-LN(2)/25))/(LN(2)/25)*Calculateur!HC116*Calculateur!HE116*VLOOKUP('Données projet'!$B$9,Paramètres!$A$1:$I$88,3,0)*0.475*44/12</f>
        <v>0</v>
      </c>
      <c r="HI116" s="23">
        <f>EXP(-LN(2)/2)*HI115+(1-EXP(-LN(2)/2))/(LN(2)/2)*HC116*HF116*VLOOKUP('Données projet'!$B$9,Paramètres!$A$1:$I$88,3,0)*0.475*44/12</f>
        <v>0</v>
      </c>
      <c r="HJ116" s="24">
        <f t="shared" si="94"/>
        <v>0</v>
      </c>
    </row>
    <row r="117" spans="1:218" s="5" customFormat="1" x14ac:dyDescent="0.25">
      <c r="A117" s="11">
        <f t="shared" si="95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7" s="12">
        <f t="shared" si="9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57"/>
        <v>135.66666666666666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1.3150000000000006</v>
      </c>
      <c r="N117" s="14">
        <f>IF(A117&lt;'Données projet'!$A$36,$K$205^A117,IF(A117='Données projet'!$A$36,'Données projet'!$B$36,N116+M117-V116))</f>
        <v>112.75166666666664</v>
      </c>
      <c r="O117" s="14">
        <f>N117*VLOOKUP('Données projet'!$B$9,Paramètres!$A$1:$I$88,3,0)*VLOOKUP('Données projet'!$B$9,Paramètres!$A$1:$I$88,5,0)</f>
        <v>129.88991999999996</v>
      </c>
      <c r="P117" s="14">
        <f t="shared" si="97"/>
        <v>33.970921822434136</v>
      </c>
      <c r="Q117" s="22">
        <f t="shared" si="107"/>
        <v>285.39096617407273</v>
      </c>
      <c r="R117" s="62">
        <f t="shared" si="55"/>
        <v>559.77306369349174</v>
      </c>
      <c r="S117" s="62">
        <f ca="1">AVERAGE(OFFSET($R$3,0,0,'Données projet'!$E$9+1,1))-AVERAGE(OFFSET($H$3,0,0,'Données projet'!$E$9+1,1))</f>
        <v>314.72063458462026</v>
      </c>
      <c r="T117" s="62">
        <f t="shared" si="56"/>
        <v>216.4380325968244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projet'!$B$9,Paramètres!$A$1:$I$88,7,0))</f>
        <v>0</v>
      </c>
      <c r="X117" s="17">
        <f>IF(ISNA(VLOOKUP(A117,'Données projet'!$A$35:$I$55,6,0)),0%,VLOOKUP(A117,'Données projet'!$A$35:$I$55,6,0)*VLOOKUP('Données projet'!$B$9,Paramètres!$A$1:$I$88,7,0))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projet'!$B$9,Paramètres!$A$1:$I$88,3,0)*0.475*44/12</f>
        <v>0</v>
      </c>
      <c r="AA117" s="23">
        <f>EXP(-LN(2)/25)*AA116+(1-EXP(-LN(2)/25))/(LN(2)/25)*Calculateur!V117*Calculateur!X117*VLOOKUP('Données projet'!$B$9,Paramètres!$A$1:$I$88,3,0)*0.475*44/12</f>
        <v>0</v>
      </c>
      <c r="AB117" s="23">
        <f>EXP(-LN(2)/2)*AB116+(1-EXP(-LN(2)/2))/(LN(2)/2)*V117*Y117*VLOOKUP('Données projet'!$B$9,Paramètres!$A$1:$I$88,3,0)*0.475*44/12</f>
        <v>0</v>
      </c>
      <c r="AC117" s="24">
        <f t="shared" si="58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2.5</v>
      </c>
      <c r="AI117" s="14">
        <f>IF(A117&lt;'Données projet'!$A$62,$AF$205^A117,IF(A117='Données projet'!$A$62,'Données projet'!$B$62,AI116+AH117-AQ116))</f>
        <v>252</v>
      </c>
      <c r="AJ117" s="14">
        <f>AI117*VLOOKUP('Données projet'!$B$10,Paramètres!$A$1:$I$88,3,0)*VLOOKUP('Données projet'!$B$10,Paramètres!$A$1:$I$88,5,0)</f>
        <v>263.3904</v>
      </c>
      <c r="AK117" s="14">
        <f t="shared" si="98"/>
        <v>63.444528395882578</v>
      </c>
      <c r="AL117" s="22">
        <f t="shared" si="59"/>
        <v>569.23750028949542</v>
      </c>
      <c r="AM117" s="62">
        <f t="shared" si="60"/>
        <v>843.61959780891448</v>
      </c>
      <c r="AN117" s="62">
        <f ca="1">AVERAGE(OFFSET($AM$3,0,0,'Données projet'!$E$10+1,1))-AVERAGE(OFFSET($H$3,0,0,'Données projet'!$E$10+1,1))</f>
        <v>458.33072853676879</v>
      </c>
      <c r="AO117" s="62">
        <f t="shared" si="61"/>
        <v>254.1734169352687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projet'!$B$10,Paramètres!$A$1:$I$88,7,0))</f>
        <v>0</v>
      </c>
      <c r="AS117" s="17">
        <f>IF(ISNA(VLOOKUP(A117,'Données projet'!$A$61:$I$81,6,0)),0%,VLOOKUP(A117,'Données projet'!$A$61:$I$81,6,0)*VLOOKUP('Données projet'!$B$10,Paramètres!$A$1:$I$88,7,0))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projet'!$B$9,Paramètres!$A$1:$I$88,3,0)*0.475*44/12</f>
        <v>0</v>
      </c>
      <c r="AV117" s="23">
        <f>EXP(-LN(2)/25)*AV116+(1-EXP(-LN(2)/25))/(LN(2)/25)*Calculateur!AQ117*Calculateur!AS117*VLOOKUP('Données projet'!$B$9,Paramètres!$A$1:$I$88,3,0)*0.475*44/12</f>
        <v>0</v>
      </c>
      <c r="AW117" s="23">
        <f>EXP(-LN(2)/2)*AW116+(1-EXP(-LN(2)/2))/(LN(2)/2)*AQ117*AT117*VLOOKUP('Données projet'!$B$9,Paramètres!$A$1:$I$88,3,0)*0.475*44/12</f>
        <v>0</v>
      </c>
      <c r="AX117" s="23">
        <f t="shared" si="62"/>
        <v>0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2.5</v>
      </c>
      <c r="BD117" s="13">
        <f>IF(A117&lt;'Données projet'!$A$88,$BA$205^A117,IF(A117='Données projet'!$A$88,'Données projet'!$B$88,BD116+BC117-BL116))</f>
        <v>252</v>
      </c>
      <c r="BE117" s="14">
        <f>BD117*VLOOKUP('Données projet'!$B$11,Paramètres!$A$1:$I$88,3,0)*VLOOKUP('Données projet'!$B$11,Paramètres!$A$1:$I$88,5,0)</f>
        <v>255.52800000000002</v>
      </c>
      <c r="BF117" s="14">
        <f t="shared" si="99"/>
        <v>61.768167868721477</v>
      </c>
      <c r="BG117" s="22">
        <f t="shared" si="63"/>
        <v>552.62415903802332</v>
      </c>
      <c r="BH117" s="62">
        <f t="shared" si="64"/>
        <v>827.00625655744238</v>
      </c>
      <c r="BI117" s="62">
        <f ca="1">AVERAGE(OFFSET($BH$3,0,0,'Données projet'!$E$11+1,1))-AVERAGE(OFFSET($H$3,0,0,'Données projet'!$E$11+1,1))</f>
        <v>447.82618173893104</v>
      </c>
      <c r="BJ117" s="62">
        <f t="shared" si="65"/>
        <v>248.96509970783379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projet'!$B$11,Paramètres!$A$1:$I$88,7,0))</f>
        <v>0</v>
      </c>
      <c r="BN117" s="17">
        <f>IF(ISNA(VLOOKUP(A117,'Données projet'!$A$87:$I$107,6,0)),0%,VLOOKUP(A117,'Données projet'!$A$87:$I$107,6,0)*VLOOKUP('Données projet'!$B$11,Paramètres!$A$1:$I$88,7,0))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projet'!$B$9,Paramètres!$A$1:$I$88,3,0)*0.475*44/12</f>
        <v>0</v>
      </c>
      <c r="BQ117" s="23">
        <f>EXP(-LN(2)/25)*BQ116+(1-EXP(-LN(2)/25))/(LN(2)/25)*Calculateur!BL117*Calculateur!BN117*VLOOKUP('Données projet'!$B$9,Paramètres!$A$1:$I$88,3,0)*0.475*44/12</f>
        <v>0</v>
      </c>
      <c r="BR117" s="23">
        <f>EXP(-LN(2)/2)*BR116+(1-EXP(-LN(2)/2))/(LN(2)/2)*BL117*BO117*VLOOKUP('Données projet'!$B$9,Paramètres!$A$1:$I$88,3,0)*0.475*44/12</f>
        <v>0</v>
      </c>
      <c r="BS117" s="24">
        <f t="shared" si="66"/>
        <v>0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2.5</v>
      </c>
      <c r="BY117" s="13">
        <f>IF(A117&lt;'Données projet'!$A$114,$BV$205^A117,IF(A117='Données projet'!$A$114,'Données projet'!$B$114,BY116+BX117-CG116))</f>
        <v>252</v>
      </c>
      <c r="BZ117" s="14">
        <f>BY117*VLOOKUP('Données projet'!$B$12,Paramètres!$A$1:$I$88,3,0)*VLOOKUP('Données projet'!$B$12,Paramètres!$A$1:$I$88,5,0)</f>
        <v>271.25279999999998</v>
      </c>
      <c r="CA117" s="14">
        <f t="shared" si="100"/>
        <v>65.115073390838859</v>
      </c>
      <c r="CB117" s="22">
        <f t="shared" si="67"/>
        <v>585.84071282237767</v>
      </c>
      <c r="CC117" s="62">
        <f t="shared" si="68"/>
        <v>860.22281034179673</v>
      </c>
      <c r="CD117" s="62">
        <f ca="1">AVERAGE(OFFSET($CC$3,0,0,'Données projet'!$E$12+1,1))-AVERAGE(OFFSET($H$3,0,0,'Données projet'!$E$12+1,1))</f>
        <v>468.82871618425406</v>
      </c>
      <c r="CE117" s="62">
        <f t="shared" si="69"/>
        <v>259.37818128554397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projet'!$B$12,Paramètres!$A$1:$I$88,7,0))</f>
        <v>0</v>
      </c>
      <c r="CI117" s="17">
        <f>IF(ISNA(VLOOKUP(A117,'Données projet'!$A$113:$I$133,6,0)),0%,VLOOKUP(A117,'Données projet'!$A$113:$I$133,6,0)*VLOOKUP('Données projet'!$B$12,Paramètres!$A$1:$I$88,7,0))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projet'!$B$9,Paramètres!$A$1:$I$88,3,0)*0.475*44/12</f>
        <v>0</v>
      </c>
      <c r="CL117" s="23">
        <f>EXP(-LN(2)/25)*CL116+(1-EXP(-LN(2)/25))/(LN(2)/25)*Calculateur!CG117*Calculateur!CI117*VLOOKUP('Données projet'!$B$9,Paramètres!$A$1:$I$88,3,0)*0.475*44/12</f>
        <v>0</v>
      </c>
      <c r="CM117" s="23">
        <f>EXP(-LN(2)/2)*CM116+(1-EXP(-LN(2)/2))/(LN(2)/2)*CG117*CJ117*VLOOKUP('Données projet'!$B$9,Paramètres!$A$1:$I$88,3,0)*0.475*44/12</f>
        <v>0</v>
      </c>
      <c r="CN117" s="24">
        <f t="shared" si="70"/>
        <v>0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2.5</v>
      </c>
      <c r="CT117" s="13">
        <f>IF(A117&lt;'Données projet'!$A$140,$CQ$205^A117,IF(A117='Données projet'!$A$140,'Données projet'!$B$140,CT116+CS117-DB116))</f>
        <v>252</v>
      </c>
      <c r="CU117" s="18">
        <f>CT117*VLOOKUP('Données projet'!$B$13,Paramètres!$A$1:$I$88,3,0)*VLOOKUP('Données projet'!$B$13,Paramètres!$A$1:$I$88,5,0)</f>
        <v>216.21600000000004</v>
      </c>
      <c r="CV117" s="14">
        <f t="shared" si="101"/>
        <v>53.291623409473033</v>
      </c>
      <c r="CW117" s="22">
        <f t="shared" si="71"/>
        <v>469.39244410483224</v>
      </c>
      <c r="CX117" s="62">
        <f t="shared" si="72"/>
        <v>743.77454162425124</v>
      </c>
      <c r="CY117" s="62">
        <f ca="1">AVERAGE(OFFSET($CX$3,0,0,'Données projet'!$E$13+1,1))-AVERAGE(OFFSET($H$3,0,0,'Données projet'!$E$13+1,1))</f>
        <v>395.19659151668884</v>
      </c>
      <c r="CZ117" s="62">
        <f t="shared" si="73"/>
        <v>222.86563304507339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projet'!$B$13,Paramètres!$A$1:$I$88,7,0))</f>
        <v>0</v>
      </c>
      <c r="DD117" s="17">
        <f>IF(ISNA(VLOOKUP(A117,'Données projet'!$A$139:$I$159,6,0)),0%,VLOOKUP(A117,'Données projet'!$A$139:$I$159,6,0)*VLOOKUP('Données projet'!$B$13,Paramètres!$A$1:$I$88,7,0))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projet'!$B$9,Paramètres!$A$1:$I$88,3,0)*0.475*44/12</f>
        <v>0</v>
      </c>
      <c r="DG117" s="23">
        <f>EXP(-LN(2)/25)*DG116+(1-EXP(-LN(2)/25))/(LN(2)/25)*Calculateur!DB117*Calculateur!DD117*VLOOKUP('Données projet'!$B$9,Paramètres!$A$1:$I$88,3,0)*0.475*44/12</f>
        <v>0</v>
      </c>
      <c r="DH117" s="23">
        <f>EXP(-LN(2)/2)*DH116+(1-EXP(-LN(2)/2))/(LN(2)/2)*DB117*DE117*VLOOKUP('Données projet'!$B$9,Paramètres!$A$1:$I$88,3,0)*0.475*44/12</f>
        <v>0</v>
      </c>
      <c r="DI117" s="24">
        <f t="shared" si="74"/>
        <v>0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IF(A117&lt;'Données projet'!$A$166,$DL$205^A117,IF(A117='Données projet'!$A$166,'Données projet'!$B$166,DO116+DN117-DW116))</f>
        <v>-8.5265128291212022E-14</v>
      </c>
      <c r="DP117" s="18">
        <f>DO117*VLOOKUP('Données projet'!$B$14,Paramètres!$A$1:$I$88,3,0)*VLOOKUP('Données projet'!$B$14,Paramètres!$A$1:$I$88,5,0)</f>
        <v>-4.9880100050359036E-14</v>
      </c>
      <c r="DQ117" s="14" t="e">
        <f t="shared" si="102"/>
        <v>#NUM!</v>
      </c>
      <c r="DR117" s="22" t="e">
        <f t="shared" si="75"/>
        <v>#NUM!</v>
      </c>
      <c r="DS117" s="62" t="e">
        <f t="shared" si="76"/>
        <v>#NUM!</v>
      </c>
      <c r="DT117" s="62">
        <f ca="1">AVERAGE(OFFSET($DS$3,0,0,'Données projet'!$E$14+1,1))-AVERAGE(OFFSET($H$3,0,0,'Données projet'!$E$14+1,1))</f>
        <v>155.18073137151848</v>
      </c>
      <c r="DU117" s="62">
        <f t="shared" si="77"/>
        <v>115.19459155667272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projet'!$B$14,Paramètres!$A$1:$I$88,7,0))</f>
        <v>0</v>
      </c>
      <c r="DY117" s="17">
        <f>IF(ISNA(VLOOKUP(A117,'Données projet'!$A$165:$I$185,6,0)),0%,VLOOKUP(A117,'Données projet'!$A$165:$I$185,6,0)*VLOOKUP('Données projet'!$B$14,Paramètres!$A$1:$I$88,7,0))</f>
        <v>0</v>
      </c>
      <c r="DZ117" s="17">
        <f>IF(ISNA(VLOOKUP(A117,'Données projet'!$A$165:$I$185,7,0)),0%,VLOOKUP(A117,'Données projet'!$A$165:$I$185,7,0))</f>
        <v>0</v>
      </c>
      <c r="EA117" s="23">
        <f>EXP(-LN(2)/35)*EA116+(1-EXP(-LN(2)/35))/(LN(2)/35)*DW117*DX117*VLOOKUP('Données projet'!$B$9,Paramètres!$A$1:$I$88,3,0)*0.475*44/12</f>
        <v>0</v>
      </c>
      <c r="EB117" s="23">
        <f>EXP(-LN(2)/25)*EB116+(1-EXP(-LN(2)/25))/(LN(2)/25)*Calculateur!DW117*Calculateur!DY117*VLOOKUP('Données projet'!$B$9,Paramètres!$A$1:$I$88,3,0)*0.475*44/12</f>
        <v>0</v>
      </c>
      <c r="EC117" s="23">
        <f>EXP(-LN(2)/2)*EC116+(1-EXP(-LN(2)/2))/(LN(2)/2)*DW117*DZ117*VLOOKUP('Données projet'!$B$9,Paramètres!$A$1:$I$88,3,0)*0.475*44/12</f>
        <v>0</v>
      </c>
      <c r="ED117" s="24">
        <f t="shared" si="78"/>
        <v>0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5.2</v>
      </c>
      <c r="EJ117" s="13">
        <f>IF(A117&lt;'Données projet'!$A$192,$EG$205^A117,IF(A117='Données projet'!$A$192,'Données projet'!$B$192,EJ116+EI117-ER116))</f>
        <v>236.7999999999999</v>
      </c>
      <c r="EK117" s="18">
        <f>EJ117*VLOOKUP('Données projet'!$B$15,Paramètres!$A$1:$I$88,3,0)*VLOOKUP('Données projet'!$B$15,Paramètres!$A$1:$I$88,5,0)</f>
        <v>110.82239999999996</v>
      </c>
      <c r="EL117" s="14">
        <f t="shared" si="103"/>
        <v>29.524664349316105</v>
      </c>
      <c r="EM117" s="22">
        <f t="shared" si="79"/>
        <v>244.4378037417255</v>
      </c>
      <c r="EN117" s="62">
        <f t="shared" si="80"/>
        <v>518.81990126114454</v>
      </c>
      <c r="EO117" s="62">
        <f ca="1">AVERAGE(OFFSET($EN$3,0,0,'Données projet'!$E$15+1,1))-AVERAGE(OFFSET($H$3,0,0,'Données projet'!$E$15+1,1))</f>
        <v>238.59014604384171</v>
      </c>
      <c r="EP117" s="62">
        <f t="shared" si="81"/>
        <v>90.841373219575217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projet'!$B$15,Paramètres!$A$1:$I$88,7,0))</f>
        <v>0</v>
      </c>
      <c r="ET117" s="17">
        <f>IF(ISNA(VLOOKUP(A117,'Données projet'!$A$191:$I$211,6,0)),0%,VLOOKUP(A117,'Données projet'!$A$191:$I$211,6,0)*VLOOKUP('Données projet'!$B$15,Paramètres!$A$1:$I$88,7,0))</f>
        <v>0</v>
      </c>
      <c r="EU117" s="17">
        <f>IF(ISNA(VLOOKUP(A117,'Données projet'!$A$191:$I$211,7,0)),0%,VLOOKUP(A117,'Données projet'!$A$191:$I$211,7,0))</f>
        <v>0</v>
      </c>
      <c r="EV117" s="23">
        <f>EXP(-LN(2)/35)*EV116+(1-EXP(-LN(2)/35))/(LN(2)/35)*ER117*ES117*VLOOKUP('Données projet'!$B$9,Paramètres!$A$1:$I$88,3,0)*0.475*44/12</f>
        <v>0</v>
      </c>
      <c r="EW117" s="23">
        <f>EXP(-LN(2)/25)*EW116+(1-EXP(-LN(2)/25))/(LN(2)/25)*Calculateur!ER117*Calculateur!ET117*VLOOKUP('Données projet'!$B$9,Paramètres!$A$1:$I$88,3,0)*0.475*44/12</f>
        <v>0</v>
      </c>
      <c r="EX117" s="23">
        <f>EXP(-LN(2)/2)*EX116+(1-EXP(-LN(2)/2))/(LN(2)/2)*ER117*EU117*VLOOKUP('Données projet'!$B$9,Paramètres!$A$1:$I$88,3,0)*0.475*44/12</f>
        <v>0</v>
      </c>
      <c r="EY117" s="24">
        <f t="shared" si="82"/>
        <v>0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IF(A117&lt;'Données projet'!$A$218,$FB$205^A117,IF(A117='Données projet'!$A$218,'Données projet'!$B$218,FE116+FD117-FM116))</f>
        <v>0</v>
      </c>
      <c r="FF117" s="18" t="e">
        <f>FE117*VLOOKUP('Données projet'!$B$16,Paramètres!$A$1:$I$88,3,0)*VLOOKUP('Données projet'!$B$16,Paramètres!$A$1:$I$88,5,0)</f>
        <v>#N/A</v>
      </c>
      <c r="FG117" s="14" t="e">
        <f t="shared" si="104"/>
        <v>#N/A</v>
      </c>
      <c r="FH117" s="22" t="e">
        <f t="shared" si="83"/>
        <v>#N/A</v>
      </c>
      <c r="FI117" s="62" t="e">
        <f t="shared" si="84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85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projet'!$B$16,Paramètres!$A$1:$I$88,7,0))</f>
        <v>0</v>
      </c>
      <c r="FO117" s="17">
        <f>IF(ISNA(VLOOKUP(A117,'Données projet'!$A$217:$I$237,6,0)),0%,VLOOKUP(A117,'Données projet'!$A$217:$I$237,6,0)*VLOOKUP('Données projet'!$B$16,Paramètres!$A$1:$I$88,7,0))</f>
        <v>0</v>
      </c>
      <c r="FP117" s="17">
        <f>IF(ISNA(VLOOKUP(A117,'Données projet'!$A$217:$I$237,7,0)),0%,VLOOKUP(A117,'Données projet'!$A$217:$I$237,7,0))</f>
        <v>0</v>
      </c>
      <c r="FQ117" s="23">
        <f>EXP(-LN(2)/35)*FQ116+(1-EXP(-LN(2)/35))/(LN(2)/35)*FM117*FN117*VLOOKUP('Données projet'!$B$9,Paramètres!$A$1:$I$88,3,0)*0.475*44/12</f>
        <v>0</v>
      </c>
      <c r="FR117" s="23">
        <f>EXP(-LN(2)/25)*FR116+(1-EXP(-LN(2)/25))/(LN(2)/25)*Calculateur!FM117*Calculateur!FO117*VLOOKUP('Données projet'!$B$9,Paramètres!$A$1:$I$88,3,0)*0.475*44/12</f>
        <v>0</v>
      </c>
      <c r="FS117" s="23">
        <f>EXP(-LN(2)/2)*FS116+(1-EXP(-LN(2)/2))/(LN(2)/2)*FM117*FP117*VLOOKUP('Données projet'!$B$9,Paramètres!$A$1:$I$88,3,0)*0.475*44/12</f>
        <v>0</v>
      </c>
      <c r="FT117" s="24">
        <f t="shared" si="86"/>
        <v>0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IF(A117&lt;'Données projet'!$A$244,$FW$205^A117,IF(A117='Données projet'!$A$244,'Données projet'!$B$244,FZ116+FY117-GH116))</f>
        <v>0</v>
      </c>
      <c r="GA117" s="18" t="e">
        <f>FZ117*VLOOKUP('Données projet'!$B$17,Paramètres!$A$1:$I$88,3,0)*VLOOKUP('Données projet'!$B$17,Paramètres!$A$1:$I$88,5,0)</f>
        <v>#N/A</v>
      </c>
      <c r="GB117" s="14" t="e">
        <f t="shared" si="105"/>
        <v>#N/A</v>
      </c>
      <c r="GC117" s="22" t="e">
        <f t="shared" si="87"/>
        <v>#N/A</v>
      </c>
      <c r="GD117" s="62" t="e">
        <f t="shared" si="88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89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projet'!$B$17,Paramètres!$A$1:$I$88,7,0))</f>
        <v>0</v>
      </c>
      <c r="GJ117" s="17">
        <f>IF(ISNA(VLOOKUP(A117,'Données projet'!$A$243:$I$263,6,0)),0%,VLOOKUP(A117,'Données projet'!$A$243:$I$263,6,0)*VLOOKUP('Données projet'!$B$17,Paramètres!$A$1:$I$88,7,0))</f>
        <v>0</v>
      </c>
      <c r="GK117" s="17">
        <f>IF(ISNA(VLOOKUP(A117,'Données projet'!$A$243:$I$263,7,0)),0%,VLOOKUP(A117,'Données projet'!$A$243:$I$263,7,0))</f>
        <v>0</v>
      </c>
      <c r="GL117" s="23">
        <f>EXP(-LN(2)/35)*GL116+(1-EXP(-LN(2)/35))/(LN(2)/35)*GH117*GI117*VLOOKUP('Données projet'!$B$9,Paramètres!$A$1:$I$88,3,0)*0.475*44/12</f>
        <v>0</v>
      </c>
      <c r="GM117" s="23">
        <f>EXP(-LN(2)/25)*GM116+(1-EXP(-LN(2)/25))/(LN(2)/25)*Calculateur!GH117*Calculateur!GJ117*VLOOKUP('Données projet'!$B$9,Paramètres!$A$1:$I$88,3,0)*0.475*44/12</f>
        <v>0</v>
      </c>
      <c r="GN117" s="23">
        <f>EXP(-LN(2)/2)*GN116+(1-EXP(-LN(2)/2))/(LN(2)/2)*GH117*GK117*VLOOKUP('Données projet'!$B$9,Paramètres!$A$1:$I$88,3,0)*0.475*44/12</f>
        <v>0</v>
      </c>
      <c r="GO117" s="23">
        <f t="shared" si="90"/>
        <v>0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IF(A117&lt;'Données projet'!$A$270,$GR$205^A117,IF(A117='Données projet'!$A$270,'Données projet'!$B$270,GU116+GT117-HC116))</f>
        <v>0</v>
      </c>
      <c r="GV117" s="18" t="e">
        <f>GU117*VLOOKUP('Données projet'!$B$18,Paramètres!$A$1:$I$88,3,0)*VLOOKUP('Données projet'!$B$18,Paramètres!$A$1:$I$88,5,0)</f>
        <v>#N/A</v>
      </c>
      <c r="GW117" s="14" t="e">
        <f t="shared" si="106"/>
        <v>#N/A</v>
      </c>
      <c r="GX117" s="22" t="e">
        <f t="shared" si="91"/>
        <v>#N/A</v>
      </c>
      <c r="GY117" s="62" t="e">
        <f t="shared" si="92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93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projet'!$B$18,Paramètres!$A$1:$I$88,7,0))</f>
        <v>0</v>
      </c>
      <c r="HE117" s="17">
        <f>IF(ISNA(VLOOKUP(A117,'Données projet'!$A$269:$I$289,6,0)),0%,VLOOKUP(A117,'Données projet'!$A$269:$I$289,6,0)*VLOOKUP('Données projet'!$B$18,Paramètres!$A$1:$I$88,7,0))</f>
        <v>0</v>
      </c>
      <c r="HF117" s="17">
        <f>IF(ISNA(VLOOKUP(A117,'Données projet'!$A$269:$I$289,7,0)),0%,VLOOKUP(A117,'Données projet'!$A$269:$I$289,7,0))</f>
        <v>0</v>
      </c>
      <c r="HG117" s="23">
        <f>EXP(-LN(2)/35)*HG116+(1-EXP(-LN(2)/35))/(LN(2)/35)*HC117*HD117*VLOOKUP('Données projet'!$B$9,Paramètres!$A$1:$I$88,3,0)*0.475*44/12</f>
        <v>0</v>
      </c>
      <c r="HH117" s="23">
        <f>EXP(-LN(2)/25)*HH116+(1-EXP(-LN(2)/25))/(LN(2)/25)*Calculateur!HC117*Calculateur!HE117*VLOOKUP('Données projet'!$B$9,Paramètres!$A$1:$I$88,3,0)*0.475*44/12</f>
        <v>0</v>
      </c>
      <c r="HI117" s="23">
        <f>EXP(-LN(2)/2)*HI116+(1-EXP(-LN(2)/2))/(LN(2)/2)*HC117*HF117*VLOOKUP('Données projet'!$B$9,Paramètres!$A$1:$I$88,3,0)*0.475*44/12</f>
        <v>0</v>
      </c>
      <c r="HJ117" s="24">
        <f t="shared" si="94"/>
        <v>0</v>
      </c>
    </row>
    <row r="118" spans="1:218" s="5" customFormat="1" x14ac:dyDescent="0.25">
      <c r="A118" s="11">
        <f t="shared" si="95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8" s="12">
        <f t="shared" si="9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57"/>
        <v>135.66666666666666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1.3150000000000006</v>
      </c>
      <c r="N118" s="14">
        <f>IF(A118&lt;'Données projet'!$A$36,$K$205^A118,IF(A118='Données projet'!$A$36,'Données projet'!$B$36,N117+M118-V117))</f>
        <v>114.06666666666663</v>
      </c>
      <c r="O118" s="14">
        <f>N118*VLOOKUP('Données projet'!$B$9,Paramètres!$A$1:$I$88,3,0)*VLOOKUP('Données projet'!$B$9,Paramètres!$A$1:$I$88,5,0)</f>
        <v>131.40479999999994</v>
      </c>
      <c r="P118" s="14">
        <f t="shared" si="97"/>
        <v>34.320764030820762</v>
      </c>
      <c r="Q118" s="22">
        <f t="shared" si="107"/>
        <v>288.63869068701268</v>
      </c>
      <c r="R118" s="62">
        <f t="shared" si="55"/>
        <v>563.3495497791871</v>
      </c>
      <c r="S118" s="62">
        <f ca="1">AVERAGE(OFFSET($R$3,0,0,'Données projet'!$E$9+1,1))-AVERAGE(OFFSET($H$3,0,0,'Données projet'!$E$9+1,1))</f>
        <v>314.72063458462026</v>
      </c>
      <c r="T118" s="62">
        <f t="shared" si="56"/>
        <v>216.4380325968244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projet'!$B$9,Paramètres!$A$1:$I$88,7,0))</f>
        <v>0</v>
      </c>
      <c r="X118" s="17">
        <f>IF(ISNA(VLOOKUP(A118,'Données projet'!$A$35:$I$55,6,0)),0%,VLOOKUP(A118,'Données projet'!$A$35:$I$55,6,0)*VLOOKUP('Données projet'!$B$9,Paramètres!$A$1:$I$88,7,0))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projet'!$B$9,Paramètres!$A$1:$I$88,3,0)*0.475*44/12</f>
        <v>0</v>
      </c>
      <c r="AA118" s="23">
        <f>EXP(-LN(2)/25)*AA117+(1-EXP(-LN(2)/25))/(LN(2)/25)*Calculateur!V118*Calculateur!X118*VLOOKUP('Données projet'!$B$9,Paramètres!$A$1:$I$88,3,0)*0.475*44/12</f>
        <v>0</v>
      </c>
      <c r="AB118" s="23">
        <f>EXP(-LN(2)/2)*AB117+(1-EXP(-LN(2)/2))/(LN(2)/2)*V118*Y118*VLOOKUP('Données projet'!$B$9,Paramètres!$A$1:$I$88,3,0)*0.475*44/12</f>
        <v>0</v>
      </c>
      <c r="AC118" s="24">
        <f t="shared" si="58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2.5</v>
      </c>
      <c r="AI118" s="14">
        <f>IF(A118&lt;'Données projet'!$A$62,$AF$205^A118,IF(A118='Données projet'!$A$62,'Données projet'!$B$62,AI117+AH118-AQ117))</f>
        <v>254.5</v>
      </c>
      <c r="AJ118" s="14">
        <f>AI118*VLOOKUP('Données projet'!$B$10,Paramètres!$A$1:$I$88,3,0)*VLOOKUP('Données projet'!$B$10,Paramètres!$A$1:$I$88,5,0)</f>
        <v>266.00340000000006</v>
      </c>
      <c r="AK118" s="14">
        <f t="shared" si="98"/>
        <v>64.000355146137139</v>
      </c>
      <c r="AL118" s="22">
        <f t="shared" si="59"/>
        <v>574.75654021285561</v>
      </c>
      <c r="AM118" s="62">
        <f t="shared" si="60"/>
        <v>849.46739930503009</v>
      </c>
      <c r="AN118" s="62">
        <f ca="1">AVERAGE(OFFSET($AM$3,0,0,'Données projet'!$E$10+1,1))-AVERAGE(OFFSET($H$3,0,0,'Données projet'!$E$10+1,1))</f>
        <v>458.33072853676879</v>
      </c>
      <c r="AO118" s="62">
        <f t="shared" si="61"/>
        <v>254.1734169352687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projet'!$B$10,Paramètres!$A$1:$I$88,7,0))</f>
        <v>0</v>
      </c>
      <c r="AS118" s="17">
        <f>IF(ISNA(VLOOKUP(A118,'Données projet'!$A$61:$I$81,6,0)),0%,VLOOKUP(A118,'Données projet'!$A$61:$I$81,6,0)*VLOOKUP('Données projet'!$B$10,Paramètres!$A$1:$I$88,7,0))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projet'!$B$9,Paramètres!$A$1:$I$88,3,0)*0.475*44/12</f>
        <v>0</v>
      </c>
      <c r="AV118" s="23">
        <f>EXP(-LN(2)/25)*AV117+(1-EXP(-LN(2)/25))/(LN(2)/25)*Calculateur!AQ118*Calculateur!AS118*VLOOKUP('Données projet'!$B$9,Paramètres!$A$1:$I$88,3,0)*0.475*44/12</f>
        <v>0</v>
      </c>
      <c r="AW118" s="23">
        <f>EXP(-LN(2)/2)*AW117+(1-EXP(-LN(2)/2))/(LN(2)/2)*AQ118*AT118*VLOOKUP('Données projet'!$B$9,Paramètres!$A$1:$I$88,3,0)*0.475*44/12</f>
        <v>0</v>
      </c>
      <c r="AX118" s="23">
        <f t="shared" si="62"/>
        <v>0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2.5</v>
      </c>
      <c r="BD118" s="13">
        <f>IF(A118&lt;'Données projet'!$A$88,$BA$205^A118,IF(A118='Données projet'!$A$88,'Données projet'!$B$88,BD117+BC118-BL117))</f>
        <v>254.5</v>
      </c>
      <c r="BE118" s="14">
        <f>BD118*VLOOKUP('Données projet'!$B$11,Paramètres!$A$1:$I$88,3,0)*VLOOKUP('Données projet'!$B$11,Paramètres!$A$1:$I$88,5,0)</f>
        <v>258.06300000000005</v>
      </c>
      <c r="BF118" s="14">
        <f t="shared" si="99"/>
        <v>62.309308308783088</v>
      </c>
      <c r="BG118" s="22">
        <f t="shared" si="63"/>
        <v>557.98177030446402</v>
      </c>
      <c r="BH118" s="62">
        <f t="shared" si="64"/>
        <v>832.69262939663849</v>
      </c>
      <c r="BI118" s="62">
        <f ca="1">AVERAGE(OFFSET($BH$3,0,0,'Données projet'!$E$11+1,1))-AVERAGE(OFFSET($H$3,0,0,'Données projet'!$E$11+1,1))</f>
        <v>447.82618173893104</v>
      </c>
      <c r="BJ118" s="62">
        <f t="shared" si="65"/>
        <v>248.96509970783379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projet'!$B$11,Paramètres!$A$1:$I$88,7,0))</f>
        <v>0</v>
      </c>
      <c r="BN118" s="17">
        <f>IF(ISNA(VLOOKUP(A118,'Données projet'!$A$87:$I$107,6,0)),0%,VLOOKUP(A118,'Données projet'!$A$87:$I$107,6,0)*VLOOKUP('Données projet'!$B$11,Paramètres!$A$1:$I$88,7,0))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projet'!$B$9,Paramètres!$A$1:$I$88,3,0)*0.475*44/12</f>
        <v>0</v>
      </c>
      <c r="BQ118" s="23">
        <f>EXP(-LN(2)/25)*BQ117+(1-EXP(-LN(2)/25))/(LN(2)/25)*Calculateur!BL118*Calculateur!BN118*VLOOKUP('Données projet'!$B$9,Paramètres!$A$1:$I$88,3,0)*0.475*44/12</f>
        <v>0</v>
      </c>
      <c r="BR118" s="23">
        <f>EXP(-LN(2)/2)*BR117+(1-EXP(-LN(2)/2))/(LN(2)/2)*BL118*BO118*VLOOKUP('Données projet'!$B$9,Paramètres!$A$1:$I$88,3,0)*0.475*44/12</f>
        <v>0</v>
      </c>
      <c r="BS118" s="24">
        <f t="shared" si="66"/>
        <v>0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2.5</v>
      </c>
      <c r="BY118" s="13">
        <f>IF(A118&lt;'Données projet'!$A$114,$BV$205^A118,IF(A118='Données projet'!$A$114,'Données projet'!$B$114,BY117+BX118-CG117))</f>
        <v>254.5</v>
      </c>
      <c r="BZ118" s="14">
        <f>BY118*VLOOKUP('Données projet'!$B$12,Paramètres!$A$1:$I$88,3,0)*VLOOKUP('Données projet'!$B$12,Paramètres!$A$1:$I$88,5,0)</f>
        <v>273.94380000000001</v>
      </c>
      <c r="CA118" s="14">
        <f t="shared" si="100"/>
        <v>65.685535502395282</v>
      </c>
      <c r="CB118" s="22">
        <f t="shared" si="67"/>
        <v>591.52109266667173</v>
      </c>
      <c r="CC118" s="62">
        <f t="shared" si="68"/>
        <v>866.23195175884621</v>
      </c>
      <c r="CD118" s="62">
        <f ca="1">AVERAGE(OFFSET($CC$3,0,0,'Données projet'!$E$12+1,1))-AVERAGE(OFFSET($H$3,0,0,'Données projet'!$E$12+1,1))</f>
        <v>468.82871618425406</v>
      </c>
      <c r="CE118" s="62">
        <f t="shared" si="69"/>
        <v>259.37818128554397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projet'!$B$12,Paramètres!$A$1:$I$88,7,0))</f>
        <v>0</v>
      </c>
      <c r="CI118" s="17">
        <f>IF(ISNA(VLOOKUP(A118,'Données projet'!$A$113:$I$133,6,0)),0%,VLOOKUP(A118,'Données projet'!$A$113:$I$133,6,0)*VLOOKUP('Données projet'!$B$12,Paramètres!$A$1:$I$88,7,0))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projet'!$B$9,Paramètres!$A$1:$I$88,3,0)*0.475*44/12</f>
        <v>0</v>
      </c>
      <c r="CL118" s="23">
        <f>EXP(-LN(2)/25)*CL117+(1-EXP(-LN(2)/25))/(LN(2)/25)*Calculateur!CG118*Calculateur!CI118*VLOOKUP('Données projet'!$B$9,Paramètres!$A$1:$I$88,3,0)*0.475*44/12</f>
        <v>0</v>
      </c>
      <c r="CM118" s="23">
        <f>EXP(-LN(2)/2)*CM117+(1-EXP(-LN(2)/2))/(LN(2)/2)*CG118*CJ118*VLOOKUP('Données projet'!$B$9,Paramètres!$A$1:$I$88,3,0)*0.475*44/12</f>
        <v>0</v>
      </c>
      <c r="CN118" s="24">
        <f t="shared" si="70"/>
        <v>0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2.5</v>
      </c>
      <c r="CT118" s="13">
        <f>IF(A118&lt;'Données projet'!$A$140,$CQ$205^A118,IF(A118='Données projet'!$A$140,'Données projet'!$B$140,CT117+CS118-DB117))</f>
        <v>254.5</v>
      </c>
      <c r="CU118" s="18">
        <f>CT118*VLOOKUP('Données projet'!$B$13,Paramètres!$A$1:$I$88,3,0)*VLOOKUP('Données projet'!$B$13,Paramètres!$A$1:$I$88,5,0)</f>
        <v>218.36100000000005</v>
      </c>
      <c r="CV118" s="14">
        <f t="shared" si="101"/>
        <v>53.758502281527136</v>
      </c>
      <c r="CW118" s="22">
        <f t="shared" si="71"/>
        <v>473.94146647365977</v>
      </c>
      <c r="CX118" s="62">
        <f t="shared" si="72"/>
        <v>748.65232556583419</v>
      </c>
      <c r="CY118" s="62">
        <f ca="1">AVERAGE(OFFSET($CX$3,0,0,'Données projet'!$E$13+1,1))-AVERAGE(OFFSET($H$3,0,0,'Données projet'!$E$13+1,1))</f>
        <v>395.19659151668884</v>
      </c>
      <c r="CZ118" s="62">
        <f t="shared" si="73"/>
        <v>222.86563304507339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projet'!$B$13,Paramètres!$A$1:$I$88,7,0))</f>
        <v>0</v>
      </c>
      <c r="DD118" s="17">
        <f>IF(ISNA(VLOOKUP(A118,'Données projet'!$A$139:$I$159,6,0)),0%,VLOOKUP(A118,'Données projet'!$A$139:$I$159,6,0)*VLOOKUP('Données projet'!$B$13,Paramètres!$A$1:$I$88,7,0))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projet'!$B$9,Paramètres!$A$1:$I$88,3,0)*0.475*44/12</f>
        <v>0</v>
      </c>
      <c r="DG118" s="23">
        <f>EXP(-LN(2)/25)*DG117+(1-EXP(-LN(2)/25))/(LN(2)/25)*Calculateur!DB118*Calculateur!DD118*VLOOKUP('Données projet'!$B$9,Paramètres!$A$1:$I$88,3,0)*0.475*44/12</f>
        <v>0</v>
      </c>
      <c r="DH118" s="23">
        <f>EXP(-LN(2)/2)*DH117+(1-EXP(-LN(2)/2))/(LN(2)/2)*DB118*DE118*VLOOKUP('Données projet'!$B$9,Paramètres!$A$1:$I$88,3,0)*0.475*44/12</f>
        <v>0</v>
      </c>
      <c r="DI118" s="24">
        <f t="shared" si="74"/>
        <v>0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IF(A118&lt;'Données projet'!$A$166,$DL$205^A118,IF(A118='Données projet'!$A$166,'Données projet'!$B$166,DO117+DN118-DW117))</f>
        <v>-8.5265128291212022E-14</v>
      </c>
      <c r="DP118" s="18">
        <f>DO118*VLOOKUP('Données projet'!$B$14,Paramètres!$A$1:$I$88,3,0)*VLOOKUP('Données projet'!$B$14,Paramètres!$A$1:$I$88,5,0)</f>
        <v>-4.9880100050359036E-14</v>
      </c>
      <c r="DQ118" s="14" t="e">
        <f t="shared" si="102"/>
        <v>#NUM!</v>
      </c>
      <c r="DR118" s="22" t="e">
        <f t="shared" si="75"/>
        <v>#NUM!</v>
      </c>
      <c r="DS118" s="62" t="e">
        <f t="shared" si="76"/>
        <v>#NUM!</v>
      </c>
      <c r="DT118" s="62">
        <f ca="1">AVERAGE(OFFSET($DS$3,0,0,'Données projet'!$E$14+1,1))-AVERAGE(OFFSET($H$3,0,0,'Données projet'!$E$14+1,1))</f>
        <v>155.18073137151848</v>
      </c>
      <c r="DU118" s="62">
        <f t="shared" si="77"/>
        <v>115.19459155667272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projet'!$B$14,Paramètres!$A$1:$I$88,7,0))</f>
        <v>0</v>
      </c>
      <c r="DY118" s="17">
        <f>IF(ISNA(VLOOKUP(A118,'Données projet'!$A$165:$I$185,6,0)),0%,VLOOKUP(A118,'Données projet'!$A$165:$I$185,6,0)*VLOOKUP('Données projet'!$B$14,Paramètres!$A$1:$I$88,7,0))</f>
        <v>0</v>
      </c>
      <c r="DZ118" s="17">
        <f>IF(ISNA(VLOOKUP(A118,'Données projet'!$A$165:$I$185,7,0)),0%,VLOOKUP(A118,'Données projet'!$A$165:$I$185,7,0))</f>
        <v>0</v>
      </c>
      <c r="EA118" s="23">
        <f>EXP(-LN(2)/35)*EA117+(1-EXP(-LN(2)/35))/(LN(2)/35)*DW118*DX118*VLOOKUP('Données projet'!$B$9,Paramètres!$A$1:$I$88,3,0)*0.475*44/12</f>
        <v>0</v>
      </c>
      <c r="EB118" s="23">
        <f>EXP(-LN(2)/25)*EB117+(1-EXP(-LN(2)/25))/(LN(2)/25)*Calculateur!DW118*Calculateur!DY118*VLOOKUP('Données projet'!$B$9,Paramètres!$A$1:$I$88,3,0)*0.475*44/12</f>
        <v>0</v>
      </c>
      <c r="EC118" s="23">
        <f>EXP(-LN(2)/2)*EC117+(1-EXP(-LN(2)/2))/(LN(2)/2)*DW118*DZ118*VLOOKUP('Données projet'!$B$9,Paramètres!$A$1:$I$88,3,0)*0.475*44/12</f>
        <v>0</v>
      </c>
      <c r="ED118" s="24">
        <f t="shared" si="78"/>
        <v>0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>
        <f>VLOOKUP(A118,'Données projet'!$A$191:$I$211,2,0)</f>
        <v>242</v>
      </c>
      <c r="EH118" s="13">
        <f>VLOOKUP(A118,'Données projet'!$A$191:$I$211,9,0)</f>
        <v>5.2</v>
      </c>
      <c r="EI118" s="13">
        <f t="array" ref="EI118">INDEX(EH:EH,MIN(IF(ISNUMBER(EH118:EH314),ROW(EH118:EH314),"")))</f>
        <v>5.2</v>
      </c>
      <c r="EJ118" s="13">
        <f>IF(A118&lt;'Données projet'!$A$192,$EG$205^A118,IF(A118='Données projet'!$A$192,'Données projet'!$B$192,EJ117+EI118-ER117))</f>
        <v>241.99999999999989</v>
      </c>
      <c r="EK118" s="18">
        <f>EJ118*VLOOKUP('Données projet'!$B$15,Paramètres!$A$1:$I$88,3,0)*VLOOKUP('Données projet'!$B$15,Paramètres!$A$1:$I$88,5,0)</f>
        <v>113.25599999999996</v>
      </c>
      <c r="EL118" s="14">
        <f t="shared" si="103"/>
        <v>30.096816336106439</v>
      </c>
      <c r="EM118" s="22">
        <f t="shared" si="79"/>
        <v>249.67282178538531</v>
      </c>
      <c r="EN118" s="62">
        <f t="shared" si="80"/>
        <v>524.38368087755975</v>
      </c>
      <c r="EO118" s="62">
        <f ca="1">AVERAGE(OFFSET($EN$3,0,0,'Données projet'!$E$15+1,1))-AVERAGE(OFFSET($H$3,0,0,'Données projet'!$E$15+1,1))</f>
        <v>238.59014604384171</v>
      </c>
      <c r="EP118" s="62">
        <f t="shared" si="81"/>
        <v>90.841373219575217</v>
      </c>
      <c r="EQ118" s="16">
        <f>IF(ISNA(VLOOKUP(A118,'Données projet'!$A$191:$I$211,3,0)),0,VLOOKUP(A118,'Données projet'!$A$191:$I$211,3,0))</f>
        <v>6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projet'!$B$15,Paramètres!$A$1:$I$88,7,0))</f>
        <v>0</v>
      </c>
      <c r="ET118" s="17">
        <f>IF(ISNA(VLOOKUP(A118,'Données projet'!$A$191:$I$211,6,0)),0%,VLOOKUP(A118,'Données projet'!$A$191:$I$211,6,0)*VLOOKUP('Données projet'!$B$15,Paramètres!$A$1:$I$88,7,0))</f>
        <v>0</v>
      </c>
      <c r="EU118" s="17">
        <f>IF(ISNA(VLOOKUP(A118,'Données projet'!$A$191:$I$211,7,0)),0%,VLOOKUP(A118,'Données projet'!$A$191:$I$211,7,0))</f>
        <v>0</v>
      </c>
      <c r="EV118" s="23">
        <f>EXP(-LN(2)/35)*EV117+(1-EXP(-LN(2)/35))/(LN(2)/35)*ER118*ES118*VLOOKUP('Données projet'!$B$9,Paramètres!$A$1:$I$88,3,0)*0.475*44/12</f>
        <v>0</v>
      </c>
      <c r="EW118" s="23">
        <f>EXP(-LN(2)/25)*EW117+(1-EXP(-LN(2)/25))/(LN(2)/25)*Calculateur!ER118*Calculateur!ET118*VLOOKUP('Données projet'!$B$9,Paramètres!$A$1:$I$88,3,0)*0.475*44/12</f>
        <v>0</v>
      </c>
      <c r="EX118" s="23">
        <f>EXP(-LN(2)/2)*EX117+(1-EXP(-LN(2)/2))/(LN(2)/2)*ER118*EU118*VLOOKUP('Données projet'!$B$9,Paramètres!$A$1:$I$88,3,0)*0.475*44/12</f>
        <v>0</v>
      </c>
      <c r="EY118" s="24">
        <f t="shared" si="82"/>
        <v>0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IF(A118&lt;'Données projet'!$A$218,$FB$205^A118,IF(A118='Données projet'!$A$218,'Données projet'!$B$218,FE117+FD118-FM117))</f>
        <v>0</v>
      </c>
      <c r="FF118" s="18" t="e">
        <f>FE118*VLOOKUP('Données projet'!$B$16,Paramètres!$A$1:$I$88,3,0)*VLOOKUP('Données projet'!$B$16,Paramètres!$A$1:$I$88,5,0)</f>
        <v>#N/A</v>
      </c>
      <c r="FG118" s="14" t="e">
        <f t="shared" si="104"/>
        <v>#N/A</v>
      </c>
      <c r="FH118" s="22" t="e">
        <f t="shared" si="83"/>
        <v>#N/A</v>
      </c>
      <c r="FI118" s="62" t="e">
        <f t="shared" si="84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85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projet'!$B$16,Paramètres!$A$1:$I$88,7,0))</f>
        <v>0</v>
      </c>
      <c r="FO118" s="17">
        <f>IF(ISNA(VLOOKUP(A118,'Données projet'!$A$217:$I$237,6,0)),0%,VLOOKUP(A118,'Données projet'!$A$217:$I$237,6,0)*VLOOKUP('Données projet'!$B$16,Paramètres!$A$1:$I$88,7,0))</f>
        <v>0</v>
      </c>
      <c r="FP118" s="17">
        <f>IF(ISNA(VLOOKUP(A118,'Données projet'!$A$217:$I$237,7,0)),0%,VLOOKUP(A118,'Données projet'!$A$217:$I$237,7,0))</f>
        <v>0</v>
      </c>
      <c r="FQ118" s="23">
        <f>EXP(-LN(2)/35)*FQ117+(1-EXP(-LN(2)/35))/(LN(2)/35)*FM118*FN118*VLOOKUP('Données projet'!$B$9,Paramètres!$A$1:$I$88,3,0)*0.475*44/12</f>
        <v>0</v>
      </c>
      <c r="FR118" s="23">
        <f>EXP(-LN(2)/25)*FR117+(1-EXP(-LN(2)/25))/(LN(2)/25)*Calculateur!FM118*Calculateur!FO118*VLOOKUP('Données projet'!$B$9,Paramètres!$A$1:$I$88,3,0)*0.475*44/12</f>
        <v>0</v>
      </c>
      <c r="FS118" s="23">
        <f>EXP(-LN(2)/2)*FS117+(1-EXP(-LN(2)/2))/(LN(2)/2)*FM118*FP118*VLOOKUP('Données projet'!$B$9,Paramètres!$A$1:$I$88,3,0)*0.475*44/12</f>
        <v>0</v>
      </c>
      <c r="FT118" s="24">
        <f t="shared" si="86"/>
        <v>0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IF(A118&lt;'Données projet'!$A$244,$FW$205^A118,IF(A118='Données projet'!$A$244,'Données projet'!$B$244,FZ117+FY118-GH117))</f>
        <v>0</v>
      </c>
      <c r="GA118" s="18" t="e">
        <f>FZ118*VLOOKUP('Données projet'!$B$17,Paramètres!$A$1:$I$88,3,0)*VLOOKUP('Données projet'!$B$17,Paramètres!$A$1:$I$88,5,0)</f>
        <v>#N/A</v>
      </c>
      <c r="GB118" s="14" t="e">
        <f t="shared" si="105"/>
        <v>#N/A</v>
      </c>
      <c r="GC118" s="22" t="e">
        <f t="shared" si="87"/>
        <v>#N/A</v>
      </c>
      <c r="GD118" s="62" t="e">
        <f t="shared" si="88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89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projet'!$B$17,Paramètres!$A$1:$I$88,7,0))</f>
        <v>0</v>
      </c>
      <c r="GJ118" s="17">
        <f>IF(ISNA(VLOOKUP(A118,'Données projet'!$A$243:$I$263,6,0)),0%,VLOOKUP(A118,'Données projet'!$A$243:$I$263,6,0)*VLOOKUP('Données projet'!$B$17,Paramètres!$A$1:$I$88,7,0))</f>
        <v>0</v>
      </c>
      <c r="GK118" s="17">
        <f>IF(ISNA(VLOOKUP(A118,'Données projet'!$A$243:$I$263,7,0)),0%,VLOOKUP(A118,'Données projet'!$A$243:$I$263,7,0))</f>
        <v>0</v>
      </c>
      <c r="GL118" s="23">
        <f>EXP(-LN(2)/35)*GL117+(1-EXP(-LN(2)/35))/(LN(2)/35)*GH118*GI118*VLOOKUP('Données projet'!$B$9,Paramètres!$A$1:$I$88,3,0)*0.475*44/12</f>
        <v>0</v>
      </c>
      <c r="GM118" s="23">
        <f>EXP(-LN(2)/25)*GM117+(1-EXP(-LN(2)/25))/(LN(2)/25)*Calculateur!GH118*Calculateur!GJ118*VLOOKUP('Données projet'!$B$9,Paramètres!$A$1:$I$88,3,0)*0.475*44/12</f>
        <v>0</v>
      </c>
      <c r="GN118" s="23">
        <f>EXP(-LN(2)/2)*GN117+(1-EXP(-LN(2)/2))/(LN(2)/2)*GH118*GK118*VLOOKUP('Données projet'!$B$9,Paramètres!$A$1:$I$88,3,0)*0.475*44/12</f>
        <v>0</v>
      </c>
      <c r="GO118" s="23">
        <f t="shared" si="90"/>
        <v>0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IF(A118&lt;'Données projet'!$A$270,$GR$205^A118,IF(A118='Données projet'!$A$270,'Données projet'!$B$270,GU117+GT118-HC117))</f>
        <v>0</v>
      </c>
      <c r="GV118" s="18" t="e">
        <f>GU118*VLOOKUP('Données projet'!$B$18,Paramètres!$A$1:$I$88,3,0)*VLOOKUP('Données projet'!$B$18,Paramètres!$A$1:$I$88,5,0)</f>
        <v>#N/A</v>
      </c>
      <c r="GW118" s="14" t="e">
        <f t="shared" si="106"/>
        <v>#N/A</v>
      </c>
      <c r="GX118" s="22" t="e">
        <f t="shared" si="91"/>
        <v>#N/A</v>
      </c>
      <c r="GY118" s="62" t="e">
        <f t="shared" si="92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93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projet'!$B$18,Paramètres!$A$1:$I$88,7,0))</f>
        <v>0</v>
      </c>
      <c r="HE118" s="17">
        <f>IF(ISNA(VLOOKUP(A118,'Données projet'!$A$269:$I$289,6,0)),0%,VLOOKUP(A118,'Données projet'!$A$269:$I$289,6,0)*VLOOKUP('Données projet'!$B$18,Paramètres!$A$1:$I$88,7,0))</f>
        <v>0</v>
      </c>
      <c r="HF118" s="17">
        <f>IF(ISNA(VLOOKUP(A118,'Données projet'!$A$269:$I$289,7,0)),0%,VLOOKUP(A118,'Données projet'!$A$269:$I$289,7,0))</f>
        <v>0</v>
      </c>
      <c r="HG118" s="23">
        <f>EXP(-LN(2)/35)*HG117+(1-EXP(-LN(2)/35))/(LN(2)/35)*HC118*HD118*VLOOKUP('Données projet'!$B$9,Paramètres!$A$1:$I$88,3,0)*0.475*44/12</f>
        <v>0</v>
      </c>
      <c r="HH118" s="23">
        <f>EXP(-LN(2)/25)*HH117+(1-EXP(-LN(2)/25))/(LN(2)/25)*Calculateur!HC118*Calculateur!HE118*VLOOKUP('Données projet'!$B$9,Paramètres!$A$1:$I$88,3,0)*0.475*44/12</f>
        <v>0</v>
      </c>
      <c r="HI118" s="23">
        <f>EXP(-LN(2)/2)*HI117+(1-EXP(-LN(2)/2))/(LN(2)/2)*HC118*HF118*VLOOKUP('Données projet'!$B$9,Paramètres!$A$1:$I$88,3,0)*0.475*44/12</f>
        <v>0</v>
      </c>
      <c r="HJ118" s="24">
        <f t="shared" si="94"/>
        <v>0</v>
      </c>
    </row>
    <row r="119" spans="1:218" s="5" customFormat="1" x14ac:dyDescent="0.25">
      <c r="A119" s="11">
        <f t="shared" si="95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19" s="12">
        <f t="shared" si="9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57"/>
        <v>135.66666666666666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1.3150000000000006</v>
      </c>
      <c r="N119" s="14">
        <f>IF(A119&lt;'Données projet'!$A$36,$K$205^A119,IF(A119='Données projet'!$A$36,'Données projet'!$B$36,N118+M119-V118))</f>
        <v>115.38166666666663</v>
      </c>
      <c r="O119" s="14">
        <f>N119*VLOOKUP('Données projet'!$B$9,Paramètres!$A$1:$I$88,3,0)*VLOOKUP('Données projet'!$B$9,Paramètres!$A$1:$I$88,5,0)</f>
        <v>132.91967999999994</v>
      </c>
      <c r="P119" s="14">
        <f t="shared" si="97"/>
        <v>34.670137089980948</v>
      </c>
      <c r="Q119" s="22">
        <f t="shared" si="107"/>
        <v>291.88559809838341</v>
      </c>
      <c r="R119" s="62">
        <f t="shared" si="55"/>
        <v>566.91951548502675</v>
      </c>
      <c r="S119" s="62">
        <f ca="1">AVERAGE(OFFSET($R$3,0,0,'Données projet'!$E$9+1,1))-AVERAGE(OFFSET($H$3,0,0,'Données projet'!$E$9+1,1))</f>
        <v>314.72063458462026</v>
      </c>
      <c r="T119" s="62">
        <f t="shared" si="56"/>
        <v>216.4380325968244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projet'!$B$9,Paramètres!$A$1:$I$88,7,0))</f>
        <v>0</v>
      </c>
      <c r="X119" s="17">
        <f>IF(ISNA(VLOOKUP(A119,'Données projet'!$A$35:$I$55,6,0)),0%,VLOOKUP(A119,'Données projet'!$A$35:$I$55,6,0)*VLOOKUP('Données projet'!$B$9,Paramètres!$A$1:$I$88,7,0))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projet'!$B$9,Paramètres!$A$1:$I$88,3,0)*0.475*44/12</f>
        <v>0</v>
      </c>
      <c r="AA119" s="23">
        <f>EXP(-LN(2)/25)*AA118+(1-EXP(-LN(2)/25))/(LN(2)/25)*Calculateur!V119*Calculateur!X119*VLOOKUP('Données projet'!$B$9,Paramètres!$A$1:$I$88,3,0)*0.475*44/12</f>
        <v>0</v>
      </c>
      <c r="AB119" s="23">
        <f>EXP(-LN(2)/2)*AB118+(1-EXP(-LN(2)/2))/(LN(2)/2)*V119*Y119*VLOOKUP('Données projet'!$B$9,Paramètres!$A$1:$I$88,3,0)*0.475*44/12</f>
        <v>0</v>
      </c>
      <c r="AC119" s="24">
        <f t="shared" si="58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2.5</v>
      </c>
      <c r="AI119" s="14">
        <f>IF(A119&lt;'Données projet'!$A$62,$AF$205^A119,IF(A119='Données projet'!$A$62,'Données projet'!$B$62,AI118+AH119-AQ118))</f>
        <v>257</v>
      </c>
      <c r="AJ119" s="14">
        <f>AI119*VLOOKUP('Données projet'!$B$10,Paramètres!$A$1:$I$88,3,0)*VLOOKUP('Données projet'!$B$10,Paramètres!$A$1:$I$88,5,0)</f>
        <v>268.6164</v>
      </c>
      <c r="AK119" s="14">
        <f t="shared" si="98"/>
        <v>64.55554670622368</v>
      </c>
      <c r="AL119" s="22">
        <f t="shared" si="59"/>
        <v>580.274473846673</v>
      </c>
      <c r="AM119" s="62">
        <f t="shared" si="60"/>
        <v>855.30839123331634</v>
      </c>
      <c r="AN119" s="62">
        <f ca="1">AVERAGE(OFFSET($AM$3,0,0,'Données projet'!$E$10+1,1))-AVERAGE(OFFSET($H$3,0,0,'Données projet'!$E$10+1,1))</f>
        <v>458.33072853676879</v>
      </c>
      <c r="AO119" s="62">
        <f t="shared" si="61"/>
        <v>254.1734169352687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projet'!$B$10,Paramètres!$A$1:$I$88,7,0))</f>
        <v>0</v>
      </c>
      <c r="AS119" s="17">
        <f>IF(ISNA(VLOOKUP(A119,'Données projet'!$A$61:$I$81,6,0)),0%,VLOOKUP(A119,'Données projet'!$A$61:$I$81,6,0)*VLOOKUP('Données projet'!$B$10,Paramètres!$A$1:$I$88,7,0))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projet'!$B$9,Paramètres!$A$1:$I$88,3,0)*0.475*44/12</f>
        <v>0</v>
      </c>
      <c r="AV119" s="23">
        <f>EXP(-LN(2)/25)*AV118+(1-EXP(-LN(2)/25))/(LN(2)/25)*Calculateur!AQ119*Calculateur!AS119*VLOOKUP('Données projet'!$B$9,Paramètres!$A$1:$I$88,3,0)*0.475*44/12</f>
        <v>0</v>
      </c>
      <c r="AW119" s="23">
        <f>EXP(-LN(2)/2)*AW118+(1-EXP(-LN(2)/2))/(LN(2)/2)*AQ119*AT119*VLOOKUP('Données projet'!$B$9,Paramètres!$A$1:$I$88,3,0)*0.475*44/12</f>
        <v>0</v>
      </c>
      <c r="AX119" s="23">
        <f t="shared" si="62"/>
        <v>0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2.5</v>
      </c>
      <c r="BD119" s="13">
        <f>IF(A119&lt;'Données projet'!$A$88,$BA$205^A119,IF(A119='Données projet'!$A$88,'Données projet'!$B$88,BD118+BC119-BL118))</f>
        <v>257</v>
      </c>
      <c r="BE119" s="14">
        <f>BD119*VLOOKUP('Données projet'!$B$11,Paramètres!$A$1:$I$88,3,0)*VLOOKUP('Données projet'!$B$11,Paramètres!$A$1:$I$88,5,0)</f>
        <v>260.59800000000001</v>
      </c>
      <c r="BF119" s="14">
        <f t="shared" si="99"/>
        <v>62.849830341963624</v>
      </c>
      <c r="BG119" s="22">
        <f t="shared" si="63"/>
        <v>563.33830451225333</v>
      </c>
      <c r="BH119" s="62">
        <f t="shared" si="64"/>
        <v>838.37222189889667</v>
      </c>
      <c r="BI119" s="62">
        <f ca="1">AVERAGE(OFFSET($BH$3,0,0,'Données projet'!$E$11+1,1))-AVERAGE(OFFSET($H$3,0,0,'Données projet'!$E$11+1,1))</f>
        <v>447.82618173893104</v>
      </c>
      <c r="BJ119" s="62">
        <f t="shared" si="65"/>
        <v>248.96509970783379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projet'!$B$11,Paramètres!$A$1:$I$88,7,0))</f>
        <v>0</v>
      </c>
      <c r="BN119" s="17">
        <f>IF(ISNA(VLOOKUP(A119,'Données projet'!$A$87:$I$107,6,0)),0%,VLOOKUP(A119,'Données projet'!$A$87:$I$107,6,0)*VLOOKUP('Données projet'!$B$11,Paramètres!$A$1:$I$88,7,0))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projet'!$B$9,Paramètres!$A$1:$I$88,3,0)*0.475*44/12</f>
        <v>0</v>
      </c>
      <c r="BQ119" s="23">
        <f>EXP(-LN(2)/25)*BQ118+(1-EXP(-LN(2)/25))/(LN(2)/25)*Calculateur!BL119*Calculateur!BN119*VLOOKUP('Données projet'!$B$9,Paramètres!$A$1:$I$88,3,0)*0.475*44/12</f>
        <v>0</v>
      </c>
      <c r="BR119" s="23">
        <f>EXP(-LN(2)/2)*BR118+(1-EXP(-LN(2)/2))/(LN(2)/2)*BL119*BO119*VLOOKUP('Données projet'!$B$9,Paramètres!$A$1:$I$88,3,0)*0.475*44/12</f>
        <v>0</v>
      </c>
      <c r="BS119" s="24">
        <f t="shared" si="66"/>
        <v>0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2.5</v>
      </c>
      <c r="BY119" s="13">
        <f>IF(A119&lt;'Données projet'!$A$114,$BV$205^A119,IF(A119='Données projet'!$A$114,'Données projet'!$B$114,BY118+BX119-CG118))</f>
        <v>257</v>
      </c>
      <c r="BZ119" s="14">
        <f>BY119*VLOOKUP('Données projet'!$B$12,Paramètres!$A$1:$I$88,3,0)*VLOOKUP('Données projet'!$B$12,Paramètres!$A$1:$I$88,5,0)</f>
        <v>276.63479999999998</v>
      </c>
      <c r="CA119" s="14">
        <f t="shared" si="100"/>
        <v>66.255345698720348</v>
      </c>
      <c r="CB119" s="22">
        <f t="shared" si="67"/>
        <v>597.20033709193797</v>
      </c>
      <c r="CC119" s="62">
        <f t="shared" si="68"/>
        <v>872.23425447858131</v>
      </c>
      <c r="CD119" s="62">
        <f ca="1">AVERAGE(OFFSET($CC$3,0,0,'Données projet'!$E$12+1,1))-AVERAGE(OFFSET($H$3,0,0,'Données projet'!$E$12+1,1))</f>
        <v>468.82871618425406</v>
      </c>
      <c r="CE119" s="62">
        <f t="shared" si="69"/>
        <v>259.37818128554397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projet'!$B$12,Paramètres!$A$1:$I$88,7,0))</f>
        <v>0</v>
      </c>
      <c r="CI119" s="17">
        <f>IF(ISNA(VLOOKUP(A119,'Données projet'!$A$113:$I$133,6,0)),0%,VLOOKUP(A119,'Données projet'!$A$113:$I$133,6,0)*VLOOKUP('Données projet'!$B$12,Paramètres!$A$1:$I$88,7,0))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projet'!$B$9,Paramètres!$A$1:$I$88,3,0)*0.475*44/12</f>
        <v>0</v>
      </c>
      <c r="CL119" s="23">
        <f>EXP(-LN(2)/25)*CL118+(1-EXP(-LN(2)/25))/(LN(2)/25)*Calculateur!CG119*Calculateur!CI119*VLOOKUP('Données projet'!$B$9,Paramètres!$A$1:$I$88,3,0)*0.475*44/12</f>
        <v>0</v>
      </c>
      <c r="CM119" s="23">
        <f>EXP(-LN(2)/2)*CM118+(1-EXP(-LN(2)/2))/(LN(2)/2)*CG119*CJ119*VLOOKUP('Données projet'!$B$9,Paramètres!$A$1:$I$88,3,0)*0.475*44/12</f>
        <v>0</v>
      </c>
      <c r="CN119" s="24">
        <f t="shared" si="70"/>
        <v>0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2.5</v>
      </c>
      <c r="CT119" s="13">
        <f>IF(A119&lt;'Données projet'!$A$140,$CQ$205^A119,IF(A119='Données projet'!$A$140,'Données projet'!$B$140,CT118+CS119-DB118))</f>
        <v>257</v>
      </c>
      <c r="CU119" s="18">
        <f>CT119*VLOOKUP('Données projet'!$B$13,Paramètres!$A$1:$I$88,3,0)*VLOOKUP('Données projet'!$B$13,Paramètres!$A$1:$I$88,5,0)</f>
        <v>220.50600000000006</v>
      </c>
      <c r="CV119" s="14">
        <f t="shared" si="101"/>
        <v>54.224847611665481</v>
      </c>
      <c r="CW119" s="22">
        <f t="shared" si="71"/>
        <v>478.48955959031747</v>
      </c>
      <c r="CX119" s="62">
        <f t="shared" si="72"/>
        <v>753.52347697696086</v>
      </c>
      <c r="CY119" s="62">
        <f ca="1">AVERAGE(OFFSET($CX$3,0,0,'Données projet'!$E$13+1,1))-AVERAGE(OFFSET($H$3,0,0,'Données projet'!$E$13+1,1))</f>
        <v>395.19659151668884</v>
      </c>
      <c r="CZ119" s="62">
        <f t="shared" si="73"/>
        <v>222.86563304507339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projet'!$B$13,Paramètres!$A$1:$I$88,7,0))</f>
        <v>0</v>
      </c>
      <c r="DD119" s="17">
        <f>IF(ISNA(VLOOKUP(A119,'Données projet'!$A$139:$I$159,6,0)),0%,VLOOKUP(A119,'Données projet'!$A$139:$I$159,6,0)*VLOOKUP('Données projet'!$B$13,Paramètres!$A$1:$I$88,7,0))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projet'!$B$9,Paramètres!$A$1:$I$88,3,0)*0.475*44/12</f>
        <v>0</v>
      </c>
      <c r="DG119" s="23">
        <f>EXP(-LN(2)/25)*DG118+(1-EXP(-LN(2)/25))/(LN(2)/25)*Calculateur!DB119*Calculateur!DD119*VLOOKUP('Données projet'!$B$9,Paramètres!$A$1:$I$88,3,0)*0.475*44/12</f>
        <v>0</v>
      </c>
      <c r="DH119" s="23">
        <f>EXP(-LN(2)/2)*DH118+(1-EXP(-LN(2)/2))/(LN(2)/2)*DB119*DE119*VLOOKUP('Données projet'!$B$9,Paramètres!$A$1:$I$88,3,0)*0.475*44/12</f>
        <v>0</v>
      </c>
      <c r="DI119" s="24">
        <f t="shared" si="74"/>
        <v>0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IF(A119&lt;'Données projet'!$A$166,$DL$205^A119,IF(A119='Données projet'!$A$166,'Données projet'!$B$166,DO118+DN119-DW118))</f>
        <v>-8.5265128291212022E-14</v>
      </c>
      <c r="DP119" s="18">
        <f>DO119*VLOOKUP('Données projet'!$B$14,Paramètres!$A$1:$I$88,3,0)*VLOOKUP('Données projet'!$B$14,Paramètres!$A$1:$I$88,5,0)</f>
        <v>-4.9880100050359036E-14</v>
      </c>
      <c r="DQ119" s="14" t="e">
        <f t="shared" si="102"/>
        <v>#NUM!</v>
      </c>
      <c r="DR119" s="22" t="e">
        <f t="shared" si="75"/>
        <v>#NUM!</v>
      </c>
      <c r="DS119" s="62" t="e">
        <f t="shared" si="76"/>
        <v>#NUM!</v>
      </c>
      <c r="DT119" s="62">
        <f ca="1">AVERAGE(OFFSET($DS$3,0,0,'Données projet'!$E$14+1,1))-AVERAGE(OFFSET($H$3,0,0,'Données projet'!$E$14+1,1))</f>
        <v>155.18073137151848</v>
      </c>
      <c r="DU119" s="62">
        <f t="shared" si="77"/>
        <v>115.19459155667272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projet'!$B$14,Paramètres!$A$1:$I$88,7,0))</f>
        <v>0</v>
      </c>
      <c r="DY119" s="17">
        <f>IF(ISNA(VLOOKUP(A119,'Données projet'!$A$165:$I$185,6,0)),0%,VLOOKUP(A119,'Données projet'!$A$165:$I$185,6,0)*VLOOKUP('Données projet'!$B$14,Paramètres!$A$1:$I$88,7,0))</f>
        <v>0</v>
      </c>
      <c r="DZ119" s="17">
        <f>IF(ISNA(VLOOKUP(A119,'Données projet'!$A$165:$I$185,7,0)),0%,VLOOKUP(A119,'Données projet'!$A$165:$I$185,7,0))</f>
        <v>0</v>
      </c>
      <c r="EA119" s="23">
        <f>EXP(-LN(2)/35)*EA118+(1-EXP(-LN(2)/35))/(LN(2)/35)*DW119*DX119*VLOOKUP('Données projet'!$B$9,Paramètres!$A$1:$I$88,3,0)*0.475*44/12</f>
        <v>0</v>
      </c>
      <c r="EB119" s="23">
        <f>EXP(-LN(2)/25)*EB118+(1-EXP(-LN(2)/25))/(LN(2)/25)*Calculateur!DW119*Calculateur!DY119*VLOOKUP('Données projet'!$B$9,Paramètres!$A$1:$I$88,3,0)*0.475*44/12</f>
        <v>0</v>
      </c>
      <c r="EC119" s="23">
        <f>EXP(-LN(2)/2)*EC118+(1-EXP(-LN(2)/2))/(LN(2)/2)*DW119*DZ119*VLOOKUP('Données projet'!$B$9,Paramètres!$A$1:$I$88,3,0)*0.475*44/12</f>
        <v>0</v>
      </c>
      <c r="ED119" s="24">
        <f t="shared" si="78"/>
        <v>0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5.6</v>
      </c>
      <c r="EJ119" s="13">
        <f>IF(A119&lt;'Données projet'!$A$192,$EG$205^A119,IF(A119='Données projet'!$A$192,'Données projet'!$B$192,EJ118+EI119-ER118))</f>
        <v>247.59999999999988</v>
      </c>
      <c r="EK119" s="18">
        <f>EJ119*VLOOKUP('Données projet'!$B$15,Paramètres!$A$1:$I$88,3,0)*VLOOKUP('Données projet'!$B$15,Paramètres!$A$1:$I$88,5,0)</f>
        <v>115.87679999999995</v>
      </c>
      <c r="EL119" s="14">
        <f t="shared" si="103"/>
        <v>30.71138245931941</v>
      </c>
      <c r="EM119" s="22">
        <f t="shared" si="79"/>
        <v>255.30775111664784</v>
      </c>
      <c r="EN119" s="62">
        <f t="shared" si="80"/>
        <v>530.3416685032912</v>
      </c>
      <c r="EO119" s="62">
        <f ca="1">AVERAGE(OFFSET($EN$3,0,0,'Données projet'!$E$15+1,1))-AVERAGE(OFFSET($H$3,0,0,'Données projet'!$E$15+1,1))</f>
        <v>238.59014604384171</v>
      </c>
      <c r="EP119" s="62">
        <f t="shared" si="81"/>
        <v>90.841373219575217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projet'!$B$15,Paramètres!$A$1:$I$88,7,0))</f>
        <v>0</v>
      </c>
      <c r="ET119" s="17">
        <f>IF(ISNA(VLOOKUP(A119,'Données projet'!$A$191:$I$211,6,0)),0%,VLOOKUP(A119,'Données projet'!$A$191:$I$211,6,0)*VLOOKUP('Données projet'!$B$15,Paramètres!$A$1:$I$88,7,0))</f>
        <v>0</v>
      </c>
      <c r="EU119" s="17">
        <f>IF(ISNA(VLOOKUP(A119,'Données projet'!$A$191:$I$211,7,0)),0%,VLOOKUP(A119,'Données projet'!$A$191:$I$211,7,0))</f>
        <v>0</v>
      </c>
      <c r="EV119" s="23">
        <f>EXP(-LN(2)/35)*EV118+(1-EXP(-LN(2)/35))/(LN(2)/35)*ER119*ES119*VLOOKUP('Données projet'!$B$9,Paramètres!$A$1:$I$88,3,0)*0.475*44/12</f>
        <v>0</v>
      </c>
      <c r="EW119" s="23">
        <f>EXP(-LN(2)/25)*EW118+(1-EXP(-LN(2)/25))/(LN(2)/25)*Calculateur!ER119*Calculateur!ET119*VLOOKUP('Données projet'!$B$9,Paramètres!$A$1:$I$88,3,0)*0.475*44/12</f>
        <v>0</v>
      </c>
      <c r="EX119" s="23">
        <f>EXP(-LN(2)/2)*EX118+(1-EXP(-LN(2)/2))/(LN(2)/2)*ER119*EU119*VLOOKUP('Données projet'!$B$9,Paramètres!$A$1:$I$88,3,0)*0.475*44/12</f>
        <v>0</v>
      </c>
      <c r="EY119" s="24">
        <f t="shared" si="82"/>
        <v>0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IF(A119&lt;'Données projet'!$A$218,$FB$205^A119,IF(A119='Données projet'!$A$218,'Données projet'!$B$218,FE118+FD119-FM118))</f>
        <v>0</v>
      </c>
      <c r="FF119" s="18" t="e">
        <f>FE119*VLOOKUP('Données projet'!$B$16,Paramètres!$A$1:$I$88,3,0)*VLOOKUP('Données projet'!$B$16,Paramètres!$A$1:$I$88,5,0)</f>
        <v>#N/A</v>
      </c>
      <c r="FG119" s="14" t="e">
        <f t="shared" si="104"/>
        <v>#N/A</v>
      </c>
      <c r="FH119" s="22" t="e">
        <f t="shared" si="83"/>
        <v>#N/A</v>
      </c>
      <c r="FI119" s="62" t="e">
        <f t="shared" si="84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85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projet'!$B$16,Paramètres!$A$1:$I$88,7,0))</f>
        <v>0</v>
      </c>
      <c r="FO119" s="17">
        <f>IF(ISNA(VLOOKUP(A119,'Données projet'!$A$217:$I$237,6,0)),0%,VLOOKUP(A119,'Données projet'!$A$217:$I$237,6,0)*VLOOKUP('Données projet'!$B$16,Paramètres!$A$1:$I$88,7,0))</f>
        <v>0</v>
      </c>
      <c r="FP119" s="17">
        <f>IF(ISNA(VLOOKUP(A119,'Données projet'!$A$217:$I$237,7,0)),0%,VLOOKUP(A119,'Données projet'!$A$217:$I$237,7,0))</f>
        <v>0</v>
      </c>
      <c r="FQ119" s="23">
        <f>EXP(-LN(2)/35)*FQ118+(1-EXP(-LN(2)/35))/(LN(2)/35)*FM119*FN119*VLOOKUP('Données projet'!$B$9,Paramètres!$A$1:$I$88,3,0)*0.475*44/12</f>
        <v>0</v>
      </c>
      <c r="FR119" s="23">
        <f>EXP(-LN(2)/25)*FR118+(1-EXP(-LN(2)/25))/(LN(2)/25)*Calculateur!FM119*Calculateur!FO119*VLOOKUP('Données projet'!$B$9,Paramètres!$A$1:$I$88,3,0)*0.475*44/12</f>
        <v>0</v>
      </c>
      <c r="FS119" s="23">
        <f>EXP(-LN(2)/2)*FS118+(1-EXP(-LN(2)/2))/(LN(2)/2)*FM119*FP119*VLOOKUP('Données projet'!$B$9,Paramètres!$A$1:$I$88,3,0)*0.475*44/12</f>
        <v>0</v>
      </c>
      <c r="FT119" s="24">
        <f t="shared" si="86"/>
        <v>0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IF(A119&lt;'Données projet'!$A$244,$FW$205^A119,IF(A119='Données projet'!$A$244,'Données projet'!$B$244,FZ118+FY119-GH118))</f>
        <v>0</v>
      </c>
      <c r="GA119" s="18" t="e">
        <f>FZ119*VLOOKUP('Données projet'!$B$17,Paramètres!$A$1:$I$88,3,0)*VLOOKUP('Données projet'!$B$17,Paramètres!$A$1:$I$88,5,0)</f>
        <v>#N/A</v>
      </c>
      <c r="GB119" s="14" t="e">
        <f t="shared" si="105"/>
        <v>#N/A</v>
      </c>
      <c r="GC119" s="22" t="e">
        <f t="shared" si="87"/>
        <v>#N/A</v>
      </c>
      <c r="GD119" s="62" t="e">
        <f t="shared" si="88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89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projet'!$B$17,Paramètres!$A$1:$I$88,7,0))</f>
        <v>0</v>
      </c>
      <c r="GJ119" s="17">
        <f>IF(ISNA(VLOOKUP(A119,'Données projet'!$A$243:$I$263,6,0)),0%,VLOOKUP(A119,'Données projet'!$A$243:$I$263,6,0)*VLOOKUP('Données projet'!$B$17,Paramètres!$A$1:$I$88,7,0))</f>
        <v>0</v>
      </c>
      <c r="GK119" s="17">
        <f>IF(ISNA(VLOOKUP(A119,'Données projet'!$A$243:$I$263,7,0)),0%,VLOOKUP(A119,'Données projet'!$A$243:$I$263,7,0))</f>
        <v>0</v>
      </c>
      <c r="GL119" s="23">
        <f>EXP(-LN(2)/35)*GL118+(1-EXP(-LN(2)/35))/(LN(2)/35)*GH119*GI119*VLOOKUP('Données projet'!$B$9,Paramètres!$A$1:$I$88,3,0)*0.475*44/12</f>
        <v>0</v>
      </c>
      <c r="GM119" s="23">
        <f>EXP(-LN(2)/25)*GM118+(1-EXP(-LN(2)/25))/(LN(2)/25)*Calculateur!GH119*Calculateur!GJ119*VLOOKUP('Données projet'!$B$9,Paramètres!$A$1:$I$88,3,0)*0.475*44/12</f>
        <v>0</v>
      </c>
      <c r="GN119" s="23">
        <f>EXP(-LN(2)/2)*GN118+(1-EXP(-LN(2)/2))/(LN(2)/2)*GH119*GK119*VLOOKUP('Données projet'!$B$9,Paramètres!$A$1:$I$88,3,0)*0.475*44/12</f>
        <v>0</v>
      </c>
      <c r="GO119" s="23">
        <f t="shared" si="90"/>
        <v>0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IF(A119&lt;'Données projet'!$A$270,$GR$205^A119,IF(A119='Données projet'!$A$270,'Données projet'!$B$270,GU118+GT119-HC118))</f>
        <v>0</v>
      </c>
      <c r="GV119" s="18" t="e">
        <f>GU119*VLOOKUP('Données projet'!$B$18,Paramètres!$A$1:$I$88,3,0)*VLOOKUP('Données projet'!$B$18,Paramètres!$A$1:$I$88,5,0)</f>
        <v>#N/A</v>
      </c>
      <c r="GW119" s="14" t="e">
        <f t="shared" si="106"/>
        <v>#N/A</v>
      </c>
      <c r="GX119" s="22" t="e">
        <f t="shared" si="91"/>
        <v>#N/A</v>
      </c>
      <c r="GY119" s="62" t="e">
        <f t="shared" si="92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93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projet'!$B$18,Paramètres!$A$1:$I$88,7,0))</f>
        <v>0</v>
      </c>
      <c r="HE119" s="17">
        <f>IF(ISNA(VLOOKUP(A119,'Données projet'!$A$269:$I$289,6,0)),0%,VLOOKUP(A119,'Données projet'!$A$269:$I$289,6,0)*VLOOKUP('Données projet'!$B$18,Paramètres!$A$1:$I$88,7,0))</f>
        <v>0</v>
      </c>
      <c r="HF119" s="17">
        <f>IF(ISNA(VLOOKUP(A119,'Données projet'!$A$269:$I$289,7,0)),0%,VLOOKUP(A119,'Données projet'!$A$269:$I$289,7,0))</f>
        <v>0</v>
      </c>
      <c r="HG119" s="23">
        <f>EXP(-LN(2)/35)*HG118+(1-EXP(-LN(2)/35))/(LN(2)/35)*HC119*HD119*VLOOKUP('Données projet'!$B$9,Paramètres!$A$1:$I$88,3,0)*0.475*44/12</f>
        <v>0</v>
      </c>
      <c r="HH119" s="23">
        <f>EXP(-LN(2)/25)*HH118+(1-EXP(-LN(2)/25))/(LN(2)/25)*Calculateur!HC119*Calculateur!HE119*VLOOKUP('Données projet'!$B$9,Paramètres!$A$1:$I$88,3,0)*0.475*44/12</f>
        <v>0</v>
      </c>
      <c r="HI119" s="23">
        <f>EXP(-LN(2)/2)*HI118+(1-EXP(-LN(2)/2))/(LN(2)/2)*HC119*HF119*VLOOKUP('Données projet'!$B$9,Paramètres!$A$1:$I$88,3,0)*0.475*44/12</f>
        <v>0</v>
      </c>
      <c r="HJ119" s="24">
        <f t="shared" si="94"/>
        <v>0</v>
      </c>
    </row>
    <row r="120" spans="1:218" s="5" customFormat="1" x14ac:dyDescent="0.25">
      <c r="A120" s="11">
        <f t="shared" si="95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0" s="12">
        <f t="shared" si="9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57"/>
        <v>135.66666666666666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1.3150000000000006</v>
      </c>
      <c r="N120" s="14">
        <f>IF(A120&lt;'Données projet'!$A$36,$K$205^A120,IF(A120='Données projet'!$A$36,'Données projet'!$B$36,N119+M120-V119))</f>
        <v>116.69666666666663</v>
      </c>
      <c r="O120" s="14">
        <f>N120*VLOOKUP('Données projet'!$B$9,Paramètres!$A$1:$I$88,3,0)*VLOOKUP('Données projet'!$B$9,Paramètres!$A$1:$I$88,5,0)</f>
        <v>134.43455999999995</v>
      </c>
      <c r="P120" s="14">
        <f t="shared" si="97"/>
        <v>35.019046965466664</v>
      </c>
      <c r="Q120" s="22">
        <f t="shared" si="107"/>
        <v>295.13169879818764</v>
      </c>
      <c r="R120" s="62">
        <f t="shared" si="55"/>
        <v>570.48307014014085</v>
      </c>
      <c r="S120" s="62">
        <f ca="1">AVERAGE(OFFSET($R$3,0,0,'Données projet'!$E$9+1,1))-AVERAGE(OFFSET($H$3,0,0,'Données projet'!$E$9+1,1))</f>
        <v>314.72063458462026</v>
      </c>
      <c r="T120" s="62">
        <f t="shared" si="56"/>
        <v>216.4380325968244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projet'!$B$9,Paramètres!$A$1:$I$88,7,0))</f>
        <v>0</v>
      </c>
      <c r="X120" s="17">
        <f>IF(ISNA(VLOOKUP(A120,'Données projet'!$A$35:$I$55,6,0)),0%,VLOOKUP(A120,'Données projet'!$A$35:$I$55,6,0)*VLOOKUP('Données projet'!$B$9,Paramètres!$A$1:$I$88,7,0))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projet'!$B$9,Paramètres!$A$1:$I$88,3,0)*0.475*44/12</f>
        <v>0</v>
      </c>
      <c r="AA120" s="23">
        <f>EXP(-LN(2)/25)*AA119+(1-EXP(-LN(2)/25))/(LN(2)/25)*Calculateur!V120*Calculateur!X120*VLOOKUP('Données projet'!$B$9,Paramètres!$A$1:$I$88,3,0)*0.475*44/12</f>
        <v>0</v>
      </c>
      <c r="AB120" s="23">
        <f>EXP(-LN(2)/2)*AB119+(1-EXP(-LN(2)/2))/(LN(2)/2)*V120*Y120*VLOOKUP('Données projet'!$B$9,Paramètres!$A$1:$I$88,3,0)*0.475*44/12</f>
        <v>0</v>
      </c>
      <c r="AC120" s="24">
        <f t="shared" si="58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2.5</v>
      </c>
      <c r="AI120" s="14">
        <f>IF(A120&lt;'Données projet'!$A$62,$AF$205^A120,IF(A120='Données projet'!$A$62,'Données projet'!$B$62,AI119+AH120-AQ119))</f>
        <v>259.5</v>
      </c>
      <c r="AJ120" s="14">
        <f>AI120*VLOOKUP('Données projet'!$B$10,Paramètres!$A$1:$I$88,3,0)*VLOOKUP('Données projet'!$B$10,Paramètres!$A$1:$I$88,5,0)</f>
        <v>271.2294</v>
      </c>
      <c r="AK120" s="14">
        <f t="shared" si="98"/>
        <v>65.110109970572594</v>
      </c>
      <c r="AL120" s="22">
        <f t="shared" si="59"/>
        <v>585.79131319874728</v>
      </c>
      <c r="AM120" s="62">
        <f t="shared" si="60"/>
        <v>861.14268454070054</v>
      </c>
      <c r="AN120" s="62">
        <f ca="1">AVERAGE(OFFSET($AM$3,0,0,'Données projet'!$E$10+1,1))-AVERAGE(OFFSET($H$3,0,0,'Données projet'!$E$10+1,1))</f>
        <v>458.33072853676879</v>
      </c>
      <c r="AO120" s="62">
        <f t="shared" si="61"/>
        <v>254.1734169352687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projet'!$B$10,Paramètres!$A$1:$I$88,7,0))</f>
        <v>0</v>
      </c>
      <c r="AS120" s="17">
        <f>IF(ISNA(VLOOKUP(A120,'Données projet'!$A$61:$I$81,6,0)),0%,VLOOKUP(A120,'Données projet'!$A$61:$I$81,6,0)*VLOOKUP('Données projet'!$B$10,Paramètres!$A$1:$I$88,7,0))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projet'!$B$9,Paramètres!$A$1:$I$88,3,0)*0.475*44/12</f>
        <v>0</v>
      </c>
      <c r="AV120" s="23">
        <f>EXP(-LN(2)/25)*AV119+(1-EXP(-LN(2)/25))/(LN(2)/25)*Calculateur!AQ120*Calculateur!AS120*VLOOKUP('Données projet'!$B$9,Paramètres!$A$1:$I$88,3,0)*0.475*44/12</f>
        <v>0</v>
      </c>
      <c r="AW120" s="23">
        <f>EXP(-LN(2)/2)*AW119+(1-EXP(-LN(2)/2))/(LN(2)/2)*AQ120*AT120*VLOOKUP('Données projet'!$B$9,Paramètres!$A$1:$I$88,3,0)*0.475*44/12</f>
        <v>0</v>
      </c>
      <c r="AX120" s="23">
        <f t="shared" si="62"/>
        <v>0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2.5</v>
      </c>
      <c r="BD120" s="13">
        <f>IF(A120&lt;'Données projet'!$A$88,$BA$205^A120,IF(A120='Données projet'!$A$88,'Données projet'!$B$88,BD119+BC120-BL119))</f>
        <v>259.5</v>
      </c>
      <c r="BE120" s="14">
        <f>BD120*VLOOKUP('Données projet'!$B$11,Paramètres!$A$1:$I$88,3,0)*VLOOKUP('Données projet'!$B$11,Paramètres!$A$1:$I$88,5,0)</f>
        <v>263.13300000000004</v>
      </c>
      <c r="BF120" s="14">
        <f t="shared" si="99"/>
        <v>63.389740680525662</v>
      </c>
      <c r="BG120" s="22">
        <f t="shared" si="63"/>
        <v>568.69377335191564</v>
      </c>
      <c r="BH120" s="62">
        <f t="shared" si="64"/>
        <v>844.04514469386891</v>
      </c>
      <c r="BI120" s="62">
        <f ca="1">AVERAGE(OFFSET($BH$3,0,0,'Données projet'!$E$11+1,1))-AVERAGE(OFFSET($H$3,0,0,'Données projet'!$E$11+1,1))</f>
        <v>447.82618173893104</v>
      </c>
      <c r="BJ120" s="62">
        <f t="shared" si="65"/>
        <v>248.96509970783379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projet'!$B$11,Paramètres!$A$1:$I$88,7,0))</f>
        <v>0</v>
      </c>
      <c r="BN120" s="17">
        <f>IF(ISNA(VLOOKUP(A120,'Données projet'!$A$87:$I$107,6,0)),0%,VLOOKUP(A120,'Données projet'!$A$87:$I$107,6,0)*VLOOKUP('Données projet'!$B$11,Paramètres!$A$1:$I$88,7,0))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projet'!$B$9,Paramètres!$A$1:$I$88,3,0)*0.475*44/12</f>
        <v>0</v>
      </c>
      <c r="BQ120" s="23">
        <f>EXP(-LN(2)/25)*BQ119+(1-EXP(-LN(2)/25))/(LN(2)/25)*Calculateur!BL120*Calculateur!BN120*VLOOKUP('Données projet'!$B$9,Paramètres!$A$1:$I$88,3,0)*0.475*44/12</f>
        <v>0</v>
      </c>
      <c r="BR120" s="23">
        <f>EXP(-LN(2)/2)*BR119+(1-EXP(-LN(2)/2))/(LN(2)/2)*BL120*BO120*VLOOKUP('Données projet'!$B$9,Paramètres!$A$1:$I$88,3,0)*0.475*44/12</f>
        <v>0</v>
      </c>
      <c r="BS120" s="24">
        <f t="shared" si="66"/>
        <v>0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2.5</v>
      </c>
      <c r="BY120" s="13">
        <f>IF(A120&lt;'Données projet'!$A$114,$BV$205^A120,IF(A120='Données projet'!$A$114,'Données projet'!$B$114,BY119+BX120-CG119))</f>
        <v>259.5</v>
      </c>
      <c r="BZ120" s="14">
        <f>BY120*VLOOKUP('Données projet'!$B$12,Paramètres!$A$1:$I$88,3,0)*VLOOKUP('Données projet'!$B$12,Paramètres!$A$1:$I$88,5,0)</f>
        <v>279.32579999999996</v>
      </c>
      <c r="CA120" s="14">
        <f t="shared" si="100"/>
        <v>66.824511055780306</v>
      </c>
      <c r="CB120" s="22">
        <f t="shared" si="67"/>
        <v>602.87845842215063</v>
      </c>
      <c r="CC120" s="62">
        <f t="shared" si="68"/>
        <v>878.2298297641039</v>
      </c>
      <c r="CD120" s="62">
        <f ca="1">AVERAGE(OFFSET($CC$3,0,0,'Données projet'!$E$12+1,1))-AVERAGE(OFFSET($H$3,0,0,'Données projet'!$E$12+1,1))</f>
        <v>468.82871618425406</v>
      </c>
      <c r="CE120" s="62">
        <f t="shared" si="69"/>
        <v>259.37818128554397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projet'!$B$12,Paramètres!$A$1:$I$88,7,0))</f>
        <v>0</v>
      </c>
      <c r="CI120" s="17">
        <f>IF(ISNA(VLOOKUP(A120,'Données projet'!$A$113:$I$133,6,0)),0%,VLOOKUP(A120,'Données projet'!$A$113:$I$133,6,0)*VLOOKUP('Données projet'!$B$12,Paramètres!$A$1:$I$88,7,0))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projet'!$B$9,Paramètres!$A$1:$I$88,3,0)*0.475*44/12</f>
        <v>0</v>
      </c>
      <c r="CL120" s="23">
        <f>EXP(-LN(2)/25)*CL119+(1-EXP(-LN(2)/25))/(LN(2)/25)*Calculateur!CG120*Calculateur!CI120*VLOOKUP('Données projet'!$B$9,Paramètres!$A$1:$I$88,3,0)*0.475*44/12</f>
        <v>0</v>
      </c>
      <c r="CM120" s="23">
        <f>EXP(-LN(2)/2)*CM119+(1-EXP(-LN(2)/2))/(LN(2)/2)*CG120*CJ120*VLOOKUP('Données projet'!$B$9,Paramètres!$A$1:$I$88,3,0)*0.475*44/12</f>
        <v>0</v>
      </c>
      <c r="CN120" s="24">
        <f t="shared" si="70"/>
        <v>0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2.5</v>
      </c>
      <c r="CT120" s="13">
        <f>IF(A120&lt;'Données projet'!$A$140,$CQ$205^A120,IF(A120='Données projet'!$A$140,'Données projet'!$B$140,CT119+CS120-DB119))</f>
        <v>259.5</v>
      </c>
      <c r="CU120" s="18">
        <f>CT120*VLOOKUP('Données projet'!$B$13,Paramètres!$A$1:$I$88,3,0)*VLOOKUP('Données projet'!$B$13,Paramètres!$A$1:$I$88,5,0)</f>
        <v>222.65100000000004</v>
      </c>
      <c r="CV120" s="14">
        <f t="shared" si="101"/>
        <v>54.69066519101608</v>
      </c>
      <c r="CW120" s="22">
        <f t="shared" si="71"/>
        <v>483.03673354101966</v>
      </c>
      <c r="CX120" s="62">
        <f t="shared" si="72"/>
        <v>758.38810488297293</v>
      </c>
      <c r="CY120" s="62">
        <f ca="1">AVERAGE(OFFSET($CX$3,0,0,'Données projet'!$E$13+1,1))-AVERAGE(OFFSET($H$3,0,0,'Données projet'!$E$13+1,1))</f>
        <v>395.19659151668884</v>
      </c>
      <c r="CZ120" s="62">
        <f t="shared" si="73"/>
        <v>222.86563304507339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projet'!$B$13,Paramètres!$A$1:$I$88,7,0))</f>
        <v>0</v>
      </c>
      <c r="DD120" s="17">
        <f>IF(ISNA(VLOOKUP(A120,'Données projet'!$A$139:$I$159,6,0)),0%,VLOOKUP(A120,'Données projet'!$A$139:$I$159,6,0)*VLOOKUP('Données projet'!$B$13,Paramètres!$A$1:$I$88,7,0))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projet'!$B$9,Paramètres!$A$1:$I$88,3,0)*0.475*44/12</f>
        <v>0</v>
      </c>
      <c r="DG120" s="23">
        <f>EXP(-LN(2)/25)*DG119+(1-EXP(-LN(2)/25))/(LN(2)/25)*Calculateur!DB120*Calculateur!DD120*VLOOKUP('Données projet'!$B$9,Paramètres!$A$1:$I$88,3,0)*0.475*44/12</f>
        <v>0</v>
      </c>
      <c r="DH120" s="23">
        <f>EXP(-LN(2)/2)*DH119+(1-EXP(-LN(2)/2))/(LN(2)/2)*DB120*DE120*VLOOKUP('Données projet'!$B$9,Paramètres!$A$1:$I$88,3,0)*0.475*44/12</f>
        <v>0</v>
      </c>
      <c r="DI120" s="24">
        <f t="shared" si="74"/>
        <v>0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IF(A120&lt;'Données projet'!$A$166,$DL$205^A120,IF(A120='Données projet'!$A$166,'Données projet'!$B$166,DO119+DN120-DW119))</f>
        <v>-8.5265128291212022E-14</v>
      </c>
      <c r="DP120" s="18">
        <f>DO120*VLOOKUP('Données projet'!$B$14,Paramètres!$A$1:$I$88,3,0)*VLOOKUP('Données projet'!$B$14,Paramètres!$A$1:$I$88,5,0)</f>
        <v>-4.9880100050359036E-14</v>
      </c>
      <c r="DQ120" s="14" t="e">
        <f t="shared" si="102"/>
        <v>#NUM!</v>
      </c>
      <c r="DR120" s="22" t="e">
        <f t="shared" si="75"/>
        <v>#NUM!</v>
      </c>
      <c r="DS120" s="62" t="e">
        <f t="shared" si="76"/>
        <v>#NUM!</v>
      </c>
      <c r="DT120" s="62">
        <f ca="1">AVERAGE(OFFSET($DS$3,0,0,'Données projet'!$E$14+1,1))-AVERAGE(OFFSET($H$3,0,0,'Données projet'!$E$14+1,1))</f>
        <v>155.18073137151848</v>
      </c>
      <c r="DU120" s="62">
        <f t="shared" si="77"/>
        <v>115.19459155667272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projet'!$B$14,Paramètres!$A$1:$I$88,7,0))</f>
        <v>0</v>
      </c>
      <c r="DY120" s="17">
        <f>IF(ISNA(VLOOKUP(A120,'Données projet'!$A$165:$I$185,6,0)),0%,VLOOKUP(A120,'Données projet'!$A$165:$I$185,6,0)*VLOOKUP('Données projet'!$B$14,Paramètres!$A$1:$I$88,7,0))</f>
        <v>0</v>
      </c>
      <c r="DZ120" s="17">
        <f>IF(ISNA(VLOOKUP(A120,'Données projet'!$A$165:$I$185,7,0)),0%,VLOOKUP(A120,'Données projet'!$A$165:$I$185,7,0))</f>
        <v>0</v>
      </c>
      <c r="EA120" s="23">
        <f>EXP(-LN(2)/35)*EA119+(1-EXP(-LN(2)/35))/(LN(2)/35)*DW120*DX120*VLOOKUP('Données projet'!$B$9,Paramètres!$A$1:$I$88,3,0)*0.475*44/12</f>
        <v>0</v>
      </c>
      <c r="EB120" s="23">
        <f>EXP(-LN(2)/25)*EB119+(1-EXP(-LN(2)/25))/(LN(2)/25)*Calculateur!DW120*Calculateur!DY120*VLOOKUP('Données projet'!$B$9,Paramètres!$A$1:$I$88,3,0)*0.475*44/12</f>
        <v>0</v>
      </c>
      <c r="EC120" s="23">
        <f>EXP(-LN(2)/2)*EC119+(1-EXP(-LN(2)/2))/(LN(2)/2)*DW120*DZ120*VLOOKUP('Données projet'!$B$9,Paramètres!$A$1:$I$88,3,0)*0.475*44/12</f>
        <v>0</v>
      </c>
      <c r="ED120" s="24">
        <f t="shared" si="78"/>
        <v>0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5.6</v>
      </c>
      <c r="EJ120" s="13">
        <f>IF(A120&lt;'Données projet'!$A$192,$EG$205^A120,IF(A120='Données projet'!$A$192,'Données projet'!$B$192,EJ119+EI120-ER119))</f>
        <v>253.19999999999987</v>
      </c>
      <c r="EK120" s="18">
        <f>EJ120*VLOOKUP('Données projet'!$B$15,Paramètres!$A$1:$I$88,3,0)*VLOOKUP('Données projet'!$B$15,Paramètres!$A$1:$I$88,5,0)</f>
        <v>118.49759999999995</v>
      </c>
      <c r="EL120" s="14">
        <f t="shared" si="103"/>
        <v>31.324332637527931</v>
      </c>
      <c r="EM120" s="22">
        <f t="shared" si="79"/>
        <v>260.93986601036107</v>
      </c>
      <c r="EN120" s="62">
        <f t="shared" si="80"/>
        <v>536.29123735231428</v>
      </c>
      <c r="EO120" s="62">
        <f ca="1">AVERAGE(OFFSET($EN$3,0,0,'Données projet'!$E$15+1,1))-AVERAGE(OFFSET($H$3,0,0,'Données projet'!$E$15+1,1))</f>
        <v>238.59014604384171</v>
      </c>
      <c r="EP120" s="62">
        <f t="shared" si="81"/>
        <v>90.841373219575217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projet'!$B$15,Paramètres!$A$1:$I$88,7,0))</f>
        <v>0</v>
      </c>
      <c r="ET120" s="17">
        <f>IF(ISNA(VLOOKUP(A120,'Données projet'!$A$191:$I$211,6,0)),0%,VLOOKUP(A120,'Données projet'!$A$191:$I$211,6,0)*VLOOKUP('Données projet'!$B$15,Paramètres!$A$1:$I$88,7,0))</f>
        <v>0</v>
      </c>
      <c r="EU120" s="17">
        <f>IF(ISNA(VLOOKUP(A120,'Données projet'!$A$191:$I$211,7,0)),0%,VLOOKUP(A120,'Données projet'!$A$191:$I$211,7,0))</f>
        <v>0</v>
      </c>
      <c r="EV120" s="23">
        <f>EXP(-LN(2)/35)*EV119+(1-EXP(-LN(2)/35))/(LN(2)/35)*ER120*ES120*VLOOKUP('Données projet'!$B$9,Paramètres!$A$1:$I$88,3,0)*0.475*44/12</f>
        <v>0</v>
      </c>
      <c r="EW120" s="23">
        <f>EXP(-LN(2)/25)*EW119+(1-EXP(-LN(2)/25))/(LN(2)/25)*Calculateur!ER120*Calculateur!ET120*VLOOKUP('Données projet'!$B$9,Paramètres!$A$1:$I$88,3,0)*0.475*44/12</f>
        <v>0</v>
      </c>
      <c r="EX120" s="23">
        <f>EXP(-LN(2)/2)*EX119+(1-EXP(-LN(2)/2))/(LN(2)/2)*ER120*EU120*VLOOKUP('Données projet'!$B$9,Paramètres!$A$1:$I$88,3,0)*0.475*44/12</f>
        <v>0</v>
      </c>
      <c r="EY120" s="24">
        <f t="shared" si="82"/>
        <v>0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IF(A120&lt;'Données projet'!$A$218,$FB$205^A120,IF(A120='Données projet'!$A$218,'Données projet'!$B$218,FE119+FD120-FM119))</f>
        <v>0</v>
      </c>
      <c r="FF120" s="18" t="e">
        <f>FE120*VLOOKUP('Données projet'!$B$16,Paramètres!$A$1:$I$88,3,0)*VLOOKUP('Données projet'!$B$16,Paramètres!$A$1:$I$88,5,0)</f>
        <v>#N/A</v>
      </c>
      <c r="FG120" s="14" t="e">
        <f t="shared" si="104"/>
        <v>#N/A</v>
      </c>
      <c r="FH120" s="22" t="e">
        <f t="shared" si="83"/>
        <v>#N/A</v>
      </c>
      <c r="FI120" s="62" t="e">
        <f t="shared" si="84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85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projet'!$B$16,Paramètres!$A$1:$I$88,7,0))</f>
        <v>0</v>
      </c>
      <c r="FO120" s="17">
        <f>IF(ISNA(VLOOKUP(A120,'Données projet'!$A$217:$I$237,6,0)),0%,VLOOKUP(A120,'Données projet'!$A$217:$I$237,6,0)*VLOOKUP('Données projet'!$B$16,Paramètres!$A$1:$I$88,7,0))</f>
        <v>0</v>
      </c>
      <c r="FP120" s="17">
        <f>IF(ISNA(VLOOKUP(A120,'Données projet'!$A$217:$I$237,7,0)),0%,VLOOKUP(A120,'Données projet'!$A$217:$I$237,7,0))</f>
        <v>0</v>
      </c>
      <c r="FQ120" s="23">
        <f>EXP(-LN(2)/35)*FQ119+(1-EXP(-LN(2)/35))/(LN(2)/35)*FM120*FN120*VLOOKUP('Données projet'!$B$9,Paramètres!$A$1:$I$88,3,0)*0.475*44/12</f>
        <v>0</v>
      </c>
      <c r="FR120" s="23">
        <f>EXP(-LN(2)/25)*FR119+(1-EXP(-LN(2)/25))/(LN(2)/25)*Calculateur!FM120*Calculateur!FO120*VLOOKUP('Données projet'!$B$9,Paramètres!$A$1:$I$88,3,0)*0.475*44/12</f>
        <v>0</v>
      </c>
      <c r="FS120" s="23">
        <f>EXP(-LN(2)/2)*FS119+(1-EXP(-LN(2)/2))/(LN(2)/2)*FM120*FP120*VLOOKUP('Données projet'!$B$9,Paramètres!$A$1:$I$88,3,0)*0.475*44/12</f>
        <v>0</v>
      </c>
      <c r="FT120" s="24">
        <f t="shared" si="86"/>
        <v>0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IF(A120&lt;'Données projet'!$A$244,$FW$205^A120,IF(A120='Données projet'!$A$244,'Données projet'!$B$244,FZ119+FY120-GH119))</f>
        <v>0</v>
      </c>
      <c r="GA120" s="18" t="e">
        <f>FZ120*VLOOKUP('Données projet'!$B$17,Paramètres!$A$1:$I$88,3,0)*VLOOKUP('Données projet'!$B$17,Paramètres!$A$1:$I$88,5,0)</f>
        <v>#N/A</v>
      </c>
      <c r="GB120" s="14" t="e">
        <f t="shared" si="105"/>
        <v>#N/A</v>
      </c>
      <c r="GC120" s="22" t="e">
        <f t="shared" si="87"/>
        <v>#N/A</v>
      </c>
      <c r="GD120" s="62" t="e">
        <f t="shared" si="88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89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projet'!$B$17,Paramètres!$A$1:$I$88,7,0))</f>
        <v>0</v>
      </c>
      <c r="GJ120" s="17">
        <f>IF(ISNA(VLOOKUP(A120,'Données projet'!$A$243:$I$263,6,0)),0%,VLOOKUP(A120,'Données projet'!$A$243:$I$263,6,0)*VLOOKUP('Données projet'!$B$17,Paramètres!$A$1:$I$88,7,0))</f>
        <v>0</v>
      </c>
      <c r="GK120" s="17">
        <f>IF(ISNA(VLOOKUP(A120,'Données projet'!$A$243:$I$263,7,0)),0%,VLOOKUP(A120,'Données projet'!$A$243:$I$263,7,0))</f>
        <v>0</v>
      </c>
      <c r="GL120" s="23">
        <f>EXP(-LN(2)/35)*GL119+(1-EXP(-LN(2)/35))/(LN(2)/35)*GH120*GI120*VLOOKUP('Données projet'!$B$9,Paramètres!$A$1:$I$88,3,0)*0.475*44/12</f>
        <v>0</v>
      </c>
      <c r="GM120" s="23">
        <f>EXP(-LN(2)/25)*GM119+(1-EXP(-LN(2)/25))/(LN(2)/25)*Calculateur!GH120*Calculateur!GJ120*VLOOKUP('Données projet'!$B$9,Paramètres!$A$1:$I$88,3,0)*0.475*44/12</f>
        <v>0</v>
      </c>
      <c r="GN120" s="23">
        <f>EXP(-LN(2)/2)*GN119+(1-EXP(-LN(2)/2))/(LN(2)/2)*GH120*GK120*VLOOKUP('Données projet'!$B$9,Paramètres!$A$1:$I$88,3,0)*0.475*44/12</f>
        <v>0</v>
      </c>
      <c r="GO120" s="23">
        <f t="shared" si="90"/>
        <v>0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IF(A120&lt;'Données projet'!$A$270,$GR$205^A120,IF(A120='Données projet'!$A$270,'Données projet'!$B$270,GU119+GT120-HC119))</f>
        <v>0</v>
      </c>
      <c r="GV120" s="18" t="e">
        <f>GU120*VLOOKUP('Données projet'!$B$18,Paramètres!$A$1:$I$88,3,0)*VLOOKUP('Données projet'!$B$18,Paramètres!$A$1:$I$88,5,0)</f>
        <v>#N/A</v>
      </c>
      <c r="GW120" s="14" t="e">
        <f t="shared" si="106"/>
        <v>#N/A</v>
      </c>
      <c r="GX120" s="22" t="e">
        <f t="shared" si="91"/>
        <v>#N/A</v>
      </c>
      <c r="GY120" s="62" t="e">
        <f t="shared" si="92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93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projet'!$B$18,Paramètres!$A$1:$I$88,7,0))</f>
        <v>0</v>
      </c>
      <c r="HE120" s="17">
        <f>IF(ISNA(VLOOKUP(A120,'Données projet'!$A$269:$I$289,6,0)),0%,VLOOKUP(A120,'Données projet'!$A$269:$I$289,6,0)*VLOOKUP('Données projet'!$B$18,Paramètres!$A$1:$I$88,7,0))</f>
        <v>0</v>
      </c>
      <c r="HF120" s="17">
        <f>IF(ISNA(VLOOKUP(A120,'Données projet'!$A$269:$I$289,7,0)),0%,VLOOKUP(A120,'Données projet'!$A$269:$I$289,7,0))</f>
        <v>0</v>
      </c>
      <c r="HG120" s="23">
        <f>EXP(-LN(2)/35)*HG119+(1-EXP(-LN(2)/35))/(LN(2)/35)*HC120*HD120*VLOOKUP('Données projet'!$B$9,Paramètres!$A$1:$I$88,3,0)*0.475*44/12</f>
        <v>0</v>
      </c>
      <c r="HH120" s="23">
        <f>EXP(-LN(2)/25)*HH119+(1-EXP(-LN(2)/25))/(LN(2)/25)*Calculateur!HC120*Calculateur!HE120*VLOOKUP('Données projet'!$B$9,Paramètres!$A$1:$I$88,3,0)*0.475*44/12</f>
        <v>0</v>
      </c>
      <c r="HI120" s="23">
        <f>EXP(-LN(2)/2)*HI119+(1-EXP(-LN(2)/2))/(LN(2)/2)*HC120*HF120*VLOOKUP('Données projet'!$B$9,Paramètres!$A$1:$I$88,3,0)*0.475*44/12</f>
        <v>0</v>
      </c>
      <c r="HJ120" s="24">
        <f t="shared" si="94"/>
        <v>0</v>
      </c>
    </row>
    <row r="121" spans="1:218" s="5" customFormat="1" x14ac:dyDescent="0.25">
      <c r="A121" s="11">
        <f t="shared" si="95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1" s="12">
        <f t="shared" si="9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57"/>
        <v>135.66666666666666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1.3150000000000006</v>
      </c>
      <c r="N121" s="14">
        <f>IF(A121&lt;'Données projet'!$A$36,$K$205^A121,IF(A121='Données projet'!$A$36,'Données projet'!$B$36,N120+M121-V120))</f>
        <v>118.01166666666663</v>
      </c>
      <c r="O121" s="14">
        <f>N121*VLOOKUP('Données projet'!$B$9,Paramètres!$A$1:$I$88,3,0)*VLOOKUP('Données projet'!$B$9,Paramètres!$A$1:$I$88,5,0)</f>
        <v>135.94943999999995</v>
      </c>
      <c r="P121" s="14">
        <f t="shared" si="97"/>
        <v>35.367499480643595</v>
      </c>
      <c r="Q121" s="22">
        <f t="shared" si="107"/>
        <v>298.37700292878753</v>
      </c>
      <c r="R121" s="62">
        <f t="shared" si="55"/>
        <v>574.04032110964681</v>
      </c>
      <c r="S121" s="62">
        <f ca="1">AVERAGE(OFFSET($R$3,0,0,'Données projet'!$E$9+1,1))-AVERAGE(OFFSET($H$3,0,0,'Données projet'!$E$9+1,1))</f>
        <v>314.72063458462026</v>
      </c>
      <c r="T121" s="62">
        <f t="shared" si="56"/>
        <v>216.4380325968244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projet'!$B$9,Paramètres!$A$1:$I$88,7,0))</f>
        <v>0</v>
      </c>
      <c r="X121" s="17">
        <f>IF(ISNA(VLOOKUP(A121,'Données projet'!$A$35:$I$55,6,0)),0%,VLOOKUP(A121,'Données projet'!$A$35:$I$55,6,0)*VLOOKUP('Données projet'!$B$9,Paramètres!$A$1:$I$88,7,0))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projet'!$B$9,Paramètres!$A$1:$I$88,3,0)*0.475*44/12</f>
        <v>0</v>
      </c>
      <c r="AA121" s="23">
        <f>EXP(-LN(2)/25)*AA120+(1-EXP(-LN(2)/25))/(LN(2)/25)*Calculateur!V121*Calculateur!X121*VLOOKUP('Données projet'!$B$9,Paramètres!$A$1:$I$88,3,0)*0.475*44/12</f>
        <v>0</v>
      </c>
      <c r="AB121" s="23">
        <f>EXP(-LN(2)/2)*AB120+(1-EXP(-LN(2)/2))/(LN(2)/2)*V121*Y121*VLOOKUP('Données projet'!$B$9,Paramètres!$A$1:$I$88,3,0)*0.475*44/12</f>
        <v>0</v>
      </c>
      <c r="AC121" s="24">
        <f t="shared" si="58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2.5</v>
      </c>
      <c r="AI121" s="14">
        <f>IF(A121&lt;'Données projet'!$A$62,$AF$205^A121,IF(A121='Données projet'!$A$62,'Données projet'!$B$62,AI120+AH121-AQ120))</f>
        <v>262</v>
      </c>
      <c r="AJ121" s="14">
        <f>AI121*VLOOKUP('Données projet'!$B$10,Paramètres!$A$1:$I$88,3,0)*VLOOKUP('Données projet'!$B$10,Paramètres!$A$1:$I$88,5,0)</f>
        <v>273.84240000000005</v>
      </c>
      <c r="AK121" s="14">
        <f t="shared" si="98"/>
        <v>65.664051693114544</v>
      </c>
      <c r="AL121" s="22">
        <f t="shared" si="59"/>
        <v>591.30707003217458</v>
      </c>
      <c r="AM121" s="62">
        <f t="shared" si="60"/>
        <v>866.97038821303386</v>
      </c>
      <c r="AN121" s="62">
        <f ca="1">AVERAGE(OFFSET($AM$3,0,0,'Données projet'!$E$10+1,1))-AVERAGE(OFFSET($H$3,0,0,'Données projet'!$E$10+1,1))</f>
        <v>458.33072853676879</v>
      </c>
      <c r="AO121" s="62">
        <f t="shared" si="61"/>
        <v>254.1734169352687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projet'!$B$10,Paramètres!$A$1:$I$88,7,0))</f>
        <v>0</v>
      </c>
      <c r="AS121" s="17">
        <f>IF(ISNA(VLOOKUP(A121,'Données projet'!$A$61:$I$81,6,0)),0%,VLOOKUP(A121,'Données projet'!$A$61:$I$81,6,0)*VLOOKUP('Données projet'!$B$10,Paramètres!$A$1:$I$88,7,0))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projet'!$B$9,Paramètres!$A$1:$I$88,3,0)*0.475*44/12</f>
        <v>0</v>
      </c>
      <c r="AV121" s="23">
        <f>EXP(-LN(2)/25)*AV120+(1-EXP(-LN(2)/25))/(LN(2)/25)*Calculateur!AQ121*Calculateur!AS121*VLOOKUP('Données projet'!$B$9,Paramètres!$A$1:$I$88,3,0)*0.475*44/12</f>
        <v>0</v>
      </c>
      <c r="AW121" s="23">
        <f>EXP(-LN(2)/2)*AW120+(1-EXP(-LN(2)/2))/(LN(2)/2)*AQ121*AT121*VLOOKUP('Données projet'!$B$9,Paramètres!$A$1:$I$88,3,0)*0.475*44/12</f>
        <v>0</v>
      </c>
      <c r="AX121" s="23">
        <f t="shared" si="62"/>
        <v>0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2.5</v>
      </c>
      <c r="BD121" s="13">
        <f>IF(A121&lt;'Données projet'!$A$88,$BA$205^A121,IF(A121='Données projet'!$A$88,'Données projet'!$B$88,BD120+BC121-BL120))</f>
        <v>262</v>
      </c>
      <c r="BE121" s="14">
        <f>BD121*VLOOKUP('Données projet'!$B$11,Paramètres!$A$1:$I$88,3,0)*VLOOKUP('Données projet'!$B$11,Paramètres!$A$1:$I$88,5,0)</f>
        <v>265.66800000000001</v>
      </c>
      <c r="BF121" s="14">
        <f t="shared" si="99"/>
        <v>63.929045899944406</v>
      </c>
      <c r="BG121" s="22">
        <f t="shared" si="63"/>
        <v>574.04818827573661</v>
      </c>
      <c r="BH121" s="62">
        <f t="shared" si="64"/>
        <v>849.711506456596</v>
      </c>
      <c r="BI121" s="62">
        <f ca="1">AVERAGE(OFFSET($BH$3,0,0,'Données projet'!$E$11+1,1))-AVERAGE(OFFSET($H$3,0,0,'Données projet'!$E$11+1,1))</f>
        <v>447.82618173893104</v>
      </c>
      <c r="BJ121" s="62">
        <f t="shared" si="65"/>
        <v>248.96509970783379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projet'!$B$11,Paramètres!$A$1:$I$88,7,0))</f>
        <v>0</v>
      </c>
      <c r="BN121" s="17">
        <f>IF(ISNA(VLOOKUP(A121,'Données projet'!$A$87:$I$107,6,0)),0%,VLOOKUP(A121,'Données projet'!$A$87:$I$107,6,0)*VLOOKUP('Données projet'!$B$11,Paramètres!$A$1:$I$88,7,0))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projet'!$B$9,Paramètres!$A$1:$I$88,3,0)*0.475*44/12</f>
        <v>0</v>
      </c>
      <c r="BQ121" s="23">
        <f>EXP(-LN(2)/25)*BQ120+(1-EXP(-LN(2)/25))/(LN(2)/25)*Calculateur!BL121*Calculateur!BN121*VLOOKUP('Données projet'!$B$9,Paramètres!$A$1:$I$88,3,0)*0.475*44/12</f>
        <v>0</v>
      </c>
      <c r="BR121" s="23">
        <f>EXP(-LN(2)/2)*BR120+(1-EXP(-LN(2)/2))/(LN(2)/2)*BL121*BO121*VLOOKUP('Données projet'!$B$9,Paramètres!$A$1:$I$88,3,0)*0.475*44/12</f>
        <v>0</v>
      </c>
      <c r="BS121" s="24">
        <f t="shared" si="66"/>
        <v>0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2.5</v>
      </c>
      <c r="BY121" s="13">
        <f>IF(A121&lt;'Données projet'!$A$114,$BV$205^A121,IF(A121='Données projet'!$A$114,'Données projet'!$B$114,BY120+BX121-CG120))</f>
        <v>262</v>
      </c>
      <c r="BZ121" s="14">
        <f>BY121*VLOOKUP('Données projet'!$B$12,Paramètres!$A$1:$I$88,3,0)*VLOOKUP('Données projet'!$B$12,Paramètres!$A$1:$I$88,5,0)</f>
        <v>282.01679999999999</v>
      </c>
      <c r="CA121" s="14">
        <f t="shared" si="100"/>
        <v>67.393038505342176</v>
      </c>
      <c r="CB121" s="22">
        <f t="shared" si="67"/>
        <v>608.55546873013759</v>
      </c>
      <c r="CC121" s="62">
        <f t="shared" si="68"/>
        <v>884.21878691099687</v>
      </c>
      <c r="CD121" s="62">
        <f ca="1">AVERAGE(OFFSET($CC$3,0,0,'Données projet'!$E$12+1,1))-AVERAGE(OFFSET($H$3,0,0,'Données projet'!$E$12+1,1))</f>
        <v>468.82871618425406</v>
      </c>
      <c r="CE121" s="62">
        <f t="shared" si="69"/>
        <v>259.37818128554397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projet'!$B$12,Paramètres!$A$1:$I$88,7,0))</f>
        <v>0</v>
      </c>
      <c r="CI121" s="17">
        <f>IF(ISNA(VLOOKUP(A121,'Données projet'!$A$113:$I$133,6,0)),0%,VLOOKUP(A121,'Données projet'!$A$113:$I$133,6,0)*VLOOKUP('Données projet'!$B$12,Paramètres!$A$1:$I$88,7,0))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projet'!$B$9,Paramètres!$A$1:$I$88,3,0)*0.475*44/12</f>
        <v>0</v>
      </c>
      <c r="CL121" s="23">
        <f>EXP(-LN(2)/25)*CL120+(1-EXP(-LN(2)/25))/(LN(2)/25)*Calculateur!CG121*Calculateur!CI121*VLOOKUP('Données projet'!$B$9,Paramètres!$A$1:$I$88,3,0)*0.475*44/12</f>
        <v>0</v>
      </c>
      <c r="CM121" s="23">
        <f>EXP(-LN(2)/2)*CM120+(1-EXP(-LN(2)/2))/(LN(2)/2)*CG121*CJ121*VLOOKUP('Données projet'!$B$9,Paramètres!$A$1:$I$88,3,0)*0.475*44/12</f>
        <v>0</v>
      </c>
      <c r="CN121" s="24">
        <f t="shared" si="70"/>
        <v>0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2.5</v>
      </c>
      <c r="CT121" s="13">
        <f>IF(A121&lt;'Données projet'!$A$140,$CQ$205^A121,IF(A121='Données projet'!$A$140,'Données projet'!$B$140,CT120+CS121-DB120))</f>
        <v>262</v>
      </c>
      <c r="CU121" s="18">
        <f>CT121*VLOOKUP('Données projet'!$B$13,Paramètres!$A$1:$I$88,3,0)*VLOOKUP('Données projet'!$B$13,Paramètres!$A$1:$I$88,5,0)</f>
        <v>224.79600000000005</v>
      </c>
      <c r="CV121" s="14">
        <f t="shared" si="101"/>
        <v>55.155960692691153</v>
      </c>
      <c r="CW121" s="22">
        <f t="shared" si="71"/>
        <v>487.5829982064372</v>
      </c>
      <c r="CX121" s="62">
        <f t="shared" si="72"/>
        <v>763.24631638729647</v>
      </c>
      <c r="CY121" s="62">
        <f ca="1">AVERAGE(OFFSET($CX$3,0,0,'Données projet'!$E$13+1,1))-AVERAGE(OFFSET($H$3,0,0,'Données projet'!$E$13+1,1))</f>
        <v>395.19659151668884</v>
      </c>
      <c r="CZ121" s="62">
        <f t="shared" si="73"/>
        <v>222.86563304507339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projet'!$B$13,Paramètres!$A$1:$I$88,7,0))</f>
        <v>0</v>
      </c>
      <c r="DD121" s="17">
        <f>IF(ISNA(VLOOKUP(A121,'Données projet'!$A$139:$I$159,6,0)),0%,VLOOKUP(A121,'Données projet'!$A$139:$I$159,6,0)*VLOOKUP('Données projet'!$B$13,Paramètres!$A$1:$I$88,7,0))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projet'!$B$9,Paramètres!$A$1:$I$88,3,0)*0.475*44/12</f>
        <v>0</v>
      </c>
      <c r="DG121" s="23">
        <f>EXP(-LN(2)/25)*DG120+(1-EXP(-LN(2)/25))/(LN(2)/25)*Calculateur!DB121*Calculateur!DD121*VLOOKUP('Données projet'!$B$9,Paramètres!$A$1:$I$88,3,0)*0.475*44/12</f>
        <v>0</v>
      </c>
      <c r="DH121" s="23">
        <f>EXP(-LN(2)/2)*DH120+(1-EXP(-LN(2)/2))/(LN(2)/2)*DB121*DE121*VLOOKUP('Données projet'!$B$9,Paramètres!$A$1:$I$88,3,0)*0.475*44/12</f>
        <v>0</v>
      </c>
      <c r="DI121" s="24">
        <f t="shared" si="74"/>
        <v>0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IF(A121&lt;'Données projet'!$A$166,$DL$205^A121,IF(A121='Données projet'!$A$166,'Données projet'!$B$166,DO120+DN121-DW120))</f>
        <v>-8.5265128291212022E-14</v>
      </c>
      <c r="DP121" s="18">
        <f>DO121*VLOOKUP('Données projet'!$B$14,Paramètres!$A$1:$I$88,3,0)*VLOOKUP('Données projet'!$B$14,Paramètres!$A$1:$I$88,5,0)</f>
        <v>-4.9880100050359036E-14</v>
      </c>
      <c r="DQ121" s="14" t="e">
        <f t="shared" si="102"/>
        <v>#NUM!</v>
      </c>
      <c r="DR121" s="22" t="e">
        <f t="shared" si="75"/>
        <v>#NUM!</v>
      </c>
      <c r="DS121" s="62" t="e">
        <f t="shared" si="76"/>
        <v>#NUM!</v>
      </c>
      <c r="DT121" s="62">
        <f ca="1">AVERAGE(OFFSET($DS$3,0,0,'Données projet'!$E$14+1,1))-AVERAGE(OFFSET($H$3,0,0,'Données projet'!$E$14+1,1))</f>
        <v>155.18073137151848</v>
      </c>
      <c r="DU121" s="62">
        <f t="shared" si="77"/>
        <v>115.19459155667272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projet'!$B$14,Paramètres!$A$1:$I$88,7,0))</f>
        <v>0</v>
      </c>
      <c r="DY121" s="17">
        <f>IF(ISNA(VLOOKUP(A121,'Données projet'!$A$165:$I$185,6,0)),0%,VLOOKUP(A121,'Données projet'!$A$165:$I$185,6,0)*VLOOKUP('Données projet'!$B$14,Paramètres!$A$1:$I$88,7,0))</f>
        <v>0</v>
      </c>
      <c r="DZ121" s="17">
        <f>IF(ISNA(VLOOKUP(A121,'Données projet'!$A$165:$I$185,7,0)),0%,VLOOKUP(A121,'Données projet'!$A$165:$I$185,7,0))</f>
        <v>0</v>
      </c>
      <c r="EA121" s="23">
        <f>EXP(-LN(2)/35)*EA120+(1-EXP(-LN(2)/35))/(LN(2)/35)*DW121*DX121*VLOOKUP('Données projet'!$B$9,Paramètres!$A$1:$I$88,3,0)*0.475*44/12</f>
        <v>0</v>
      </c>
      <c r="EB121" s="23">
        <f>EXP(-LN(2)/25)*EB120+(1-EXP(-LN(2)/25))/(LN(2)/25)*Calculateur!DW121*Calculateur!DY121*VLOOKUP('Données projet'!$B$9,Paramètres!$A$1:$I$88,3,0)*0.475*44/12</f>
        <v>0</v>
      </c>
      <c r="EC121" s="23">
        <f>EXP(-LN(2)/2)*EC120+(1-EXP(-LN(2)/2))/(LN(2)/2)*DW121*DZ121*VLOOKUP('Données projet'!$B$9,Paramètres!$A$1:$I$88,3,0)*0.475*44/12</f>
        <v>0</v>
      </c>
      <c r="ED121" s="24">
        <f t="shared" si="78"/>
        <v>0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5.6</v>
      </c>
      <c r="EJ121" s="13">
        <f>IF(A121&lt;'Données projet'!$A$192,$EG$205^A121,IF(A121='Données projet'!$A$192,'Données projet'!$B$192,EJ120+EI121-ER120))</f>
        <v>258.7999999999999</v>
      </c>
      <c r="EK121" s="18">
        <f>EJ121*VLOOKUP('Données projet'!$B$15,Paramètres!$A$1:$I$88,3,0)*VLOOKUP('Données projet'!$B$15,Paramètres!$A$1:$I$88,5,0)</f>
        <v>121.11839999999995</v>
      </c>
      <c r="EL121" s="14">
        <f t="shared" si="103"/>
        <v>31.935706725782151</v>
      </c>
      <c r="EM121" s="22">
        <f t="shared" si="79"/>
        <v>266.56923588073715</v>
      </c>
      <c r="EN121" s="62">
        <f t="shared" si="80"/>
        <v>542.23255406159649</v>
      </c>
      <c r="EO121" s="62">
        <f ca="1">AVERAGE(OFFSET($EN$3,0,0,'Données projet'!$E$15+1,1))-AVERAGE(OFFSET($H$3,0,0,'Données projet'!$E$15+1,1))</f>
        <v>238.59014604384171</v>
      </c>
      <c r="EP121" s="62">
        <f t="shared" si="81"/>
        <v>90.841373219575217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projet'!$B$15,Paramètres!$A$1:$I$88,7,0))</f>
        <v>0</v>
      </c>
      <c r="ET121" s="17">
        <f>IF(ISNA(VLOOKUP(A121,'Données projet'!$A$191:$I$211,6,0)),0%,VLOOKUP(A121,'Données projet'!$A$191:$I$211,6,0)*VLOOKUP('Données projet'!$B$15,Paramètres!$A$1:$I$88,7,0))</f>
        <v>0</v>
      </c>
      <c r="EU121" s="17">
        <f>IF(ISNA(VLOOKUP(A121,'Données projet'!$A$191:$I$211,7,0)),0%,VLOOKUP(A121,'Données projet'!$A$191:$I$211,7,0))</f>
        <v>0</v>
      </c>
      <c r="EV121" s="23">
        <f>EXP(-LN(2)/35)*EV120+(1-EXP(-LN(2)/35))/(LN(2)/35)*ER121*ES121*VLOOKUP('Données projet'!$B$9,Paramètres!$A$1:$I$88,3,0)*0.475*44/12</f>
        <v>0</v>
      </c>
      <c r="EW121" s="23">
        <f>EXP(-LN(2)/25)*EW120+(1-EXP(-LN(2)/25))/(LN(2)/25)*Calculateur!ER121*Calculateur!ET121*VLOOKUP('Données projet'!$B$9,Paramètres!$A$1:$I$88,3,0)*0.475*44/12</f>
        <v>0</v>
      </c>
      <c r="EX121" s="23">
        <f>EXP(-LN(2)/2)*EX120+(1-EXP(-LN(2)/2))/(LN(2)/2)*ER121*EU121*VLOOKUP('Données projet'!$B$9,Paramètres!$A$1:$I$88,3,0)*0.475*44/12</f>
        <v>0</v>
      </c>
      <c r="EY121" s="24">
        <f t="shared" si="82"/>
        <v>0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IF(A121&lt;'Données projet'!$A$218,$FB$205^A121,IF(A121='Données projet'!$A$218,'Données projet'!$B$218,FE120+FD121-FM120))</f>
        <v>0</v>
      </c>
      <c r="FF121" s="18" t="e">
        <f>FE121*VLOOKUP('Données projet'!$B$16,Paramètres!$A$1:$I$88,3,0)*VLOOKUP('Données projet'!$B$16,Paramètres!$A$1:$I$88,5,0)</f>
        <v>#N/A</v>
      </c>
      <c r="FG121" s="14" t="e">
        <f t="shared" si="104"/>
        <v>#N/A</v>
      </c>
      <c r="FH121" s="22" t="e">
        <f t="shared" si="83"/>
        <v>#N/A</v>
      </c>
      <c r="FI121" s="62" t="e">
        <f t="shared" si="84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85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projet'!$B$16,Paramètres!$A$1:$I$88,7,0))</f>
        <v>0</v>
      </c>
      <c r="FO121" s="17">
        <f>IF(ISNA(VLOOKUP(A121,'Données projet'!$A$217:$I$237,6,0)),0%,VLOOKUP(A121,'Données projet'!$A$217:$I$237,6,0)*VLOOKUP('Données projet'!$B$16,Paramètres!$A$1:$I$88,7,0))</f>
        <v>0</v>
      </c>
      <c r="FP121" s="17">
        <f>IF(ISNA(VLOOKUP(A121,'Données projet'!$A$217:$I$237,7,0)),0%,VLOOKUP(A121,'Données projet'!$A$217:$I$237,7,0))</f>
        <v>0</v>
      </c>
      <c r="FQ121" s="23">
        <f>EXP(-LN(2)/35)*FQ120+(1-EXP(-LN(2)/35))/(LN(2)/35)*FM121*FN121*VLOOKUP('Données projet'!$B$9,Paramètres!$A$1:$I$88,3,0)*0.475*44/12</f>
        <v>0</v>
      </c>
      <c r="FR121" s="23">
        <f>EXP(-LN(2)/25)*FR120+(1-EXP(-LN(2)/25))/(LN(2)/25)*Calculateur!FM121*Calculateur!FO121*VLOOKUP('Données projet'!$B$9,Paramètres!$A$1:$I$88,3,0)*0.475*44/12</f>
        <v>0</v>
      </c>
      <c r="FS121" s="23">
        <f>EXP(-LN(2)/2)*FS120+(1-EXP(-LN(2)/2))/(LN(2)/2)*FM121*FP121*VLOOKUP('Données projet'!$B$9,Paramètres!$A$1:$I$88,3,0)*0.475*44/12</f>
        <v>0</v>
      </c>
      <c r="FT121" s="24">
        <f t="shared" si="86"/>
        <v>0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IF(A121&lt;'Données projet'!$A$244,$FW$205^A121,IF(A121='Données projet'!$A$244,'Données projet'!$B$244,FZ120+FY121-GH120))</f>
        <v>0</v>
      </c>
      <c r="GA121" s="18" t="e">
        <f>FZ121*VLOOKUP('Données projet'!$B$17,Paramètres!$A$1:$I$88,3,0)*VLOOKUP('Données projet'!$B$17,Paramètres!$A$1:$I$88,5,0)</f>
        <v>#N/A</v>
      </c>
      <c r="GB121" s="14" t="e">
        <f t="shared" si="105"/>
        <v>#N/A</v>
      </c>
      <c r="GC121" s="22" t="e">
        <f t="shared" si="87"/>
        <v>#N/A</v>
      </c>
      <c r="GD121" s="62" t="e">
        <f t="shared" si="88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89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projet'!$B$17,Paramètres!$A$1:$I$88,7,0))</f>
        <v>0</v>
      </c>
      <c r="GJ121" s="17">
        <f>IF(ISNA(VLOOKUP(A121,'Données projet'!$A$243:$I$263,6,0)),0%,VLOOKUP(A121,'Données projet'!$A$243:$I$263,6,0)*VLOOKUP('Données projet'!$B$17,Paramètres!$A$1:$I$88,7,0))</f>
        <v>0</v>
      </c>
      <c r="GK121" s="17">
        <f>IF(ISNA(VLOOKUP(A121,'Données projet'!$A$243:$I$263,7,0)),0%,VLOOKUP(A121,'Données projet'!$A$243:$I$263,7,0))</f>
        <v>0</v>
      </c>
      <c r="GL121" s="23">
        <f>EXP(-LN(2)/35)*GL120+(1-EXP(-LN(2)/35))/(LN(2)/35)*GH121*GI121*VLOOKUP('Données projet'!$B$9,Paramètres!$A$1:$I$88,3,0)*0.475*44/12</f>
        <v>0</v>
      </c>
      <c r="GM121" s="23">
        <f>EXP(-LN(2)/25)*GM120+(1-EXP(-LN(2)/25))/(LN(2)/25)*Calculateur!GH121*Calculateur!GJ121*VLOOKUP('Données projet'!$B$9,Paramètres!$A$1:$I$88,3,0)*0.475*44/12</f>
        <v>0</v>
      </c>
      <c r="GN121" s="23">
        <f>EXP(-LN(2)/2)*GN120+(1-EXP(-LN(2)/2))/(LN(2)/2)*GH121*GK121*VLOOKUP('Données projet'!$B$9,Paramètres!$A$1:$I$88,3,0)*0.475*44/12</f>
        <v>0</v>
      </c>
      <c r="GO121" s="23">
        <f t="shared" si="90"/>
        <v>0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IF(A121&lt;'Données projet'!$A$270,$GR$205^A121,IF(A121='Données projet'!$A$270,'Données projet'!$B$270,GU120+GT121-HC120))</f>
        <v>0</v>
      </c>
      <c r="GV121" s="18" t="e">
        <f>GU121*VLOOKUP('Données projet'!$B$18,Paramètres!$A$1:$I$88,3,0)*VLOOKUP('Données projet'!$B$18,Paramètres!$A$1:$I$88,5,0)</f>
        <v>#N/A</v>
      </c>
      <c r="GW121" s="14" t="e">
        <f t="shared" si="106"/>
        <v>#N/A</v>
      </c>
      <c r="GX121" s="22" t="e">
        <f t="shared" si="91"/>
        <v>#N/A</v>
      </c>
      <c r="GY121" s="62" t="e">
        <f t="shared" si="92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93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projet'!$B$18,Paramètres!$A$1:$I$88,7,0))</f>
        <v>0</v>
      </c>
      <c r="HE121" s="17">
        <f>IF(ISNA(VLOOKUP(A121,'Données projet'!$A$269:$I$289,6,0)),0%,VLOOKUP(A121,'Données projet'!$A$269:$I$289,6,0)*VLOOKUP('Données projet'!$B$18,Paramètres!$A$1:$I$88,7,0))</f>
        <v>0</v>
      </c>
      <c r="HF121" s="17">
        <f>IF(ISNA(VLOOKUP(A121,'Données projet'!$A$269:$I$289,7,0)),0%,VLOOKUP(A121,'Données projet'!$A$269:$I$289,7,0))</f>
        <v>0</v>
      </c>
      <c r="HG121" s="23">
        <f>EXP(-LN(2)/35)*HG120+(1-EXP(-LN(2)/35))/(LN(2)/35)*HC121*HD121*VLOOKUP('Données projet'!$B$9,Paramètres!$A$1:$I$88,3,0)*0.475*44/12</f>
        <v>0</v>
      </c>
      <c r="HH121" s="23">
        <f>EXP(-LN(2)/25)*HH120+(1-EXP(-LN(2)/25))/(LN(2)/25)*Calculateur!HC121*Calculateur!HE121*VLOOKUP('Données projet'!$B$9,Paramètres!$A$1:$I$88,3,0)*0.475*44/12</f>
        <v>0</v>
      </c>
      <c r="HI121" s="23">
        <f>EXP(-LN(2)/2)*HI120+(1-EXP(-LN(2)/2))/(LN(2)/2)*HC121*HF121*VLOOKUP('Données projet'!$B$9,Paramètres!$A$1:$I$88,3,0)*0.475*44/12</f>
        <v>0</v>
      </c>
      <c r="HJ121" s="24">
        <f t="shared" si="94"/>
        <v>0</v>
      </c>
    </row>
    <row r="122" spans="1:218" s="5" customFormat="1" x14ac:dyDescent="0.25">
      <c r="A122" s="11">
        <f t="shared" si="95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2" s="12">
        <f t="shared" si="9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57"/>
        <v>135.66666666666666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1.3150000000000006</v>
      </c>
      <c r="N122" s="14">
        <f>IF(A122&lt;'Données projet'!$A$36,$K$205^A122,IF(A122='Données projet'!$A$36,'Données projet'!$B$36,N121+M122-V121))</f>
        <v>119.32666666666663</v>
      </c>
      <c r="O122" s="14">
        <f>N122*VLOOKUP('Données projet'!$B$9,Paramètres!$A$1:$I$88,3,0)*VLOOKUP('Données projet'!$B$9,Paramètres!$A$1:$I$88,5,0)</f>
        <v>137.46431999999996</v>
      </c>
      <c r="P122" s="14">
        <f t="shared" si="97"/>
        <v>35.715500321625576</v>
      </c>
      <c r="Q122" s="22">
        <f t="shared" si="107"/>
        <v>301.6215203934978</v>
      </c>
      <c r="R122" s="62">
        <f t="shared" si="55"/>
        <v>577.59137383301686</v>
      </c>
      <c r="S122" s="62">
        <f ca="1">AVERAGE(OFFSET($R$3,0,0,'Données projet'!$E$9+1,1))-AVERAGE(OFFSET($H$3,0,0,'Données projet'!$E$9+1,1))</f>
        <v>314.72063458462026</v>
      </c>
      <c r="T122" s="62">
        <f t="shared" si="56"/>
        <v>216.4380325968244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projet'!$B$9,Paramètres!$A$1:$I$88,7,0))</f>
        <v>0</v>
      </c>
      <c r="X122" s="17">
        <f>IF(ISNA(VLOOKUP(A122,'Données projet'!$A$35:$I$55,6,0)),0%,VLOOKUP(A122,'Données projet'!$A$35:$I$55,6,0)*VLOOKUP('Données projet'!$B$9,Paramètres!$A$1:$I$88,7,0))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projet'!$B$9,Paramètres!$A$1:$I$88,3,0)*0.475*44/12</f>
        <v>0</v>
      </c>
      <c r="AA122" s="23">
        <f>EXP(-LN(2)/25)*AA121+(1-EXP(-LN(2)/25))/(LN(2)/25)*Calculateur!V122*Calculateur!X122*VLOOKUP('Données projet'!$B$9,Paramètres!$A$1:$I$88,3,0)*0.475*44/12</f>
        <v>0</v>
      </c>
      <c r="AB122" s="23">
        <f>EXP(-LN(2)/2)*AB121+(1-EXP(-LN(2)/2))/(LN(2)/2)*V122*Y122*VLOOKUP('Données projet'!$B$9,Paramètres!$A$1:$I$88,3,0)*0.475*44/12</f>
        <v>0</v>
      </c>
      <c r="AC122" s="24">
        <f t="shared" si="58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2.5</v>
      </c>
      <c r="AI122" s="14">
        <f>IF(A122&lt;'Données projet'!$A$62,$AF$205^A122,IF(A122='Données projet'!$A$62,'Données projet'!$B$62,AI121+AH122-AQ121))</f>
        <v>264.5</v>
      </c>
      <c r="AJ122" s="14">
        <f>AI122*VLOOKUP('Données projet'!$B$10,Paramètres!$A$1:$I$88,3,0)*VLOOKUP('Données projet'!$B$10,Paramètres!$A$1:$I$88,5,0)</f>
        <v>276.4554</v>
      </c>
      <c r="AK122" s="14">
        <f t="shared" si="98"/>
        <v>66.217378491456486</v>
      </c>
      <c r="AL122" s="22">
        <f t="shared" si="59"/>
        <v>596.82175587261997</v>
      </c>
      <c r="AM122" s="62">
        <f t="shared" si="60"/>
        <v>872.79160931213892</v>
      </c>
      <c r="AN122" s="62">
        <f ca="1">AVERAGE(OFFSET($AM$3,0,0,'Données projet'!$E$10+1,1))-AVERAGE(OFFSET($H$3,0,0,'Données projet'!$E$10+1,1))</f>
        <v>458.33072853676879</v>
      </c>
      <c r="AO122" s="62">
        <f t="shared" si="61"/>
        <v>254.1734169352687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projet'!$B$10,Paramètres!$A$1:$I$88,7,0))</f>
        <v>0</v>
      </c>
      <c r="AS122" s="17">
        <f>IF(ISNA(VLOOKUP(A122,'Données projet'!$A$61:$I$81,6,0)),0%,VLOOKUP(A122,'Données projet'!$A$61:$I$81,6,0)*VLOOKUP('Données projet'!$B$10,Paramètres!$A$1:$I$88,7,0))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projet'!$B$9,Paramètres!$A$1:$I$88,3,0)*0.475*44/12</f>
        <v>0</v>
      </c>
      <c r="AV122" s="23">
        <f>EXP(-LN(2)/25)*AV121+(1-EXP(-LN(2)/25))/(LN(2)/25)*Calculateur!AQ122*Calculateur!AS122*VLOOKUP('Données projet'!$B$9,Paramètres!$A$1:$I$88,3,0)*0.475*44/12</f>
        <v>0</v>
      </c>
      <c r="AW122" s="23">
        <f>EXP(-LN(2)/2)*AW121+(1-EXP(-LN(2)/2))/(LN(2)/2)*AQ122*AT122*VLOOKUP('Données projet'!$B$9,Paramètres!$A$1:$I$88,3,0)*0.475*44/12</f>
        <v>0</v>
      </c>
      <c r="AX122" s="23">
        <f t="shared" si="62"/>
        <v>0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2.5</v>
      </c>
      <c r="BD122" s="13">
        <f>IF(A122&lt;'Données projet'!$A$88,$BA$205^A122,IF(A122='Données projet'!$A$88,'Données projet'!$B$88,BD121+BC122-BL121))</f>
        <v>264.5</v>
      </c>
      <c r="BE122" s="14">
        <f>BD122*VLOOKUP('Données projet'!$B$11,Paramètres!$A$1:$I$88,3,0)*VLOOKUP('Données projet'!$B$11,Paramètres!$A$1:$I$88,5,0)</f>
        <v>268.20300000000003</v>
      </c>
      <c r="BF122" s="14">
        <f t="shared" si="99"/>
        <v>64.467752442973335</v>
      </c>
      <c r="BG122" s="22">
        <f t="shared" si="63"/>
        <v>579.40156050484518</v>
      </c>
      <c r="BH122" s="62">
        <f t="shared" si="64"/>
        <v>855.37141394436412</v>
      </c>
      <c r="BI122" s="62">
        <f ca="1">AVERAGE(OFFSET($BH$3,0,0,'Données projet'!$E$11+1,1))-AVERAGE(OFFSET($H$3,0,0,'Données projet'!$E$11+1,1))</f>
        <v>447.82618173893104</v>
      </c>
      <c r="BJ122" s="62">
        <f t="shared" si="65"/>
        <v>248.96509970783379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projet'!$B$11,Paramètres!$A$1:$I$88,7,0))</f>
        <v>0</v>
      </c>
      <c r="BN122" s="17">
        <f>IF(ISNA(VLOOKUP(A122,'Données projet'!$A$87:$I$107,6,0)),0%,VLOOKUP(A122,'Données projet'!$A$87:$I$107,6,0)*VLOOKUP('Données projet'!$B$11,Paramètres!$A$1:$I$88,7,0))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projet'!$B$9,Paramètres!$A$1:$I$88,3,0)*0.475*44/12</f>
        <v>0</v>
      </c>
      <c r="BQ122" s="23">
        <f>EXP(-LN(2)/25)*BQ121+(1-EXP(-LN(2)/25))/(LN(2)/25)*Calculateur!BL122*Calculateur!BN122*VLOOKUP('Données projet'!$B$9,Paramètres!$A$1:$I$88,3,0)*0.475*44/12</f>
        <v>0</v>
      </c>
      <c r="BR122" s="23">
        <f>EXP(-LN(2)/2)*BR121+(1-EXP(-LN(2)/2))/(LN(2)/2)*BL122*BO122*VLOOKUP('Données projet'!$B$9,Paramètres!$A$1:$I$88,3,0)*0.475*44/12</f>
        <v>0</v>
      </c>
      <c r="BS122" s="24">
        <f t="shared" si="66"/>
        <v>0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2.5</v>
      </c>
      <c r="BY122" s="13">
        <f>IF(A122&lt;'Données projet'!$A$114,$BV$205^A122,IF(A122='Données projet'!$A$114,'Données projet'!$B$114,BY121+BX122-CG121))</f>
        <v>264.5</v>
      </c>
      <c r="BZ122" s="14">
        <f>BY122*VLOOKUP('Données projet'!$B$12,Paramètres!$A$1:$I$88,3,0)*VLOOKUP('Données projet'!$B$12,Paramètres!$A$1:$I$88,5,0)</f>
        <v>284.70780000000002</v>
      </c>
      <c r="CA122" s="14">
        <f t="shared" si="100"/>
        <v>67.960934839259778</v>
      </c>
      <c r="CB122" s="22">
        <f t="shared" si="67"/>
        <v>614.2313798450441</v>
      </c>
      <c r="CC122" s="62">
        <f t="shared" si="68"/>
        <v>890.20123328456316</v>
      </c>
      <c r="CD122" s="62">
        <f ca="1">AVERAGE(OFFSET($CC$3,0,0,'Données projet'!$E$12+1,1))-AVERAGE(OFFSET($H$3,0,0,'Données projet'!$E$12+1,1))</f>
        <v>468.82871618425406</v>
      </c>
      <c r="CE122" s="62">
        <f t="shared" si="69"/>
        <v>259.37818128554397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projet'!$B$12,Paramètres!$A$1:$I$88,7,0))</f>
        <v>0</v>
      </c>
      <c r="CI122" s="17">
        <f>IF(ISNA(VLOOKUP(A122,'Données projet'!$A$113:$I$133,6,0)),0%,VLOOKUP(A122,'Données projet'!$A$113:$I$133,6,0)*VLOOKUP('Données projet'!$B$12,Paramètres!$A$1:$I$88,7,0))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projet'!$B$9,Paramètres!$A$1:$I$88,3,0)*0.475*44/12</f>
        <v>0</v>
      </c>
      <c r="CL122" s="23">
        <f>EXP(-LN(2)/25)*CL121+(1-EXP(-LN(2)/25))/(LN(2)/25)*Calculateur!CG122*Calculateur!CI122*VLOOKUP('Données projet'!$B$9,Paramètres!$A$1:$I$88,3,0)*0.475*44/12</f>
        <v>0</v>
      </c>
      <c r="CM122" s="23">
        <f>EXP(-LN(2)/2)*CM121+(1-EXP(-LN(2)/2))/(LN(2)/2)*CG122*CJ122*VLOOKUP('Données projet'!$B$9,Paramètres!$A$1:$I$88,3,0)*0.475*44/12</f>
        <v>0</v>
      </c>
      <c r="CN122" s="24">
        <f t="shared" si="70"/>
        <v>0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2.5</v>
      </c>
      <c r="CT122" s="13">
        <f>IF(A122&lt;'Données projet'!$A$140,$CQ$205^A122,IF(A122='Données projet'!$A$140,'Données projet'!$B$140,CT121+CS122-DB121))</f>
        <v>264.5</v>
      </c>
      <c r="CU122" s="18">
        <f>CT122*VLOOKUP('Données projet'!$B$13,Paramètres!$A$1:$I$88,3,0)*VLOOKUP('Données projet'!$B$13,Paramètres!$A$1:$I$88,5,0)</f>
        <v>226.94100000000003</v>
      </c>
      <c r="CV122" s="14">
        <f t="shared" si="101"/>
        <v>55.620739675294821</v>
      </c>
      <c r="CW122" s="22">
        <f t="shared" si="71"/>
        <v>492.12836326780513</v>
      </c>
      <c r="CX122" s="62">
        <f t="shared" si="72"/>
        <v>768.09821670732413</v>
      </c>
      <c r="CY122" s="62">
        <f ca="1">AVERAGE(OFFSET($CX$3,0,0,'Données projet'!$E$13+1,1))-AVERAGE(OFFSET($H$3,0,0,'Données projet'!$E$13+1,1))</f>
        <v>395.19659151668884</v>
      </c>
      <c r="CZ122" s="62">
        <f t="shared" si="73"/>
        <v>222.86563304507339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projet'!$B$13,Paramètres!$A$1:$I$88,7,0))</f>
        <v>0</v>
      </c>
      <c r="DD122" s="17">
        <f>IF(ISNA(VLOOKUP(A122,'Données projet'!$A$139:$I$159,6,0)),0%,VLOOKUP(A122,'Données projet'!$A$139:$I$159,6,0)*VLOOKUP('Données projet'!$B$13,Paramètres!$A$1:$I$88,7,0))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projet'!$B$9,Paramètres!$A$1:$I$88,3,0)*0.475*44/12</f>
        <v>0</v>
      </c>
      <c r="DG122" s="23">
        <f>EXP(-LN(2)/25)*DG121+(1-EXP(-LN(2)/25))/(LN(2)/25)*Calculateur!DB122*Calculateur!DD122*VLOOKUP('Données projet'!$B$9,Paramètres!$A$1:$I$88,3,0)*0.475*44/12</f>
        <v>0</v>
      </c>
      <c r="DH122" s="23">
        <f>EXP(-LN(2)/2)*DH121+(1-EXP(-LN(2)/2))/(LN(2)/2)*DB122*DE122*VLOOKUP('Données projet'!$B$9,Paramètres!$A$1:$I$88,3,0)*0.475*44/12</f>
        <v>0</v>
      </c>
      <c r="DI122" s="24">
        <f t="shared" si="74"/>
        <v>0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IF(A122&lt;'Données projet'!$A$166,$DL$205^A122,IF(A122='Données projet'!$A$166,'Données projet'!$B$166,DO121+DN122-DW121))</f>
        <v>-8.5265128291212022E-14</v>
      </c>
      <c r="DP122" s="18">
        <f>DO122*VLOOKUP('Données projet'!$B$14,Paramètres!$A$1:$I$88,3,0)*VLOOKUP('Données projet'!$B$14,Paramètres!$A$1:$I$88,5,0)</f>
        <v>-4.9880100050359036E-14</v>
      </c>
      <c r="DQ122" s="14" t="e">
        <f t="shared" si="102"/>
        <v>#NUM!</v>
      </c>
      <c r="DR122" s="22" t="e">
        <f t="shared" si="75"/>
        <v>#NUM!</v>
      </c>
      <c r="DS122" s="62" t="e">
        <f t="shared" si="76"/>
        <v>#NUM!</v>
      </c>
      <c r="DT122" s="62">
        <f ca="1">AVERAGE(OFFSET($DS$3,0,0,'Données projet'!$E$14+1,1))-AVERAGE(OFFSET($H$3,0,0,'Données projet'!$E$14+1,1))</f>
        <v>155.18073137151848</v>
      </c>
      <c r="DU122" s="62">
        <f t="shared" si="77"/>
        <v>115.19459155667272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projet'!$B$14,Paramètres!$A$1:$I$88,7,0))</f>
        <v>0</v>
      </c>
      <c r="DY122" s="17">
        <f>IF(ISNA(VLOOKUP(A122,'Données projet'!$A$165:$I$185,6,0)),0%,VLOOKUP(A122,'Données projet'!$A$165:$I$185,6,0)*VLOOKUP('Données projet'!$B$14,Paramètres!$A$1:$I$88,7,0))</f>
        <v>0</v>
      </c>
      <c r="DZ122" s="17">
        <f>IF(ISNA(VLOOKUP(A122,'Données projet'!$A$165:$I$185,7,0)),0%,VLOOKUP(A122,'Données projet'!$A$165:$I$185,7,0))</f>
        <v>0</v>
      </c>
      <c r="EA122" s="23">
        <f>EXP(-LN(2)/35)*EA121+(1-EXP(-LN(2)/35))/(LN(2)/35)*DW122*DX122*VLOOKUP('Données projet'!$B$9,Paramètres!$A$1:$I$88,3,0)*0.475*44/12</f>
        <v>0</v>
      </c>
      <c r="EB122" s="23">
        <f>EXP(-LN(2)/25)*EB121+(1-EXP(-LN(2)/25))/(LN(2)/25)*Calculateur!DW122*Calculateur!DY122*VLOOKUP('Données projet'!$B$9,Paramètres!$A$1:$I$88,3,0)*0.475*44/12</f>
        <v>0</v>
      </c>
      <c r="EC122" s="23">
        <f>EXP(-LN(2)/2)*EC121+(1-EXP(-LN(2)/2))/(LN(2)/2)*DW122*DZ122*VLOOKUP('Données projet'!$B$9,Paramètres!$A$1:$I$88,3,0)*0.475*44/12</f>
        <v>0</v>
      </c>
      <c r="ED122" s="24">
        <f t="shared" si="78"/>
        <v>0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5.6</v>
      </c>
      <c r="EJ122" s="13">
        <f>IF(A122&lt;'Données projet'!$A$192,$EG$205^A122,IF(A122='Données projet'!$A$192,'Données projet'!$B$192,EJ121+EI122-ER121))</f>
        <v>264.39999999999992</v>
      </c>
      <c r="EK122" s="18">
        <f>EJ122*VLOOKUP('Données projet'!$B$15,Paramètres!$A$1:$I$88,3,0)*VLOOKUP('Données projet'!$B$15,Paramètres!$A$1:$I$88,5,0)</f>
        <v>123.73919999999997</v>
      </c>
      <c r="EL122" s="14">
        <f t="shared" si="103"/>
        <v>32.545542755824847</v>
      </c>
      <c r="EM122" s="22">
        <f t="shared" si="79"/>
        <v>272.19592696639489</v>
      </c>
      <c r="EN122" s="62">
        <f t="shared" si="80"/>
        <v>548.16578040591389</v>
      </c>
      <c r="EO122" s="62">
        <f ca="1">AVERAGE(OFFSET($EN$3,0,0,'Données projet'!$E$15+1,1))-AVERAGE(OFFSET($H$3,0,0,'Données projet'!$E$15+1,1))</f>
        <v>238.59014604384171</v>
      </c>
      <c r="EP122" s="62">
        <f t="shared" si="81"/>
        <v>90.841373219575217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projet'!$B$15,Paramètres!$A$1:$I$88,7,0))</f>
        <v>0</v>
      </c>
      <c r="ET122" s="17">
        <f>IF(ISNA(VLOOKUP(A122,'Données projet'!$A$191:$I$211,6,0)),0%,VLOOKUP(A122,'Données projet'!$A$191:$I$211,6,0)*VLOOKUP('Données projet'!$B$15,Paramètres!$A$1:$I$88,7,0))</f>
        <v>0</v>
      </c>
      <c r="EU122" s="17">
        <f>IF(ISNA(VLOOKUP(A122,'Données projet'!$A$191:$I$211,7,0)),0%,VLOOKUP(A122,'Données projet'!$A$191:$I$211,7,0))</f>
        <v>0</v>
      </c>
      <c r="EV122" s="23">
        <f>EXP(-LN(2)/35)*EV121+(1-EXP(-LN(2)/35))/(LN(2)/35)*ER122*ES122*VLOOKUP('Données projet'!$B$9,Paramètres!$A$1:$I$88,3,0)*0.475*44/12</f>
        <v>0</v>
      </c>
      <c r="EW122" s="23">
        <f>EXP(-LN(2)/25)*EW121+(1-EXP(-LN(2)/25))/(LN(2)/25)*Calculateur!ER122*Calculateur!ET122*VLOOKUP('Données projet'!$B$9,Paramètres!$A$1:$I$88,3,0)*0.475*44/12</f>
        <v>0</v>
      </c>
      <c r="EX122" s="23">
        <f>EXP(-LN(2)/2)*EX121+(1-EXP(-LN(2)/2))/(LN(2)/2)*ER122*EU122*VLOOKUP('Données projet'!$B$9,Paramètres!$A$1:$I$88,3,0)*0.475*44/12</f>
        <v>0</v>
      </c>
      <c r="EY122" s="24">
        <f t="shared" si="82"/>
        <v>0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IF(A122&lt;'Données projet'!$A$218,$FB$205^A122,IF(A122='Données projet'!$A$218,'Données projet'!$B$218,FE121+FD122-FM121))</f>
        <v>0</v>
      </c>
      <c r="FF122" s="18" t="e">
        <f>FE122*VLOOKUP('Données projet'!$B$16,Paramètres!$A$1:$I$88,3,0)*VLOOKUP('Données projet'!$B$16,Paramètres!$A$1:$I$88,5,0)</f>
        <v>#N/A</v>
      </c>
      <c r="FG122" s="14" t="e">
        <f t="shared" si="104"/>
        <v>#N/A</v>
      </c>
      <c r="FH122" s="22" t="e">
        <f t="shared" si="83"/>
        <v>#N/A</v>
      </c>
      <c r="FI122" s="62" t="e">
        <f t="shared" si="84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85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projet'!$B$16,Paramètres!$A$1:$I$88,7,0))</f>
        <v>0</v>
      </c>
      <c r="FO122" s="17">
        <f>IF(ISNA(VLOOKUP(A122,'Données projet'!$A$217:$I$237,6,0)),0%,VLOOKUP(A122,'Données projet'!$A$217:$I$237,6,0)*VLOOKUP('Données projet'!$B$16,Paramètres!$A$1:$I$88,7,0))</f>
        <v>0</v>
      </c>
      <c r="FP122" s="17">
        <f>IF(ISNA(VLOOKUP(A122,'Données projet'!$A$217:$I$237,7,0)),0%,VLOOKUP(A122,'Données projet'!$A$217:$I$237,7,0))</f>
        <v>0</v>
      </c>
      <c r="FQ122" s="23">
        <f>EXP(-LN(2)/35)*FQ121+(1-EXP(-LN(2)/35))/(LN(2)/35)*FM122*FN122*VLOOKUP('Données projet'!$B$9,Paramètres!$A$1:$I$88,3,0)*0.475*44/12</f>
        <v>0</v>
      </c>
      <c r="FR122" s="23">
        <f>EXP(-LN(2)/25)*FR121+(1-EXP(-LN(2)/25))/(LN(2)/25)*Calculateur!FM122*Calculateur!FO122*VLOOKUP('Données projet'!$B$9,Paramètres!$A$1:$I$88,3,0)*0.475*44/12</f>
        <v>0</v>
      </c>
      <c r="FS122" s="23">
        <f>EXP(-LN(2)/2)*FS121+(1-EXP(-LN(2)/2))/(LN(2)/2)*FM122*FP122*VLOOKUP('Données projet'!$B$9,Paramètres!$A$1:$I$88,3,0)*0.475*44/12</f>
        <v>0</v>
      </c>
      <c r="FT122" s="24">
        <f t="shared" si="86"/>
        <v>0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IF(A122&lt;'Données projet'!$A$244,$FW$205^A122,IF(A122='Données projet'!$A$244,'Données projet'!$B$244,FZ121+FY122-GH121))</f>
        <v>0</v>
      </c>
      <c r="GA122" s="18" t="e">
        <f>FZ122*VLOOKUP('Données projet'!$B$17,Paramètres!$A$1:$I$88,3,0)*VLOOKUP('Données projet'!$B$17,Paramètres!$A$1:$I$88,5,0)</f>
        <v>#N/A</v>
      </c>
      <c r="GB122" s="14" t="e">
        <f t="shared" si="105"/>
        <v>#N/A</v>
      </c>
      <c r="GC122" s="22" t="e">
        <f t="shared" si="87"/>
        <v>#N/A</v>
      </c>
      <c r="GD122" s="62" t="e">
        <f t="shared" si="88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89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projet'!$B$17,Paramètres!$A$1:$I$88,7,0))</f>
        <v>0</v>
      </c>
      <c r="GJ122" s="17">
        <f>IF(ISNA(VLOOKUP(A122,'Données projet'!$A$243:$I$263,6,0)),0%,VLOOKUP(A122,'Données projet'!$A$243:$I$263,6,0)*VLOOKUP('Données projet'!$B$17,Paramètres!$A$1:$I$88,7,0))</f>
        <v>0</v>
      </c>
      <c r="GK122" s="17">
        <f>IF(ISNA(VLOOKUP(A122,'Données projet'!$A$243:$I$263,7,0)),0%,VLOOKUP(A122,'Données projet'!$A$243:$I$263,7,0))</f>
        <v>0</v>
      </c>
      <c r="GL122" s="23">
        <f>EXP(-LN(2)/35)*GL121+(1-EXP(-LN(2)/35))/(LN(2)/35)*GH122*GI122*VLOOKUP('Données projet'!$B$9,Paramètres!$A$1:$I$88,3,0)*0.475*44/12</f>
        <v>0</v>
      </c>
      <c r="GM122" s="23">
        <f>EXP(-LN(2)/25)*GM121+(1-EXP(-LN(2)/25))/(LN(2)/25)*Calculateur!GH122*Calculateur!GJ122*VLOOKUP('Données projet'!$B$9,Paramètres!$A$1:$I$88,3,0)*0.475*44/12</f>
        <v>0</v>
      </c>
      <c r="GN122" s="23">
        <f>EXP(-LN(2)/2)*GN121+(1-EXP(-LN(2)/2))/(LN(2)/2)*GH122*GK122*VLOOKUP('Données projet'!$B$9,Paramètres!$A$1:$I$88,3,0)*0.475*44/12</f>
        <v>0</v>
      </c>
      <c r="GO122" s="23">
        <f t="shared" si="90"/>
        <v>0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IF(A122&lt;'Données projet'!$A$270,$GR$205^A122,IF(A122='Données projet'!$A$270,'Données projet'!$B$270,GU121+GT122-HC121))</f>
        <v>0</v>
      </c>
      <c r="GV122" s="18" t="e">
        <f>GU122*VLOOKUP('Données projet'!$B$18,Paramètres!$A$1:$I$88,3,0)*VLOOKUP('Données projet'!$B$18,Paramètres!$A$1:$I$88,5,0)</f>
        <v>#N/A</v>
      </c>
      <c r="GW122" s="14" t="e">
        <f t="shared" si="106"/>
        <v>#N/A</v>
      </c>
      <c r="GX122" s="22" t="e">
        <f t="shared" si="91"/>
        <v>#N/A</v>
      </c>
      <c r="GY122" s="62" t="e">
        <f t="shared" si="92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93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projet'!$B$18,Paramètres!$A$1:$I$88,7,0))</f>
        <v>0</v>
      </c>
      <c r="HE122" s="17">
        <f>IF(ISNA(VLOOKUP(A122,'Données projet'!$A$269:$I$289,6,0)),0%,VLOOKUP(A122,'Données projet'!$A$269:$I$289,6,0)*VLOOKUP('Données projet'!$B$18,Paramètres!$A$1:$I$88,7,0))</f>
        <v>0</v>
      </c>
      <c r="HF122" s="17">
        <f>IF(ISNA(VLOOKUP(A122,'Données projet'!$A$269:$I$289,7,0)),0%,VLOOKUP(A122,'Données projet'!$A$269:$I$289,7,0))</f>
        <v>0</v>
      </c>
      <c r="HG122" s="23">
        <f>EXP(-LN(2)/35)*HG121+(1-EXP(-LN(2)/35))/(LN(2)/35)*HC122*HD122*VLOOKUP('Données projet'!$B$9,Paramètres!$A$1:$I$88,3,0)*0.475*44/12</f>
        <v>0</v>
      </c>
      <c r="HH122" s="23">
        <f>EXP(-LN(2)/25)*HH121+(1-EXP(-LN(2)/25))/(LN(2)/25)*Calculateur!HC122*Calculateur!HE122*VLOOKUP('Données projet'!$B$9,Paramètres!$A$1:$I$88,3,0)*0.475*44/12</f>
        <v>0</v>
      </c>
      <c r="HI122" s="23">
        <f>EXP(-LN(2)/2)*HI121+(1-EXP(-LN(2)/2))/(LN(2)/2)*HC122*HF122*VLOOKUP('Données projet'!$B$9,Paramètres!$A$1:$I$88,3,0)*0.475*44/12</f>
        <v>0</v>
      </c>
      <c r="HJ122" s="24">
        <f t="shared" si="94"/>
        <v>0</v>
      </c>
    </row>
    <row r="123" spans="1:218" s="5" customFormat="1" x14ac:dyDescent="0.25">
      <c r="A123" s="11">
        <f t="shared" si="95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3" s="12">
        <f t="shared" si="9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57"/>
        <v>135.66666666666666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>
        <f>VLOOKUP(A123,'Données projet'!$A$35:$I$55,2,0)</f>
        <v>120.64166666666668</v>
      </c>
      <c r="L123" s="13">
        <f>VLOOKUP(A123,'Données projet'!$A$35:$I$55,9,0)</f>
        <v>1.3150000000000006</v>
      </c>
      <c r="M123" s="13">
        <f t="array" ref="M123">INDEX(L:L,MIN(IF(ISNUMBER(L123:L319),ROW(L123:L319),"")))</f>
        <v>1.3150000000000006</v>
      </c>
      <c r="N123" s="14">
        <f>IF(A123&lt;'Données projet'!$A$36,$K$205^A123,IF(A123='Données projet'!$A$36,'Données projet'!$B$36,N122+M123-V122))</f>
        <v>120.64166666666662</v>
      </c>
      <c r="O123" s="14">
        <f>N123*VLOOKUP('Données projet'!$B$9,Paramètres!$A$1:$I$88,3,0)*VLOOKUP('Données projet'!$B$9,Paramètres!$A$1:$I$88,5,0)</f>
        <v>138.97919999999993</v>
      </c>
      <c r="P123" s="14">
        <f t="shared" si="97"/>
        <v>36.063055041985905</v>
      </c>
      <c r="Q123" s="22">
        <f t="shared" si="107"/>
        <v>304.86526086479199</v>
      </c>
      <c r="R123" s="62">
        <f t="shared" si="55"/>
        <v>581.13633186154311</v>
      </c>
      <c r="S123" s="62">
        <f ca="1">AVERAGE(OFFSET($R$3,0,0,'Données projet'!$E$9+1,1))-AVERAGE(OFFSET($H$3,0,0,'Données projet'!$E$9+1,1))</f>
        <v>314.72063458462026</v>
      </c>
      <c r="T123" s="62">
        <f t="shared" si="56"/>
        <v>216.4380325968244</v>
      </c>
      <c r="U123" s="16">
        <f>IF(ISNA(VLOOKUP(A123,'Données projet'!$A$35:$I$55,3,0)),0,VLOOKUP(A123,'Données projet'!$A$35:$I$55,3,0))</f>
        <v>10</v>
      </c>
      <c r="V123" s="16">
        <f>IF(ISNA(VLOOKUP(A123,'Données projet'!$A$35:$I$55,4,0)),0,VLOOKUP(A123,'Données projet'!$A$35:$I$55,4,0))</f>
        <v>8.875</v>
      </c>
      <c r="W123" s="17">
        <f>IF(ISNA(VLOOKUP(A123,'Données projet'!$A$35:$I$55,5,0)),0%,VLOOKUP(A123,'Données projet'!$A$35:$I$55,5,0)*VLOOKUP('Données projet'!$B$9,Paramètres!$A$1:$I$88,7,0))</f>
        <v>0</v>
      </c>
      <c r="X123" s="17">
        <f>IF(ISNA(VLOOKUP(A123,'Données projet'!$A$35:$I$55,6,0)),0%,VLOOKUP(A123,'Données projet'!$A$35:$I$55,6,0)*VLOOKUP('Données projet'!$B$9,Paramètres!$A$1:$I$88,7,0))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projet'!$B$9,Paramètres!$A$1:$I$88,3,0)*0.475*44/12</f>
        <v>0</v>
      </c>
      <c r="AA123" s="23">
        <f>EXP(-LN(2)/25)*AA122+(1-EXP(-LN(2)/25))/(LN(2)/25)*Calculateur!V123*Calculateur!X123*VLOOKUP('Données projet'!$B$9,Paramètres!$A$1:$I$88,3,0)*0.475*44/12</f>
        <v>0</v>
      </c>
      <c r="AB123" s="23">
        <f>EXP(-LN(2)/2)*AB122+(1-EXP(-LN(2)/2))/(LN(2)/2)*V123*Y123*VLOOKUP('Données projet'!$B$9,Paramètres!$A$1:$I$88,3,0)*0.475*44/12</f>
        <v>0</v>
      </c>
      <c r="AC123" s="24">
        <f t="shared" si="58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>
        <f>VLOOKUP(A123,'Données projet'!$A$61:$I$81,2,0)</f>
        <v>267</v>
      </c>
      <c r="AG123" s="13">
        <f>VLOOKUP(A123,'Données projet'!$A$61:$I$81,9,0)</f>
        <v>2.5</v>
      </c>
      <c r="AH123" s="13">
        <f t="array" ref="AH123">INDEX(AG:AG,MIN(IF(ISNUMBER(AG123:AG319),ROW(AG123:AG319),"")))</f>
        <v>2.5</v>
      </c>
      <c r="AI123" s="14">
        <f>IF(A123&lt;'Données projet'!$A$62,$AF$205^A123,IF(A123='Données projet'!$A$62,'Données projet'!$B$62,AI122+AH123-AQ122))</f>
        <v>267</v>
      </c>
      <c r="AJ123" s="14">
        <f>AI123*VLOOKUP('Données projet'!$B$10,Paramètres!$A$1:$I$88,3,0)*VLOOKUP('Données projet'!$B$10,Paramètres!$A$1:$I$88,5,0)</f>
        <v>279.06840000000005</v>
      </c>
      <c r="AK123" s="14">
        <f t="shared" si="98"/>
        <v>66.770096850895143</v>
      </c>
      <c r="AL123" s="22">
        <f t="shared" si="59"/>
        <v>602.33538201530905</v>
      </c>
      <c r="AM123" s="62">
        <f t="shared" si="60"/>
        <v>878.60645301206023</v>
      </c>
      <c r="AN123" s="62">
        <f ca="1">AVERAGE(OFFSET($AM$3,0,0,'Données projet'!$E$10+1,1))-AVERAGE(OFFSET($H$3,0,0,'Données projet'!$E$10+1,1))</f>
        <v>458.33072853676879</v>
      </c>
      <c r="AO123" s="62">
        <f t="shared" si="61"/>
        <v>254.1734169352687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projet'!$B$10,Paramètres!$A$1:$I$88,7,0))</f>
        <v>0</v>
      </c>
      <c r="AS123" s="17">
        <f>IF(ISNA(VLOOKUP(A123,'Données projet'!$A$61:$I$81,6,0)),0%,VLOOKUP(A123,'Données projet'!$A$61:$I$81,6,0)*VLOOKUP('Données projet'!$B$10,Paramètres!$A$1:$I$88,7,0))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projet'!$B$9,Paramètres!$A$1:$I$88,3,0)*0.475*44/12</f>
        <v>0</v>
      </c>
      <c r="AV123" s="23">
        <f>EXP(-LN(2)/25)*AV122+(1-EXP(-LN(2)/25))/(LN(2)/25)*Calculateur!AQ123*Calculateur!AS123*VLOOKUP('Données projet'!$B$9,Paramètres!$A$1:$I$88,3,0)*0.475*44/12</f>
        <v>0</v>
      </c>
      <c r="AW123" s="23">
        <f>EXP(-LN(2)/2)*AW122+(1-EXP(-LN(2)/2))/(LN(2)/2)*AQ123*AT123*VLOOKUP('Données projet'!$B$9,Paramètres!$A$1:$I$88,3,0)*0.475*44/12</f>
        <v>0</v>
      </c>
      <c r="AX123" s="23">
        <f t="shared" si="62"/>
        <v>0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>
        <f>VLOOKUP(A123,'Données projet'!$A$87:$I$107,2,0)</f>
        <v>267</v>
      </c>
      <c r="BB123" s="13">
        <f>VLOOKUP(A123,'Données projet'!$A$87:$I$107,9,0)</f>
        <v>2.5</v>
      </c>
      <c r="BC123" s="13">
        <f t="array" ref="BC123">INDEX(BB:BB,MIN(IF(ISNUMBER(BB123:BB319),ROW(BB123:BB319),"")))</f>
        <v>2.5</v>
      </c>
      <c r="BD123" s="13">
        <f>IF(A123&lt;'Données projet'!$A$88,$BA$205^A123,IF(A123='Données projet'!$A$88,'Données projet'!$B$88,BD122+BC123-BL122))</f>
        <v>267</v>
      </c>
      <c r="BE123" s="14">
        <f>BD123*VLOOKUP('Données projet'!$B$11,Paramètres!$A$1:$I$88,3,0)*VLOOKUP('Données projet'!$B$11,Paramètres!$A$1:$I$88,5,0)</f>
        <v>270.738</v>
      </c>
      <c r="BF123" s="14">
        <f t="shared" si="99"/>
        <v>65.005866623551711</v>
      </c>
      <c r="BG123" s="22">
        <f t="shared" si="63"/>
        <v>584.7539010360191</v>
      </c>
      <c r="BH123" s="62">
        <f t="shared" si="64"/>
        <v>861.02497203277028</v>
      </c>
      <c r="BI123" s="62">
        <f ca="1">AVERAGE(OFFSET($BH$3,0,0,'Données projet'!$E$11+1,1))-AVERAGE(OFFSET($H$3,0,0,'Données projet'!$E$11+1,1))</f>
        <v>447.82618173893104</v>
      </c>
      <c r="BJ123" s="62">
        <f t="shared" si="65"/>
        <v>248.96509970783379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projet'!$B$11,Paramètres!$A$1:$I$88,7,0))</f>
        <v>0</v>
      </c>
      <c r="BN123" s="17">
        <f>IF(ISNA(VLOOKUP(A123,'Données projet'!$A$87:$I$107,6,0)),0%,VLOOKUP(A123,'Données projet'!$A$87:$I$107,6,0)*VLOOKUP('Données projet'!$B$11,Paramètres!$A$1:$I$88,7,0))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projet'!$B$9,Paramètres!$A$1:$I$88,3,0)*0.475*44/12</f>
        <v>0</v>
      </c>
      <c r="BQ123" s="23">
        <f>EXP(-LN(2)/25)*BQ122+(1-EXP(-LN(2)/25))/(LN(2)/25)*Calculateur!BL123*Calculateur!BN123*VLOOKUP('Données projet'!$B$9,Paramètres!$A$1:$I$88,3,0)*0.475*44/12</f>
        <v>0</v>
      </c>
      <c r="BR123" s="23">
        <f>EXP(-LN(2)/2)*BR122+(1-EXP(-LN(2)/2))/(LN(2)/2)*BL123*BO123*VLOOKUP('Données projet'!$B$9,Paramètres!$A$1:$I$88,3,0)*0.475*44/12</f>
        <v>0</v>
      </c>
      <c r="BS123" s="24">
        <f t="shared" si="66"/>
        <v>0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>
        <f>VLOOKUP(A123,'Données projet'!$A$113:$I$133,2,0)</f>
        <v>267</v>
      </c>
      <c r="BW123" s="13">
        <f>VLOOKUP(A123,'Données projet'!$A$113:$I$133,9,0)</f>
        <v>2.5</v>
      </c>
      <c r="BX123" s="13">
        <f t="array" ref="BX123">INDEX(BW:BW,MIN(IF(ISNUMBER(BW123:BW319),ROW(BW123:BW319),"")))</f>
        <v>2.5</v>
      </c>
      <c r="BY123" s="13">
        <f>IF(A123&lt;'Données projet'!$A$114,$BV$205^A123,IF(A123='Données projet'!$A$114,'Données projet'!$B$114,BY122+BX123-CG122))</f>
        <v>267</v>
      </c>
      <c r="BZ123" s="14">
        <f>BY123*VLOOKUP('Données projet'!$B$12,Paramètres!$A$1:$I$88,3,0)*VLOOKUP('Données projet'!$B$12,Paramètres!$A$1:$I$88,5,0)</f>
        <v>287.39879999999999</v>
      </c>
      <c r="CA123" s="14">
        <f t="shared" si="100"/>
        <v>68.528206713592894</v>
      </c>
      <c r="CB123" s="22">
        <f t="shared" si="67"/>
        <v>619.90620335950757</v>
      </c>
      <c r="CC123" s="62">
        <f t="shared" si="68"/>
        <v>896.17727435625875</v>
      </c>
      <c r="CD123" s="62">
        <f ca="1">AVERAGE(OFFSET($CC$3,0,0,'Données projet'!$E$12+1,1))-AVERAGE(OFFSET($H$3,0,0,'Données projet'!$E$12+1,1))</f>
        <v>468.82871618425406</v>
      </c>
      <c r="CE123" s="62">
        <f t="shared" si="69"/>
        <v>259.37818128554397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projet'!$B$12,Paramètres!$A$1:$I$88,7,0))</f>
        <v>0</v>
      </c>
      <c r="CI123" s="17">
        <f>IF(ISNA(VLOOKUP(A123,'Données projet'!$A$113:$I$133,6,0)),0%,VLOOKUP(A123,'Données projet'!$A$113:$I$133,6,0)*VLOOKUP('Données projet'!$B$12,Paramètres!$A$1:$I$88,7,0))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projet'!$B$9,Paramètres!$A$1:$I$88,3,0)*0.475*44/12</f>
        <v>0</v>
      </c>
      <c r="CL123" s="23">
        <f>EXP(-LN(2)/25)*CL122+(1-EXP(-LN(2)/25))/(LN(2)/25)*Calculateur!CG123*Calculateur!CI123*VLOOKUP('Données projet'!$B$9,Paramètres!$A$1:$I$88,3,0)*0.475*44/12</f>
        <v>0</v>
      </c>
      <c r="CM123" s="23">
        <f>EXP(-LN(2)/2)*CM122+(1-EXP(-LN(2)/2))/(LN(2)/2)*CG123*CJ123*VLOOKUP('Données projet'!$B$9,Paramètres!$A$1:$I$88,3,0)*0.475*44/12</f>
        <v>0</v>
      </c>
      <c r="CN123" s="24">
        <f t="shared" si="70"/>
        <v>0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>
        <f>VLOOKUP(A123,'Données projet'!$A$139:$I$159,2,0)</f>
        <v>267</v>
      </c>
      <c r="CR123" s="13">
        <f>VLOOKUP(A123,'Données projet'!$A$139:$I$159,9,0)</f>
        <v>2.5</v>
      </c>
      <c r="CS123" s="13">
        <f t="array" ref="CS123">INDEX(CR:CR,MIN(IF(ISNUMBER(CR123:CR319),ROW(CR123:CR319),"")))</f>
        <v>2.5</v>
      </c>
      <c r="CT123" s="13">
        <f>IF(A123&lt;'Données projet'!$A$140,$CQ$205^A123,IF(A123='Données projet'!$A$140,'Données projet'!$B$140,CT122+CS123-DB122))</f>
        <v>267</v>
      </c>
      <c r="CU123" s="18">
        <f>CT123*VLOOKUP('Données projet'!$B$13,Paramètres!$A$1:$I$88,3,0)*VLOOKUP('Données projet'!$B$13,Paramètres!$A$1:$I$88,5,0)</f>
        <v>229.08600000000004</v>
      </c>
      <c r="CV123" s="14">
        <f t="shared" si="101"/>
        <v>56.085007586294346</v>
      </c>
      <c r="CW123" s="22">
        <f t="shared" si="71"/>
        <v>496.67283821279602</v>
      </c>
      <c r="CX123" s="62">
        <f t="shared" si="72"/>
        <v>772.9439092095472</v>
      </c>
      <c r="CY123" s="62">
        <f ca="1">AVERAGE(OFFSET($CX$3,0,0,'Données projet'!$E$13+1,1))-AVERAGE(OFFSET($H$3,0,0,'Données projet'!$E$13+1,1))</f>
        <v>395.19659151668884</v>
      </c>
      <c r="CZ123" s="62">
        <f t="shared" si="73"/>
        <v>222.86563304507339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projet'!$B$13,Paramètres!$A$1:$I$88,7,0))</f>
        <v>0</v>
      </c>
      <c r="DD123" s="17">
        <f>IF(ISNA(VLOOKUP(A123,'Données projet'!$A$139:$I$159,6,0)),0%,VLOOKUP(A123,'Données projet'!$A$139:$I$159,6,0)*VLOOKUP('Données projet'!$B$13,Paramètres!$A$1:$I$88,7,0))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projet'!$B$9,Paramètres!$A$1:$I$88,3,0)*0.475*44/12</f>
        <v>0</v>
      </c>
      <c r="DG123" s="23">
        <f>EXP(-LN(2)/25)*DG122+(1-EXP(-LN(2)/25))/(LN(2)/25)*Calculateur!DB123*Calculateur!DD123*VLOOKUP('Données projet'!$B$9,Paramètres!$A$1:$I$88,3,0)*0.475*44/12</f>
        <v>0</v>
      </c>
      <c r="DH123" s="23">
        <f>EXP(-LN(2)/2)*DH122+(1-EXP(-LN(2)/2))/(LN(2)/2)*DB123*DE123*VLOOKUP('Données projet'!$B$9,Paramètres!$A$1:$I$88,3,0)*0.475*44/12</f>
        <v>0</v>
      </c>
      <c r="DI123" s="24">
        <f t="shared" si="74"/>
        <v>0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IF(A123&lt;'Données projet'!$A$166,$DL$205^A123,IF(A123='Données projet'!$A$166,'Données projet'!$B$166,DO122+DN123-DW122))</f>
        <v>-8.5265128291212022E-14</v>
      </c>
      <c r="DP123" s="18">
        <f>DO123*VLOOKUP('Données projet'!$B$14,Paramètres!$A$1:$I$88,3,0)*VLOOKUP('Données projet'!$B$14,Paramètres!$A$1:$I$88,5,0)</f>
        <v>-4.9880100050359036E-14</v>
      </c>
      <c r="DQ123" s="14" t="e">
        <f t="shared" si="102"/>
        <v>#NUM!</v>
      </c>
      <c r="DR123" s="22" t="e">
        <f t="shared" si="75"/>
        <v>#NUM!</v>
      </c>
      <c r="DS123" s="62" t="e">
        <f t="shared" si="76"/>
        <v>#NUM!</v>
      </c>
      <c r="DT123" s="62">
        <f ca="1">AVERAGE(OFFSET($DS$3,0,0,'Données projet'!$E$14+1,1))-AVERAGE(OFFSET($H$3,0,0,'Données projet'!$E$14+1,1))</f>
        <v>155.18073137151848</v>
      </c>
      <c r="DU123" s="62">
        <f t="shared" si="77"/>
        <v>115.19459155667272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projet'!$B$14,Paramètres!$A$1:$I$88,7,0))</f>
        <v>0</v>
      </c>
      <c r="DY123" s="17">
        <f>IF(ISNA(VLOOKUP(A123,'Données projet'!$A$165:$I$185,6,0)),0%,VLOOKUP(A123,'Données projet'!$A$165:$I$185,6,0)*VLOOKUP('Données projet'!$B$14,Paramètres!$A$1:$I$88,7,0))</f>
        <v>0</v>
      </c>
      <c r="DZ123" s="17">
        <f>IF(ISNA(VLOOKUP(A123,'Données projet'!$A$165:$I$185,7,0)),0%,VLOOKUP(A123,'Données projet'!$A$165:$I$185,7,0))</f>
        <v>0</v>
      </c>
      <c r="EA123" s="23">
        <f>EXP(-LN(2)/35)*EA122+(1-EXP(-LN(2)/35))/(LN(2)/35)*DW123*DX123*VLOOKUP('Données projet'!$B$9,Paramètres!$A$1:$I$88,3,0)*0.475*44/12</f>
        <v>0</v>
      </c>
      <c r="EB123" s="23">
        <f>EXP(-LN(2)/25)*EB122+(1-EXP(-LN(2)/25))/(LN(2)/25)*Calculateur!DW123*Calculateur!DY123*VLOOKUP('Données projet'!$B$9,Paramètres!$A$1:$I$88,3,0)*0.475*44/12</f>
        <v>0</v>
      </c>
      <c r="EC123" s="23">
        <f>EXP(-LN(2)/2)*EC122+(1-EXP(-LN(2)/2))/(LN(2)/2)*DW123*DZ123*VLOOKUP('Données projet'!$B$9,Paramètres!$A$1:$I$88,3,0)*0.475*44/12</f>
        <v>0</v>
      </c>
      <c r="ED123" s="24">
        <f t="shared" si="78"/>
        <v>0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>
        <f>VLOOKUP(A123,'Données projet'!$A$191:$I$211,2,0)</f>
        <v>270</v>
      </c>
      <c r="EH123" s="13">
        <f>VLOOKUP(A123,'Données projet'!$A$191:$I$211,9,0)</f>
        <v>5.6</v>
      </c>
      <c r="EI123" s="13">
        <f t="array" ref="EI123">INDEX(EH:EH,MIN(IF(ISNUMBER(EH123:EH319),ROW(EH123:EH319),"")))</f>
        <v>5.6</v>
      </c>
      <c r="EJ123" s="13">
        <f>IF(A123&lt;'Données projet'!$A$192,$EG$205^A123,IF(A123='Données projet'!$A$192,'Données projet'!$B$192,EJ122+EI123-ER122))</f>
        <v>269.99999999999994</v>
      </c>
      <c r="EK123" s="18">
        <f>EJ123*VLOOKUP('Données projet'!$B$15,Paramètres!$A$1:$I$88,3,0)*VLOOKUP('Données projet'!$B$15,Paramètres!$A$1:$I$88,5,0)</f>
        <v>126.35999999999997</v>
      </c>
      <c r="EL123" s="14">
        <f t="shared" si="103"/>
        <v>33.153877056327453</v>
      </c>
      <c r="EM123" s="22">
        <f t="shared" si="79"/>
        <v>277.82000253977026</v>
      </c>
      <c r="EN123" s="62">
        <f t="shared" si="80"/>
        <v>554.09107353652144</v>
      </c>
      <c r="EO123" s="62">
        <f ca="1">AVERAGE(OFFSET($EN$3,0,0,'Données projet'!$E$15+1,1))-AVERAGE(OFFSET($H$3,0,0,'Données projet'!$E$15+1,1))</f>
        <v>238.59014604384171</v>
      </c>
      <c r="EP123" s="62">
        <f t="shared" si="81"/>
        <v>90.841373219575217</v>
      </c>
      <c r="EQ123" s="16">
        <f>IF(ISNA(VLOOKUP(A123,'Données projet'!$A$191:$I$211,3,0)),0,VLOOKUP(A123,'Données projet'!$A$191:$I$211,3,0))</f>
        <v>7</v>
      </c>
      <c r="ER123" s="16">
        <f>IF(ISNA(VLOOKUP(A123,'Données projet'!$A$191:$I$211,4,0)),0,VLOOKUP(A123,'Données projet'!$A$191:$I$211,4,0))</f>
        <v>270</v>
      </c>
      <c r="ES123" s="17">
        <f>IF(ISNA(VLOOKUP(A123,'Données projet'!$A$191:$I$211,5,0)),0%,VLOOKUP(A123,'Données projet'!$A$191:$I$211,5,0)*VLOOKUP('Données projet'!$B$15,Paramètres!$A$1:$I$88,7,0))</f>
        <v>0</v>
      </c>
      <c r="ET123" s="17">
        <f>IF(ISNA(VLOOKUP(A123,'Données projet'!$A$191:$I$211,6,0)),0%,VLOOKUP(A123,'Données projet'!$A$191:$I$211,6,0)*VLOOKUP('Données projet'!$B$15,Paramètres!$A$1:$I$88,7,0))</f>
        <v>0</v>
      </c>
      <c r="EU123" s="17">
        <f>IF(ISNA(VLOOKUP(A123,'Données projet'!$A$191:$I$211,7,0)),0%,VLOOKUP(A123,'Données projet'!$A$191:$I$211,7,0))</f>
        <v>0</v>
      </c>
      <c r="EV123" s="23">
        <f>EXP(-LN(2)/35)*EV122+(1-EXP(-LN(2)/35))/(LN(2)/35)*ER123*ES123*VLOOKUP('Données projet'!$B$9,Paramètres!$A$1:$I$88,3,0)*0.475*44/12</f>
        <v>0</v>
      </c>
      <c r="EW123" s="23">
        <f>EXP(-LN(2)/25)*EW122+(1-EXP(-LN(2)/25))/(LN(2)/25)*Calculateur!ER123*Calculateur!ET123*VLOOKUP('Données projet'!$B$9,Paramètres!$A$1:$I$88,3,0)*0.475*44/12</f>
        <v>0</v>
      </c>
      <c r="EX123" s="23">
        <f>EXP(-LN(2)/2)*EX122+(1-EXP(-LN(2)/2))/(LN(2)/2)*ER123*EU123*VLOOKUP('Données projet'!$B$9,Paramètres!$A$1:$I$88,3,0)*0.475*44/12</f>
        <v>0</v>
      </c>
      <c r="EY123" s="24">
        <f t="shared" si="82"/>
        <v>0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IF(A123&lt;'Données projet'!$A$218,$FB$205^A123,IF(A123='Données projet'!$A$218,'Données projet'!$B$218,FE122+FD123-FM122))</f>
        <v>0</v>
      </c>
      <c r="FF123" s="18" t="e">
        <f>FE123*VLOOKUP('Données projet'!$B$16,Paramètres!$A$1:$I$88,3,0)*VLOOKUP('Données projet'!$B$16,Paramètres!$A$1:$I$88,5,0)</f>
        <v>#N/A</v>
      </c>
      <c r="FG123" s="14" t="e">
        <f t="shared" si="104"/>
        <v>#N/A</v>
      </c>
      <c r="FH123" s="22" t="e">
        <f t="shared" si="83"/>
        <v>#N/A</v>
      </c>
      <c r="FI123" s="62" t="e">
        <f t="shared" si="84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85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projet'!$B$16,Paramètres!$A$1:$I$88,7,0))</f>
        <v>0</v>
      </c>
      <c r="FO123" s="17">
        <f>IF(ISNA(VLOOKUP(A123,'Données projet'!$A$217:$I$237,6,0)),0%,VLOOKUP(A123,'Données projet'!$A$217:$I$237,6,0)*VLOOKUP('Données projet'!$B$16,Paramètres!$A$1:$I$88,7,0))</f>
        <v>0</v>
      </c>
      <c r="FP123" s="17">
        <f>IF(ISNA(VLOOKUP(A123,'Données projet'!$A$217:$I$237,7,0)),0%,VLOOKUP(A123,'Données projet'!$A$217:$I$237,7,0))</f>
        <v>0</v>
      </c>
      <c r="FQ123" s="23">
        <f>EXP(-LN(2)/35)*FQ122+(1-EXP(-LN(2)/35))/(LN(2)/35)*FM123*FN123*VLOOKUP('Données projet'!$B$9,Paramètres!$A$1:$I$88,3,0)*0.475*44/12</f>
        <v>0</v>
      </c>
      <c r="FR123" s="23">
        <f>EXP(-LN(2)/25)*FR122+(1-EXP(-LN(2)/25))/(LN(2)/25)*Calculateur!FM123*Calculateur!FO123*VLOOKUP('Données projet'!$B$9,Paramètres!$A$1:$I$88,3,0)*0.475*44/12</f>
        <v>0</v>
      </c>
      <c r="FS123" s="23">
        <f>EXP(-LN(2)/2)*FS122+(1-EXP(-LN(2)/2))/(LN(2)/2)*FM123*FP123*VLOOKUP('Données projet'!$B$9,Paramètres!$A$1:$I$88,3,0)*0.475*44/12</f>
        <v>0</v>
      </c>
      <c r="FT123" s="24">
        <f t="shared" si="86"/>
        <v>0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IF(A123&lt;'Données projet'!$A$244,$FW$205^A123,IF(A123='Données projet'!$A$244,'Données projet'!$B$244,FZ122+FY123-GH122))</f>
        <v>0</v>
      </c>
      <c r="GA123" s="18" t="e">
        <f>FZ123*VLOOKUP('Données projet'!$B$17,Paramètres!$A$1:$I$88,3,0)*VLOOKUP('Données projet'!$B$17,Paramètres!$A$1:$I$88,5,0)</f>
        <v>#N/A</v>
      </c>
      <c r="GB123" s="14" t="e">
        <f t="shared" si="105"/>
        <v>#N/A</v>
      </c>
      <c r="GC123" s="22" t="e">
        <f t="shared" si="87"/>
        <v>#N/A</v>
      </c>
      <c r="GD123" s="62" t="e">
        <f t="shared" si="88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89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projet'!$B$17,Paramètres!$A$1:$I$88,7,0))</f>
        <v>0</v>
      </c>
      <c r="GJ123" s="17">
        <f>IF(ISNA(VLOOKUP(A123,'Données projet'!$A$243:$I$263,6,0)),0%,VLOOKUP(A123,'Données projet'!$A$243:$I$263,6,0)*VLOOKUP('Données projet'!$B$17,Paramètres!$A$1:$I$88,7,0))</f>
        <v>0</v>
      </c>
      <c r="GK123" s="17">
        <f>IF(ISNA(VLOOKUP(A123,'Données projet'!$A$243:$I$263,7,0)),0%,VLOOKUP(A123,'Données projet'!$A$243:$I$263,7,0))</f>
        <v>0</v>
      </c>
      <c r="GL123" s="23">
        <f>EXP(-LN(2)/35)*GL122+(1-EXP(-LN(2)/35))/(LN(2)/35)*GH123*GI123*VLOOKUP('Données projet'!$B$9,Paramètres!$A$1:$I$88,3,0)*0.475*44/12</f>
        <v>0</v>
      </c>
      <c r="GM123" s="23">
        <f>EXP(-LN(2)/25)*GM122+(1-EXP(-LN(2)/25))/(LN(2)/25)*Calculateur!GH123*Calculateur!GJ123*VLOOKUP('Données projet'!$B$9,Paramètres!$A$1:$I$88,3,0)*0.475*44/12</f>
        <v>0</v>
      </c>
      <c r="GN123" s="23">
        <f>EXP(-LN(2)/2)*GN122+(1-EXP(-LN(2)/2))/(LN(2)/2)*GH123*GK123*VLOOKUP('Données projet'!$B$9,Paramètres!$A$1:$I$88,3,0)*0.475*44/12</f>
        <v>0</v>
      </c>
      <c r="GO123" s="23">
        <f t="shared" si="90"/>
        <v>0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IF(A123&lt;'Données projet'!$A$270,$GR$205^A123,IF(A123='Données projet'!$A$270,'Données projet'!$B$270,GU122+GT123-HC122))</f>
        <v>0</v>
      </c>
      <c r="GV123" s="18" t="e">
        <f>GU123*VLOOKUP('Données projet'!$B$18,Paramètres!$A$1:$I$88,3,0)*VLOOKUP('Données projet'!$B$18,Paramètres!$A$1:$I$88,5,0)</f>
        <v>#N/A</v>
      </c>
      <c r="GW123" s="14" t="e">
        <f t="shared" si="106"/>
        <v>#N/A</v>
      </c>
      <c r="GX123" s="22" t="e">
        <f t="shared" si="91"/>
        <v>#N/A</v>
      </c>
      <c r="GY123" s="62" t="e">
        <f t="shared" si="92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93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projet'!$B$18,Paramètres!$A$1:$I$88,7,0))</f>
        <v>0</v>
      </c>
      <c r="HE123" s="17">
        <f>IF(ISNA(VLOOKUP(A123,'Données projet'!$A$269:$I$289,6,0)),0%,VLOOKUP(A123,'Données projet'!$A$269:$I$289,6,0)*VLOOKUP('Données projet'!$B$18,Paramètres!$A$1:$I$88,7,0))</f>
        <v>0</v>
      </c>
      <c r="HF123" s="17">
        <f>IF(ISNA(VLOOKUP(A123,'Données projet'!$A$269:$I$289,7,0)),0%,VLOOKUP(A123,'Données projet'!$A$269:$I$289,7,0))</f>
        <v>0</v>
      </c>
      <c r="HG123" s="23">
        <f>EXP(-LN(2)/35)*HG122+(1-EXP(-LN(2)/35))/(LN(2)/35)*HC123*HD123*VLOOKUP('Données projet'!$B$9,Paramètres!$A$1:$I$88,3,0)*0.475*44/12</f>
        <v>0</v>
      </c>
      <c r="HH123" s="23">
        <f>EXP(-LN(2)/25)*HH122+(1-EXP(-LN(2)/25))/(LN(2)/25)*Calculateur!HC123*Calculateur!HE123*VLOOKUP('Données projet'!$B$9,Paramètres!$A$1:$I$88,3,0)*0.475*44/12</f>
        <v>0</v>
      </c>
      <c r="HI123" s="23">
        <f>EXP(-LN(2)/2)*HI122+(1-EXP(-LN(2)/2))/(LN(2)/2)*HC123*HF123*VLOOKUP('Données projet'!$B$9,Paramètres!$A$1:$I$88,3,0)*0.475*44/12</f>
        <v>0</v>
      </c>
      <c r="HJ123" s="24">
        <f t="shared" si="94"/>
        <v>0</v>
      </c>
    </row>
    <row r="124" spans="1:218" s="5" customFormat="1" x14ac:dyDescent="0.25">
      <c r="A124" s="11">
        <f t="shared" si="95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4" s="12">
        <f t="shared" si="9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57"/>
        <v>135.66666666666666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1.2474999999999994</v>
      </c>
      <c r="N124" s="14">
        <f>IF(A124&lt;'Données projet'!$A$36,$K$205^A124,IF(A124='Données projet'!$A$36,'Données projet'!$B$36,N123+M124-V123))</f>
        <v>113.01416666666663</v>
      </c>
      <c r="O124" s="14">
        <f>N124*VLOOKUP('Données projet'!$B$9,Paramètres!$A$1:$I$88,3,0)*VLOOKUP('Données projet'!$B$9,Paramètres!$A$1:$I$88,5,0)</f>
        <v>130.19231999999994</v>
      </c>
      <c r="P124" s="14">
        <f t="shared" si="97"/>
        <v>34.040795013550785</v>
      </c>
      <c r="Q124" s="22">
        <f t="shared" si="107"/>
        <v>286.03934198193417</v>
      </c>
      <c r="R124" s="62">
        <f t="shared" si="55"/>
        <v>562.60640508472102</v>
      </c>
      <c r="S124" s="62">
        <f ca="1">AVERAGE(OFFSET($R$3,0,0,'Données projet'!$E$9+1,1))-AVERAGE(OFFSET($H$3,0,0,'Données projet'!$E$9+1,1))</f>
        <v>314.72063458462026</v>
      </c>
      <c r="T124" s="62">
        <f t="shared" si="56"/>
        <v>216.4380325968244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projet'!$B$9,Paramètres!$A$1:$I$88,7,0))</f>
        <v>0</v>
      </c>
      <c r="X124" s="17">
        <f>IF(ISNA(VLOOKUP(A124,'Données projet'!$A$35:$I$55,6,0)),0%,VLOOKUP(A124,'Données projet'!$A$35:$I$55,6,0)*VLOOKUP('Données projet'!$B$9,Paramètres!$A$1:$I$88,7,0))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projet'!$B$9,Paramètres!$A$1:$I$88,3,0)*0.475*44/12</f>
        <v>0</v>
      </c>
      <c r="AA124" s="23">
        <f>EXP(-LN(2)/25)*AA123+(1-EXP(-LN(2)/25))/(LN(2)/25)*Calculateur!V124*Calculateur!X124*VLOOKUP('Données projet'!$B$9,Paramètres!$A$1:$I$88,3,0)*0.475*44/12</f>
        <v>0</v>
      </c>
      <c r="AB124" s="23">
        <f>EXP(-LN(2)/2)*AB123+(1-EXP(-LN(2)/2))/(LN(2)/2)*V124*Y124*VLOOKUP('Données projet'!$B$9,Paramètres!$A$1:$I$88,3,0)*0.475*44/12</f>
        <v>0</v>
      </c>
      <c r="AC124" s="24">
        <f t="shared" si="58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2.2999999999999998</v>
      </c>
      <c r="AI124" s="14">
        <f>IF(A124&lt;'Données projet'!$A$62,$AF$205^A124,IF(A124='Données projet'!$A$62,'Données projet'!$B$62,AI123+AH124-AQ123))</f>
        <v>269.3</v>
      </c>
      <c r="AJ124" s="14">
        <f>AI124*VLOOKUP('Données projet'!$B$10,Paramètres!$A$1:$I$88,3,0)*VLOOKUP('Données projet'!$B$10,Paramètres!$A$1:$I$88,5,0)</f>
        <v>281.47236000000004</v>
      </c>
      <c r="AK124" s="14">
        <f t="shared" si="98"/>
        <v>67.278065835146876</v>
      </c>
      <c r="AL124" s="22">
        <f t="shared" si="59"/>
        <v>607.40699166288084</v>
      </c>
      <c r="AM124" s="62">
        <f t="shared" si="60"/>
        <v>883.97405476566769</v>
      </c>
      <c r="AN124" s="62">
        <f ca="1">AVERAGE(OFFSET($AM$3,0,0,'Données projet'!$E$10+1,1))-AVERAGE(OFFSET($H$3,0,0,'Données projet'!$E$10+1,1))</f>
        <v>458.33072853676879</v>
      </c>
      <c r="AO124" s="62">
        <f t="shared" si="61"/>
        <v>254.1734169352687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projet'!$B$10,Paramètres!$A$1:$I$88,7,0))</f>
        <v>0</v>
      </c>
      <c r="AS124" s="17">
        <f>IF(ISNA(VLOOKUP(A124,'Données projet'!$A$61:$I$81,6,0)),0%,VLOOKUP(A124,'Données projet'!$A$61:$I$81,6,0)*VLOOKUP('Données projet'!$B$10,Paramètres!$A$1:$I$88,7,0))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projet'!$B$9,Paramètres!$A$1:$I$88,3,0)*0.475*44/12</f>
        <v>0</v>
      </c>
      <c r="AV124" s="23">
        <f>EXP(-LN(2)/25)*AV123+(1-EXP(-LN(2)/25))/(LN(2)/25)*Calculateur!AQ124*Calculateur!AS124*VLOOKUP('Données projet'!$B$9,Paramètres!$A$1:$I$88,3,0)*0.475*44/12</f>
        <v>0</v>
      </c>
      <c r="AW124" s="23">
        <f>EXP(-LN(2)/2)*AW123+(1-EXP(-LN(2)/2))/(LN(2)/2)*AQ124*AT124*VLOOKUP('Données projet'!$B$9,Paramètres!$A$1:$I$88,3,0)*0.475*44/12</f>
        <v>0</v>
      </c>
      <c r="AX124" s="23">
        <f t="shared" si="62"/>
        <v>0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2.2999999999999998</v>
      </c>
      <c r="BD124" s="13">
        <f>IF(A124&lt;'Données projet'!$A$88,$BA$205^A124,IF(A124='Données projet'!$A$88,'Données projet'!$B$88,BD123+BC124-BL123))</f>
        <v>269.3</v>
      </c>
      <c r="BE124" s="14">
        <f>BD124*VLOOKUP('Données projet'!$B$11,Paramètres!$A$1:$I$88,3,0)*VLOOKUP('Données projet'!$B$11,Paramètres!$A$1:$I$88,5,0)</f>
        <v>273.07020000000006</v>
      </c>
      <c r="BF124" s="14">
        <f t="shared" si="99"/>
        <v>65.500413817528454</v>
      </c>
      <c r="BG124" s="22">
        <f t="shared" si="63"/>
        <v>589.67715239886218</v>
      </c>
      <c r="BH124" s="62">
        <f t="shared" si="64"/>
        <v>866.24421550164902</v>
      </c>
      <c r="BI124" s="62">
        <f ca="1">AVERAGE(OFFSET($BH$3,0,0,'Données projet'!$E$11+1,1))-AVERAGE(OFFSET($H$3,0,0,'Données projet'!$E$11+1,1))</f>
        <v>447.82618173893104</v>
      </c>
      <c r="BJ124" s="62">
        <f t="shared" si="65"/>
        <v>248.96509970783379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projet'!$B$11,Paramètres!$A$1:$I$88,7,0))</f>
        <v>0</v>
      </c>
      <c r="BN124" s="17">
        <f>IF(ISNA(VLOOKUP(A124,'Données projet'!$A$87:$I$107,6,0)),0%,VLOOKUP(A124,'Données projet'!$A$87:$I$107,6,0)*VLOOKUP('Données projet'!$B$11,Paramètres!$A$1:$I$88,7,0))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projet'!$B$9,Paramètres!$A$1:$I$88,3,0)*0.475*44/12</f>
        <v>0</v>
      </c>
      <c r="BQ124" s="23">
        <f>EXP(-LN(2)/25)*BQ123+(1-EXP(-LN(2)/25))/(LN(2)/25)*Calculateur!BL124*Calculateur!BN124*VLOOKUP('Données projet'!$B$9,Paramètres!$A$1:$I$88,3,0)*0.475*44/12</f>
        <v>0</v>
      </c>
      <c r="BR124" s="23">
        <f>EXP(-LN(2)/2)*BR123+(1-EXP(-LN(2)/2))/(LN(2)/2)*BL124*BO124*VLOOKUP('Données projet'!$B$9,Paramètres!$A$1:$I$88,3,0)*0.475*44/12</f>
        <v>0</v>
      </c>
      <c r="BS124" s="24">
        <f t="shared" si="66"/>
        <v>0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2.2999999999999998</v>
      </c>
      <c r="BY124" s="13">
        <f>IF(A124&lt;'Données projet'!$A$114,$BV$205^A124,IF(A124='Données projet'!$A$114,'Données projet'!$B$114,BY123+BX124-CG123))</f>
        <v>269.3</v>
      </c>
      <c r="BZ124" s="14">
        <f>BY124*VLOOKUP('Données projet'!$B$12,Paramètres!$A$1:$I$88,3,0)*VLOOKUP('Données projet'!$B$12,Paramètres!$A$1:$I$88,5,0)</f>
        <v>289.87452000000002</v>
      </c>
      <c r="CA124" s="14">
        <f t="shared" si="100"/>
        <v>69.049550926027209</v>
      </c>
      <c r="CB124" s="22">
        <f t="shared" si="67"/>
        <v>625.12609019616411</v>
      </c>
      <c r="CC124" s="62">
        <f t="shared" si="68"/>
        <v>901.69315329895107</v>
      </c>
      <c r="CD124" s="62">
        <f ca="1">AVERAGE(OFFSET($CC$3,0,0,'Données projet'!$E$12+1,1))-AVERAGE(OFFSET($H$3,0,0,'Données projet'!$E$12+1,1))</f>
        <v>468.82871618425406</v>
      </c>
      <c r="CE124" s="62">
        <f t="shared" si="69"/>
        <v>259.37818128554397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projet'!$B$12,Paramètres!$A$1:$I$88,7,0))</f>
        <v>0</v>
      </c>
      <c r="CI124" s="17">
        <f>IF(ISNA(VLOOKUP(A124,'Données projet'!$A$113:$I$133,6,0)),0%,VLOOKUP(A124,'Données projet'!$A$113:$I$133,6,0)*VLOOKUP('Données projet'!$B$12,Paramètres!$A$1:$I$88,7,0))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projet'!$B$9,Paramètres!$A$1:$I$88,3,0)*0.475*44/12</f>
        <v>0</v>
      </c>
      <c r="CL124" s="23">
        <f>EXP(-LN(2)/25)*CL123+(1-EXP(-LN(2)/25))/(LN(2)/25)*Calculateur!CG124*Calculateur!CI124*VLOOKUP('Données projet'!$B$9,Paramètres!$A$1:$I$88,3,0)*0.475*44/12</f>
        <v>0</v>
      </c>
      <c r="CM124" s="23">
        <f>EXP(-LN(2)/2)*CM123+(1-EXP(-LN(2)/2))/(LN(2)/2)*CG124*CJ124*VLOOKUP('Données projet'!$B$9,Paramètres!$A$1:$I$88,3,0)*0.475*44/12</f>
        <v>0</v>
      </c>
      <c r="CN124" s="24">
        <f t="shared" si="70"/>
        <v>0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2.2999999999999998</v>
      </c>
      <c r="CT124" s="13">
        <f>IF(A124&lt;'Données projet'!$A$140,$CQ$205^A124,IF(A124='Données projet'!$A$140,'Données projet'!$B$140,CT123+CS124-DB123))</f>
        <v>269.3</v>
      </c>
      <c r="CU124" s="18">
        <f>CT124*VLOOKUP('Données projet'!$B$13,Paramètres!$A$1:$I$88,3,0)*VLOOKUP('Données projet'!$B$13,Paramètres!$A$1:$I$88,5,0)</f>
        <v>231.05940000000001</v>
      </c>
      <c r="CV124" s="14">
        <f t="shared" si="101"/>
        <v>56.511687277938016</v>
      </c>
      <c r="CW124" s="22">
        <f t="shared" si="71"/>
        <v>500.8529770090754</v>
      </c>
      <c r="CX124" s="62">
        <f t="shared" si="72"/>
        <v>777.42004011186236</v>
      </c>
      <c r="CY124" s="62">
        <f ca="1">AVERAGE(OFFSET($CX$3,0,0,'Données projet'!$E$13+1,1))-AVERAGE(OFFSET($H$3,0,0,'Données projet'!$E$13+1,1))</f>
        <v>395.19659151668884</v>
      </c>
      <c r="CZ124" s="62">
        <f t="shared" si="73"/>
        <v>222.86563304507339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projet'!$B$13,Paramètres!$A$1:$I$88,7,0))</f>
        <v>0</v>
      </c>
      <c r="DD124" s="17">
        <f>IF(ISNA(VLOOKUP(A124,'Données projet'!$A$139:$I$159,6,0)),0%,VLOOKUP(A124,'Données projet'!$A$139:$I$159,6,0)*VLOOKUP('Données projet'!$B$13,Paramètres!$A$1:$I$88,7,0))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projet'!$B$9,Paramètres!$A$1:$I$88,3,0)*0.475*44/12</f>
        <v>0</v>
      </c>
      <c r="DG124" s="23">
        <f>EXP(-LN(2)/25)*DG123+(1-EXP(-LN(2)/25))/(LN(2)/25)*Calculateur!DB124*Calculateur!DD124*VLOOKUP('Données projet'!$B$9,Paramètres!$A$1:$I$88,3,0)*0.475*44/12</f>
        <v>0</v>
      </c>
      <c r="DH124" s="23">
        <f>EXP(-LN(2)/2)*DH123+(1-EXP(-LN(2)/2))/(LN(2)/2)*DB124*DE124*VLOOKUP('Données projet'!$B$9,Paramètres!$A$1:$I$88,3,0)*0.475*44/12</f>
        <v>0</v>
      </c>
      <c r="DI124" s="24">
        <f t="shared" si="74"/>
        <v>0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IF(A124&lt;'Données projet'!$A$166,$DL$205^A124,IF(A124='Données projet'!$A$166,'Données projet'!$B$166,DO123+DN124-DW123))</f>
        <v>-8.5265128291212022E-14</v>
      </c>
      <c r="DP124" s="18">
        <f>DO124*VLOOKUP('Données projet'!$B$14,Paramètres!$A$1:$I$88,3,0)*VLOOKUP('Données projet'!$B$14,Paramètres!$A$1:$I$88,5,0)</f>
        <v>-4.9880100050359036E-14</v>
      </c>
      <c r="DQ124" s="14" t="e">
        <f t="shared" si="102"/>
        <v>#NUM!</v>
      </c>
      <c r="DR124" s="22" t="e">
        <f t="shared" si="75"/>
        <v>#NUM!</v>
      </c>
      <c r="DS124" s="62" t="e">
        <f t="shared" si="76"/>
        <v>#NUM!</v>
      </c>
      <c r="DT124" s="62">
        <f ca="1">AVERAGE(OFFSET($DS$3,0,0,'Données projet'!$E$14+1,1))-AVERAGE(OFFSET($H$3,0,0,'Données projet'!$E$14+1,1))</f>
        <v>155.18073137151848</v>
      </c>
      <c r="DU124" s="62">
        <f t="shared" si="77"/>
        <v>115.19459155667272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projet'!$B$14,Paramètres!$A$1:$I$88,7,0))</f>
        <v>0</v>
      </c>
      <c r="DY124" s="17">
        <f>IF(ISNA(VLOOKUP(A124,'Données projet'!$A$165:$I$185,6,0)),0%,VLOOKUP(A124,'Données projet'!$A$165:$I$185,6,0)*VLOOKUP('Données projet'!$B$14,Paramètres!$A$1:$I$88,7,0))</f>
        <v>0</v>
      </c>
      <c r="DZ124" s="17">
        <f>IF(ISNA(VLOOKUP(A124,'Données projet'!$A$165:$I$185,7,0)),0%,VLOOKUP(A124,'Données projet'!$A$165:$I$185,7,0))</f>
        <v>0</v>
      </c>
      <c r="EA124" s="23">
        <f>EXP(-LN(2)/35)*EA123+(1-EXP(-LN(2)/35))/(LN(2)/35)*DW124*DX124*VLOOKUP('Données projet'!$B$9,Paramètres!$A$1:$I$88,3,0)*0.475*44/12</f>
        <v>0</v>
      </c>
      <c r="EB124" s="23">
        <f>EXP(-LN(2)/25)*EB123+(1-EXP(-LN(2)/25))/(LN(2)/25)*Calculateur!DW124*Calculateur!DY124*VLOOKUP('Données projet'!$B$9,Paramètres!$A$1:$I$88,3,0)*0.475*44/12</f>
        <v>0</v>
      </c>
      <c r="EC124" s="23">
        <f>EXP(-LN(2)/2)*EC123+(1-EXP(-LN(2)/2))/(LN(2)/2)*DW124*DZ124*VLOOKUP('Données projet'!$B$9,Paramètres!$A$1:$I$88,3,0)*0.475*44/12</f>
        <v>0</v>
      </c>
      <c r="ED124" s="24">
        <f t="shared" si="78"/>
        <v>0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IF(A124&lt;'Données projet'!$A$192,$EG$205^A124,IF(A124='Données projet'!$A$192,'Données projet'!$B$192,EJ123+EI124-ER123))</f>
        <v>-5.6843418860808015E-14</v>
      </c>
      <c r="EK124" s="18">
        <f>EJ124*VLOOKUP('Données projet'!$B$15,Paramètres!$A$1:$I$88,3,0)*VLOOKUP('Données projet'!$B$15,Paramètres!$A$1:$I$88,5,0)</f>
        <v>-2.6602720026858149E-14</v>
      </c>
      <c r="EL124" s="14" t="e">
        <f t="shared" si="103"/>
        <v>#NUM!</v>
      </c>
      <c r="EM124" s="22" t="e">
        <f t="shared" si="79"/>
        <v>#NUM!</v>
      </c>
      <c r="EN124" s="62" t="e">
        <f t="shared" si="80"/>
        <v>#NUM!</v>
      </c>
      <c r="EO124" s="62">
        <f ca="1">AVERAGE(OFFSET($EN$3,0,0,'Données projet'!$E$15+1,1))-AVERAGE(OFFSET($H$3,0,0,'Données projet'!$E$15+1,1))</f>
        <v>238.59014604384171</v>
      </c>
      <c r="EP124" s="62">
        <f t="shared" si="81"/>
        <v>90.841373219575217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projet'!$B$15,Paramètres!$A$1:$I$88,7,0))</f>
        <v>0</v>
      </c>
      <c r="ET124" s="17">
        <f>IF(ISNA(VLOOKUP(A124,'Données projet'!$A$191:$I$211,6,0)),0%,VLOOKUP(A124,'Données projet'!$A$191:$I$211,6,0)*VLOOKUP('Données projet'!$B$15,Paramètres!$A$1:$I$88,7,0))</f>
        <v>0</v>
      </c>
      <c r="EU124" s="17">
        <f>IF(ISNA(VLOOKUP(A124,'Données projet'!$A$191:$I$211,7,0)),0%,VLOOKUP(A124,'Données projet'!$A$191:$I$211,7,0))</f>
        <v>0</v>
      </c>
      <c r="EV124" s="23">
        <f>EXP(-LN(2)/35)*EV123+(1-EXP(-LN(2)/35))/(LN(2)/35)*ER124*ES124*VLOOKUP('Données projet'!$B$9,Paramètres!$A$1:$I$88,3,0)*0.475*44/12</f>
        <v>0</v>
      </c>
      <c r="EW124" s="23">
        <f>EXP(-LN(2)/25)*EW123+(1-EXP(-LN(2)/25))/(LN(2)/25)*Calculateur!ER124*Calculateur!ET124*VLOOKUP('Données projet'!$B$9,Paramètres!$A$1:$I$88,3,0)*0.475*44/12</f>
        <v>0</v>
      </c>
      <c r="EX124" s="23">
        <f>EXP(-LN(2)/2)*EX123+(1-EXP(-LN(2)/2))/(LN(2)/2)*ER124*EU124*VLOOKUP('Données projet'!$B$9,Paramètres!$A$1:$I$88,3,0)*0.475*44/12</f>
        <v>0</v>
      </c>
      <c r="EY124" s="24">
        <f t="shared" si="82"/>
        <v>0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IF(A124&lt;'Données projet'!$A$218,$FB$205^A124,IF(A124='Données projet'!$A$218,'Données projet'!$B$218,FE123+FD124-FM123))</f>
        <v>0</v>
      </c>
      <c r="FF124" s="18" t="e">
        <f>FE124*VLOOKUP('Données projet'!$B$16,Paramètres!$A$1:$I$88,3,0)*VLOOKUP('Données projet'!$B$16,Paramètres!$A$1:$I$88,5,0)</f>
        <v>#N/A</v>
      </c>
      <c r="FG124" s="14" t="e">
        <f t="shared" si="104"/>
        <v>#N/A</v>
      </c>
      <c r="FH124" s="22" t="e">
        <f t="shared" si="83"/>
        <v>#N/A</v>
      </c>
      <c r="FI124" s="62" t="e">
        <f t="shared" si="84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85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projet'!$B$16,Paramètres!$A$1:$I$88,7,0))</f>
        <v>0</v>
      </c>
      <c r="FO124" s="17">
        <f>IF(ISNA(VLOOKUP(A124,'Données projet'!$A$217:$I$237,6,0)),0%,VLOOKUP(A124,'Données projet'!$A$217:$I$237,6,0)*VLOOKUP('Données projet'!$B$16,Paramètres!$A$1:$I$88,7,0))</f>
        <v>0</v>
      </c>
      <c r="FP124" s="17">
        <f>IF(ISNA(VLOOKUP(A124,'Données projet'!$A$217:$I$237,7,0)),0%,VLOOKUP(A124,'Données projet'!$A$217:$I$237,7,0))</f>
        <v>0</v>
      </c>
      <c r="FQ124" s="23">
        <f>EXP(-LN(2)/35)*FQ123+(1-EXP(-LN(2)/35))/(LN(2)/35)*FM124*FN124*VLOOKUP('Données projet'!$B$9,Paramètres!$A$1:$I$88,3,0)*0.475*44/12</f>
        <v>0</v>
      </c>
      <c r="FR124" s="23">
        <f>EXP(-LN(2)/25)*FR123+(1-EXP(-LN(2)/25))/(LN(2)/25)*Calculateur!FM124*Calculateur!FO124*VLOOKUP('Données projet'!$B$9,Paramètres!$A$1:$I$88,3,0)*0.475*44/12</f>
        <v>0</v>
      </c>
      <c r="FS124" s="23">
        <f>EXP(-LN(2)/2)*FS123+(1-EXP(-LN(2)/2))/(LN(2)/2)*FM124*FP124*VLOOKUP('Données projet'!$B$9,Paramètres!$A$1:$I$88,3,0)*0.475*44/12</f>
        <v>0</v>
      </c>
      <c r="FT124" s="24">
        <f t="shared" si="86"/>
        <v>0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IF(A124&lt;'Données projet'!$A$244,$FW$205^A124,IF(A124='Données projet'!$A$244,'Données projet'!$B$244,FZ123+FY124-GH123))</f>
        <v>0</v>
      </c>
      <c r="GA124" s="18" t="e">
        <f>FZ124*VLOOKUP('Données projet'!$B$17,Paramètres!$A$1:$I$88,3,0)*VLOOKUP('Données projet'!$B$17,Paramètres!$A$1:$I$88,5,0)</f>
        <v>#N/A</v>
      </c>
      <c r="GB124" s="14" t="e">
        <f t="shared" si="105"/>
        <v>#N/A</v>
      </c>
      <c r="GC124" s="22" t="e">
        <f t="shared" si="87"/>
        <v>#N/A</v>
      </c>
      <c r="GD124" s="62" t="e">
        <f t="shared" si="88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89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projet'!$B$17,Paramètres!$A$1:$I$88,7,0))</f>
        <v>0</v>
      </c>
      <c r="GJ124" s="17">
        <f>IF(ISNA(VLOOKUP(A124,'Données projet'!$A$243:$I$263,6,0)),0%,VLOOKUP(A124,'Données projet'!$A$243:$I$263,6,0)*VLOOKUP('Données projet'!$B$17,Paramètres!$A$1:$I$88,7,0))</f>
        <v>0</v>
      </c>
      <c r="GK124" s="17">
        <f>IF(ISNA(VLOOKUP(A124,'Données projet'!$A$243:$I$263,7,0)),0%,VLOOKUP(A124,'Données projet'!$A$243:$I$263,7,0))</f>
        <v>0</v>
      </c>
      <c r="GL124" s="23">
        <f>EXP(-LN(2)/35)*GL123+(1-EXP(-LN(2)/35))/(LN(2)/35)*GH124*GI124*VLOOKUP('Données projet'!$B$9,Paramètres!$A$1:$I$88,3,0)*0.475*44/12</f>
        <v>0</v>
      </c>
      <c r="GM124" s="23">
        <f>EXP(-LN(2)/25)*GM123+(1-EXP(-LN(2)/25))/(LN(2)/25)*Calculateur!GH124*Calculateur!GJ124*VLOOKUP('Données projet'!$B$9,Paramètres!$A$1:$I$88,3,0)*0.475*44/12</f>
        <v>0</v>
      </c>
      <c r="GN124" s="23">
        <f>EXP(-LN(2)/2)*GN123+(1-EXP(-LN(2)/2))/(LN(2)/2)*GH124*GK124*VLOOKUP('Données projet'!$B$9,Paramètres!$A$1:$I$88,3,0)*0.475*44/12</f>
        <v>0</v>
      </c>
      <c r="GO124" s="23">
        <f t="shared" si="90"/>
        <v>0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IF(A124&lt;'Données projet'!$A$270,$GR$205^A124,IF(A124='Données projet'!$A$270,'Données projet'!$B$270,GU123+GT124-HC123))</f>
        <v>0</v>
      </c>
      <c r="GV124" s="18" t="e">
        <f>GU124*VLOOKUP('Données projet'!$B$18,Paramètres!$A$1:$I$88,3,0)*VLOOKUP('Données projet'!$B$18,Paramètres!$A$1:$I$88,5,0)</f>
        <v>#N/A</v>
      </c>
      <c r="GW124" s="14" t="e">
        <f t="shared" si="106"/>
        <v>#N/A</v>
      </c>
      <c r="GX124" s="22" t="e">
        <f t="shared" si="91"/>
        <v>#N/A</v>
      </c>
      <c r="GY124" s="62" t="e">
        <f t="shared" si="92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93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projet'!$B$18,Paramètres!$A$1:$I$88,7,0))</f>
        <v>0</v>
      </c>
      <c r="HE124" s="17">
        <f>IF(ISNA(VLOOKUP(A124,'Données projet'!$A$269:$I$289,6,0)),0%,VLOOKUP(A124,'Données projet'!$A$269:$I$289,6,0)*VLOOKUP('Données projet'!$B$18,Paramètres!$A$1:$I$88,7,0))</f>
        <v>0</v>
      </c>
      <c r="HF124" s="17">
        <f>IF(ISNA(VLOOKUP(A124,'Données projet'!$A$269:$I$289,7,0)),0%,VLOOKUP(A124,'Données projet'!$A$269:$I$289,7,0))</f>
        <v>0</v>
      </c>
      <c r="HG124" s="23">
        <f>EXP(-LN(2)/35)*HG123+(1-EXP(-LN(2)/35))/(LN(2)/35)*HC124*HD124*VLOOKUP('Données projet'!$B$9,Paramètres!$A$1:$I$88,3,0)*0.475*44/12</f>
        <v>0</v>
      </c>
      <c r="HH124" s="23">
        <f>EXP(-LN(2)/25)*HH123+(1-EXP(-LN(2)/25))/(LN(2)/25)*Calculateur!HC124*Calculateur!HE124*VLOOKUP('Données projet'!$B$9,Paramètres!$A$1:$I$88,3,0)*0.475*44/12</f>
        <v>0</v>
      </c>
      <c r="HI124" s="23">
        <f>EXP(-LN(2)/2)*HI123+(1-EXP(-LN(2)/2))/(LN(2)/2)*HC124*HF124*VLOOKUP('Données projet'!$B$9,Paramètres!$A$1:$I$88,3,0)*0.475*44/12</f>
        <v>0</v>
      </c>
      <c r="HJ124" s="24">
        <f t="shared" si="94"/>
        <v>0</v>
      </c>
    </row>
    <row r="125" spans="1:218" s="5" customFormat="1" x14ac:dyDescent="0.25">
      <c r="A125" s="11">
        <f t="shared" si="95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5" s="12">
        <f t="shared" si="9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57"/>
        <v>135.66666666666666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1.2474999999999994</v>
      </c>
      <c r="N125" s="14">
        <f>IF(A125&lt;'Données projet'!$A$36,$K$205^A125,IF(A125='Données projet'!$A$36,'Données projet'!$B$36,N124+M125-V124))</f>
        <v>114.26166666666663</v>
      </c>
      <c r="O125" s="14">
        <f>N125*VLOOKUP('Données projet'!$B$9,Paramètres!$A$1:$I$88,3,0)*VLOOKUP('Données projet'!$B$9,Paramètres!$A$1:$I$88,5,0)</f>
        <v>131.62943999999993</v>
      </c>
      <c r="P125" s="14">
        <f t="shared" si="97"/>
        <v>34.372601683894764</v>
      </c>
      <c r="Q125" s="22">
        <f t="shared" si="107"/>
        <v>289.1202225994499</v>
      </c>
      <c r="R125" s="62">
        <f t="shared" si="55"/>
        <v>565.978143006972</v>
      </c>
      <c r="S125" s="62">
        <f ca="1">AVERAGE(OFFSET($R$3,0,0,'Données projet'!$E$9+1,1))-AVERAGE(OFFSET($H$3,0,0,'Données projet'!$E$9+1,1))</f>
        <v>314.72063458462026</v>
      </c>
      <c r="T125" s="62">
        <f t="shared" si="56"/>
        <v>216.4380325968244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projet'!$B$9,Paramètres!$A$1:$I$88,7,0))</f>
        <v>0</v>
      </c>
      <c r="X125" s="17">
        <f>IF(ISNA(VLOOKUP(A125,'Données projet'!$A$35:$I$55,6,0)),0%,VLOOKUP(A125,'Données projet'!$A$35:$I$55,6,0)*VLOOKUP('Données projet'!$B$9,Paramètres!$A$1:$I$88,7,0))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projet'!$B$9,Paramètres!$A$1:$I$88,3,0)*0.475*44/12</f>
        <v>0</v>
      </c>
      <c r="AA125" s="23">
        <f>EXP(-LN(2)/25)*AA124+(1-EXP(-LN(2)/25))/(LN(2)/25)*Calculateur!V125*Calculateur!X125*VLOOKUP('Données projet'!$B$9,Paramètres!$A$1:$I$88,3,0)*0.475*44/12</f>
        <v>0</v>
      </c>
      <c r="AB125" s="23">
        <f>EXP(-LN(2)/2)*AB124+(1-EXP(-LN(2)/2))/(LN(2)/2)*V125*Y125*VLOOKUP('Données projet'!$B$9,Paramètres!$A$1:$I$88,3,0)*0.475*44/12</f>
        <v>0</v>
      </c>
      <c r="AC125" s="24">
        <f t="shared" si="58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2.2999999999999998</v>
      </c>
      <c r="AI125" s="14">
        <f>IF(A125&lt;'Données projet'!$A$62,$AF$205^A125,IF(A125='Données projet'!$A$62,'Données projet'!$B$62,AI124+AH125-AQ124))</f>
        <v>271.60000000000002</v>
      </c>
      <c r="AJ125" s="14">
        <f>AI125*VLOOKUP('Données projet'!$B$10,Paramètres!$A$1:$I$88,3,0)*VLOOKUP('Données projet'!$B$10,Paramètres!$A$1:$I$88,5,0)</f>
        <v>283.87632000000008</v>
      </c>
      <c r="AK125" s="14">
        <f t="shared" si="98"/>
        <v>67.785530075139718</v>
      </c>
      <c r="AL125" s="22">
        <f t="shared" si="59"/>
        <v>612.47772221420166</v>
      </c>
      <c r="AM125" s="62">
        <f t="shared" si="60"/>
        <v>889.33564262172376</v>
      </c>
      <c r="AN125" s="62">
        <f ca="1">AVERAGE(OFFSET($AM$3,0,0,'Données projet'!$E$10+1,1))-AVERAGE(OFFSET($H$3,0,0,'Données projet'!$E$10+1,1))</f>
        <v>458.33072853676879</v>
      </c>
      <c r="AO125" s="62">
        <f t="shared" si="61"/>
        <v>254.1734169352687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projet'!$B$10,Paramètres!$A$1:$I$88,7,0))</f>
        <v>0</v>
      </c>
      <c r="AS125" s="17">
        <f>IF(ISNA(VLOOKUP(A125,'Données projet'!$A$61:$I$81,6,0)),0%,VLOOKUP(A125,'Données projet'!$A$61:$I$81,6,0)*VLOOKUP('Données projet'!$B$10,Paramètres!$A$1:$I$88,7,0))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projet'!$B$9,Paramètres!$A$1:$I$88,3,0)*0.475*44/12</f>
        <v>0</v>
      </c>
      <c r="AV125" s="23">
        <f>EXP(-LN(2)/25)*AV124+(1-EXP(-LN(2)/25))/(LN(2)/25)*Calculateur!AQ125*Calculateur!AS125*VLOOKUP('Données projet'!$B$9,Paramètres!$A$1:$I$88,3,0)*0.475*44/12</f>
        <v>0</v>
      </c>
      <c r="AW125" s="23">
        <f>EXP(-LN(2)/2)*AW124+(1-EXP(-LN(2)/2))/(LN(2)/2)*AQ125*AT125*VLOOKUP('Données projet'!$B$9,Paramètres!$A$1:$I$88,3,0)*0.475*44/12</f>
        <v>0</v>
      </c>
      <c r="AX125" s="23">
        <f t="shared" si="62"/>
        <v>0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2.2999999999999998</v>
      </c>
      <c r="BD125" s="13">
        <f>IF(A125&lt;'Données projet'!$A$88,$BA$205^A125,IF(A125='Données projet'!$A$88,'Données projet'!$B$88,BD124+BC125-BL124))</f>
        <v>271.60000000000002</v>
      </c>
      <c r="BE125" s="14">
        <f>BD125*VLOOKUP('Données projet'!$B$11,Paramètres!$A$1:$I$88,3,0)*VLOOKUP('Données projet'!$B$11,Paramètres!$A$1:$I$88,5,0)</f>
        <v>275.40240000000006</v>
      </c>
      <c r="BF125" s="14">
        <f t="shared" si="99"/>
        <v>65.994469603831504</v>
      </c>
      <c r="BG125" s="22">
        <f t="shared" si="63"/>
        <v>594.59954789333995</v>
      </c>
      <c r="BH125" s="62">
        <f t="shared" si="64"/>
        <v>871.45746830086205</v>
      </c>
      <c r="BI125" s="62">
        <f ca="1">AVERAGE(OFFSET($BH$3,0,0,'Données projet'!$E$11+1,1))-AVERAGE(OFFSET($H$3,0,0,'Données projet'!$E$11+1,1))</f>
        <v>447.82618173893104</v>
      </c>
      <c r="BJ125" s="62">
        <f t="shared" si="65"/>
        <v>248.96509970783379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projet'!$B$11,Paramètres!$A$1:$I$88,7,0))</f>
        <v>0</v>
      </c>
      <c r="BN125" s="17">
        <f>IF(ISNA(VLOOKUP(A125,'Données projet'!$A$87:$I$107,6,0)),0%,VLOOKUP(A125,'Données projet'!$A$87:$I$107,6,0)*VLOOKUP('Données projet'!$B$11,Paramètres!$A$1:$I$88,7,0))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projet'!$B$9,Paramètres!$A$1:$I$88,3,0)*0.475*44/12</f>
        <v>0</v>
      </c>
      <c r="BQ125" s="23">
        <f>EXP(-LN(2)/25)*BQ124+(1-EXP(-LN(2)/25))/(LN(2)/25)*Calculateur!BL125*Calculateur!BN125*VLOOKUP('Données projet'!$B$9,Paramètres!$A$1:$I$88,3,0)*0.475*44/12</f>
        <v>0</v>
      </c>
      <c r="BR125" s="23">
        <f>EXP(-LN(2)/2)*BR124+(1-EXP(-LN(2)/2))/(LN(2)/2)*BL125*BO125*VLOOKUP('Données projet'!$B$9,Paramètres!$A$1:$I$88,3,0)*0.475*44/12</f>
        <v>0</v>
      </c>
      <c r="BS125" s="24">
        <f t="shared" si="66"/>
        <v>0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2.2999999999999998</v>
      </c>
      <c r="BY125" s="13">
        <f>IF(A125&lt;'Données projet'!$A$114,$BV$205^A125,IF(A125='Données projet'!$A$114,'Données projet'!$B$114,BY124+BX125-CG124))</f>
        <v>271.60000000000002</v>
      </c>
      <c r="BZ125" s="14">
        <f>BY125*VLOOKUP('Données projet'!$B$12,Paramètres!$A$1:$I$88,3,0)*VLOOKUP('Données projet'!$B$12,Paramètres!$A$1:$I$88,5,0)</f>
        <v>292.35023999999999</v>
      </c>
      <c r="CA125" s="14">
        <f t="shared" si="100"/>
        <v>69.570377103884141</v>
      </c>
      <c r="CB125" s="22">
        <f t="shared" si="67"/>
        <v>630.3450747892648</v>
      </c>
      <c r="CC125" s="62">
        <f t="shared" si="68"/>
        <v>907.20299519678701</v>
      </c>
      <c r="CD125" s="62">
        <f ca="1">AVERAGE(OFFSET($CC$3,0,0,'Données projet'!$E$12+1,1))-AVERAGE(OFFSET($H$3,0,0,'Données projet'!$E$12+1,1))</f>
        <v>468.82871618425406</v>
      </c>
      <c r="CE125" s="62">
        <f t="shared" si="69"/>
        <v>259.37818128554397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projet'!$B$12,Paramètres!$A$1:$I$88,7,0))</f>
        <v>0</v>
      </c>
      <c r="CI125" s="17">
        <f>IF(ISNA(VLOOKUP(A125,'Données projet'!$A$113:$I$133,6,0)),0%,VLOOKUP(A125,'Données projet'!$A$113:$I$133,6,0)*VLOOKUP('Données projet'!$B$12,Paramètres!$A$1:$I$88,7,0))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projet'!$B$9,Paramètres!$A$1:$I$88,3,0)*0.475*44/12</f>
        <v>0</v>
      </c>
      <c r="CL125" s="23">
        <f>EXP(-LN(2)/25)*CL124+(1-EXP(-LN(2)/25))/(LN(2)/25)*Calculateur!CG125*Calculateur!CI125*VLOOKUP('Données projet'!$B$9,Paramètres!$A$1:$I$88,3,0)*0.475*44/12</f>
        <v>0</v>
      </c>
      <c r="CM125" s="23">
        <f>EXP(-LN(2)/2)*CM124+(1-EXP(-LN(2)/2))/(LN(2)/2)*CG125*CJ125*VLOOKUP('Données projet'!$B$9,Paramètres!$A$1:$I$88,3,0)*0.475*44/12</f>
        <v>0</v>
      </c>
      <c r="CN125" s="24">
        <f t="shared" si="70"/>
        <v>0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2.2999999999999998</v>
      </c>
      <c r="CT125" s="13">
        <f>IF(A125&lt;'Données projet'!$A$140,$CQ$205^A125,IF(A125='Données projet'!$A$140,'Données projet'!$B$140,CT124+CS125-DB124))</f>
        <v>271.60000000000002</v>
      </c>
      <c r="CU125" s="18">
        <f>CT125*VLOOKUP('Données projet'!$B$13,Paramètres!$A$1:$I$88,3,0)*VLOOKUP('Données projet'!$B$13,Paramètres!$A$1:$I$88,5,0)</f>
        <v>233.03280000000004</v>
      </c>
      <c r="CV125" s="14">
        <f t="shared" si="101"/>
        <v>56.937942998568985</v>
      </c>
      <c r="CW125" s="22">
        <f t="shared" si="71"/>
        <v>505.03237738917437</v>
      </c>
      <c r="CX125" s="62">
        <f t="shared" si="72"/>
        <v>781.89029779669659</v>
      </c>
      <c r="CY125" s="62">
        <f ca="1">AVERAGE(OFFSET($CX$3,0,0,'Données projet'!$E$13+1,1))-AVERAGE(OFFSET($H$3,0,0,'Données projet'!$E$13+1,1))</f>
        <v>395.19659151668884</v>
      </c>
      <c r="CZ125" s="62">
        <f t="shared" si="73"/>
        <v>222.86563304507339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projet'!$B$13,Paramètres!$A$1:$I$88,7,0))</f>
        <v>0</v>
      </c>
      <c r="DD125" s="17">
        <f>IF(ISNA(VLOOKUP(A125,'Données projet'!$A$139:$I$159,6,0)),0%,VLOOKUP(A125,'Données projet'!$A$139:$I$159,6,0)*VLOOKUP('Données projet'!$B$13,Paramètres!$A$1:$I$88,7,0))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projet'!$B$9,Paramètres!$A$1:$I$88,3,0)*0.475*44/12</f>
        <v>0</v>
      </c>
      <c r="DG125" s="23">
        <f>EXP(-LN(2)/25)*DG124+(1-EXP(-LN(2)/25))/(LN(2)/25)*Calculateur!DB125*Calculateur!DD125*VLOOKUP('Données projet'!$B$9,Paramètres!$A$1:$I$88,3,0)*0.475*44/12</f>
        <v>0</v>
      </c>
      <c r="DH125" s="23">
        <f>EXP(-LN(2)/2)*DH124+(1-EXP(-LN(2)/2))/(LN(2)/2)*DB125*DE125*VLOOKUP('Données projet'!$B$9,Paramètres!$A$1:$I$88,3,0)*0.475*44/12</f>
        <v>0</v>
      </c>
      <c r="DI125" s="24">
        <f t="shared" si="74"/>
        <v>0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IF(A125&lt;'Données projet'!$A$166,$DL$205^A125,IF(A125='Données projet'!$A$166,'Données projet'!$B$166,DO124+DN125-DW124))</f>
        <v>-8.5265128291212022E-14</v>
      </c>
      <c r="DP125" s="18">
        <f>DO125*VLOOKUP('Données projet'!$B$14,Paramètres!$A$1:$I$88,3,0)*VLOOKUP('Données projet'!$B$14,Paramètres!$A$1:$I$88,5,0)</f>
        <v>-4.9880100050359036E-14</v>
      </c>
      <c r="DQ125" s="14" t="e">
        <f t="shared" si="102"/>
        <v>#NUM!</v>
      </c>
      <c r="DR125" s="22" t="e">
        <f t="shared" si="75"/>
        <v>#NUM!</v>
      </c>
      <c r="DS125" s="62" t="e">
        <f t="shared" si="76"/>
        <v>#NUM!</v>
      </c>
      <c r="DT125" s="62">
        <f ca="1">AVERAGE(OFFSET($DS$3,0,0,'Données projet'!$E$14+1,1))-AVERAGE(OFFSET($H$3,0,0,'Données projet'!$E$14+1,1))</f>
        <v>155.18073137151848</v>
      </c>
      <c r="DU125" s="62">
        <f t="shared" si="77"/>
        <v>115.19459155667272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projet'!$B$14,Paramètres!$A$1:$I$88,7,0))</f>
        <v>0</v>
      </c>
      <c r="DY125" s="17">
        <f>IF(ISNA(VLOOKUP(A125,'Données projet'!$A$165:$I$185,6,0)),0%,VLOOKUP(A125,'Données projet'!$A$165:$I$185,6,0)*VLOOKUP('Données projet'!$B$14,Paramètres!$A$1:$I$88,7,0))</f>
        <v>0</v>
      </c>
      <c r="DZ125" s="17">
        <f>IF(ISNA(VLOOKUP(A125,'Données projet'!$A$165:$I$185,7,0)),0%,VLOOKUP(A125,'Données projet'!$A$165:$I$185,7,0))</f>
        <v>0</v>
      </c>
      <c r="EA125" s="23">
        <f>EXP(-LN(2)/35)*EA124+(1-EXP(-LN(2)/35))/(LN(2)/35)*DW125*DX125*VLOOKUP('Données projet'!$B$9,Paramètres!$A$1:$I$88,3,0)*0.475*44/12</f>
        <v>0</v>
      </c>
      <c r="EB125" s="23">
        <f>EXP(-LN(2)/25)*EB124+(1-EXP(-LN(2)/25))/(LN(2)/25)*Calculateur!DW125*Calculateur!DY125*VLOOKUP('Données projet'!$B$9,Paramètres!$A$1:$I$88,3,0)*0.475*44/12</f>
        <v>0</v>
      </c>
      <c r="EC125" s="23">
        <f>EXP(-LN(2)/2)*EC124+(1-EXP(-LN(2)/2))/(LN(2)/2)*DW125*DZ125*VLOOKUP('Données projet'!$B$9,Paramètres!$A$1:$I$88,3,0)*0.475*44/12</f>
        <v>0</v>
      </c>
      <c r="ED125" s="24">
        <f t="shared" si="78"/>
        <v>0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IF(A125&lt;'Données projet'!$A$192,$EG$205^A125,IF(A125='Données projet'!$A$192,'Données projet'!$B$192,EJ124+EI125-ER124))</f>
        <v>-5.6843418860808015E-14</v>
      </c>
      <c r="EK125" s="18">
        <f>EJ125*VLOOKUP('Données projet'!$B$15,Paramètres!$A$1:$I$88,3,0)*VLOOKUP('Données projet'!$B$15,Paramètres!$A$1:$I$88,5,0)</f>
        <v>-2.6602720026858149E-14</v>
      </c>
      <c r="EL125" s="14" t="e">
        <f t="shared" si="103"/>
        <v>#NUM!</v>
      </c>
      <c r="EM125" s="22" t="e">
        <f t="shared" si="79"/>
        <v>#NUM!</v>
      </c>
      <c r="EN125" s="62" t="e">
        <f t="shared" si="80"/>
        <v>#NUM!</v>
      </c>
      <c r="EO125" s="62">
        <f ca="1">AVERAGE(OFFSET($EN$3,0,0,'Données projet'!$E$15+1,1))-AVERAGE(OFFSET($H$3,0,0,'Données projet'!$E$15+1,1))</f>
        <v>238.59014604384171</v>
      </c>
      <c r="EP125" s="62">
        <f t="shared" si="81"/>
        <v>90.841373219575217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projet'!$B$15,Paramètres!$A$1:$I$88,7,0))</f>
        <v>0</v>
      </c>
      <c r="ET125" s="17">
        <f>IF(ISNA(VLOOKUP(A125,'Données projet'!$A$191:$I$211,6,0)),0%,VLOOKUP(A125,'Données projet'!$A$191:$I$211,6,0)*VLOOKUP('Données projet'!$B$15,Paramètres!$A$1:$I$88,7,0))</f>
        <v>0</v>
      </c>
      <c r="EU125" s="17">
        <f>IF(ISNA(VLOOKUP(A125,'Données projet'!$A$191:$I$211,7,0)),0%,VLOOKUP(A125,'Données projet'!$A$191:$I$211,7,0))</f>
        <v>0</v>
      </c>
      <c r="EV125" s="23">
        <f>EXP(-LN(2)/35)*EV124+(1-EXP(-LN(2)/35))/(LN(2)/35)*ER125*ES125*VLOOKUP('Données projet'!$B$9,Paramètres!$A$1:$I$88,3,0)*0.475*44/12</f>
        <v>0</v>
      </c>
      <c r="EW125" s="23">
        <f>EXP(-LN(2)/25)*EW124+(1-EXP(-LN(2)/25))/(LN(2)/25)*Calculateur!ER125*Calculateur!ET125*VLOOKUP('Données projet'!$B$9,Paramètres!$A$1:$I$88,3,0)*0.475*44/12</f>
        <v>0</v>
      </c>
      <c r="EX125" s="23">
        <f>EXP(-LN(2)/2)*EX124+(1-EXP(-LN(2)/2))/(LN(2)/2)*ER125*EU125*VLOOKUP('Données projet'!$B$9,Paramètres!$A$1:$I$88,3,0)*0.475*44/12</f>
        <v>0</v>
      </c>
      <c r="EY125" s="24">
        <f t="shared" si="82"/>
        <v>0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IF(A125&lt;'Données projet'!$A$218,$FB$205^A125,IF(A125='Données projet'!$A$218,'Données projet'!$B$218,FE124+FD125-FM124))</f>
        <v>0</v>
      </c>
      <c r="FF125" s="18" t="e">
        <f>FE125*VLOOKUP('Données projet'!$B$16,Paramètres!$A$1:$I$88,3,0)*VLOOKUP('Données projet'!$B$16,Paramètres!$A$1:$I$88,5,0)</f>
        <v>#N/A</v>
      </c>
      <c r="FG125" s="14" t="e">
        <f t="shared" si="104"/>
        <v>#N/A</v>
      </c>
      <c r="FH125" s="22" t="e">
        <f t="shared" si="83"/>
        <v>#N/A</v>
      </c>
      <c r="FI125" s="62" t="e">
        <f t="shared" si="84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85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projet'!$B$16,Paramètres!$A$1:$I$88,7,0))</f>
        <v>0</v>
      </c>
      <c r="FO125" s="17">
        <f>IF(ISNA(VLOOKUP(A125,'Données projet'!$A$217:$I$237,6,0)),0%,VLOOKUP(A125,'Données projet'!$A$217:$I$237,6,0)*VLOOKUP('Données projet'!$B$16,Paramètres!$A$1:$I$88,7,0))</f>
        <v>0</v>
      </c>
      <c r="FP125" s="17">
        <f>IF(ISNA(VLOOKUP(A125,'Données projet'!$A$217:$I$237,7,0)),0%,VLOOKUP(A125,'Données projet'!$A$217:$I$237,7,0))</f>
        <v>0</v>
      </c>
      <c r="FQ125" s="23">
        <f>EXP(-LN(2)/35)*FQ124+(1-EXP(-LN(2)/35))/(LN(2)/35)*FM125*FN125*VLOOKUP('Données projet'!$B$9,Paramètres!$A$1:$I$88,3,0)*0.475*44/12</f>
        <v>0</v>
      </c>
      <c r="FR125" s="23">
        <f>EXP(-LN(2)/25)*FR124+(1-EXP(-LN(2)/25))/(LN(2)/25)*Calculateur!FM125*Calculateur!FO125*VLOOKUP('Données projet'!$B$9,Paramètres!$A$1:$I$88,3,0)*0.475*44/12</f>
        <v>0</v>
      </c>
      <c r="FS125" s="23">
        <f>EXP(-LN(2)/2)*FS124+(1-EXP(-LN(2)/2))/(LN(2)/2)*FM125*FP125*VLOOKUP('Données projet'!$B$9,Paramètres!$A$1:$I$88,3,0)*0.475*44/12</f>
        <v>0</v>
      </c>
      <c r="FT125" s="24">
        <f t="shared" si="86"/>
        <v>0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IF(A125&lt;'Données projet'!$A$244,$FW$205^A125,IF(A125='Données projet'!$A$244,'Données projet'!$B$244,FZ124+FY125-GH124))</f>
        <v>0</v>
      </c>
      <c r="GA125" s="18" t="e">
        <f>FZ125*VLOOKUP('Données projet'!$B$17,Paramètres!$A$1:$I$88,3,0)*VLOOKUP('Données projet'!$B$17,Paramètres!$A$1:$I$88,5,0)</f>
        <v>#N/A</v>
      </c>
      <c r="GB125" s="14" t="e">
        <f t="shared" si="105"/>
        <v>#N/A</v>
      </c>
      <c r="GC125" s="22" t="e">
        <f t="shared" si="87"/>
        <v>#N/A</v>
      </c>
      <c r="GD125" s="62" t="e">
        <f t="shared" si="88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89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projet'!$B$17,Paramètres!$A$1:$I$88,7,0))</f>
        <v>0</v>
      </c>
      <c r="GJ125" s="17">
        <f>IF(ISNA(VLOOKUP(A125,'Données projet'!$A$243:$I$263,6,0)),0%,VLOOKUP(A125,'Données projet'!$A$243:$I$263,6,0)*VLOOKUP('Données projet'!$B$17,Paramètres!$A$1:$I$88,7,0))</f>
        <v>0</v>
      </c>
      <c r="GK125" s="17">
        <f>IF(ISNA(VLOOKUP(A125,'Données projet'!$A$243:$I$263,7,0)),0%,VLOOKUP(A125,'Données projet'!$A$243:$I$263,7,0))</f>
        <v>0</v>
      </c>
      <c r="GL125" s="23">
        <f>EXP(-LN(2)/35)*GL124+(1-EXP(-LN(2)/35))/(LN(2)/35)*GH125*GI125*VLOOKUP('Données projet'!$B$9,Paramètres!$A$1:$I$88,3,0)*0.475*44/12</f>
        <v>0</v>
      </c>
      <c r="GM125" s="23">
        <f>EXP(-LN(2)/25)*GM124+(1-EXP(-LN(2)/25))/(LN(2)/25)*Calculateur!GH125*Calculateur!GJ125*VLOOKUP('Données projet'!$B$9,Paramètres!$A$1:$I$88,3,0)*0.475*44/12</f>
        <v>0</v>
      </c>
      <c r="GN125" s="23">
        <f>EXP(-LN(2)/2)*GN124+(1-EXP(-LN(2)/2))/(LN(2)/2)*GH125*GK125*VLOOKUP('Données projet'!$B$9,Paramètres!$A$1:$I$88,3,0)*0.475*44/12</f>
        <v>0</v>
      </c>
      <c r="GO125" s="23">
        <f t="shared" si="90"/>
        <v>0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IF(A125&lt;'Données projet'!$A$270,$GR$205^A125,IF(A125='Données projet'!$A$270,'Données projet'!$B$270,GU124+GT125-HC124))</f>
        <v>0</v>
      </c>
      <c r="GV125" s="18" t="e">
        <f>GU125*VLOOKUP('Données projet'!$B$18,Paramètres!$A$1:$I$88,3,0)*VLOOKUP('Données projet'!$B$18,Paramètres!$A$1:$I$88,5,0)</f>
        <v>#N/A</v>
      </c>
      <c r="GW125" s="14" t="e">
        <f t="shared" si="106"/>
        <v>#N/A</v>
      </c>
      <c r="GX125" s="22" t="e">
        <f t="shared" si="91"/>
        <v>#N/A</v>
      </c>
      <c r="GY125" s="62" t="e">
        <f t="shared" si="92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93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projet'!$B$18,Paramètres!$A$1:$I$88,7,0))</f>
        <v>0</v>
      </c>
      <c r="HE125" s="17">
        <f>IF(ISNA(VLOOKUP(A125,'Données projet'!$A$269:$I$289,6,0)),0%,VLOOKUP(A125,'Données projet'!$A$269:$I$289,6,0)*VLOOKUP('Données projet'!$B$18,Paramètres!$A$1:$I$88,7,0))</f>
        <v>0</v>
      </c>
      <c r="HF125" s="17">
        <f>IF(ISNA(VLOOKUP(A125,'Données projet'!$A$269:$I$289,7,0)),0%,VLOOKUP(A125,'Données projet'!$A$269:$I$289,7,0))</f>
        <v>0</v>
      </c>
      <c r="HG125" s="23">
        <f>EXP(-LN(2)/35)*HG124+(1-EXP(-LN(2)/35))/(LN(2)/35)*HC125*HD125*VLOOKUP('Données projet'!$B$9,Paramètres!$A$1:$I$88,3,0)*0.475*44/12</f>
        <v>0</v>
      </c>
      <c r="HH125" s="23">
        <f>EXP(-LN(2)/25)*HH124+(1-EXP(-LN(2)/25))/(LN(2)/25)*Calculateur!HC125*Calculateur!HE125*VLOOKUP('Données projet'!$B$9,Paramètres!$A$1:$I$88,3,0)*0.475*44/12</f>
        <v>0</v>
      </c>
      <c r="HI125" s="23">
        <f>EXP(-LN(2)/2)*HI124+(1-EXP(-LN(2)/2))/(LN(2)/2)*HC125*HF125*VLOOKUP('Données projet'!$B$9,Paramètres!$A$1:$I$88,3,0)*0.475*44/12</f>
        <v>0</v>
      </c>
      <c r="HJ125" s="24">
        <f t="shared" si="94"/>
        <v>0</v>
      </c>
    </row>
    <row r="126" spans="1:218" s="5" customFormat="1" x14ac:dyDescent="0.25">
      <c r="A126" s="11">
        <f t="shared" si="95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6" s="12">
        <f t="shared" si="9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57"/>
        <v>135.66666666666666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1.2474999999999994</v>
      </c>
      <c r="N126" s="14">
        <f>IF(A126&lt;'Données projet'!$A$36,$K$205^A126,IF(A126='Données projet'!$A$36,'Données projet'!$B$36,N125+M126-V125))</f>
        <v>115.50916666666663</v>
      </c>
      <c r="O126" s="14">
        <f>N126*VLOOKUP('Données projet'!$B$9,Paramètres!$A$1:$I$88,3,0)*VLOOKUP('Données projet'!$B$9,Paramètres!$A$1:$I$88,5,0)</f>
        <v>133.06655999999995</v>
      </c>
      <c r="P126" s="14">
        <f t="shared" si="97"/>
        <v>34.703986937981455</v>
      </c>
      <c r="Q126" s="22">
        <f t="shared" si="107"/>
        <v>292.20036925031758</v>
      </c>
      <c r="R126" s="62">
        <f t="shared" si="55"/>
        <v>569.34410123859732</v>
      </c>
      <c r="S126" s="62">
        <f ca="1">AVERAGE(OFFSET($R$3,0,0,'Données projet'!$E$9+1,1))-AVERAGE(OFFSET($H$3,0,0,'Données projet'!$E$9+1,1))</f>
        <v>314.72063458462026</v>
      </c>
      <c r="T126" s="62">
        <f t="shared" si="56"/>
        <v>216.4380325968244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projet'!$B$9,Paramètres!$A$1:$I$88,7,0))</f>
        <v>0</v>
      </c>
      <c r="X126" s="17">
        <f>IF(ISNA(VLOOKUP(A126,'Données projet'!$A$35:$I$55,6,0)),0%,VLOOKUP(A126,'Données projet'!$A$35:$I$55,6,0)*VLOOKUP('Données projet'!$B$9,Paramètres!$A$1:$I$88,7,0))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projet'!$B$9,Paramètres!$A$1:$I$88,3,0)*0.475*44/12</f>
        <v>0</v>
      </c>
      <c r="AA126" s="23">
        <f>EXP(-LN(2)/25)*AA125+(1-EXP(-LN(2)/25))/(LN(2)/25)*Calculateur!V126*Calculateur!X126*VLOOKUP('Données projet'!$B$9,Paramètres!$A$1:$I$88,3,0)*0.475*44/12</f>
        <v>0</v>
      </c>
      <c r="AB126" s="23">
        <f>EXP(-LN(2)/2)*AB125+(1-EXP(-LN(2)/2))/(LN(2)/2)*V126*Y126*VLOOKUP('Données projet'!$B$9,Paramètres!$A$1:$I$88,3,0)*0.475*44/12</f>
        <v>0</v>
      </c>
      <c r="AC126" s="24">
        <f t="shared" si="58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2.2999999999999998</v>
      </c>
      <c r="AI126" s="14">
        <f>IF(A126&lt;'Données projet'!$A$62,$AF$205^A126,IF(A126='Données projet'!$A$62,'Données projet'!$B$62,AI125+AH126-AQ125))</f>
        <v>273.90000000000003</v>
      </c>
      <c r="AJ126" s="14">
        <f>AI126*VLOOKUP('Données projet'!$B$10,Paramètres!$A$1:$I$88,3,0)*VLOOKUP('Données projet'!$B$10,Paramètres!$A$1:$I$88,5,0)</f>
        <v>286.28028000000006</v>
      </c>
      <c r="AK126" s="14">
        <f t="shared" si="98"/>
        <v>68.292494340514679</v>
      </c>
      <c r="AL126" s="22">
        <f t="shared" si="59"/>
        <v>617.54758197639637</v>
      </c>
      <c r="AM126" s="62">
        <f t="shared" si="60"/>
        <v>894.69131396467606</v>
      </c>
      <c r="AN126" s="62">
        <f ca="1">AVERAGE(OFFSET($AM$3,0,0,'Données projet'!$E$10+1,1))-AVERAGE(OFFSET($H$3,0,0,'Données projet'!$E$10+1,1))</f>
        <v>458.33072853676879</v>
      </c>
      <c r="AO126" s="62">
        <f t="shared" si="61"/>
        <v>254.1734169352687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projet'!$B$10,Paramètres!$A$1:$I$88,7,0))</f>
        <v>0</v>
      </c>
      <c r="AS126" s="17">
        <f>IF(ISNA(VLOOKUP(A126,'Données projet'!$A$61:$I$81,6,0)),0%,VLOOKUP(A126,'Données projet'!$A$61:$I$81,6,0)*VLOOKUP('Données projet'!$B$10,Paramètres!$A$1:$I$88,7,0))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projet'!$B$9,Paramètres!$A$1:$I$88,3,0)*0.475*44/12</f>
        <v>0</v>
      </c>
      <c r="AV126" s="23">
        <f>EXP(-LN(2)/25)*AV125+(1-EXP(-LN(2)/25))/(LN(2)/25)*Calculateur!AQ126*Calculateur!AS126*VLOOKUP('Données projet'!$B$9,Paramètres!$A$1:$I$88,3,0)*0.475*44/12</f>
        <v>0</v>
      </c>
      <c r="AW126" s="23">
        <f>EXP(-LN(2)/2)*AW125+(1-EXP(-LN(2)/2))/(LN(2)/2)*AQ126*AT126*VLOOKUP('Données projet'!$B$9,Paramètres!$A$1:$I$88,3,0)*0.475*44/12</f>
        <v>0</v>
      </c>
      <c r="AX126" s="23">
        <f t="shared" si="62"/>
        <v>0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2.2999999999999998</v>
      </c>
      <c r="BD126" s="13">
        <f>IF(A126&lt;'Données projet'!$A$88,$BA$205^A126,IF(A126='Données projet'!$A$88,'Données projet'!$B$88,BD125+BC126-BL125))</f>
        <v>273.90000000000003</v>
      </c>
      <c r="BE126" s="14">
        <f>BD126*VLOOKUP('Données projet'!$B$11,Paramètres!$A$1:$I$88,3,0)*VLOOKUP('Données projet'!$B$11,Paramètres!$A$1:$I$88,5,0)</f>
        <v>277.73460000000006</v>
      </c>
      <c r="BF126" s="14">
        <f t="shared" si="99"/>
        <v>66.48803862607609</v>
      </c>
      <c r="BG126" s="22">
        <f t="shared" si="63"/>
        <v>599.52109560708266</v>
      </c>
      <c r="BH126" s="62">
        <f t="shared" si="64"/>
        <v>876.66482759536234</v>
      </c>
      <c r="BI126" s="62">
        <f ca="1">AVERAGE(OFFSET($BH$3,0,0,'Données projet'!$E$11+1,1))-AVERAGE(OFFSET($H$3,0,0,'Données projet'!$E$11+1,1))</f>
        <v>447.82618173893104</v>
      </c>
      <c r="BJ126" s="62">
        <f t="shared" si="65"/>
        <v>248.96509970783379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projet'!$B$11,Paramètres!$A$1:$I$88,7,0))</f>
        <v>0</v>
      </c>
      <c r="BN126" s="17">
        <f>IF(ISNA(VLOOKUP(A126,'Données projet'!$A$87:$I$107,6,0)),0%,VLOOKUP(A126,'Données projet'!$A$87:$I$107,6,0)*VLOOKUP('Données projet'!$B$11,Paramètres!$A$1:$I$88,7,0))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projet'!$B$9,Paramètres!$A$1:$I$88,3,0)*0.475*44/12</f>
        <v>0</v>
      </c>
      <c r="BQ126" s="23">
        <f>EXP(-LN(2)/25)*BQ125+(1-EXP(-LN(2)/25))/(LN(2)/25)*Calculateur!BL126*Calculateur!BN126*VLOOKUP('Données projet'!$B$9,Paramètres!$A$1:$I$88,3,0)*0.475*44/12</f>
        <v>0</v>
      </c>
      <c r="BR126" s="23">
        <f>EXP(-LN(2)/2)*BR125+(1-EXP(-LN(2)/2))/(LN(2)/2)*BL126*BO126*VLOOKUP('Données projet'!$B$9,Paramètres!$A$1:$I$88,3,0)*0.475*44/12</f>
        <v>0</v>
      </c>
      <c r="BS126" s="24">
        <f t="shared" si="66"/>
        <v>0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2.2999999999999998</v>
      </c>
      <c r="BY126" s="13">
        <f>IF(A126&lt;'Données projet'!$A$114,$BV$205^A126,IF(A126='Données projet'!$A$114,'Données projet'!$B$114,BY125+BX126-CG125))</f>
        <v>273.90000000000003</v>
      </c>
      <c r="BZ126" s="14">
        <f>BY126*VLOOKUP('Données projet'!$B$12,Paramètres!$A$1:$I$88,3,0)*VLOOKUP('Données projet'!$B$12,Paramètres!$A$1:$I$88,5,0)</f>
        <v>294.82596000000001</v>
      </c>
      <c r="CA126" s="14">
        <f t="shared" si="100"/>
        <v>70.090690142393015</v>
      </c>
      <c r="CB126" s="22">
        <f t="shared" si="67"/>
        <v>635.56316566466785</v>
      </c>
      <c r="CC126" s="62">
        <f t="shared" si="68"/>
        <v>912.70689765294765</v>
      </c>
      <c r="CD126" s="62">
        <f ca="1">AVERAGE(OFFSET($CC$3,0,0,'Données projet'!$E$12+1,1))-AVERAGE(OFFSET($H$3,0,0,'Données projet'!$E$12+1,1))</f>
        <v>468.82871618425406</v>
      </c>
      <c r="CE126" s="62">
        <f t="shared" si="69"/>
        <v>259.37818128554397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projet'!$B$12,Paramètres!$A$1:$I$88,7,0))</f>
        <v>0</v>
      </c>
      <c r="CI126" s="17">
        <f>IF(ISNA(VLOOKUP(A126,'Données projet'!$A$113:$I$133,6,0)),0%,VLOOKUP(A126,'Données projet'!$A$113:$I$133,6,0)*VLOOKUP('Données projet'!$B$12,Paramètres!$A$1:$I$88,7,0))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projet'!$B$9,Paramètres!$A$1:$I$88,3,0)*0.475*44/12</f>
        <v>0</v>
      </c>
      <c r="CL126" s="23">
        <f>EXP(-LN(2)/25)*CL125+(1-EXP(-LN(2)/25))/(LN(2)/25)*Calculateur!CG126*Calculateur!CI126*VLOOKUP('Données projet'!$B$9,Paramètres!$A$1:$I$88,3,0)*0.475*44/12</f>
        <v>0</v>
      </c>
      <c r="CM126" s="23">
        <f>EXP(-LN(2)/2)*CM125+(1-EXP(-LN(2)/2))/(LN(2)/2)*CG126*CJ126*VLOOKUP('Données projet'!$B$9,Paramètres!$A$1:$I$88,3,0)*0.475*44/12</f>
        <v>0</v>
      </c>
      <c r="CN126" s="24">
        <f t="shared" si="70"/>
        <v>0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2.2999999999999998</v>
      </c>
      <c r="CT126" s="13">
        <f>IF(A126&lt;'Données projet'!$A$140,$CQ$205^A126,IF(A126='Données projet'!$A$140,'Données projet'!$B$140,CT125+CS126-DB125))</f>
        <v>273.90000000000003</v>
      </c>
      <c r="CU126" s="18">
        <f>CT126*VLOOKUP('Données projet'!$B$13,Paramètres!$A$1:$I$88,3,0)*VLOOKUP('Données projet'!$B$13,Paramètres!$A$1:$I$88,5,0)</f>
        <v>235.00620000000006</v>
      </c>
      <c r="CV126" s="14">
        <f t="shared" si="101"/>
        <v>57.363778754551582</v>
      </c>
      <c r="CW126" s="22">
        <f t="shared" si="71"/>
        <v>509.21104633084406</v>
      </c>
      <c r="CX126" s="62">
        <f t="shared" si="72"/>
        <v>786.35477831912385</v>
      </c>
      <c r="CY126" s="62">
        <f ca="1">AVERAGE(OFFSET($CX$3,0,0,'Données projet'!$E$13+1,1))-AVERAGE(OFFSET($H$3,0,0,'Données projet'!$E$13+1,1))</f>
        <v>395.19659151668884</v>
      </c>
      <c r="CZ126" s="62">
        <f t="shared" si="73"/>
        <v>222.86563304507339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projet'!$B$13,Paramètres!$A$1:$I$88,7,0))</f>
        <v>0</v>
      </c>
      <c r="DD126" s="17">
        <f>IF(ISNA(VLOOKUP(A126,'Données projet'!$A$139:$I$159,6,0)),0%,VLOOKUP(A126,'Données projet'!$A$139:$I$159,6,0)*VLOOKUP('Données projet'!$B$13,Paramètres!$A$1:$I$88,7,0))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projet'!$B$9,Paramètres!$A$1:$I$88,3,0)*0.475*44/12</f>
        <v>0</v>
      </c>
      <c r="DG126" s="23">
        <f>EXP(-LN(2)/25)*DG125+(1-EXP(-LN(2)/25))/(LN(2)/25)*Calculateur!DB126*Calculateur!DD126*VLOOKUP('Données projet'!$B$9,Paramètres!$A$1:$I$88,3,0)*0.475*44/12</f>
        <v>0</v>
      </c>
      <c r="DH126" s="23">
        <f>EXP(-LN(2)/2)*DH125+(1-EXP(-LN(2)/2))/(LN(2)/2)*DB126*DE126*VLOOKUP('Données projet'!$B$9,Paramètres!$A$1:$I$88,3,0)*0.475*44/12</f>
        <v>0</v>
      </c>
      <c r="DI126" s="24">
        <f t="shared" si="74"/>
        <v>0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IF(A126&lt;'Données projet'!$A$166,$DL$205^A126,IF(A126='Données projet'!$A$166,'Données projet'!$B$166,DO125+DN126-DW125))</f>
        <v>-8.5265128291212022E-14</v>
      </c>
      <c r="DP126" s="18">
        <f>DO126*VLOOKUP('Données projet'!$B$14,Paramètres!$A$1:$I$88,3,0)*VLOOKUP('Données projet'!$B$14,Paramètres!$A$1:$I$88,5,0)</f>
        <v>-4.9880100050359036E-14</v>
      </c>
      <c r="DQ126" s="14" t="e">
        <f t="shared" si="102"/>
        <v>#NUM!</v>
      </c>
      <c r="DR126" s="22" t="e">
        <f t="shared" si="75"/>
        <v>#NUM!</v>
      </c>
      <c r="DS126" s="62" t="e">
        <f t="shared" si="76"/>
        <v>#NUM!</v>
      </c>
      <c r="DT126" s="62">
        <f ca="1">AVERAGE(OFFSET($DS$3,0,0,'Données projet'!$E$14+1,1))-AVERAGE(OFFSET($H$3,0,0,'Données projet'!$E$14+1,1))</f>
        <v>155.18073137151848</v>
      </c>
      <c r="DU126" s="62">
        <f t="shared" si="77"/>
        <v>115.19459155667272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projet'!$B$14,Paramètres!$A$1:$I$88,7,0))</f>
        <v>0</v>
      </c>
      <c r="DY126" s="17">
        <f>IF(ISNA(VLOOKUP(A126,'Données projet'!$A$165:$I$185,6,0)),0%,VLOOKUP(A126,'Données projet'!$A$165:$I$185,6,0)*VLOOKUP('Données projet'!$B$14,Paramètres!$A$1:$I$88,7,0))</f>
        <v>0</v>
      </c>
      <c r="DZ126" s="17">
        <f>IF(ISNA(VLOOKUP(A126,'Données projet'!$A$165:$I$185,7,0)),0%,VLOOKUP(A126,'Données projet'!$A$165:$I$185,7,0))</f>
        <v>0</v>
      </c>
      <c r="EA126" s="23">
        <f>EXP(-LN(2)/35)*EA125+(1-EXP(-LN(2)/35))/(LN(2)/35)*DW126*DX126*VLOOKUP('Données projet'!$B$9,Paramètres!$A$1:$I$88,3,0)*0.475*44/12</f>
        <v>0</v>
      </c>
      <c r="EB126" s="23">
        <f>EXP(-LN(2)/25)*EB125+(1-EXP(-LN(2)/25))/(LN(2)/25)*Calculateur!DW126*Calculateur!DY126*VLOOKUP('Données projet'!$B$9,Paramètres!$A$1:$I$88,3,0)*0.475*44/12</f>
        <v>0</v>
      </c>
      <c r="EC126" s="23">
        <f>EXP(-LN(2)/2)*EC125+(1-EXP(-LN(2)/2))/(LN(2)/2)*DW126*DZ126*VLOOKUP('Données projet'!$B$9,Paramètres!$A$1:$I$88,3,0)*0.475*44/12</f>
        <v>0</v>
      </c>
      <c r="ED126" s="24">
        <f t="shared" si="78"/>
        <v>0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IF(A126&lt;'Données projet'!$A$192,$EG$205^A126,IF(A126='Données projet'!$A$192,'Données projet'!$B$192,EJ125+EI126-ER125))</f>
        <v>-5.6843418860808015E-14</v>
      </c>
      <c r="EK126" s="18">
        <f>EJ126*VLOOKUP('Données projet'!$B$15,Paramètres!$A$1:$I$88,3,0)*VLOOKUP('Données projet'!$B$15,Paramètres!$A$1:$I$88,5,0)</f>
        <v>-2.6602720026858149E-14</v>
      </c>
      <c r="EL126" s="14" t="e">
        <f t="shared" si="103"/>
        <v>#NUM!</v>
      </c>
      <c r="EM126" s="22" t="e">
        <f t="shared" si="79"/>
        <v>#NUM!</v>
      </c>
      <c r="EN126" s="62" t="e">
        <f t="shared" si="80"/>
        <v>#NUM!</v>
      </c>
      <c r="EO126" s="62">
        <f ca="1">AVERAGE(OFFSET($EN$3,0,0,'Données projet'!$E$15+1,1))-AVERAGE(OFFSET($H$3,0,0,'Données projet'!$E$15+1,1))</f>
        <v>238.59014604384171</v>
      </c>
      <c r="EP126" s="62">
        <f t="shared" si="81"/>
        <v>90.841373219575217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projet'!$B$15,Paramètres!$A$1:$I$88,7,0))</f>
        <v>0</v>
      </c>
      <c r="ET126" s="17">
        <f>IF(ISNA(VLOOKUP(A126,'Données projet'!$A$191:$I$211,6,0)),0%,VLOOKUP(A126,'Données projet'!$A$191:$I$211,6,0)*VLOOKUP('Données projet'!$B$15,Paramètres!$A$1:$I$88,7,0))</f>
        <v>0</v>
      </c>
      <c r="EU126" s="17">
        <f>IF(ISNA(VLOOKUP(A126,'Données projet'!$A$191:$I$211,7,0)),0%,VLOOKUP(A126,'Données projet'!$A$191:$I$211,7,0))</f>
        <v>0</v>
      </c>
      <c r="EV126" s="23">
        <f>EXP(-LN(2)/35)*EV125+(1-EXP(-LN(2)/35))/(LN(2)/35)*ER126*ES126*VLOOKUP('Données projet'!$B$9,Paramètres!$A$1:$I$88,3,0)*0.475*44/12</f>
        <v>0</v>
      </c>
      <c r="EW126" s="23">
        <f>EXP(-LN(2)/25)*EW125+(1-EXP(-LN(2)/25))/(LN(2)/25)*Calculateur!ER126*Calculateur!ET126*VLOOKUP('Données projet'!$B$9,Paramètres!$A$1:$I$88,3,0)*0.475*44/12</f>
        <v>0</v>
      </c>
      <c r="EX126" s="23">
        <f>EXP(-LN(2)/2)*EX125+(1-EXP(-LN(2)/2))/(LN(2)/2)*ER126*EU126*VLOOKUP('Données projet'!$B$9,Paramètres!$A$1:$I$88,3,0)*0.475*44/12</f>
        <v>0</v>
      </c>
      <c r="EY126" s="24">
        <f t="shared" si="82"/>
        <v>0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IF(A126&lt;'Données projet'!$A$218,$FB$205^A126,IF(A126='Données projet'!$A$218,'Données projet'!$B$218,FE125+FD126-FM125))</f>
        <v>0</v>
      </c>
      <c r="FF126" s="18" t="e">
        <f>FE126*VLOOKUP('Données projet'!$B$16,Paramètres!$A$1:$I$88,3,0)*VLOOKUP('Données projet'!$B$16,Paramètres!$A$1:$I$88,5,0)</f>
        <v>#N/A</v>
      </c>
      <c r="FG126" s="14" t="e">
        <f t="shared" si="104"/>
        <v>#N/A</v>
      </c>
      <c r="FH126" s="22" t="e">
        <f t="shared" si="83"/>
        <v>#N/A</v>
      </c>
      <c r="FI126" s="62" t="e">
        <f t="shared" si="84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85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projet'!$B$16,Paramètres!$A$1:$I$88,7,0))</f>
        <v>0</v>
      </c>
      <c r="FO126" s="17">
        <f>IF(ISNA(VLOOKUP(A126,'Données projet'!$A$217:$I$237,6,0)),0%,VLOOKUP(A126,'Données projet'!$A$217:$I$237,6,0)*VLOOKUP('Données projet'!$B$16,Paramètres!$A$1:$I$88,7,0))</f>
        <v>0</v>
      </c>
      <c r="FP126" s="17">
        <f>IF(ISNA(VLOOKUP(A126,'Données projet'!$A$217:$I$237,7,0)),0%,VLOOKUP(A126,'Données projet'!$A$217:$I$237,7,0))</f>
        <v>0</v>
      </c>
      <c r="FQ126" s="23">
        <f>EXP(-LN(2)/35)*FQ125+(1-EXP(-LN(2)/35))/(LN(2)/35)*FM126*FN126*VLOOKUP('Données projet'!$B$9,Paramètres!$A$1:$I$88,3,0)*0.475*44/12</f>
        <v>0</v>
      </c>
      <c r="FR126" s="23">
        <f>EXP(-LN(2)/25)*FR125+(1-EXP(-LN(2)/25))/(LN(2)/25)*Calculateur!FM126*Calculateur!FO126*VLOOKUP('Données projet'!$B$9,Paramètres!$A$1:$I$88,3,0)*0.475*44/12</f>
        <v>0</v>
      </c>
      <c r="FS126" s="23">
        <f>EXP(-LN(2)/2)*FS125+(1-EXP(-LN(2)/2))/(LN(2)/2)*FM126*FP126*VLOOKUP('Données projet'!$B$9,Paramètres!$A$1:$I$88,3,0)*0.475*44/12</f>
        <v>0</v>
      </c>
      <c r="FT126" s="24">
        <f t="shared" si="86"/>
        <v>0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IF(A126&lt;'Données projet'!$A$244,$FW$205^A126,IF(A126='Données projet'!$A$244,'Données projet'!$B$244,FZ125+FY126-GH125))</f>
        <v>0</v>
      </c>
      <c r="GA126" s="18" t="e">
        <f>FZ126*VLOOKUP('Données projet'!$B$17,Paramètres!$A$1:$I$88,3,0)*VLOOKUP('Données projet'!$B$17,Paramètres!$A$1:$I$88,5,0)</f>
        <v>#N/A</v>
      </c>
      <c r="GB126" s="14" t="e">
        <f t="shared" si="105"/>
        <v>#N/A</v>
      </c>
      <c r="GC126" s="22" t="e">
        <f t="shared" si="87"/>
        <v>#N/A</v>
      </c>
      <c r="GD126" s="62" t="e">
        <f t="shared" si="88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89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projet'!$B$17,Paramètres!$A$1:$I$88,7,0))</f>
        <v>0</v>
      </c>
      <c r="GJ126" s="17">
        <f>IF(ISNA(VLOOKUP(A126,'Données projet'!$A$243:$I$263,6,0)),0%,VLOOKUP(A126,'Données projet'!$A$243:$I$263,6,0)*VLOOKUP('Données projet'!$B$17,Paramètres!$A$1:$I$88,7,0))</f>
        <v>0</v>
      </c>
      <c r="GK126" s="17">
        <f>IF(ISNA(VLOOKUP(A126,'Données projet'!$A$243:$I$263,7,0)),0%,VLOOKUP(A126,'Données projet'!$A$243:$I$263,7,0))</f>
        <v>0</v>
      </c>
      <c r="GL126" s="23">
        <f>EXP(-LN(2)/35)*GL125+(1-EXP(-LN(2)/35))/(LN(2)/35)*GH126*GI126*VLOOKUP('Données projet'!$B$9,Paramètres!$A$1:$I$88,3,0)*0.475*44/12</f>
        <v>0</v>
      </c>
      <c r="GM126" s="23">
        <f>EXP(-LN(2)/25)*GM125+(1-EXP(-LN(2)/25))/(LN(2)/25)*Calculateur!GH126*Calculateur!GJ126*VLOOKUP('Données projet'!$B$9,Paramètres!$A$1:$I$88,3,0)*0.475*44/12</f>
        <v>0</v>
      </c>
      <c r="GN126" s="23">
        <f>EXP(-LN(2)/2)*GN125+(1-EXP(-LN(2)/2))/(LN(2)/2)*GH126*GK126*VLOOKUP('Données projet'!$B$9,Paramètres!$A$1:$I$88,3,0)*0.475*44/12</f>
        <v>0</v>
      </c>
      <c r="GO126" s="23">
        <f t="shared" si="90"/>
        <v>0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IF(A126&lt;'Données projet'!$A$270,$GR$205^A126,IF(A126='Données projet'!$A$270,'Données projet'!$B$270,GU125+GT126-HC125))</f>
        <v>0</v>
      </c>
      <c r="GV126" s="18" t="e">
        <f>GU126*VLOOKUP('Données projet'!$B$18,Paramètres!$A$1:$I$88,3,0)*VLOOKUP('Données projet'!$B$18,Paramètres!$A$1:$I$88,5,0)</f>
        <v>#N/A</v>
      </c>
      <c r="GW126" s="14" t="e">
        <f t="shared" si="106"/>
        <v>#N/A</v>
      </c>
      <c r="GX126" s="22" t="e">
        <f t="shared" si="91"/>
        <v>#N/A</v>
      </c>
      <c r="GY126" s="62" t="e">
        <f t="shared" si="92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93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projet'!$B$18,Paramètres!$A$1:$I$88,7,0))</f>
        <v>0</v>
      </c>
      <c r="HE126" s="17">
        <f>IF(ISNA(VLOOKUP(A126,'Données projet'!$A$269:$I$289,6,0)),0%,VLOOKUP(A126,'Données projet'!$A$269:$I$289,6,0)*VLOOKUP('Données projet'!$B$18,Paramètres!$A$1:$I$88,7,0))</f>
        <v>0</v>
      </c>
      <c r="HF126" s="17">
        <f>IF(ISNA(VLOOKUP(A126,'Données projet'!$A$269:$I$289,7,0)),0%,VLOOKUP(A126,'Données projet'!$A$269:$I$289,7,0))</f>
        <v>0</v>
      </c>
      <c r="HG126" s="23">
        <f>EXP(-LN(2)/35)*HG125+(1-EXP(-LN(2)/35))/(LN(2)/35)*HC126*HD126*VLOOKUP('Données projet'!$B$9,Paramètres!$A$1:$I$88,3,0)*0.475*44/12</f>
        <v>0</v>
      </c>
      <c r="HH126" s="23">
        <f>EXP(-LN(2)/25)*HH125+(1-EXP(-LN(2)/25))/(LN(2)/25)*Calculateur!HC126*Calculateur!HE126*VLOOKUP('Données projet'!$B$9,Paramètres!$A$1:$I$88,3,0)*0.475*44/12</f>
        <v>0</v>
      </c>
      <c r="HI126" s="23">
        <f>EXP(-LN(2)/2)*HI125+(1-EXP(-LN(2)/2))/(LN(2)/2)*HC126*HF126*VLOOKUP('Données projet'!$B$9,Paramètres!$A$1:$I$88,3,0)*0.475*44/12</f>
        <v>0</v>
      </c>
      <c r="HJ126" s="24">
        <f t="shared" si="94"/>
        <v>0</v>
      </c>
    </row>
    <row r="127" spans="1:218" s="5" customFormat="1" x14ac:dyDescent="0.25">
      <c r="A127" s="11">
        <f t="shared" si="95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7" s="12">
        <f t="shared" si="9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57"/>
        <v>135.66666666666666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1.2474999999999994</v>
      </c>
      <c r="N127" s="14">
        <f>IF(A127&lt;'Données projet'!$A$36,$K$205^A127,IF(A127='Données projet'!$A$36,'Données projet'!$B$36,N126+M127-V126))</f>
        <v>116.75666666666663</v>
      </c>
      <c r="O127" s="14">
        <f>N127*VLOOKUP('Données projet'!$B$9,Paramètres!$A$1:$I$88,3,0)*VLOOKUP('Données projet'!$B$9,Paramètres!$A$1:$I$88,5,0)</f>
        <v>134.50367999999995</v>
      </c>
      <c r="P127" s="14">
        <f t="shared" si="97"/>
        <v>35.034955853887169</v>
      </c>
      <c r="Q127" s="22">
        <f t="shared" si="107"/>
        <v>295.2797907788534</v>
      </c>
      <c r="R127" s="62">
        <f t="shared" si="55"/>
        <v>572.70437615594346</v>
      </c>
      <c r="S127" s="62">
        <f ca="1">AVERAGE(OFFSET($R$3,0,0,'Données projet'!$E$9+1,1))-AVERAGE(OFFSET($H$3,0,0,'Données projet'!$E$9+1,1))</f>
        <v>314.72063458462026</v>
      </c>
      <c r="T127" s="62">
        <f t="shared" si="56"/>
        <v>216.4380325968244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projet'!$B$9,Paramètres!$A$1:$I$88,7,0))</f>
        <v>0</v>
      </c>
      <c r="X127" s="17">
        <f>IF(ISNA(VLOOKUP(A127,'Données projet'!$A$35:$I$55,6,0)),0%,VLOOKUP(A127,'Données projet'!$A$35:$I$55,6,0)*VLOOKUP('Données projet'!$B$9,Paramètres!$A$1:$I$88,7,0))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projet'!$B$9,Paramètres!$A$1:$I$88,3,0)*0.475*44/12</f>
        <v>0</v>
      </c>
      <c r="AA127" s="23">
        <f>EXP(-LN(2)/25)*AA126+(1-EXP(-LN(2)/25))/(LN(2)/25)*Calculateur!V127*Calculateur!X127*VLOOKUP('Données projet'!$B$9,Paramètres!$A$1:$I$88,3,0)*0.475*44/12</f>
        <v>0</v>
      </c>
      <c r="AB127" s="23">
        <f>EXP(-LN(2)/2)*AB126+(1-EXP(-LN(2)/2))/(LN(2)/2)*V127*Y127*VLOOKUP('Données projet'!$B$9,Paramètres!$A$1:$I$88,3,0)*0.475*44/12</f>
        <v>0</v>
      </c>
      <c r="AC127" s="24">
        <f t="shared" si="58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2.2999999999999998</v>
      </c>
      <c r="AI127" s="14">
        <f>IF(A127&lt;'Données projet'!$A$62,$AF$205^A127,IF(A127='Données projet'!$A$62,'Données projet'!$B$62,AI126+AH127-AQ126))</f>
        <v>276.20000000000005</v>
      </c>
      <c r="AJ127" s="14">
        <f>AI127*VLOOKUP('Données projet'!$B$10,Paramètres!$A$1:$I$88,3,0)*VLOOKUP('Données projet'!$B$10,Paramètres!$A$1:$I$88,5,0)</f>
        <v>288.68424000000005</v>
      </c>
      <c r="AK127" s="14">
        <f t="shared" si="98"/>
        <v>68.798963316185421</v>
      </c>
      <c r="AL127" s="22">
        <f t="shared" si="59"/>
        <v>622.61657910902306</v>
      </c>
      <c r="AM127" s="62">
        <f t="shared" si="60"/>
        <v>900.04116448611319</v>
      </c>
      <c r="AN127" s="62">
        <f ca="1">AVERAGE(OFFSET($AM$3,0,0,'Données projet'!$E$10+1,1))-AVERAGE(OFFSET($H$3,0,0,'Données projet'!$E$10+1,1))</f>
        <v>458.33072853676879</v>
      </c>
      <c r="AO127" s="62">
        <f t="shared" si="61"/>
        <v>254.1734169352687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projet'!$B$10,Paramètres!$A$1:$I$88,7,0))</f>
        <v>0</v>
      </c>
      <c r="AS127" s="17">
        <f>IF(ISNA(VLOOKUP(A127,'Données projet'!$A$61:$I$81,6,0)),0%,VLOOKUP(A127,'Données projet'!$A$61:$I$81,6,0)*VLOOKUP('Données projet'!$B$10,Paramètres!$A$1:$I$88,7,0))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projet'!$B$9,Paramètres!$A$1:$I$88,3,0)*0.475*44/12</f>
        <v>0</v>
      </c>
      <c r="AV127" s="23">
        <f>EXP(-LN(2)/25)*AV126+(1-EXP(-LN(2)/25))/(LN(2)/25)*Calculateur!AQ127*Calculateur!AS127*VLOOKUP('Données projet'!$B$9,Paramètres!$A$1:$I$88,3,0)*0.475*44/12</f>
        <v>0</v>
      </c>
      <c r="AW127" s="23">
        <f>EXP(-LN(2)/2)*AW126+(1-EXP(-LN(2)/2))/(LN(2)/2)*AQ127*AT127*VLOOKUP('Données projet'!$B$9,Paramètres!$A$1:$I$88,3,0)*0.475*44/12</f>
        <v>0</v>
      </c>
      <c r="AX127" s="23">
        <f t="shared" si="62"/>
        <v>0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2.2999999999999998</v>
      </c>
      <c r="BD127" s="13">
        <f>IF(A127&lt;'Données projet'!$A$88,$BA$205^A127,IF(A127='Données projet'!$A$88,'Données projet'!$B$88,BD126+BC127-BL126))</f>
        <v>276.20000000000005</v>
      </c>
      <c r="BE127" s="14">
        <f>BD127*VLOOKUP('Données projet'!$B$11,Paramètres!$A$1:$I$88,3,0)*VLOOKUP('Données projet'!$B$11,Paramètres!$A$1:$I$88,5,0)</f>
        <v>280.06680000000006</v>
      </c>
      <c r="BF127" s="14">
        <f t="shared" si="99"/>
        <v>66.981125445388926</v>
      </c>
      <c r="BG127" s="22">
        <f t="shared" si="63"/>
        <v>604.44180348405246</v>
      </c>
      <c r="BH127" s="62">
        <f t="shared" si="64"/>
        <v>881.86638886114258</v>
      </c>
      <c r="BI127" s="62">
        <f ca="1">AVERAGE(OFFSET($BH$3,0,0,'Données projet'!$E$11+1,1))-AVERAGE(OFFSET($H$3,0,0,'Données projet'!$E$11+1,1))</f>
        <v>447.82618173893104</v>
      </c>
      <c r="BJ127" s="62">
        <f t="shared" si="65"/>
        <v>248.96509970783379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projet'!$B$11,Paramètres!$A$1:$I$88,7,0))</f>
        <v>0</v>
      </c>
      <c r="BN127" s="17">
        <f>IF(ISNA(VLOOKUP(A127,'Données projet'!$A$87:$I$107,6,0)),0%,VLOOKUP(A127,'Données projet'!$A$87:$I$107,6,0)*VLOOKUP('Données projet'!$B$11,Paramètres!$A$1:$I$88,7,0))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projet'!$B$9,Paramètres!$A$1:$I$88,3,0)*0.475*44/12</f>
        <v>0</v>
      </c>
      <c r="BQ127" s="23">
        <f>EXP(-LN(2)/25)*BQ126+(1-EXP(-LN(2)/25))/(LN(2)/25)*Calculateur!BL127*Calculateur!BN127*VLOOKUP('Données projet'!$B$9,Paramètres!$A$1:$I$88,3,0)*0.475*44/12</f>
        <v>0</v>
      </c>
      <c r="BR127" s="23">
        <f>EXP(-LN(2)/2)*BR126+(1-EXP(-LN(2)/2))/(LN(2)/2)*BL127*BO127*VLOOKUP('Données projet'!$B$9,Paramètres!$A$1:$I$88,3,0)*0.475*44/12</f>
        <v>0</v>
      </c>
      <c r="BS127" s="24">
        <f t="shared" si="66"/>
        <v>0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2.2999999999999998</v>
      </c>
      <c r="BY127" s="13">
        <f>IF(A127&lt;'Données projet'!$A$114,$BV$205^A127,IF(A127='Données projet'!$A$114,'Données projet'!$B$114,BY126+BX127-CG126))</f>
        <v>276.20000000000005</v>
      </c>
      <c r="BZ127" s="14">
        <f>BY127*VLOOKUP('Données projet'!$B$12,Paramètres!$A$1:$I$88,3,0)*VLOOKUP('Données projet'!$B$12,Paramètres!$A$1:$I$88,5,0)</f>
        <v>297.30168000000003</v>
      </c>
      <c r="CA127" s="14">
        <f t="shared" si="100"/>
        <v>70.610494849825017</v>
      </c>
      <c r="CB127" s="22">
        <f t="shared" si="67"/>
        <v>640.78037119677867</v>
      </c>
      <c r="CC127" s="62">
        <f t="shared" si="68"/>
        <v>918.2049565738688</v>
      </c>
      <c r="CD127" s="62">
        <f ca="1">AVERAGE(OFFSET($CC$3,0,0,'Données projet'!$E$12+1,1))-AVERAGE(OFFSET($H$3,0,0,'Données projet'!$E$12+1,1))</f>
        <v>468.82871618425406</v>
      </c>
      <c r="CE127" s="62">
        <f t="shared" si="69"/>
        <v>259.37818128554397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projet'!$B$12,Paramètres!$A$1:$I$88,7,0))</f>
        <v>0</v>
      </c>
      <c r="CI127" s="17">
        <f>IF(ISNA(VLOOKUP(A127,'Données projet'!$A$113:$I$133,6,0)),0%,VLOOKUP(A127,'Données projet'!$A$113:$I$133,6,0)*VLOOKUP('Données projet'!$B$12,Paramètres!$A$1:$I$88,7,0))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projet'!$B$9,Paramètres!$A$1:$I$88,3,0)*0.475*44/12</f>
        <v>0</v>
      </c>
      <c r="CL127" s="23">
        <f>EXP(-LN(2)/25)*CL126+(1-EXP(-LN(2)/25))/(LN(2)/25)*Calculateur!CG127*Calculateur!CI127*VLOOKUP('Données projet'!$B$9,Paramètres!$A$1:$I$88,3,0)*0.475*44/12</f>
        <v>0</v>
      </c>
      <c r="CM127" s="23">
        <f>EXP(-LN(2)/2)*CM126+(1-EXP(-LN(2)/2))/(LN(2)/2)*CG127*CJ127*VLOOKUP('Données projet'!$B$9,Paramètres!$A$1:$I$88,3,0)*0.475*44/12</f>
        <v>0</v>
      </c>
      <c r="CN127" s="24">
        <f t="shared" si="70"/>
        <v>0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2.2999999999999998</v>
      </c>
      <c r="CT127" s="13">
        <f>IF(A127&lt;'Données projet'!$A$140,$CQ$205^A127,IF(A127='Données projet'!$A$140,'Données projet'!$B$140,CT126+CS127-DB126))</f>
        <v>276.20000000000005</v>
      </c>
      <c r="CU127" s="18">
        <f>CT127*VLOOKUP('Données projet'!$B$13,Paramètres!$A$1:$I$88,3,0)*VLOOKUP('Données projet'!$B$13,Paramètres!$A$1:$I$88,5,0)</f>
        <v>236.97960000000003</v>
      </c>
      <c r="CV127" s="14">
        <f t="shared" si="101"/>
        <v>57.789198481082025</v>
      </c>
      <c r="CW127" s="22">
        <f t="shared" si="71"/>
        <v>513.38899068788453</v>
      </c>
      <c r="CX127" s="62">
        <f t="shared" si="72"/>
        <v>790.81357606497465</v>
      </c>
      <c r="CY127" s="62">
        <f ca="1">AVERAGE(OFFSET($CX$3,0,0,'Données projet'!$E$13+1,1))-AVERAGE(OFFSET($H$3,0,0,'Données projet'!$E$13+1,1))</f>
        <v>395.19659151668884</v>
      </c>
      <c r="CZ127" s="62">
        <f t="shared" si="73"/>
        <v>222.86563304507339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projet'!$B$13,Paramètres!$A$1:$I$88,7,0))</f>
        <v>0</v>
      </c>
      <c r="DD127" s="17">
        <f>IF(ISNA(VLOOKUP(A127,'Données projet'!$A$139:$I$159,6,0)),0%,VLOOKUP(A127,'Données projet'!$A$139:$I$159,6,0)*VLOOKUP('Données projet'!$B$13,Paramètres!$A$1:$I$88,7,0))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projet'!$B$9,Paramètres!$A$1:$I$88,3,0)*0.475*44/12</f>
        <v>0</v>
      </c>
      <c r="DG127" s="23">
        <f>EXP(-LN(2)/25)*DG126+(1-EXP(-LN(2)/25))/(LN(2)/25)*Calculateur!DB127*Calculateur!DD127*VLOOKUP('Données projet'!$B$9,Paramètres!$A$1:$I$88,3,0)*0.475*44/12</f>
        <v>0</v>
      </c>
      <c r="DH127" s="23">
        <f>EXP(-LN(2)/2)*DH126+(1-EXP(-LN(2)/2))/(LN(2)/2)*DB127*DE127*VLOOKUP('Données projet'!$B$9,Paramètres!$A$1:$I$88,3,0)*0.475*44/12</f>
        <v>0</v>
      </c>
      <c r="DI127" s="24">
        <f t="shared" si="74"/>
        <v>0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IF(A127&lt;'Données projet'!$A$166,$DL$205^A127,IF(A127='Données projet'!$A$166,'Données projet'!$B$166,DO126+DN127-DW126))</f>
        <v>-8.5265128291212022E-14</v>
      </c>
      <c r="DP127" s="18">
        <f>DO127*VLOOKUP('Données projet'!$B$14,Paramètres!$A$1:$I$88,3,0)*VLOOKUP('Données projet'!$B$14,Paramètres!$A$1:$I$88,5,0)</f>
        <v>-4.9880100050359036E-14</v>
      </c>
      <c r="DQ127" s="14" t="e">
        <f t="shared" si="102"/>
        <v>#NUM!</v>
      </c>
      <c r="DR127" s="22" t="e">
        <f t="shared" si="75"/>
        <v>#NUM!</v>
      </c>
      <c r="DS127" s="62" t="e">
        <f t="shared" si="76"/>
        <v>#NUM!</v>
      </c>
      <c r="DT127" s="62">
        <f ca="1">AVERAGE(OFFSET($DS$3,0,0,'Données projet'!$E$14+1,1))-AVERAGE(OFFSET($H$3,0,0,'Données projet'!$E$14+1,1))</f>
        <v>155.18073137151848</v>
      </c>
      <c r="DU127" s="62">
        <f t="shared" si="77"/>
        <v>115.19459155667272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projet'!$B$14,Paramètres!$A$1:$I$88,7,0))</f>
        <v>0</v>
      </c>
      <c r="DY127" s="17">
        <f>IF(ISNA(VLOOKUP(A127,'Données projet'!$A$165:$I$185,6,0)),0%,VLOOKUP(A127,'Données projet'!$A$165:$I$185,6,0)*VLOOKUP('Données projet'!$B$14,Paramètres!$A$1:$I$88,7,0))</f>
        <v>0</v>
      </c>
      <c r="DZ127" s="17">
        <f>IF(ISNA(VLOOKUP(A127,'Données projet'!$A$165:$I$185,7,0)),0%,VLOOKUP(A127,'Données projet'!$A$165:$I$185,7,0))</f>
        <v>0</v>
      </c>
      <c r="EA127" s="23">
        <f>EXP(-LN(2)/35)*EA126+(1-EXP(-LN(2)/35))/(LN(2)/35)*DW127*DX127*VLOOKUP('Données projet'!$B$9,Paramètres!$A$1:$I$88,3,0)*0.475*44/12</f>
        <v>0</v>
      </c>
      <c r="EB127" s="23">
        <f>EXP(-LN(2)/25)*EB126+(1-EXP(-LN(2)/25))/(LN(2)/25)*Calculateur!DW127*Calculateur!DY127*VLOOKUP('Données projet'!$B$9,Paramètres!$A$1:$I$88,3,0)*0.475*44/12</f>
        <v>0</v>
      </c>
      <c r="EC127" s="23">
        <f>EXP(-LN(2)/2)*EC126+(1-EXP(-LN(2)/2))/(LN(2)/2)*DW127*DZ127*VLOOKUP('Données projet'!$B$9,Paramètres!$A$1:$I$88,3,0)*0.475*44/12</f>
        <v>0</v>
      </c>
      <c r="ED127" s="24">
        <f t="shared" si="78"/>
        <v>0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IF(A127&lt;'Données projet'!$A$192,$EG$205^A127,IF(A127='Données projet'!$A$192,'Données projet'!$B$192,EJ126+EI127-ER126))</f>
        <v>-5.6843418860808015E-14</v>
      </c>
      <c r="EK127" s="18">
        <f>EJ127*VLOOKUP('Données projet'!$B$15,Paramètres!$A$1:$I$88,3,0)*VLOOKUP('Données projet'!$B$15,Paramètres!$A$1:$I$88,5,0)</f>
        <v>-2.6602720026858149E-14</v>
      </c>
      <c r="EL127" s="14" t="e">
        <f t="shared" si="103"/>
        <v>#NUM!</v>
      </c>
      <c r="EM127" s="22" t="e">
        <f t="shared" si="79"/>
        <v>#NUM!</v>
      </c>
      <c r="EN127" s="62" t="e">
        <f t="shared" si="80"/>
        <v>#NUM!</v>
      </c>
      <c r="EO127" s="62">
        <f ca="1">AVERAGE(OFFSET($EN$3,0,0,'Données projet'!$E$15+1,1))-AVERAGE(OFFSET($H$3,0,0,'Données projet'!$E$15+1,1))</f>
        <v>238.59014604384171</v>
      </c>
      <c r="EP127" s="62">
        <f t="shared" si="81"/>
        <v>90.841373219575217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projet'!$B$15,Paramètres!$A$1:$I$88,7,0))</f>
        <v>0</v>
      </c>
      <c r="ET127" s="17">
        <f>IF(ISNA(VLOOKUP(A127,'Données projet'!$A$191:$I$211,6,0)),0%,VLOOKUP(A127,'Données projet'!$A$191:$I$211,6,0)*VLOOKUP('Données projet'!$B$15,Paramètres!$A$1:$I$88,7,0))</f>
        <v>0</v>
      </c>
      <c r="EU127" s="17">
        <f>IF(ISNA(VLOOKUP(A127,'Données projet'!$A$191:$I$211,7,0)),0%,VLOOKUP(A127,'Données projet'!$A$191:$I$211,7,0))</f>
        <v>0</v>
      </c>
      <c r="EV127" s="23">
        <f>EXP(-LN(2)/35)*EV126+(1-EXP(-LN(2)/35))/(LN(2)/35)*ER127*ES127*VLOOKUP('Données projet'!$B$9,Paramètres!$A$1:$I$88,3,0)*0.475*44/12</f>
        <v>0</v>
      </c>
      <c r="EW127" s="23">
        <f>EXP(-LN(2)/25)*EW126+(1-EXP(-LN(2)/25))/(LN(2)/25)*Calculateur!ER127*Calculateur!ET127*VLOOKUP('Données projet'!$B$9,Paramètres!$A$1:$I$88,3,0)*0.475*44/12</f>
        <v>0</v>
      </c>
      <c r="EX127" s="23">
        <f>EXP(-LN(2)/2)*EX126+(1-EXP(-LN(2)/2))/(LN(2)/2)*ER127*EU127*VLOOKUP('Données projet'!$B$9,Paramètres!$A$1:$I$88,3,0)*0.475*44/12</f>
        <v>0</v>
      </c>
      <c r="EY127" s="24">
        <f t="shared" si="82"/>
        <v>0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IF(A127&lt;'Données projet'!$A$218,$FB$205^A127,IF(A127='Données projet'!$A$218,'Données projet'!$B$218,FE126+FD127-FM126))</f>
        <v>0</v>
      </c>
      <c r="FF127" s="18" t="e">
        <f>FE127*VLOOKUP('Données projet'!$B$16,Paramètres!$A$1:$I$88,3,0)*VLOOKUP('Données projet'!$B$16,Paramètres!$A$1:$I$88,5,0)</f>
        <v>#N/A</v>
      </c>
      <c r="FG127" s="14" t="e">
        <f t="shared" si="104"/>
        <v>#N/A</v>
      </c>
      <c r="FH127" s="22" t="e">
        <f t="shared" si="83"/>
        <v>#N/A</v>
      </c>
      <c r="FI127" s="62" t="e">
        <f t="shared" si="84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85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projet'!$B$16,Paramètres!$A$1:$I$88,7,0))</f>
        <v>0</v>
      </c>
      <c r="FO127" s="17">
        <f>IF(ISNA(VLOOKUP(A127,'Données projet'!$A$217:$I$237,6,0)),0%,VLOOKUP(A127,'Données projet'!$A$217:$I$237,6,0)*VLOOKUP('Données projet'!$B$16,Paramètres!$A$1:$I$88,7,0))</f>
        <v>0</v>
      </c>
      <c r="FP127" s="17">
        <f>IF(ISNA(VLOOKUP(A127,'Données projet'!$A$217:$I$237,7,0)),0%,VLOOKUP(A127,'Données projet'!$A$217:$I$237,7,0))</f>
        <v>0</v>
      </c>
      <c r="FQ127" s="23">
        <f>EXP(-LN(2)/35)*FQ126+(1-EXP(-LN(2)/35))/(LN(2)/35)*FM127*FN127*VLOOKUP('Données projet'!$B$9,Paramètres!$A$1:$I$88,3,0)*0.475*44/12</f>
        <v>0</v>
      </c>
      <c r="FR127" s="23">
        <f>EXP(-LN(2)/25)*FR126+(1-EXP(-LN(2)/25))/(LN(2)/25)*Calculateur!FM127*Calculateur!FO127*VLOOKUP('Données projet'!$B$9,Paramètres!$A$1:$I$88,3,0)*0.475*44/12</f>
        <v>0</v>
      </c>
      <c r="FS127" s="23">
        <f>EXP(-LN(2)/2)*FS126+(1-EXP(-LN(2)/2))/(LN(2)/2)*FM127*FP127*VLOOKUP('Données projet'!$B$9,Paramètres!$A$1:$I$88,3,0)*0.475*44/12</f>
        <v>0</v>
      </c>
      <c r="FT127" s="24">
        <f t="shared" si="86"/>
        <v>0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IF(A127&lt;'Données projet'!$A$244,$FW$205^A127,IF(A127='Données projet'!$A$244,'Données projet'!$B$244,FZ126+FY127-GH126))</f>
        <v>0</v>
      </c>
      <c r="GA127" s="18" t="e">
        <f>FZ127*VLOOKUP('Données projet'!$B$17,Paramètres!$A$1:$I$88,3,0)*VLOOKUP('Données projet'!$B$17,Paramètres!$A$1:$I$88,5,0)</f>
        <v>#N/A</v>
      </c>
      <c r="GB127" s="14" t="e">
        <f t="shared" si="105"/>
        <v>#N/A</v>
      </c>
      <c r="GC127" s="22" t="e">
        <f t="shared" si="87"/>
        <v>#N/A</v>
      </c>
      <c r="GD127" s="62" t="e">
        <f t="shared" si="88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89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projet'!$B$17,Paramètres!$A$1:$I$88,7,0))</f>
        <v>0</v>
      </c>
      <c r="GJ127" s="17">
        <f>IF(ISNA(VLOOKUP(A127,'Données projet'!$A$243:$I$263,6,0)),0%,VLOOKUP(A127,'Données projet'!$A$243:$I$263,6,0)*VLOOKUP('Données projet'!$B$17,Paramètres!$A$1:$I$88,7,0))</f>
        <v>0</v>
      </c>
      <c r="GK127" s="17">
        <f>IF(ISNA(VLOOKUP(A127,'Données projet'!$A$243:$I$263,7,0)),0%,VLOOKUP(A127,'Données projet'!$A$243:$I$263,7,0))</f>
        <v>0</v>
      </c>
      <c r="GL127" s="23">
        <f>EXP(-LN(2)/35)*GL126+(1-EXP(-LN(2)/35))/(LN(2)/35)*GH127*GI127*VLOOKUP('Données projet'!$B$9,Paramètres!$A$1:$I$88,3,0)*0.475*44/12</f>
        <v>0</v>
      </c>
      <c r="GM127" s="23">
        <f>EXP(-LN(2)/25)*GM126+(1-EXP(-LN(2)/25))/(LN(2)/25)*Calculateur!GH127*Calculateur!GJ127*VLOOKUP('Données projet'!$B$9,Paramètres!$A$1:$I$88,3,0)*0.475*44/12</f>
        <v>0</v>
      </c>
      <c r="GN127" s="23">
        <f>EXP(-LN(2)/2)*GN126+(1-EXP(-LN(2)/2))/(LN(2)/2)*GH127*GK127*VLOOKUP('Données projet'!$B$9,Paramètres!$A$1:$I$88,3,0)*0.475*44/12</f>
        <v>0</v>
      </c>
      <c r="GO127" s="23">
        <f t="shared" si="90"/>
        <v>0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IF(A127&lt;'Données projet'!$A$270,$GR$205^A127,IF(A127='Données projet'!$A$270,'Données projet'!$B$270,GU126+GT127-HC126))</f>
        <v>0</v>
      </c>
      <c r="GV127" s="18" t="e">
        <f>GU127*VLOOKUP('Données projet'!$B$18,Paramètres!$A$1:$I$88,3,0)*VLOOKUP('Données projet'!$B$18,Paramètres!$A$1:$I$88,5,0)</f>
        <v>#N/A</v>
      </c>
      <c r="GW127" s="14" t="e">
        <f t="shared" si="106"/>
        <v>#N/A</v>
      </c>
      <c r="GX127" s="22" t="e">
        <f t="shared" si="91"/>
        <v>#N/A</v>
      </c>
      <c r="GY127" s="62" t="e">
        <f t="shared" si="92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93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projet'!$B$18,Paramètres!$A$1:$I$88,7,0))</f>
        <v>0</v>
      </c>
      <c r="HE127" s="17">
        <f>IF(ISNA(VLOOKUP(A127,'Données projet'!$A$269:$I$289,6,0)),0%,VLOOKUP(A127,'Données projet'!$A$269:$I$289,6,0)*VLOOKUP('Données projet'!$B$18,Paramètres!$A$1:$I$88,7,0))</f>
        <v>0</v>
      </c>
      <c r="HF127" s="17">
        <f>IF(ISNA(VLOOKUP(A127,'Données projet'!$A$269:$I$289,7,0)),0%,VLOOKUP(A127,'Données projet'!$A$269:$I$289,7,0))</f>
        <v>0</v>
      </c>
      <c r="HG127" s="23">
        <f>EXP(-LN(2)/35)*HG126+(1-EXP(-LN(2)/35))/(LN(2)/35)*HC127*HD127*VLOOKUP('Données projet'!$B$9,Paramètres!$A$1:$I$88,3,0)*0.475*44/12</f>
        <v>0</v>
      </c>
      <c r="HH127" s="23">
        <f>EXP(-LN(2)/25)*HH126+(1-EXP(-LN(2)/25))/(LN(2)/25)*Calculateur!HC127*Calculateur!HE127*VLOOKUP('Données projet'!$B$9,Paramètres!$A$1:$I$88,3,0)*0.475*44/12</f>
        <v>0</v>
      </c>
      <c r="HI127" s="23">
        <f>EXP(-LN(2)/2)*HI126+(1-EXP(-LN(2)/2))/(LN(2)/2)*HC127*HF127*VLOOKUP('Données projet'!$B$9,Paramètres!$A$1:$I$88,3,0)*0.475*44/12</f>
        <v>0</v>
      </c>
      <c r="HJ127" s="24">
        <f t="shared" si="94"/>
        <v>0</v>
      </c>
    </row>
    <row r="128" spans="1:218" s="5" customFormat="1" x14ac:dyDescent="0.25">
      <c r="A128" s="11">
        <f t="shared" si="95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8" s="12">
        <f t="shared" si="9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57"/>
        <v>135.66666666666666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1.2474999999999994</v>
      </c>
      <c r="N128" s="14">
        <f>IF(A128&lt;'Données projet'!$A$36,$K$205^A128,IF(A128='Données projet'!$A$36,'Données projet'!$B$36,N127+M128-V127))</f>
        <v>118.00416666666663</v>
      </c>
      <c r="O128" s="14">
        <f>N128*VLOOKUP('Données projet'!$B$9,Paramètres!$A$1:$I$88,3,0)*VLOOKUP('Données projet'!$B$9,Paramètres!$A$1:$I$88,5,0)</f>
        <v>135.94079999999994</v>
      </c>
      <c r="P128" s="14">
        <f t="shared" si="97"/>
        <v>35.365513394923219</v>
      </c>
      <c r="Q128" s="22">
        <f t="shared" si="107"/>
        <v>298.35849582949118</v>
      </c>
      <c r="R128" s="62">
        <f t="shared" si="55"/>
        <v>576.05906241698995</v>
      </c>
      <c r="S128" s="62">
        <f ca="1">AVERAGE(OFFSET($R$3,0,0,'Données projet'!$E$9+1,1))-AVERAGE(OFFSET($H$3,0,0,'Données projet'!$E$9+1,1))</f>
        <v>314.72063458462026</v>
      </c>
      <c r="T128" s="62">
        <f t="shared" si="56"/>
        <v>216.4380325968244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projet'!$B$9,Paramètres!$A$1:$I$88,7,0))</f>
        <v>0</v>
      </c>
      <c r="X128" s="17">
        <f>IF(ISNA(VLOOKUP(A128,'Données projet'!$A$35:$I$55,6,0)),0%,VLOOKUP(A128,'Données projet'!$A$35:$I$55,6,0)*VLOOKUP('Données projet'!$B$9,Paramètres!$A$1:$I$88,7,0))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projet'!$B$9,Paramètres!$A$1:$I$88,3,0)*0.475*44/12</f>
        <v>0</v>
      </c>
      <c r="AA128" s="23">
        <f>EXP(-LN(2)/25)*AA127+(1-EXP(-LN(2)/25))/(LN(2)/25)*Calculateur!V128*Calculateur!X128*VLOOKUP('Données projet'!$B$9,Paramètres!$A$1:$I$88,3,0)*0.475*44/12</f>
        <v>0</v>
      </c>
      <c r="AB128" s="23">
        <f>EXP(-LN(2)/2)*AB127+(1-EXP(-LN(2)/2))/(LN(2)/2)*V128*Y128*VLOOKUP('Données projet'!$B$9,Paramètres!$A$1:$I$88,3,0)*0.475*44/12</f>
        <v>0</v>
      </c>
      <c r="AC128" s="24">
        <f t="shared" si="58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2.2999999999999998</v>
      </c>
      <c r="AI128" s="14">
        <f>IF(A128&lt;'Données projet'!$A$62,$AF$205^A128,IF(A128='Données projet'!$A$62,'Données projet'!$B$62,AI127+AH128-AQ127))</f>
        <v>278.50000000000006</v>
      </c>
      <c r="AJ128" s="14">
        <f>AI128*VLOOKUP('Données projet'!$B$10,Paramètres!$A$1:$I$88,3,0)*VLOOKUP('Données projet'!$B$10,Paramètres!$A$1:$I$88,5,0)</f>
        <v>291.08820000000009</v>
      </c>
      <c r="AK128" s="14">
        <f t="shared" si="98"/>
        <v>69.304941604536566</v>
      </c>
      <c r="AL128" s="22">
        <f t="shared" si="59"/>
        <v>627.68472162790124</v>
      </c>
      <c r="AM128" s="62">
        <f t="shared" si="60"/>
        <v>905.38528821540001</v>
      </c>
      <c r="AN128" s="62">
        <f ca="1">AVERAGE(OFFSET($AM$3,0,0,'Données projet'!$E$10+1,1))-AVERAGE(OFFSET($H$3,0,0,'Données projet'!$E$10+1,1))</f>
        <v>458.33072853676879</v>
      </c>
      <c r="AO128" s="62">
        <f t="shared" si="61"/>
        <v>254.1734169352687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projet'!$B$10,Paramètres!$A$1:$I$88,7,0))</f>
        <v>0</v>
      </c>
      <c r="AS128" s="17">
        <f>IF(ISNA(VLOOKUP(A128,'Données projet'!$A$61:$I$81,6,0)),0%,VLOOKUP(A128,'Données projet'!$A$61:$I$81,6,0)*VLOOKUP('Données projet'!$B$10,Paramètres!$A$1:$I$88,7,0))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projet'!$B$9,Paramètres!$A$1:$I$88,3,0)*0.475*44/12</f>
        <v>0</v>
      </c>
      <c r="AV128" s="23">
        <f>EXP(-LN(2)/25)*AV127+(1-EXP(-LN(2)/25))/(LN(2)/25)*Calculateur!AQ128*Calculateur!AS128*VLOOKUP('Données projet'!$B$9,Paramètres!$A$1:$I$88,3,0)*0.475*44/12</f>
        <v>0</v>
      </c>
      <c r="AW128" s="23">
        <f>EXP(-LN(2)/2)*AW127+(1-EXP(-LN(2)/2))/(LN(2)/2)*AQ128*AT128*VLOOKUP('Données projet'!$B$9,Paramètres!$A$1:$I$88,3,0)*0.475*44/12</f>
        <v>0</v>
      </c>
      <c r="AX128" s="23">
        <f t="shared" si="62"/>
        <v>0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2.2999999999999998</v>
      </c>
      <c r="BD128" s="13">
        <f>IF(A128&lt;'Données projet'!$A$88,$BA$205^A128,IF(A128='Données projet'!$A$88,'Données projet'!$B$88,BD127+BC128-BL127))</f>
        <v>278.50000000000006</v>
      </c>
      <c r="BE128" s="14">
        <f>BD128*VLOOKUP('Données projet'!$B$11,Paramètres!$A$1:$I$88,3,0)*VLOOKUP('Données projet'!$B$11,Paramètres!$A$1:$I$88,5,0)</f>
        <v>282.39900000000006</v>
      </c>
      <c r="BF128" s="14">
        <f t="shared" si="99"/>
        <v>67.473734542548371</v>
      </c>
      <c r="BG128" s="22">
        <f t="shared" si="63"/>
        <v>609.36167932827186</v>
      </c>
      <c r="BH128" s="62">
        <f t="shared" si="64"/>
        <v>887.06224591577063</v>
      </c>
      <c r="BI128" s="62">
        <f ca="1">AVERAGE(OFFSET($BH$3,0,0,'Données projet'!$E$11+1,1))-AVERAGE(OFFSET($H$3,0,0,'Données projet'!$E$11+1,1))</f>
        <v>447.82618173893104</v>
      </c>
      <c r="BJ128" s="62">
        <f t="shared" si="65"/>
        <v>248.96509970783379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projet'!$B$11,Paramètres!$A$1:$I$88,7,0))</f>
        <v>0</v>
      </c>
      <c r="BN128" s="17">
        <f>IF(ISNA(VLOOKUP(A128,'Données projet'!$A$87:$I$107,6,0)),0%,VLOOKUP(A128,'Données projet'!$A$87:$I$107,6,0)*VLOOKUP('Données projet'!$B$11,Paramètres!$A$1:$I$88,7,0))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projet'!$B$9,Paramètres!$A$1:$I$88,3,0)*0.475*44/12</f>
        <v>0</v>
      </c>
      <c r="BQ128" s="23">
        <f>EXP(-LN(2)/25)*BQ127+(1-EXP(-LN(2)/25))/(LN(2)/25)*Calculateur!BL128*Calculateur!BN128*VLOOKUP('Données projet'!$B$9,Paramètres!$A$1:$I$88,3,0)*0.475*44/12</f>
        <v>0</v>
      </c>
      <c r="BR128" s="23">
        <f>EXP(-LN(2)/2)*BR127+(1-EXP(-LN(2)/2))/(LN(2)/2)*BL128*BO128*VLOOKUP('Données projet'!$B$9,Paramètres!$A$1:$I$88,3,0)*0.475*44/12</f>
        <v>0</v>
      </c>
      <c r="BS128" s="24">
        <f t="shared" si="66"/>
        <v>0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2.2999999999999998</v>
      </c>
      <c r="BY128" s="13">
        <f>IF(A128&lt;'Données projet'!$A$114,$BV$205^A128,IF(A128='Données projet'!$A$114,'Données projet'!$B$114,BY127+BX128-CG127))</f>
        <v>278.50000000000006</v>
      </c>
      <c r="BZ128" s="14">
        <f>BY128*VLOOKUP('Données projet'!$B$12,Paramètres!$A$1:$I$88,3,0)*VLOOKUP('Données projet'!$B$12,Paramètres!$A$1:$I$88,5,0)</f>
        <v>299.77740000000006</v>
      </c>
      <c r="CA128" s="14">
        <f t="shared" si="100"/>
        <v>71.129795949749308</v>
      </c>
      <c r="CB128" s="22">
        <f t="shared" si="67"/>
        <v>645.99669961248014</v>
      </c>
      <c r="CC128" s="62">
        <f t="shared" si="68"/>
        <v>923.69726619997891</v>
      </c>
      <c r="CD128" s="62">
        <f ca="1">AVERAGE(OFFSET($CC$3,0,0,'Données projet'!$E$12+1,1))-AVERAGE(OFFSET($H$3,0,0,'Données projet'!$E$12+1,1))</f>
        <v>468.82871618425406</v>
      </c>
      <c r="CE128" s="62">
        <f t="shared" si="69"/>
        <v>259.37818128554397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projet'!$B$12,Paramètres!$A$1:$I$88,7,0))</f>
        <v>0</v>
      </c>
      <c r="CI128" s="17">
        <f>IF(ISNA(VLOOKUP(A128,'Données projet'!$A$113:$I$133,6,0)),0%,VLOOKUP(A128,'Données projet'!$A$113:$I$133,6,0)*VLOOKUP('Données projet'!$B$12,Paramètres!$A$1:$I$88,7,0))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projet'!$B$9,Paramètres!$A$1:$I$88,3,0)*0.475*44/12</f>
        <v>0</v>
      </c>
      <c r="CL128" s="23">
        <f>EXP(-LN(2)/25)*CL127+(1-EXP(-LN(2)/25))/(LN(2)/25)*Calculateur!CG128*Calculateur!CI128*VLOOKUP('Données projet'!$B$9,Paramètres!$A$1:$I$88,3,0)*0.475*44/12</f>
        <v>0</v>
      </c>
      <c r="CM128" s="23">
        <f>EXP(-LN(2)/2)*CM127+(1-EXP(-LN(2)/2))/(LN(2)/2)*CG128*CJ128*VLOOKUP('Données projet'!$B$9,Paramètres!$A$1:$I$88,3,0)*0.475*44/12</f>
        <v>0</v>
      </c>
      <c r="CN128" s="24">
        <f t="shared" si="70"/>
        <v>0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2.2999999999999998</v>
      </c>
      <c r="CT128" s="13">
        <f>IF(A128&lt;'Données projet'!$A$140,$CQ$205^A128,IF(A128='Données projet'!$A$140,'Données projet'!$B$140,CT127+CS128-DB127))</f>
        <v>278.50000000000006</v>
      </c>
      <c r="CU128" s="18">
        <f>CT128*VLOOKUP('Données projet'!$B$13,Paramètres!$A$1:$I$88,3,0)*VLOOKUP('Données projet'!$B$13,Paramètres!$A$1:$I$88,5,0)</f>
        <v>238.95300000000006</v>
      </c>
      <c r="CV128" s="14">
        <f t="shared" si="101"/>
        <v>58.214206044034121</v>
      </c>
      <c r="CW128" s="22">
        <f t="shared" si="71"/>
        <v>517.56621719335942</v>
      </c>
      <c r="CX128" s="62">
        <f t="shared" si="72"/>
        <v>795.26678378085819</v>
      </c>
      <c r="CY128" s="62">
        <f ca="1">AVERAGE(OFFSET($CX$3,0,0,'Données projet'!$E$13+1,1))-AVERAGE(OFFSET($H$3,0,0,'Données projet'!$E$13+1,1))</f>
        <v>395.19659151668884</v>
      </c>
      <c r="CZ128" s="62">
        <f t="shared" si="73"/>
        <v>222.86563304507339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projet'!$B$13,Paramètres!$A$1:$I$88,7,0))</f>
        <v>0</v>
      </c>
      <c r="DD128" s="17">
        <f>IF(ISNA(VLOOKUP(A128,'Données projet'!$A$139:$I$159,6,0)),0%,VLOOKUP(A128,'Données projet'!$A$139:$I$159,6,0)*VLOOKUP('Données projet'!$B$13,Paramètres!$A$1:$I$88,7,0))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projet'!$B$9,Paramètres!$A$1:$I$88,3,0)*0.475*44/12</f>
        <v>0</v>
      </c>
      <c r="DG128" s="23">
        <f>EXP(-LN(2)/25)*DG127+(1-EXP(-LN(2)/25))/(LN(2)/25)*Calculateur!DB128*Calculateur!DD128*VLOOKUP('Données projet'!$B$9,Paramètres!$A$1:$I$88,3,0)*0.475*44/12</f>
        <v>0</v>
      </c>
      <c r="DH128" s="23">
        <f>EXP(-LN(2)/2)*DH127+(1-EXP(-LN(2)/2))/(LN(2)/2)*DB128*DE128*VLOOKUP('Données projet'!$B$9,Paramètres!$A$1:$I$88,3,0)*0.475*44/12</f>
        <v>0</v>
      </c>
      <c r="DI128" s="24">
        <f t="shared" si="74"/>
        <v>0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IF(A128&lt;'Données projet'!$A$166,$DL$205^A128,IF(A128='Données projet'!$A$166,'Données projet'!$B$166,DO127+DN128-DW127))</f>
        <v>-8.5265128291212022E-14</v>
      </c>
      <c r="DP128" s="18">
        <f>DO128*VLOOKUP('Données projet'!$B$14,Paramètres!$A$1:$I$88,3,0)*VLOOKUP('Données projet'!$B$14,Paramètres!$A$1:$I$88,5,0)</f>
        <v>-4.9880100050359036E-14</v>
      </c>
      <c r="DQ128" s="14" t="e">
        <f t="shared" si="102"/>
        <v>#NUM!</v>
      </c>
      <c r="DR128" s="22" t="e">
        <f t="shared" si="75"/>
        <v>#NUM!</v>
      </c>
      <c r="DS128" s="62" t="e">
        <f t="shared" si="76"/>
        <v>#NUM!</v>
      </c>
      <c r="DT128" s="62">
        <f ca="1">AVERAGE(OFFSET($DS$3,0,0,'Données projet'!$E$14+1,1))-AVERAGE(OFFSET($H$3,0,0,'Données projet'!$E$14+1,1))</f>
        <v>155.18073137151848</v>
      </c>
      <c r="DU128" s="62">
        <f t="shared" si="77"/>
        <v>115.19459155667272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projet'!$B$14,Paramètres!$A$1:$I$88,7,0))</f>
        <v>0</v>
      </c>
      <c r="DY128" s="17">
        <f>IF(ISNA(VLOOKUP(A128,'Données projet'!$A$165:$I$185,6,0)),0%,VLOOKUP(A128,'Données projet'!$A$165:$I$185,6,0)*VLOOKUP('Données projet'!$B$14,Paramètres!$A$1:$I$88,7,0))</f>
        <v>0</v>
      </c>
      <c r="DZ128" s="17">
        <f>IF(ISNA(VLOOKUP(A128,'Données projet'!$A$165:$I$185,7,0)),0%,VLOOKUP(A128,'Données projet'!$A$165:$I$185,7,0))</f>
        <v>0</v>
      </c>
      <c r="EA128" s="23">
        <f>EXP(-LN(2)/35)*EA127+(1-EXP(-LN(2)/35))/(LN(2)/35)*DW128*DX128*VLOOKUP('Données projet'!$B$9,Paramètres!$A$1:$I$88,3,0)*0.475*44/12</f>
        <v>0</v>
      </c>
      <c r="EB128" s="23">
        <f>EXP(-LN(2)/25)*EB127+(1-EXP(-LN(2)/25))/(LN(2)/25)*Calculateur!DW128*Calculateur!DY128*VLOOKUP('Données projet'!$B$9,Paramètres!$A$1:$I$88,3,0)*0.475*44/12</f>
        <v>0</v>
      </c>
      <c r="EC128" s="23">
        <f>EXP(-LN(2)/2)*EC127+(1-EXP(-LN(2)/2))/(LN(2)/2)*DW128*DZ128*VLOOKUP('Données projet'!$B$9,Paramètres!$A$1:$I$88,3,0)*0.475*44/12</f>
        <v>0</v>
      </c>
      <c r="ED128" s="24">
        <f t="shared" si="78"/>
        <v>0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IF(A128&lt;'Données projet'!$A$192,$EG$205^A128,IF(A128='Données projet'!$A$192,'Données projet'!$B$192,EJ127+EI128-ER127))</f>
        <v>-5.6843418860808015E-14</v>
      </c>
      <c r="EK128" s="18">
        <f>EJ128*VLOOKUP('Données projet'!$B$15,Paramètres!$A$1:$I$88,3,0)*VLOOKUP('Données projet'!$B$15,Paramètres!$A$1:$I$88,5,0)</f>
        <v>-2.6602720026858149E-14</v>
      </c>
      <c r="EL128" s="14" t="e">
        <f t="shared" si="103"/>
        <v>#NUM!</v>
      </c>
      <c r="EM128" s="22" t="e">
        <f t="shared" si="79"/>
        <v>#NUM!</v>
      </c>
      <c r="EN128" s="62" t="e">
        <f t="shared" si="80"/>
        <v>#NUM!</v>
      </c>
      <c r="EO128" s="62">
        <f ca="1">AVERAGE(OFFSET($EN$3,0,0,'Données projet'!$E$15+1,1))-AVERAGE(OFFSET($H$3,0,0,'Données projet'!$E$15+1,1))</f>
        <v>238.59014604384171</v>
      </c>
      <c r="EP128" s="62">
        <f t="shared" si="81"/>
        <v>90.841373219575217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projet'!$B$15,Paramètres!$A$1:$I$88,7,0))</f>
        <v>0</v>
      </c>
      <c r="ET128" s="17">
        <f>IF(ISNA(VLOOKUP(A128,'Données projet'!$A$191:$I$211,6,0)),0%,VLOOKUP(A128,'Données projet'!$A$191:$I$211,6,0)*VLOOKUP('Données projet'!$B$15,Paramètres!$A$1:$I$88,7,0))</f>
        <v>0</v>
      </c>
      <c r="EU128" s="17">
        <f>IF(ISNA(VLOOKUP(A128,'Données projet'!$A$191:$I$211,7,0)),0%,VLOOKUP(A128,'Données projet'!$A$191:$I$211,7,0))</f>
        <v>0</v>
      </c>
      <c r="EV128" s="23">
        <f>EXP(-LN(2)/35)*EV127+(1-EXP(-LN(2)/35))/(LN(2)/35)*ER128*ES128*VLOOKUP('Données projet'!$B$9,Paramètres!$A$1:$I$88,3,0)*0.475*44/12</f>
        <v>0</v>
      </c>
      <c r="EW128" s="23">
        <f>EXP(-LN(2)/25)*EW127+(1-EXP(-LN(2)/25))/(LN(2)/25)*Calculateur!ER128*Calculateur!ET128*VLOOKUP('Données projet'!$B$9,Paramètres!$A$1:$I$88,3,0)*0.475*44/12</f>
        <v>0</v>
      </c>
      <c r="EX128" s="23">
        <f>EXP(-LN(2)/2)*EX127+(1-EXP(-LN(2)/2))/(LN(2)/2)*ER128*EU128*VLOOKUP('Données projet'!$B$9,Paramètres!$A$1:$I$88,3,0)*0.475*44/12</f>
        <v>0</v>
      </c>
      <c r="EY128" s="24">
        <f t="shared" si="82"/>
        <v>0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IF(A128&lt;'Données projet'!$A$218,$FB$205^A128,IF(A128='Données projet'!$A$218,'Données projet'!$B$218,FE127+FD128-FM127))</f>
        <v>0</v>
      </c>
      <c r="FF128" s="18" t="e">
        <f>FE128*VLOOKUP('Données projet'!$B$16,Paramètres!$A$1:$I$88,3,0)*VLOOKUP('Données projet'!$B$16,Paramètres!$A$1:$I$88,5,0)</f>
        <v>#N/A</v>
      </c>
      <c r="FG128" s="14" t="e">
        <f t="shared" si="104"/>
        <v>#N/A</v>
      </c>
      <c r="FH128" s="22" t="e">
        <f t="shared" si="83"/>
        <v>#N/A</v>
      </c>
      <c r="FI128" s="62" t="e">
        <f t="shared" si="84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85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projet'!$B$16,Paramètres!$A$1:$I$88,7,0))</f>
        <v>0</v>
      </c>
      <c r="FO128" s="17">
        <f>IF(ISNA(VLOOKUP(A128,'Données projet'!$A$217:$I$237,6,0)),0%,VLOOKUP(A128,'Données projet'!$A$217:$I$237,6,0)*VLOOKUP('Données projet'!$B$16,Paramètres!$A$1:$I$88,7,0))</f>
        <v>0</v>
      </c>
      <c r="FP128" s="17">
        <f>IF(ISNA(VLOOKUP(A128,'Données projet'!$A$217:$I$237,7,0)),0%,VLOOKUP(A128,'Données projet'!$A$217:$I$237,7,0))</f>
        <v>0</v>
      </c>
      <c r="FQ128" s="23">
        <f>EXP(-LN(2)/35)*FQ127+(1-EXP(-LN(2)/35))/(LN(2)/35)*FM128*FN128*VLOOKUP('Données projet'!$B$9,Paramètres!$A$1:$I$88,3,0)*0.475*44/12</f>
        <v>0</v>
      </c>
      <c r="FR128" s="23">
        <f>EXP(-LN(2)/25)*FR127+(1-EXP(-LN(2)/25))/(LN(2)/25)*Calculateur!FM128*Calculateur!FO128*VLOOKUP('Données projet'!$B$9,Paramètres!$A$1:$I$88,3,0)*0.475*44/12</f>
        <v>0</v>
      </c>
      <c r="FS128" s="23">
        <f>EXP(-LN(2)/2)*FS127+(1-EXP(-LN(2)/2))/(LN(2)/2)*FM128*FP128*VLOOKUP('Données projet'!$B$9,Paramètres!$A$1:$I$88,3,0)*0.475*44/12</f>
        <v>0</v>
      </c>
      <c r="FT128" s="24">
        <f t="shared" si="86"/>
        <v>0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IF(A128&lt;'Données projet'!$A$244,$FW$205^A128,IF(A128='Données projet'!$A$244,'Données projet'!$B$244,FZ127+FY128-GH127))</f>
        <v>0</v>
      </c>
      <c r="GA128" s="18" t="e">
        <f>FZ128*VLOOKUP('Données projet'!$B$17,Paramètres!$A$1:$I$88,3,0)*VLOOKUP('Données projet'!$B$17,Paramètres!$A$1:$I$88,5,0)</f>
        <v>#N/A</v>
      </c>
      <c r="GB128" s="14" t="e">
        <f t="shared" si="105"/>
        <v>#N/A</v>
      </c>
      <c r="GC128" s="22" t="e">
        <f t="shared" si="87"/>
        <v>#N/A</v>
      </c>
      <c r="GD128" s="62" t="e">
        <f t="shared" si="88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89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projet'!$B$17,Paramètres!$A$1:$I$88,7,0))</f>
        <v>0</v>
      </c>
      <c r="GJ128" s="17">
        <f>IF(ISNA(VLOOKUP(A128,'Données projet'!$A$243:$I$263,6,0)),0%,VLOOKUP(A128,'Données projet'!$A$243:$I$263,6,0)*VLOOKUP('Données projet'!$B$17,Paramètres!$A$1:$I$88,7,0))</f>
        <v>0</v>
      </c>
      <c r="GK128" s="17">
        <f>IF(ISNA(VLOOKUP(A128,'Données projet'!$A$243:$I$263,7,0)),0%,VLOOKUP(A128,'Données projet'!$A$243:$I$263,7,0))</f>
        <v>0</v>
      </c>
      <c r="GL128" s="23">
        <f>EXP(-LN(2)/35)*GL127+(1-EXP(-LN(2)/35))/(LN(2)/35)*GH128*GI128*VLOOKUP('Données projet'!$B$9,Paramètres!$A$1:$I$88,3,0)*0.475*44/12</f>
        <v>0</v>
      </c>
      <c r="GM128" s="23">
        <f>EXP(-LN(2)/25)*GM127+(1-EXP(-LN(2)/25))/(LN(2)/25)*Calculateur!GH128*Calculateur!GJ128*VLOOKUP('Données projet'!$B$9,Paramètres!$A$1:$I$88,3,0)*0.475*44/12</f>
        <v>0</v>
      </c>
      <c r="GN128" s="23">
        <f>EXP(-LN(2)/2)*GN127+(1-EXP(-LN(2)/2))/(LN(2)/2)*GH128*GK128*VLOOKUP('Données projet'!$B$9,Paramètres!$A$1:$I$88,3,0)*0.475*44/12</f>
        <v>0</v>
      </c>
      <c r="GO128" s="23">
        <f t="shared" si="90"/>
        <v>0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IF(A128&lt;'Données projet'!$A$270,$GR$205^A128,IF(A128='Données projet'!$A$270,'Données projet'!$B$270,GU127+GT128-HC127))</f>
        <v>0</v>
      </c>
      <c r="GV128" s="18" t="e">
        <f>GU128*VLOOKUP('Données projet'!$B$18,Paramètres!$A$1:$I$88,3,0)*VLOOKUP('Données projet'!$B$18,Paramètres!$A$1:$I$88,5,0)</f>
        <v>#N/A</v>
      </c>
      <c r="GW128" s="14" t="e">
        <f t="shared" si="106"/>
        <v>#N/A</v>
      </c>
      <c r="GX128" s="22" t="e">
        <f t="shared" si="91"/>
        <v>#N/A</v>
      </c>
      <c r="GY128" s="62" t="e">
        <f t="shared" si="92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93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projet'!$B$18,Paramètres!$A$1:$I$88,7,0))</f>
        <v>0</v>
      </c>
      <c r="HE128" s="17">
        <f>IF(ISNA(VLOOKUP(A128,'Données projet'!$A$269:$I$289,6,0)),0%,VLOOKUP(A128,'Données projet'!$A$269:$I$289,6,0)*VLOOKUP('Données projet'!$B$18,Paramètres!$A$1:$I$88,7,0))</f>
        <v>0</v>
      </c>
      <c r="HF128" s="17">
        <f>IF(ISNA(VLOOKUP(A128,'Données projet'!$A$269:$I$289,7,0)),0%,VLOOKUP(A128,'Données projet'!$A$269:$I$289,7,0))</f>
        <v>0</v>
      </c>
      <c r="HG128" s="23">
        <f>EXP(-LN(2)/35)*HG127+(1-EXP(-LN(2)/35))/(LN(2)/35)*HC128*HD128*VLOOKUP('Données projet'!$B$9,Paramètres!$A$1:$I$88,3,0)*0.475*44/12</f>
        <v>0</v>
      </c>
      <c r="HH128" s="23">
        <f>EXP(-LN(2)/25)*HH127+(1-EXP(-LN(2)/25))/(LN(2)/25)*Calculateur!HC128*Calculateur!HE128*VLOOKUP('Données projet'!$B$9,Paramètres!$A$1:$I$88,3,0)*0.475*44/12</f>
        <v>0</v>
      </c>
      <c r="HI128" s="23">
        <f>EXP(-LN(2)/2)*HI127+(1-EXP(-LN(2)/2))/(LN(2)/2)*HC128*HF128*VLOOKUP('Données projet'!$B$9,Paramètres!$A$1:$I$88,3,0)*0.475*44/12</f>
        <v>0</v>
      </c>
      <c r="HJ128" s="24">
        <f t="shared" si="94"/>
        <v>0</v>
      </c>
    </row>
    <row r="129" spans="1:218" s="5" customFormat="1" x14ac:dyDescent="0.25">
      <c r="A129" s="11">
        <f t="shared" si="95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29" s="12">
        <f t="shared" si="9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57"/>
        <v>135.66666666666666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1.2474999999999994</v>
      </c>
      <c r="N129" s="14">
        <f>IF(A129&lt;'Données projet'!$A$36,$K$205^A129,IF(A129='Données projet'!$A$36,'Données projet'!$B$36,N128+M129-V128))</f>
        <v>119.25166666666664</v>
      </c>
      <c r="O129" s="14">
        <f>N129*VLOOKUP('Données projet'!$B$9,Paramètres!$A$1:$I$88,3,0)*VLOOKUP('Données projet'!$B$9,Paramètres!$A$1:$I$88,5,0)</f>
        <v>137.37791999999996</v>
      </c>
      <c r="P129" s="14">
        <f t="shared" si="97"/>
        <v>35.695664413414427</v>
      </c>
      <c r="Q129" s="22">
        <f t="shared" si="107"/>
        <v>301.43649285336335</v>
      </c>
      <c r="R129" s="62">
        <f t="shared" si="55"/>
        <v>579.40825299427172</v>
      </c>
      <c r="S129" s="62">
        <f ca="1">AVERAGE(OFFSET($R$3,0,0,'Données projet'!$E$9+1,1))-AVERAGE(OFFSET($H$3,0,0,'Données projet'!$E$9+1,1))</f>
        <v>314.72063458462026</v>
      </c>
      <c r="T129" s="62">
        <f t="shared" si="56"/>
        <v>216.4380325968244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projet'!$B$9,Paramètres!$A$1:$I$88,7,0))</f>
        <v>0</v>
      </c>
      <c r="X129" s="17">
        <f>IF(ISNA(VLOOKUP(A129,'Données projet'!$A$35:$I$55,6,0)),0%,VLOOKUP(A129,'Données projet'!$A$35:$I$55,6,0)*VLOOKUP('Données projet'!$B$9,Paramètres!$A$1:$I$88,7,0))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projet'!$B$9,Paramètres!$A$1:$I$88,3,0)*0.475*44/12</f>
        <v>0</v>
      </c>
      <c r="AA129" s="23">
        <f>EXP(-LN(2)/25)*AA128+(1-EXP(-LN(2)/25))/(LN(2)/25)*Calculateur!V129*Calculateur!X129*VLOOKUP('Données projet'!$B$9,Paramètres!$A$1:$I$88,3,0)*0.475*44/12</f>
        <v>0</v>
      </c>
      <c r="AB129" s="23">
        <f>EXP(-LN(2)/2)*AB128+(1-EXP(-LN(2)/2))/(LN(2)/2)*V129*Y129*VLOOKUP('Données projet'!$B$9,Paramètres!$A$1:$I$88,3,0)*0.475*44/12</f>
        <v>0</v>
      </c>
      <c r="AC129" s="24">
        <f t="shared" si="58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2.2999999999999998</v>
      </c>
      <c r="AI129" s="14">
        <f>IF(A129&lt;'Données projet'!$A$62,$AF$205^A129,IF(A129='Données projet'!$A$62,'Données projet'!$B$62,AI128+AH129-AQ128))</f>
        <v>280.80000000000007</v>
      </c>
      <c r="AJ129" s="14">
        <f>AI129*VLOOKUP('Données projet'!$B$10,Paramètres!$A$1:$I$88,3,0)*VLOOKUP('Données projet'!$B$10,Paramètres!$A$1:$I$88,5,0)</f>
        <v>293.49216000000007</v>
      </c>
      <c r="AK129" s="14">
        <f t="shared" si="98"/>
        <v>69.810433727546524</v>
      </c>
      <c r="AL129" s="22">
        <f t="shared" si="59"/>
        <v>632.75201740881027</v>
      </c>
      <c r="AM129" s="62">
        <f t="shared" si="60"/>
        <v>910.72377754971865</v>
      </c>
      <c r="AN129" s="62">
        <f ca="1">AVERAGE(OFFSET($AM$3,0,0,'Données projet'!$E$10+1,1))-AVERAGE(OFFSET($H$3,0,0,'Données projet'!$E$10+1,1))</f>
        <v>458.33072853676879</v>
      </c>
      <c r="AO129" s="62">
        <f t="shared" si="61"/>
        <v>254.1734169352687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projet'!$B$10,Paramètres!$A$1:$I$88,7,0))</f>
        <v>0</v>
      </c>
      <c r="AS129" s="17">
        <f>IF(ISNA(VLOOKUP(A129,'Données projet'!$A$61:$I$81,6,0)),0%,VLOOKUP(A129,'Données projet'!$A$61:$I$81,6,0)*VLOOKUP('Données projet'!$B$10,Paramètres!$A$1:$I$88,7,0))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projet'!$B$9,Paramètres!$A$1:$I$88,3,0)*0.475*44/12</f>
        <v>0</v>
      </c>
      <c r="AV129" s="23">
        <f>EXP(-LN(2)/25)*AV128+(1-EXP(-LN(2)/25))/(LN(2)/25)*Calculateur!AQ129*Calculateur!AS129*VLOOKUP('Données projet'!$B$9,Paramètres!$A$1:$I$88,3,0)*0.475*44/12</f>
        <v>0</v>
      </c>
      <c r="AW129" s="23">
        <f>EXP(-LN(2)/2)*AW128+(1-EXP(-LN(2)/2))/(LN(2)/2)*AQ129*AT129*VLOOKUP('Données projet'!$B$9,Paramètres!$A$1:$I$88,3,0)*0.475*44/12</f>
        <v>0</v>
      </c>
      <c r="AX129" s="23">
        <f t="shared" si="62"/>
        <v>0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2.2999999999999998</v>
      </c>
      <c r="BD129" s="13">
        <f>IF(A129&lt;'Données projet'!$A$88,$BA$205^A129,IF(A129='Données projet'!$A$88,'Données projet'!$B$88,BD128+BC129-BL128))</f>
        <v>280.80000000000007</v>
      </c>
      <c r="BE129" s="14">
        <f>BD129*VLOOKUP('Données projet'!$B$11,Paramètres!$A$1:$I$88,3,0)*VLOOKUP('Données projet'!$B$11,Paramètres!$A$1:$I$88,5,0)</f>
        <v>284.73120000000006</v>
      </c>
      <c r="BF129" s="14">
        <f t="shared" si="99"/>
        <v>67.96587032005101</v>
      </c>
      <c r="BG129" s="22">
        <f t="shared" si="63"/>
        <v>614.28073080742217</v>
      </c>
      <c r="BH129" s="62">
        <f t="shared" si="64"/>
        <v>892.25249094833055</v>
      </c>
      <c r="BI129" s="62">
        <f ca="1">AVERAGE(OFFSET($BH$3,0,0,'Données projet'!$E$11+1,1))-AVERAGE(OFFSET($H$3,0,0,'Données projet'!$E$11+1,1))</f>
        <v>447.82618173893104</v>
      </c>
      <c r="BJ129" s="62">
        <f t="shared" si="65"/>
        <v>248.96509970783379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projet'!$B$11,Paramètres!$A$1:$I$88,7,0))</f>
        <v>0</v>
      </c>
      <c r="BN129" s="17">
        <f>IF(ISNA(VLOOKUP(A129,'Données projet'!$A$87:$I$107,6,0)),0%,VLOOKUP(A129,'Données projet'!$A$87:$I$107,6,0)*VLOOKUP('Données projet'!$B$11,Paramètres!$A$1:$I$88,7,0))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projet'!$B$9,Paramètres!$A$1:$I$88,3,0)*0.475*44/12</f>
        <v>0</v>
      </c>
      <c r="BQ129" s="23">
        <f>EXP(-LN(2)/25)*BQ128+(1-EXP(-LN(2)/25))/(LN(2)/25)*Calculateur!BL129*Calculateur!BN129*VLOOKUP('Données projet'!$B$9,Paramètres!$A$1:$I$88,3,0)*0.475*44/12</f>
        <v>0</v>
      </c>
      <c r="BR129" s="23">
        <f>EXP(-LN(2)/2)*BR128+(1-EXP(-LN(2)/2))/(LN(2)/2)*BL129*BO129*VLOOKUP('Données projet'!$B$9,Paramètres!$A$1:$I$88,3,0)*0.475*44/12</f>
        <v>0</v>
      </c>
      <c r="BS129" s="24">
        <f t="shared" si="66"/>
        <v>0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2.2999999999999998</v>
      </c>
      <c r="BY129" s="13">
        <f>IF(A129&lt;'Données projet'!$A$114,$BV$205^A129,IF(A129='Données projet'!$A$114,'Données projet'!$B$114,BY128+BX129-CG128))</f>
        <v>280.80000000000007</v>
      </c>
      <c r="BZ129" s="14">
        <f>BY129*VLOOKUP('Données projet'!$B$12,Paramètres!$A$1:$I$88,3,0)*VLOOKUP('Données projet'!$B$12,Paramètres!$A$1:$I$88,5,0)</f>
        <v>302.25312000000008</v>
      </c>
      <c r="CA129" s="14">
        <f t="shared" si="100"/>
        <v>71.648598083211411</v>
      </c>
      <c r="CB129" s="22">
        <f t="shared" si="67"/>
        <v>651.21215899492665</v>
      </c>
      <c r="CC129" s="62">
        <f t="shared" si="68"/>
        <v>929.18391913583503</v>
      </c>
      <c r="CD129" s="62">
        <f ca="1">AVERAGE(OFFSET($CC$3,0,0,'Données projet'!$E$12+1,1))-AVERAGE(OFFSET($H$3,0,0,'Données projet'!$E$12+1,1))</f>
        <v>468.82871618425406</v>
      </c>
      <c r="CE129" s="62">
        <f t="shared" si="69"/>
        <v>259.37818128554397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projet'!$B$12,Paramètres!$A$1:$I$88,7,0))</f>
        <v>0</v>
      </c>
      <c r="CI129" s="17">
        <f>IF(ISNA(VLOOKUP(A129,'Données projet'!$A$113:$I$133,6,0)),0%,VLOOKUP(A129,'Données projet'!$A$113:$I$133,6,0)*VLOOKUP('Données projet'!$B$12,Paramètres!$A$1:$I$88,7,0))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projet'!$B$9,Paramètres!$A$1:$I$88,3,0)*0.475*44/12</f>
        <v>0</v>
      </c>
      <c r="CL129" s="23">
        <f>EXP(-LN(2)/25)*CL128+(1-EXP(-LN(2)/25))/(LN(2)/25)*Calculateur!CG129*Calculateur!CI129*VLOOKUP('Données projet'!$B$9,Paramètres!$A$1:$I$88,3,0)*0.475*44/12</f>
        <v>0</v>
      </c>
      <c r="CM129" s="23">
        <f>EXP(-LN(2)/2)*CM128+(1-EXP(-LN(2)/2))/(LN(2)/2)*CG129*CJ129*VLOOKUP('Données projet'!$B$9,Paramètres!$A$1:$I$88,3,0)*0.475*44/12</f>
        <v>0</v>
      </c>
      <c r="CN129" s="24">
        <f t="shared" si="70"/>
        <v>0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2.2999999999999998</v>
      </c>
      <c r="CT129" s="13">
        <f>IF(A129&lt;'Données projet'!$A$140,$CQ$205^A129,IF(A129='Données projet'!$A$140,'Données projet'!$B$140,CT128+CS129-DB128))</f>
        <v>280.80000000000007</v>
      </c>
      <c r="CU129" s="18">
        <f>CT129*VLOOKUP('Données projet'!$B$13,Paramètres!$A$1:$I$88,3,0)*VLOOKUP('Données projet'!$B$13,Paramètres!$A$1:$I$88,5,0)</f>
        <v>240.92640000000009</v>
      </c>
      <c r="CV129" s="14">
        <f t="shared" si="101"/>
        <v>58.638805241742823</v>
      </c>
      <c r="CW129" s="22">
        <f t="shared" si="71"/>
        <v>521.74273246270229</v>
      </c>
      <c r="CX129" s="62">
        <f t="shared" si="72"/>
        <v>799.71449260361067</v>
      </c>
      <c r="CY129" s="62">
        <f ca="1">AVERAGE(OFFSET($CX$3,0,0,'Données projet'!$E$13+1,1))-AVERAGE(OFFSET($H$3,0,0,'Données projet'!$E$13+1,1))</f>
        <v>395.19659151668884</v>
      </c>
      <c r="CZ129" s="62">
        <f t="shared" si="73"/>
        <v>222.86563304507339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projet'!$B$13,Paramètres!$A$1:$I$88,7,0))</f>
        <v>0</v>
      </c>
      <c r="DD129" s="17">
        <f>IF(ISNA(VLOOKUP(A129,'Données projet'!$A$139:$I$159,6,0)),0%,VLOOKUP(A129,'Données projet'!$A$139:$I$159,6,0)*VLOOKUP('Données projet'!$B$13,Paramètres!$A$1:$I$88,7,0))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projet'!$B$9,Paramètres!$A$1:$I$88,3,0)*0.475*44/12</f>
        <v>0</v>
      </c>
      <c r="DG129" s="23">
        <f>EXP(-LN(2)/25)*DG128+(1-EXP(-LN(2)/25))/(LN(2)/25)*Calculateur!DB129*Calculateur!DD129*VLOOKUP('Données projet'!$B$9,Paramètres!$A$1:$I$88,3,0)*0.475*44/12</f>
        <v>0</v>
      </c>
      <c r="DH129" s="23">
        <f>EXP(-LN(2)/2)*DH128+(1-EXP(-LN(2)/2))/(LN(2)/2)*DB129*DE129*VLOOKUP('Données projet'!$B$9,Paramètres!$A$1:$I$88,3,0)*0.475*44/12</f>
        <v>0</v>
      </c>
      <c r="DI129" s="24">
        <f t="shared" si="74"/>
        <v>0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IF(A129&lt;'Données projet'!$A$166,$DL$205^A129,IF(A129='Données projet'!$A$166,'Données projet'!$B$166,DO128+DN129-DW128))</f>
        <v>-8.5265128291212022E-14</v>
      </c>
      <c r="DP129" s="18">
        <f>DO129*VLOOKUP('Données projet'!$B$14,Paramètres!$A$1:$I$88,3,0)*VLOOKUP('Données projet'!$B$14,Paramètres!$A$1:$I$88,5,0)</f>
        <v>-4.9880100050359036E-14</v>
      </c>
      <c r="DQ129" s="14" t="e">
        <f t="shared" si="102"/>
        <v>#NUM!</v>
      </c>
      <c r="DR129" s="22" t="e">
        <f t="shared" si="75"/>
        <v>#NUM!</v>
      </c>
      <c r="DS129" s="62" t="e">
        <f t="shared" si="76"/>
        <v>#NUM!</v>
      </c>
      <c r="DT129" s="62">
        <f ca="1">AVERAGE(OFFSET($DS$3,0,0,'Données projet'!$E$14+1,1))-AVERAGE(OFFSET($H$3,0,0,'Données projet'!$E$14+1,1))</f>
        <v>155.18073137151848</v>
      </c>
      <c r="DU129" s="62">
        <f t="shared" si="77"/>
        <v>115.19459155667272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projet'!$B$14,Paramètres!$A$1:$I$88,7,0))</f>
        <v>0</v>
      </c>
      <c r="DY129" s="17">
        <f>IF(ISNA(VLOOKUP(A129,'Données projet'!$A$165:$I$185,6,0)),0%,VLOOKUP(A129,'Données projet'!$A$165:$I$185,6,0)*VLOOKUP('Données projet'!$B$14,Paramètres!$A$1:$I$88,7,0))</f>
        <v>0</v>
      </c>
      <c r="DZ129" s="17">
        <f>IF(ISNA(VLOOKUP(A129,'Données projet'!$A$165:$I$185,7,0)),0%,VLOOKUP(A129,'Données projet'!$A$165:$I$185,7,0))</f>
        <v>0</v>
      </c>
      <c r="EA129" s="23">
        <f>EXP(-LN(2)/35)*EA128+(1-EXP(-LN(2)/35))/(LN(2)/35)*DW129*DX129*VLOOKUP('Données projet'!$B$9,Paramètres!$A$1:$I$88,3,0)*0.475*44/12</f>
        <v>0</v>
      </c>
      <c r="EB129" s="23">
        <f>EXP(-LN(2)/25)*EB128+(1-EXP(-LN(2)/25))/(LN(2)/25)*Calculateur!DW129*Calculateur!DY129*VLOOKUP('Données projet'!$B$9,Paramètres!$A$1:$I$88,3,0)*0.475*44/12</f>
        <v>0</v>
      </c>
      <c r="EC129" s="23">
        <f>EXP(-LN(2)/2)*EC128+(1-EXP(-LN(2)/2))/(LN(2)/2)*DW129*DZ129*VLOOKUP('Données projet'!$B$9,Paramètres!$A$1:$I$88,3,0)*0.475*44/12</f>
        <v>0</v>
      </c>
      <c r="ED129" s="24">
        <f t="shared" si="78"/>
        <v>0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IF(A129&lt;'Données projet'!$A$192,$EG$205^A129,IF(A129='Données projet'!$A$192,'Données projet'!$B$192,EJ128+EI129-ER128))</f>
        <v>-5.6843418860808015E-14</v>
      </c>
      <c r="EK129" s="18">
        <f>EJ129*VLOOKUP('Données projet'!$B$15,Paramètres!$A$1:$I$88,3,0)*VLOOKUP('Données projet'!$B$15,Paramètres!$A$1:$I$88,5,0)</f>
        <v>-2.6602720026858149E-14</v>
      </c>
      <c r="EL129" s="14" t="e">
        <f t="shared" si="103"/>
        <v>#NUM!</v>
      </c>
      <c r="EM129" s="22" t="e">
        <f t="shared" si="79"/>
        <v>#NUM!</v>
      </c>
      <c r="EN129" s="62" t="e">
        <f t="shared" si="80"/>
        <v>#NUM!</v>
      </c>
      <c r="EO129" s="62">
        <f ca="1">AVERAGE(OFFSET($EN$3,0,0,'Données projet'!$E$15+1,1))-AVERAGE(OFFSET($H$3,0,0,'Données projet'!$E$15+1,1))</f>
        <v>238.59014604384171</v>
      </c>
      <c r="EP129" s="62">
        <f t="shared" si="81"/>
        <v>90.841373219575217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projet'!$B$15,Paramètres!$A$1:$I$88,7,0))</f>
        <v>0</v>
      </c>
      <c r="ET129" s="17">
        <f>IF(ISNA(VLOOKUP(A129,'Données projet'!$A$191:$I$211,6,0)),0%,VLOOKUP(A129,'Données projet'!$A$191:$I$211,6,0)*VLOOKUP('Données projet'!$B$15,Paramètres!$A$1:$I$88,7,0))</f>
        <v>0</v>
      </c>
      <c r="EU129" s="17">
        <f>IF(ISNA(VLOOKUP(A129,'Données projet'!$A$191:$I$211,7,0)),0%,VLOOKUP(A129,'Données projet'!$A$191:$I$211,7,0))</f>
        <v>0</v>
      </c>
      <c r="EV129" s="23">
        <f>EXP(-LN(2)/35)*EV128+(1-EXP(-LN(2)/35))/(LN(2)/35)*ER129*ES129*VLOOKUP('Données projet'!$B$9,Paramètres!$A$1:$I$88,3,0)*0.475*44/12</f>
        <v>0</v>
      </c>
      <c r="EW129" s="23">
        <f>EXP(-LN(2)/25)*EW128+(1-EXP(-LN(2)/25))/(LN(2)/25)*Calculateur!ER129*Calculateur!ET129*VLOOKUP('Données projet'!$B$9,Paramètres!$A$1:$I$88,3,0)*0.475*44/12</f>
        <v>0</v>
      </c>
      <c r="EX129" s="23">
        <f>EXP(-LN(2)/2)*EX128+(1-EXP(-LN(2)/2))/(LN(2)/2)*ER129*EU129*VLOOKUP('Données projet'!$B$9,Paramètres!$A$1:$I$88,3,0)*0.475*44/12</f>
        <v>0</v>
      </c>
      <c r="EY129" s="24">
        <f t="shared" si="82"/>
        <v>0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IF(A129&lt;'Données projet'!$A$218,$FB$205^A129,IF(A129='Données projet'!$A$218,'Données projet'!$B$218,FE128+FD129-FM128))</f>
        <v>0</v>
      </c>
      <c r="FF129" s="18" t="e">
        <f>FE129*VLOOKUP('Données projet'!$B$16,Paramètres!$A$1:$I$88,3,0)*VLOOKUP('Données projet'!$B$16,Paramètres!$A$1:$I$88,5,0)</f>
        <v>#N/A</v>
      </c>
      <c r="FG129" s="14" t="e">
        <f t="shared" si="104"/>
        <v>#N/A</v>
      </c>
      <c r="FH129" s="22" t="e">
        <f t="shared" si="83"/>
        <v>#N/A</v>
      </c>
      <c r="FI129" s="62" t="e">
        <f t="shared" si="84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85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projet'!$B$16,Paramètres!$A$1:$I$88,7,0))</f>
        <v>0</v>
      </c>
      <c r="FO129" s="17">
        <f>IF(ISNA(VLOOKUP(A129,'Données projet'!$A$217:$I$237,6,0)),0%,VLOOKUP(A129,'Données projet'!$A$217:$I$237,6,0)*VLOOKUP('Données projet'!$B$16,Paramètres!$A$1:$I$88,7,0))</f>
        <v>0</v>
      </c>
      <c r="FP129" s="17">
        <f>IF(ISNA(VLOOKUP(A129,'Données projet'!$A$217:$I$237,7,0)),0%,VLOOKUP(A129,'Données projet'!$A$217:$I$237,7,0))</f>
        <v>0</v>
      </c>
      <c r="FQ129" s="23">
        <f>EXP(-LN(2)/35)*FQ128+(1-EXP(-LN(2)/35))/(LN(2)/35)*FM129*FN129*VLOOKUP('Données projet'!$B$9,Paramètres!$A$1:$I$88,3,0)*0.475*44/12</f>
        <v>0</v>
      </c>
      <c r="FR129" s="23">
        <f>EXP(-LN(2)/25)*FR128+(1-EXP(-LN(2)/25))/(LN(2)/25)*Calculateur!FM129*Calculateur!FO129*VLOOKUP('Données projet'!$B$9,Paramètres!$A$1:$I$88,3,0)*0.475*44/12</f>
        <v>0</v>
      </c>
      <c r="FS129" s="23">
        <f>EXP(-LN(2)/2)*FS128+(1-EXP(-LN(2)/2))/(LN(2)/2)*FM129*FP129*VLOOKUP('Données projet'!$B$9,Paramètres!$A$1:$I$88,3,0)*0.475*44/12</f>
        <v>0</v>
      </c>
      <c r="FT129" s="24">
        <f t="shared" si="86"/>
        <v>0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IF(A129&lt;'Données projet'!$A$244,$FW$205^A129,IF(A129='Données projet'!$A$244,'Données projet'!$B$244,FZ128+FY129-GH128))</f>
        <v>0</v>
      </c>
      <c r="GA129" s="18" t="e">
        <f>FZ129*VLOOKUP('Données projet'!$B$17,Paramètres!$A$1:$I$88,3,0)*VLOOKUP('Données projet'!$B$17,Paramètres!$A$1:$I$88,5,0)</f>
        <v>#N/A</v>
      </c>
      <c r="GB129" s="14" t="e">
        <f t="shared" si="105"/>
        <v>#N/A</v>
      </c>
      <c r="GC129" s="22" t="e">
        <f t="shared" si="87"/>
        <v>#N/A</v>
      </c>
      <c r="GD129" s="62" t="e">
        <f t="shared" si="88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89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projet'!$B$17,Paramètres!$A$1:$I$88,7,0))</f>
        <v>0</v>
      </c>
      <c r="GJ129" s="17">
        <f>IF(ISNA(VLOOKUP(A129,'Données projet'!$A$243:$I$263,6,0)),0%,VLOOKUP(A129,'Données projet'!$A$243:$I$263,6,0)*VLOOKUP('Données projet'!$B$17,Paramètres!$A$1:$I$88,7,0))</f>
        <v>0</v>
      </c>
      <c r="GK129" s="17">
        <f>IF(ISNA(VLOOKUP(A129,'Données projet'!$A$243:$I$263,7,0)),0%,VLOOKUP(A129,'Données projet'!$A$243:$I$263,7,0))</f>
        <v>0</v>
      </c>
      <c r="GL129" s="23">
        <f>EXP(-LN(2)/35)*GL128+(1-EXP(-LN(2)/35))/(LN(2)/35)*GH129*GI129*VLOOKUP('Données projet'!$B$9,Paramètres!$A$1:$I$88,3,0)*0.475*44/12</f>
        <v>0</v>
      </c>
      <c r="GM129" s="23">
        <f>EXP(-LN(2)/25)*GM128+(1-EXP(-LN(2)/25))/(LN(2)/25)*Calculateur!GH129*Calculateur!GJ129*VLOOKUP('Données projet'!$B$9,Paramètres!$A$1:$I$88,3,0)*0.475*44/12</f>
        <v>0</v>
      </c>
      <c r="GN129" s="23">
        <f>EXP(-LN(2)/2)*GN128+(1-EXP(-LN(2)/2))/(LN(2)/2)*GH129*GK129*VLOOKUP('Données projet'!$B$9,Paramètres!$A$1:$I$88,3,0)*0.475*44/12</f>
        <v>0</v>
      </c>
      <c r="GO129" s="23">
        <f t="shared" si="90"/>
        <v>0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IF(A129&lt;'Données projet'!$A$270,$GR$205^A129,IF(A129='Données projet'!$A$270,'Données projet'!$B$270,GU128+GT129-HC128))</f>
        <v>0</v>
      </c>
      <c r="GV129" s="18" t="e">
        <f>GU129*VLOOKUP('Données projet'!$B$18,Paramètres!$A$1:$I$88,3,0)*VLOOKUP('Données projet'!$B$18,Paramètres!$A$1:$I$88,5,0)</f>
        <v>#N/A</v>
      </c>
      <c r="GW129" s="14" t="e">
        <f t="shared" si="106"/>
        <v>#N/A</v>
      </c>
      <c r="GX129" s="22" t="e">
        <f t="shared" si="91"/>
        <v>#N/A</v>
      </c>
      <c r="GY129" s="62" t="e">
        <f t="shared" si="92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93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projet'!$B$18,Paramètres!$A$1:$I$88,7,0))</f>
        <v>0</v>
      </c>
      <c r="HE129" s="17">
        <f>IF(ISNA(VLOOKUP(A129,'Données projet'!$A$269:$I$289,6,0)),0%,VLOOKUP(A129,'Données projet'!$A$269:$I$289,6,0)*VLOOKUP('Données projet'!$B$18,Paramètres!$A$1:$I$88,7,0))</f>
        <v>0</v>
      </c>
      <c r="HF129" s="17">
        <f>IF(ISNA(VLOOKUP(A129,'Données projet'!$A$269:$I$289,7,0)),0%,VLOOKUP(A129,'Données projet'!$A$269:$I$289,7,0))</f>
        <v>0</v>
      </c>
      <c r="HG129" s="23">
        <f>EXP(-LN(2)/35)*HG128+(1-EXP(-LN(2)/35))/(LN(2)/35)*HC129*HD129*VLOOKUP('Données projet'!$B$9,Paramètres!$A$1:$I$88,3,0)*0.475*44/12</f>
        <v>0</v>
      </c>
      <c r="HH129" s="23">
        <f>EXP(-LN(2)/25)*HH128+(1-EXP(-LN(2)/25))/(LN(2)/25)*Calculateur!HC129*Calculateur!HE129*VLOOKUP('Données projet'!$B$9,Paramètres!$A$1:$I$88,3,0)*0.475*44/12</f>
        <v>0</v>
      </c>
      <c r="HI129" s="23">
        <f>EXP(-LN(2)/2)*HI128+(1-EXP(-LN(2)/2))/(LN(2)/2)*HC129*HF129*VLOOKUP('Données projet'!$B$9,Paramètres!$A$1:$I$88,3,0)*0.475*44/12</f>
        <v>0</v>
      </c>
      <c r="HJ129" s="24">
        <f t="shared" si="94"/>
        <v>0</v>
      </c>
    </row>
    <row r="130" spans="1:218" s="5" customFormat="1" x14ac:dyDescent="0.25">
      <c r="A130" s="11">
        <f t="shared" si="95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0" s="12">
        <f t="shared" si="9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57"/>
        <v>135.66666666666666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1.2474999999999994</v>
      </c>
      <c r="N130" s="14">
        <f>IF(A130&lt;'Données projet'!$A$36,$K$205^A130,IF(A130='Données projet'!$A$36,'Données projet'!$B$36,N129+M130-V129))</f>
        <v>120.49916666666664</v>
      </c>
      <c r="O130" s="14">
        <f>N130*VLOOKUP('Données projet'!$B$9,Paramètres!$A$1:$I$88,3,0)*VLOOKUP('Données projet'!$B$9,Paramètres!$A$1:$I$88,5,0)</f>
        <v>138.81503999999995</v>
      </c>
      <c r="P130" s="14">
        <f t="shared" si="97"/>
        <v>36.02541365431572</v>
      </c>
      <c r="Q130" s="22">
        <f t="shared" si="107"/>
        <v>304.51379011459977</v>
      </c>
      <c r="R130" s="62">
        <f t="shared" si="55"/>
        <v>582.75203920706406</v>
      </c>
      <c r="S130" s="62">
        <f ca="1">AVERAGE(OFFSET($R$3,0,0,'Données projet'!$E$9+1,1))-AVERAGE(OFFSET($H$3,0,0,'Données projet'!$E$9+1,1))</f>
        <v>314.72063458462026</v>
      </c>
      <c r="T130" s="62">
        <f t="shared" si="56"/>
        <v>216.4380325968244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projet'!$B$9,Paramètres!$A$1:$I$88,7,0))</f>
        <v>0</v>
      </c>
      <c r="X130" s="17">
        <f>IF(ISNA(VLOOKUP(A130,'Données projet'!$A$35:$I$55,6,0)),0%,VLOOKUP(A130,'Données projet'!$A$35:$I$55,6,0)*VLOOKUP('Données projet'!$B$9,Paramètres!$A$1:$I$88,7,0))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projet'!$B$9,Paramètres!$A$1:$I$88,3,0)*0.475*44/12</f>
        <v>0</v>
      </c>
      <c r="AA130" s="23">
        <f>EXP(-LN(2)/25)*AA129+(1-EXP(-LN(2)/25))/(LN(2)/25)*Calculateur!V130*Calculateur!X130*VLOOKUP('Données projet'!$B$9,Paramètres!$A$1:$I$88,3,0)*0.475*44/12</f>
        <v>0</v>
      </c>
      <c r="AB130" s="23">
        <f>EXP(-LN(2)/2)*AB129+(1-EXP(-LN(2)/2))/(LN(2)/2)*V130*Y130*VLOOKUP('Données projet'!$B$9,Paramètres!$A$1:$I$88,3,0)*0.475*44/12</f>
        <v>0</v>
      </c>
      <c r="AC130" s="24">
        <f t="shared" si="58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2.2999999999999998</v>
      </c>
      <c r="AI130" s="14">
        <f>IF(A130&lt;'Données projet'!$A$62,$AF$205^A130,IF(A130='Données projet'!$A$62,'Données projet'!$B$62,AI129+AH130-AQ129))</f>
        <v>283.10000000000008</v>
      </c>
      <c r="AJ130" s="14">
        <f>AI130*VLOOKUP('Données projet'!$B$10,Paramètres!$A$1:$I$88,3,0)*VLOOKUP('Données projet'!$B$10,Paramètres!$A$1:$I$88,5,0)</f>
        <v>295.89612000000011</v>
      </c>
      <c r="AK130" s="14">
        <f t="shared" si="98"/>
        <v>70.31544412883909</v>
      </c>
      <c r="AL130" s="22">
        <f t="shared" si="59"/>
        <v>637.81847419106168</v>
      </c>
      <c r="AM130" s="62">
        <f t="shared" si="60"/>
        <v>916.05672328352603</v>
      </c>
      <c r="AN130" s="62">
        <f ca="1">AVERAGE(OFFSET($AM$3,0,0,'Données projet'!$E$10+1,1))-AVERAGE(OFFSET($H$3,0,0,'Données projet'!$E$10+1,1))</f>
        <v>458.33072853676879</v>
      </c>
      <c r="AO130" s="62">
        <f t="shared" si="61"/>
        <v>254.1734169352687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projet'!$B$10,Paramètres!$A$1:$I$88,7,0))</f>
        <v>0</v>
      </c>
      <c r="AS130" s="17">
        <f>IF(ISNA(VLOOKUP(A130,'Données projet'!$A$61:$I$81,6,0)),0%,VLOOKUP(A130,'Données projet'!$A$61:$I$81,6,0)*VLOOKUP('Données projet'!$B$10,Paramètres!$A$1:$I$88,7,0))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projet'!$B$9,Paramètres!$A$1:$I$88,3,0)*0.475*44/12</f>
        <v>0</v>
      </c>
      <c r="AV130" s="23">
        <f>EXP(-LN(2)/25)*AV129+(1-EXP(-LN(2)/25))/(LN(2)/25)*Calculateur!AQ130*Calculateur!AS130*VLOOKUP('Données projet'!$B$9,Paramètres!$A$1:$I$88,3,0)*0.475*44/12</f>
        <v>0</v>
      </c>
      <c r="AW130" s="23">
        <f>EXP(-LN(2)/2)*AW129+(1-EXP(-LN(2)/2))/(LN(2)/2)*AQ130*AT130*VLOOKUP('Données projet'!$B$9,Paramètres!$A$1:$I$88,3,0)*0.475*44/12</f>
        <v>0</v>
      </c>
      <c r="AX130" s="23">
        <f t="shared" si="62"/>
        <v>0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2.2999999999999998</v>
      </c>
      <c r="BD130" s="13">
        <f>IF(A130&lt;'Données projet'!$A$88,$BA$205^A130,IF(A130='Données projet'!$A$88,'Données projet'!$B$88,BD129+BC130-BL129))</f>
        <v>283.10000000000008</v>
      </c>
      <c r="BE130" s="14">
        <f>BD130*VLOOKUP('Données projet'!$B$11,Paramètres!$A$1:$I$88,3,0)*VLOOKUP('Données projet'!$B$11,Paramètres!$A$1:$I$88,5,0)</f>
        <v>287.06340000000012</v>
      </c>
      <c r="BF130" s="14">
        <f t="shared" si="99"/>
        <v>68.45753710410915</v>
      </c>
      <c r="BG130" s="22">
        <f t="shared" si="63"/>
        <v>619.19896545632366</v>
      </c>
      <c r="BH130" s="62">
        <f t="shared" si="64"/>
        <v>897.43721454878801</v>
      </c>
      <c r="BI130" s="62">
        <f ca="1">AVERAGE(OFFSET($BH$3,0,0,'Données projet'!$E$11+1,1))-AVERAGE(OFFSET($H$3,0,0,'Données projet'!$E$11+1,1))</f>
        <v>447.82618173893104</v>
      </c>
      <c r="BJ130" s="62">
        <f t="shared" si="65"/>
        <v>248.96509970783379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projet'!$B$11,Paramètres!$A$1:$I$88,7,0))</f>
        <v>0</v>
      </c>
      <c r="BN130" s="17">
        <f>IF(ISNA(VLOOKUP(A130,'Données projet'!$A$87:$I$107,6,0)),0%,VLOOKUP(A130,'Données projet'!$A$87:$I$107,6,0)*VLOOKUP('Données projet'!$B$11,Paramètres!$A$1:$I$88,7,0))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projet'!$B$9,Paramètres!$A$1:$I$88,3,0)*0.475*44/12</f>
        <v>0</v>
      </c>
      <c r="BQ130" s="23">
        <f>EXP(-LN(2)/25)*BQ129+(1-EXP(-LN(2)/25))/(LN(2)/25)*Calculateur!BL130*Calculateur!BN130*VLOOKUP('Données projet'!$B$9,Paramètres!$A$1:$I$88,3,0)*0.475*44/12</f>
        <v>0</v>
      </c>
      <c r="BR130" s="23">
        <f>EXP(-LN(2)/2)*BR129+(1-EXP(-LN(2)/2))/(LN(2)/2)*BL130*BO130*VLOOKUP('Données projet'!$B$9,Paramètres!$A$1:$I$88,3,0)*0.475*44/12</f>
        <v>0</v>
      </c>
      <c r="BS130" s="24">
        <f t="shared" si="66"/>
        <v>0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2.2999999999999998</v>
      </c>
      <c r="BY130" s="13">
        <f>IF(A130&lt;'Données projet'!$A$114,$BV$205^A130,IF(A130='Données projet'!$A$114,'Données projet'!$B$114,BY129+BX130-CG129))</f>
        <v>283.10000000000008</v>
      </c>
      <c r="BZ130" s="14">
        <f>BY130*VLOOKUP('Données projet'!$B$12,Paramètres!$A$1:$I$88,3,0)*VLOOKUP('Données projet'!$B$12,Paramètres!$A$1:$I$88,5,0)</f>
        <v>304.72884000000005</v>
      </c>
      <c r="CA130" s="14">
        <f t="shared" si="100"/>
        <v>72.166905810839438</v>
      </c>
      <c r="CB130" s="22">
        <f t="shared" si="67"/>
        <v>656.42675728721201</v>
      </c>
      <c r="CC130" s="62">
        <f t="shared" si="68"/>
        <v>934.66500637967624</v>
      </c>
      <c r="CD130" s="62">
        <f ca="1">AVERAGE(OFFSET($CC$3,0,0,'Données projet'!$E$12+1,1))-AVERAGE(OFFSET($H$3,0,0,'Données projet'!$E$12+1,1))</f>
        <v>468.82871618425406</v>
      </c>
      <c r="CE130" s="62">
        <f t="shared" si="69"/>
        <v>259.37818128554397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projet'!$B$12,Paramètres!$A$1:$I$88,7,0))</f>
        <v>0</v>
      </c>
      <c r="CI130" s="17">
        <f>IF(ISNA(VLOOKUP(A130,'Données projet'!$A$113:$I$133,6,0)),0%,VLOOKUP(A130,'Données projet'!$A$113:$I$133,6,0)*VLOOKUP('Données projet'!$B$12,Paramètres!$A$1:$I$88,7,0))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projet'!$B$9,Paramètres!$A$1:$I$88,3,0)*0.475*44/12</f>
        <v>0</v>
      </c>
      <c r="CL130" s="23">
        <f>EXP(-LN(2)/25)*CL129+(1-EXP(-LN(2)/25))/(LN(2)/25)*Calculateur!CG130*Calculateur!CI130*VLOOKUP('Données projet'!$B$9,Paramètres!$A$1:$I$88,3,0)*0.475*44/12</f>
        <v>0</v>
      </c>
      <c r="CM130" s="23">
        <f>EXP(-LN(2)/2)*CM129+(1-EXP(-LN(2)/2))/(LN(2)/2)*CG130*CJ130*VLOOKUP('Données projet'!$B$9,Paramètres!$A$1:$I$88,3,0)*0.475*44/12</f>
        <v>0</v>
      </c>
      <c r="CN130" s="24">
        <f t="shared" si="70"/>
        <v>0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2.2999999999999998</v>
      </c>
      <c r="CT130" s="13">
        <f>IF(A130&lt;'Données projet'!$A$140,$CQ$205^A130,IF(A130='Données projet'!$A$140,'Données projet'!$B$140,CT129+CS130-DB129))</f>
        <v>283.10000000000008</v>
      </c>
      <c r="CU130" s="18">
        <f>CT130*VLOOKUP('Données projet'!$B$13,Paramètres!$A$1:$I$88,3,0)*VLOOKUP('Données projet'!$B$13,Paramètres!$A$1:$I$88,5,0)</f>
        <v>242.89980000000011</v>
      </c>
      <c r="CV130" s="14">
        <f t="shared" si="101"/>
        <v>59.062999806727561</v>
      </c>
      <c r="CW130" s="22">
        <f t="shared" si="71"/>
        <v>525.91854299671729</v>
      </c>
      <c r="CX130" s="62">
        <f t="shared" si="72"/>
        <v>804.15679208918164</v>
      </c>
      <c r="CY130" s="62">
        <f ca="1">AVERAGE(OFFSET($CX$3,0,0,'Données projet'!$E$13+1,1))-AVERAGE(OFFSET($H$3,0,0,'Données projet'!$E$13+1,1))</f>
        <v>395.19659151668884</v>
      </c>
      <c r="CZ130" s="62">
        <f t="shared" si="73"/>
        <v>222.86563304507339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projet'!$B$13,Paramètres!$A$1:$I$88,7,0))</f>
        <v>0</v>
      </c>
      <c r="DD130" s="17">
        <f>IF(ISNA(VLOOKUP(A130,'Données projet'!$A$139:$I$159,6,0)),0%,VLOOKUP(A130,'Données projet'!$A$139:$I$159,6,0)*VLOOKUP('Données projet'!$B$13,Paramètres!$A$1:$I$88,7,0))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projet'!$B$9,Paramètres!$A$1:$I$88,3,0)*0.475*44/12</f>
        <v>0</v>
      </c>
      <c r="DG130" s="23">
        <f>EXP(-LN(2)/25)*DG129+(1-EXP(-LN(2)/25))/(LN(2)/25)*Calculateur!DB130*Calculateur!DD130*VLOOKUP('Données projet'!$B$9,Paramètres!$A$1:$I$88,3,0)*0.475*44/12</f>
        <v>0</v>
      </c>
      <c r="DH130" s="23">
        <f>EXP(-LN(2)/2)*DH129+(1-EXP(-LN(2)/2))/(LN(2)/2)*DB130*DE130*VLOOKUP('Données projet'!$B$9,Paramètres!$A$1:$I$88,3,0)*0.475*44/12</f>
        <v>0</v>
      </c>
      <c r="DI130" s="24">
        <f t="shared" si="74"/>
        <v>0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IF(A130&lt;'Données projet'!$A$166,$DL$205^A130,IF(A130='Données projet'!$A$166,'Données projet'!$B$166,DO129+DN130-DW129))</f>
        <v>-8.5265128291212022E-14</v>
      </c>
      <c r="DP130" s="18">
        <f>DO130*VLOOKUP('Données projet'!$B$14,Paramètres!$A$1:$I$88,3,0)*VLOOKUP('Données projet'!$B$14,Paramètres!$A$1:$I$88,5,0)</f>
        <v>-4.9880100050359036E-14</v>
      </c>
      <c r="DQ130" s="14" t="e">
        <f t="shared" si="102"/>
        <v>#NUM!</v>
      </c>
      <c r="DR130" s="22" t="e">
        <f t="shared" si="75"/>
        <v>#NUM!</v>
      </c>
      <c r="DS130" s="62" t="e">
        <f t="shared" si="76"/>
        <v>#NUM!</v>
      </c>
      <c r="DT130" s="62">
        <f ca="1">AVERAGE(OFFSET($DS$3,0,0,'Données projet'!$E$14+1,1))-AVERAGE(OFFSET($H$3,0,0,'Données projet'!$E$14+1,1))</f>
        <v>155.18073137151848</v>
      </c>
      <c r="DU130" s="62">
        <f t="shared" si="77"/>
        <v>115.19459155667272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projet'!$B$14,Paramètres!$A$1:$I$88,7,0))</f>
        <v>0</v>
      </c>
      <c r="DY130" s="17">
        <f>IF(ISNA(VLOOKUP(A130,'Données projet'!$A$165:$I$185,6,0)),0%,VLOOKUP(A130,'Données projet'!$A$165:$I$185,6,0)*VLOOKUP('Données projet'!$B$14,Paramètres!$A$1:$I$88,7,0))</f>
        <v>0</v>
      </c>
      <c r="DZ130" s="17">
        <f>IF(ISNA(VLOOKUP(A130,'Données projet'!$A$165:$I$185,7,0)),0%,VLOOKUP(A130,'Données projet'!$A$165:$I$185,7,0))</f>
        <v>0</v>
      </c>
      <c r="EA130" s="23">
        <f>EXP(-LN(2)/35)*EA129+(1-EXP(-LN(2)/35))/(LN(2)/35)*DW130*DX130*VLOOKUP('Données projet'!$B$9,Paramètres!$A$1:$I$88,3,0)*0.475*44/12</f>
        <v>0</v>
      </c>
      <c r="EB130" s="23">
        <f>EXP(-LN(2)/25)*EB129+(1-EXP(-LN(2)/25))/(LN(2)/25)*Calculateur!DW130*Calculateur!DY130*VLOOKUP('Données projet'!$B$9,Paramètres!$A$1:$I$88,3,0)*0.475*44/12</f>
        <v>0</v>
      </c>
      <c r="EC130" s="23">
        <f>EXP(-LN(2)/2)*EC129+(1-EXP(-LN(2)/2))/(LN(2)/2)*DW130*DZ130*VLOOKUP('Données projet'!$B$9,Paramètres!$A$1:$I$88,3,0)*0.475*44/12</f>
        <v>0</v>
      </c>
      <c r="ED130" s="24">
        <f t="shared" si="78"/>
        <v>0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IF(A130&lt;'Données projet'!$A$192,$EG$205^A130,IF(A130='Données projet'!$A$192,'Données projet'!$B$192,EJ129+EI130-ER129))</f>
        <v>-5.6843418860808015E-14</v>
      </c>
      <c r="EK130" s="18">
        <f>EJ130*VLOOKUP('Données projet'!$B$15,Paramètres!$A$1:$I$88,3,0)*VLOOKUP('Données projet'!$B$15,Paramètres!$A$1:$I$88,5,0)</f>
        <v>-2.6602720026858149E-14</v>
      </c>
      <c r="EL130" s="14" t="e">
        <f t="shared" si="103"/>
        <v>#NUM!</v>
      </c>
      <c r="EM130" s="22" t="e">
        <f t="shared" si="79"/>
        <v>#NUM!</v>
      </c>
      <c r="EN130" s="62" t="e">
        <f t="shared" si="80"/>
        <v>#NUM!</v>
      </c>
      <c r="EO130" s="62">
        <f ca="1">AVERAGE(OFFSET($EN$3,0,0,'Données projet'!$E$15+1,1))-AVERAGE(OFFSET($H$3,0,0,'Données projet'!$E$15+1,1))</f>
        <v>238.59014604384171</v>
      </c>
      <c r="EP130" s="62">
        <f t="shared" si="81"/>
        <v>90.841373219575217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projet'!$B$15,Paramètres!$A$1:$I$88,7,0))</f>
        <v>0</v>
      </c>
      <c r="ET130" s="17">
        <f>IF(ISNA(VLOOKUP(A130,'Données projet'!$A$191:$I$211,6,0)),0%,VLOOKUP(A130,'Données projet'!$A$191:$I$211,6,0)*VLOOKUP('Données projet'!$B$15,Paramètres!$A$1:$I$88,7,0))</f>
        <v>0</v>
      </c>
      <c r="EU130" s="17">
        <f>IF(ISNA(VLOOKUP(A130,'Données projet'!$A$191:$I$211,7,0)),0%,VLOOKUP(A130,'Données projet'!$A$191:$I$211,7,0))</f>
        <v>0</v>
      </c>
      <c r="EV130" s="23">
        <f>EXP(-LN(2)/35)*EV129+(1-EXP(-LN(2)/35))/(LN(2)/35)*ER130*ES130*VLOOKUP('Données projet'!$B$9,Paramètres!$A$1:$I$88,3,0)*0.475*44/12</f>
        <v>0</v>
      </c>
      <c r="EW130" s="23">
        <f>EXP(-LN(2)/25)*EW129+(1-EXP(-LN(2)/25))/(LN(2)/25)*Calculateur!ER130*Calculateur!ET130*VLOOKUP('Données projet'!$B$9,Paramètres!$A$1:$I$88,3,0)*0.475*44/12</f>
        <v>0</v>
      </c>
      <c r="EX130" s="23">
        <f>EXP(-LN(2)/2)*EX129+(1-EXP(-LN(2)/2))/(LN(2)/2)*ER130*EU130*VLOOKUP('Données projet'!$B$9,Paramètres!$A$1:$I$88,3,0)*0.475*44/12</f>
        <v>0</v>
      </c>
      <c r="EY130" s="24">
        <f t="shared" si="82"/>
        <v>0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IF(A130&lt;'Données projet'!$A$218,$FB$205^A130,IF(A130='Données projet'!$A$218,'Données projet'!$B$218,FE129+FD130-FM129))</f>
        <v>0</v>
      </c>
      <c r="FF130" s="18" t="e">
        <f>FE130*VLOOKUP('Données projet'!$B$16,Paramètres!$A$1:$I$88,3,0)*VLOOKUP('Données projet'!$B$16,Paramètres!$A$1:$I$88,5,0)</f>
        <v>#N/A</v>
      </c>
      <c r="FG130" s="14" t="e">
        <f t="shared" si="104"/>
        <v>#N/A</v>
      </c>
      <c r="FH130" s="22" t="e">
        <f t="shared" si="83"/>
        <v>#N/A</v>
      </c>
      <c r="FI130" s="62" t="e">
        <f t="shared" si="84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85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projet'!$B$16,Paramètres!$A$1:$I$88,7,0))</f>
        <v>0</v>
      </c>
      <c r="FO130" s="17">
        <f>IF(ISNA(VLOOKUP(A130,'Données projet'!$A$217:$I$237,6,0)),0%,VLOOKUP(A130,'Données projet'!$A$217:$I$237,6,0)*VLOOKUP('Données projet'!$B$16,Paramètres!$A$1:$I$88,7,0))</f>
        <v>0</v>
      </c>
      <c r="FP130" s="17">
        <f>IF(ISNA(VLOOKUP(A130,'Données projet'!$A$217:$I$237,7,0)),0%,VLOOKUP(A130,'Données projet'!$A$217:$I$237,7,0))</f>
        <v>0</v>
      </c>
      <c r="FQ130" s="23">
        <f>EXP(-LN(2)/35)*FQ129+(1-EXP(-LN(2)/35))/(LN(2)/35)*FM130*FN130*VLOOKUP('Données projet'!$B$9,Paramètres!$A$1:$I$88,3,0)*0.475*44/12</f>
        <v>0</v>
      </c>
      <c r="FR130" s="23">
        <f>EXP(-LN(2)/25)*FR129+(1-EXP(-LN(2)/25))/(LN(2)/25)*Calculateur!FM130*Calculateur!FO130*VLOOKUP('Données projet'!$B$9,Paramètres!$A$1:$I$88,3,0)*0.475*44/12</f>
        <v>0</v>
      </c>
      <c r="FS130" s="23">
        <f>EXP(-LN(2)/2)*FS129+(1-EXP(-LN(2)/2))/(LN(2)/2)*FM130*FP130*VLOOKUP('Données projet'!$B$9,Paramètres!$A$1:$I$88,3,0)*0.475*44/12</f>
        <v>0</v>
      </c>
      <c r="FT130" s="24">
        <f t="shared" si="86"/>
        <v>0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IF(A130&lt;'Données projet'!$A$244,$FW$205^A130,IF(A130='Données projet'!$A$244,'Données projet'!$B$244,FZ129+FY130-GH129))</f>
        <v>0</v>
      </c>
      <c r="GA130" s="18" t="e">
        <f>FZ130*VLOOKUP('Données projet'!$B$17,Paramètres!$A$1:$I$88,3,0)*VLOOKUP('Données projet'!$B$17,Paramètres!$A$1:$I$88,5,0)</f>
        <v>#N/A</v>
      </c>
      <c r="GB130" s="14" t="e">
        <f t="shared" si="105"/>
        <v>#N/A</v>
      </c>
      <c r="GC130" s="22" t="e">
        <f t="shared" si="87"/>
        <v>#N/A</v>
      </c>
      <c r="GD130" s="62" t="e">
        <f t="shared" si="88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89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projet'!$B$17,Paramètres!$A$1:$I$88,7,0))</f>
        <v>0</v>
      </c>
      <c r="GJ130" s="17">
        <f>IF(ISNA(VLOOKUP(A130,'Données projet'!$A$243:$I$263,6,0)),0%,VLOOKUP(A130,'Données projet'!$A$243:$I$263,6,0)*VLOOKUP('Données projet'!$B$17,Paramètres!$A$1:$I$88,7,0))</f>
        <v>0</v>
      </c>
      <c r="GK130" s="17">
        <f>IF(ISNA(VLOOKUP(A130,'Données projet'!$A$243:$I$263,7,0)),0%,VLOOKUP(A130,'Données projet'!$A$243:$I$263,7,0))</f>
        <v>0</v>
      </c>
      <c r="GL130" s="23">
        <f>EXP(-LN(2)/35)*GL129+(1-EXP(-LN(2)/35))/(LN(2)/35)*GH130*GI130*VLOOKUP('Données projet'!$B$9,Paramètres!$A$1:$I$88,3,0)*0.475*44/12</f>
        <v>0</v>
      </c>
      <c r="GM130" s="23">
        <f>EXP(-LN(2)/25)*GM129+(1-EXP(-LN(2)/25))/(LN(2)/25)*Calculateur!GH130*Calculateur!GJ130*VLOOKUP('Données projet'!$B$9,Paramètres!$A$1:$I$88,3,0)*0.475*44/12</f>
        <v>0</v>
      </c>
      <c r="GN130" s="23">
        <f>EXP(-LN(2)/2)*GN129+(1-EXP(-LN(2)/2))/(LN(2)/2)*GH130*GK130*VLOOKUP('Données projet'!$B$9,Paramètres!$A$1:$I$88,3,0)*0.475*44/12</f>
        <v>0</v>
      </c>
      <c r="GO130" s="23">
        <f t="shared" si="90"/>
        <v>0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IF(A130&lt;'Données projet'!$A$270,$GR$205^A130,IF(A130='Données projet'!$A$270,'Données projet'!$B$270,GU129+GT130-HC129))</f>
        <v>0</v>
      </c>
      <c r="GV130" s="18" t="e">
        <f>GU130*VLOOKUP('Données projet'!$B$18,Paramètres!$A$1:$I$88,3,0)*VLOOKUP('Données projet'!$B$18,Paramètres!$A$1:$I$88,5,0)</f>
        <v>#N/A</v>
      </c>
      <c r="GW130" s="14" t="e">
        <f t="shared" si="106"/>
        <v>#N/A</v>
      </c>
      <c r="GX130" s="22" t="e">
        <f t="shared" si="91"/>
        <v>#N/A</v>
      </c>
      <c r="GY130" s="62" t="e">
        <f t="shared" si="92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93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projet'!$B$18,Paramètres!$A$1:$I$88,7,0))</f>
        <v>0</v>
      </c>
      <c r="HE130" s="17">
        <f>IF(ISNA(VLOOKUP(A130,'Données projet'!$A$269:$I$289,6,0)),0%,VLOOKUP(A130,'Données projet'!$A$269:$I$289,6,0)*VLOOKUP('Données projet'!$B$18,Paramètres!$A$1:$I$88,7,0))</f>
        <v>0</v>
      </c>
      <c r="HF130" s="17">
        <f>IF(ISNA(VLOOKUP(A130,'Données projet'!$A$269:$I$289,7,0)),0%,VLOOKUP(A130,'Données projet'!$A$269:$I$289,7,0))</f>
        <v>0</v>
      </c>
      <c r="HG130" s="23">
        <f>EXP(-LN(2)/35)*HG129+(1-EXP(-LN(2)/35))/(LN(2)/35)*HC130*HD130*VLOOKUP('Données projet'!$B$9,Paramètres!$A$1:$I$88,3,0)*0.475*44/12</f>
        <v>0</v>
      </c>
      <c r="HH130" s="23">
        <f>EXP(-LN(2)/25)*HH129+(1-EXP(-LN(2)/25))/(LN(2)/25)*Calculateur!HC130*Calculateur!HE130*VLOOKUP('Données projet'!$B$9,Paramètres!$A$1:$I$88,3,0)*0.475*44/12</f>
        <v>0</v>
      </c>
      <c r="HI130" s="23">
        <f>EXP(-LN(2)/2)*HI129+(1-EXP(-LN(2)/2))/(LN(2)/2)*HC130*HF130*VLOOKUP('Données projet'!$B$9,Paramètres!$A$1:$I$88,3,0)*0.475*44/12</f>
        <v>0</v>
      </c>
      <c r="HJ130" s="24">
        <f t="shared" si="94"/>
        <v>0</v>
      </c>
    </row>
    <row r="131" spans="1:218" s="5" customFormat="1" x14ac:dyDescent="0.25">
      <c r="A131" s="11">
        <f t="shared" si="95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1" s="12">
        <f t="shared" si="9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57"/>
        <v>135.66666666666666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1.2474999999999994</v>
      </c>
      <c r="N131" s="14">
        <f>IF(A131&lt;'Données projet'!$A$36,$K$205^A131,IF(A131='Données projet'!$A$36,'Données projet'!$B$36,N130+M131-V130))</f>
        <v>121.74666666666664</v>
      </c>
      <c r="O131" s="14">
        <f>N131*VLOOKUP('Données projet'!$B$9,Paramètres!$A$1:$I$88,3,0)*VLOOKUP('Données projet'!$B$9,Paramètres!$A$1:$I$88,5,0)</f>
        <v>140.25215999999998</v>
      </c>
      <c r="P131" s="14">
        <f t="shared" si="97"/>
        <v>36.354765758674333</v>
      </c>
      <c r="Q131" s="22">
        <f t="shared" ref="Q131:Q153" si="108">(O131+P131)*0.475*44/12</f>
        <v>307.59039569635775</v>
      </c>
      <c r="R131" s="62">
        <f t="shared" ref="R131:R194" si="109">Q131+(I131+J131)*44/12</f>
        <v>586.09051075284856</v>
      </c>
      <c r="S131" s="62">
        <f ca="1">AVERAGE(OFFSET($R$3,0,0,'Données projet'!$E$9+1,1))-AVERAGE(OFFSET($H$3,0,0,'Données projet'!$E$9+1,1))</f>
        <v>314.72063458462026</v>
      </c>
      <c r="T131" s="62">
        <f t="shared" ref="T131:T194" si="110">$R$33-$H$33</f>
        <v>216.4380325968244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projet'!$B$9,Paramètres!$A$1:$I$88,7,0))</f>
        <v>0</v>
      </c>
      <c r="X131" s="17">
        <f>IF(ISNA(VLOOKUP(A131,'Données projet'!$A$35:$I$55,6,0)),0%,VLOOKUP(A131,'Données projet'!$A$35:$I$55,6,0)*VLOOKUP('Données projet'!$B$9,Paramètres!$A$1:$I$88,7,0))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projet'!$B$9,Paramètres!$A$1:$I$88,3,0)*0.475*44/12</f>
        <v>0</v>
      </c>
      <c r="AA131" s="23">
        <f>EXP(-LN(2)/25)*AA130+(1-EXP(-LN(2)/25))/(LN(2)/25)*Calculateur!V131*Calculateur!X131*VLOOKUP('Données projet'!$B$9,Paramètres!$A$1:$I$88,3,0)*0.475*44/12</f>
        <v>0</v>
      </c>
      <c r="AB131" s="23">
        <f>EXP(-LN(2)/2)*AB130+(1-EXP(-LN(2)/2))/(LN(2)/2)*V131*Y131*VLOOKUP('Données projet'!$B$9,Paramètres!$A$1:$I$88,3,0)*0.475*44/12</f>
        <v>0</v>
      </c>
      <c r="AC131" s="24">
        <f t="shared" si="58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2.2999999999999998</v>
      </c>
      <c r="AI131" s="14">
        <f>IF(A131&lt;'Données projet'!$A$62,$AF$205^A131,IF(A131='Données projet'!$A$62,'Données projet'!$B$62,AI130+AH131-AQ130))</f>
        <v>285.40000000000009</v>
      </c>
      <c r="AJ131" s="14">
        <f>AI131*VLOOKUP('Données projet'!$B$10,Paramètres!$A$1:$I$88,3,0)*VLOOKUP('Données projet'!$B$10,Paramètres!$A$1:$I$88,5,0)</f>
        <v>298.30008000000015</v>
      </c>
      <c r="AK131" s="14">
        <f t="shared" si="98"/>
        <v>70.819977175666523</v>
      </c>
      <c r="AL131" s="22">
        <f t="shared" si="59"/>
        <v>642.88409958095269</v>
      </c>
      <c r="AM131" s="62">
        <f t="shared" si="60"/>
        <v>921.38421463744339</v>
      </c>
      <c r="AN131" s="62">
        <f ca="1">AVERAGE(OFFSET($AM$3,0,0,'Données projet'!$E$10+1,1))-AVERAGE(OFFSET($H$3,0,0,'Données projet'!$E$10+1,1))</f>
        <v>458.33072853676879</v>
      </c>
      <c r="AO131" s="62">
        <f t="shared" si="61"/>
        <v>254.1734169352687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projet'!$B$10,Paramètres!$A$1:$I$88,7,0))</f>
        <v>0</v>
      </c>
      <c r="AS131" s="17">
        <f>IF(ISNA(VLOOKUP(A131,'Données projet'!$A$61:$I$81,6,0)),0%,VLOOKUP(A131,'Données projet'!$A$61:$I$81,6,0)*VLOOKUP('Données projet'!$B$10,Paramètres!$A$1:$I$88,7,0))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projet'!$B$9,Paramètres!$A$1:$I$88,3,0)*0.475*44/12</f>
        <v>0</v>
      </c>
      <c r="AV131" s="23">
        <f>EXP(-LN(2)/25)*AV130+(1-EXP(-LN(2)/25))/(LN(2)/25)*Calculateur!AQ131*Calculateur!AS131*VLOOKUP('Données projet'!$B$9,Paramètres!$A$1:$I$88,3,0)*0.475*44/12</f>
        <v>0</v>
      </c>
      <c r="AW131" s="23">
        <f>EXP(-LN(2)/2)*AW130+(1-EXP(-LN(2)/2))/(LN(2)/2)*AQ131*AT131*VLOOKUP('Données projet'!$B$9,Paramètres!$A$1:$I$88,3,0)*0.475*44/12</f>
        <v>0</v>
      </c>
      <c r="AX131" s="23">
        <f t="shared" si="62"/>
        <v>0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2.2999999999999998</v>
      </c>
      <c r="BD131" s="13">
        <f>IF(A131&lt;'Données projet'!$A$88,$BA$205^A131,IF(A131='Données projet'!$A$88,'Données projet'!$B$88,BD130+BC131-BL130))</f>
        <v>285.40000000000009</v>
      </c>
      <c r="BE131" s="14">
        <f>BD131*VLOOKUP('Données projet'!$B$11,Paramètres!$A$1:$I$88,3,0)*VLOOKUP('Données projet'!$B$11,Paramètres!$A$1:$I$88,5,0)</f>
        <v>289.39560000000012</v>
      </c>
      <c r="BF131" s="14">
        <f t="shared" si="99"/>
        <v>68.948739146581531</v>
      </c>
      <c r="BG131" s="22">
        <f t="shared" si="63"/>
        <v>624.11639068029638</v>
      </c>
      <c r="BH131" s="62">
        <f t="shared" si="64"/>
        <v>902.61650573678708</v>
      </c>
      <c r="BI131" s="62">
        <f ca="1">AVERAGE(OFFSET($BH$3,0,0,'Données projet'!$E$11+1,1))-AVERAGE(OFFSET($H$3,0,0,'Données projet'!$E$11+1,1))</f>
        <v>447.82618173893104</v>
      </c>
      <c r="BJ131" s="62">
        <f t="shared" si="65"/>
        <v>248.96509970783379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projet'!$B$11,Paramètres!$A$1:$I$88,7,0))</f>
        <v>0</v>
      </c>
      <c r="BN131" s="17">
        <f>IF(ISNA(VLOOKUP(A131,'Données projet'!$A$87:$I$107,6,0)),0%,VLOOKUP(A131,'Données projet'!$A$87:$I$107,6,0)*VLOOKUP('Données projet'!$B$11,Paramètres!$A$1:$I$88,7,0))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projet'!$B$9,Paramètres!$A$1:$I$88,3,0)*0.475*44/12</f>
        <v>0</v>
      </c>
      <c r="BQ131" s="23">
        <f>EXP(-LN(2)/25)*BQ130+(1-EXP(-LN(2)/25))/(LN(2)/25)*Calculateur!BL131*Calculateur!BN131*VLOOKUP('Données projet'!$B$9,Paramètres!$A$1:$I$88,3,0)*0.475*44/12</f>
        <v>0</v>
      </c>
      <c r="BR131" s="23">
        <f>EXP(-LN(2)/2)*BR130+(1-EXP(-LN(2)/2))/(LN(2)/2)*BL131*BO131*VLOOKUP('Données projet'!$B$9,Paramètres!$A$1:$I$88,3,0)*0.475*44/12</f>
        <v>0</v>
      </c>
      <c r="BS131" s="24">
        <f t="shared" si="66"/>
        <v>0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2.2999999999999998</v>
      </c>
      <c r="BY131" s="13">
        <f>IF(A131&lt;'Données projet'!$A$114,$BV$205^A131,IF(A131='Données projet'!$A$114,'Données projet'!$B$114,BY130+BX131-CG130))</f>
        <v>285.40000000000009</v>
      </c>
      <c r="BZ131" s="14">
        <f>BY131*VLOOKUP('Données projet'!$B$12,Paramètres!$A$1:$I$88,3,0)*VLOOKUP('Données projet'!$B$12,Paramètres!$A$1:$I$88,5,0)</f>
        <v>307.20456000000007</v>
      </c>
      <c r="CA131" s="14">
        <f t="shared" si="100"/>
        <v>72.684723614878848</v>
      </c>
      <c r="CB131" s="22">
        <f t="shared" si="67"/>
        <v>661.64050229591408</v>
      </c>
      <c r="CC131" s="62">
        <f t="shared" si="68"/>
        <v>940.14061735240489</v>
      </c>
      <c r="CD131" s="62">
        <f ca="1">AVERAGE(OFFSET($CC$3,0,0,'Données projet'!$E$12+1,1))-AVERAGE(OFFSET($H$3,0,0,'Données projet'!$E$12+1,1))</f>
        <v>468.82871618425406</v>
      </c>
      <c r="CE131" s="62">
        <f t="shared" si="69"/>
        <v>259.37818128554397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projet'!$B$12,Paramètres!$A$1:$I$88,7,0))</f>
        <v>0</v>
      </c>
      <c r="CI131" s="17">
        <f>IF(ISNA(VLOOKUP(A131,'Données projet'!$A$113:$I$133,6,0)),0%,VLOOKUP(A131,'Données projet'!$A$113:$I$133,6,0)*VLOOKUP('Données projet'!$B$12,Paramètres!$A$1:$I$88,7,0))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projet'!$B$9,Paramètres!$A$1:$I$88,3,0)*0.475*44/12</f>
        <v>0</v>
      </c>
      <c r="CL131" s="23">
        <f>EXP(-LN(2)/25)*CL130+(1-EXP(-LN(2)/25))/(LN(2)/25)*Calculateur!CG131*Calculateur!CI131*VLOOKUP('Données projet'!$B$9,Paramètres!$A$1:$I$88,3,0)*0.475*44/12</f>
        <v>0</v>
      </c>
      <c r="CM131" s="23">
        <f>EXP(-LN(2)/2)*CM130+(1-EXP(-LN(2)/2))/(LN(2)/2)*CG131*CJ131*VLOOKUP('Données projet'!$B$9,Paramètres!$A$1:$I$88,3,0)*0.475*44/12</f>
        <v>0</v>
      </c>
      <c r="CN131" s="24">
        <f t="shared" si="70"/>
        <v>0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2.2999999999999998</v>
      </c>
      <c r="CT131" s="13">
        <f>IF(A131&lt;'Données projet'!$A$140,$CQ$205^A131,IF(A131='Données projet'!$A$140,'Données projet'!$B$140,CT130+CS131-DB130))</f>
        <v>285.40000000000009</v>
      </c>
      <c r="CU131" s="18">
        <f>CT131*VLOOKUP('Données projet'!$B$13,Paramètres!$A$1:$I$88,3,0)*VLOOKUP('Données projet'!$B$13,Paramètres!$A$1:$I$88,5,0)</f>
        <v>244.87320000000008</v>
      </c>
      <c r="CV131" s="14">
        <f t="shared" si="101"/>
        <v>59.486793407357482</v>
      </c>
      <c r="CW131" s="22">
        <f t="shared" si="71"/>
        <v>530.09365518448112</v>
      </c>
      <c r="CX131" s="62">
        <f t="shared" si="72"/>
        <v>808.59377024097193</v>
      </c>
      <c r="CY131" s="62">
        <f ca="1">AVERAGE(OFFSET($CX$3,0,0,'Données projet'!$E$13+1,1))-AVERAGE(OFFSET($H$3,0,0,'Données projet'!$E$13+1,1))</f>
        <v>395.19659151668884</v>
      </c>
      <c r="CZ131" s="62">
        <f t="shared" si="73"/>
        <v>222.86563304507339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projet'!$B$13,Paramètres!$A$1:$I$88,7,0))</f>
        <v>0</v>
      </c>
      <c r="DD131" s="17">
        <f>IF(ISNA(VLOOKUP(A131,'Données projet'!$A$139:$I$159,6,0)),0%,VLOOKUP(A131,'Données projet'!$A$139:$I$159,6,0)*VLOOKUP('Données projet'!$B$13,Paramètres!$A$1:$I$88,7,0))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projet'!$B$9,Paramètres!$A$1:$I$88,3,0)*0.475*44/12</f>
        <v>0</v>
      </c>
      <c r="DG131" s="23">
        <f>EXP(-LN(2)/25)*DG130+(1-EXP(-LN(2)/25))/(LN(2)/25)*Calculateur!DB131*Calculateur!DD131*VLOOKUP('Données projet'!$B$9,Paramètres!$A$1:$I$88,3,0)*0.475*44/12</f>
        <v>0</v>
      </c>
      <c r="DH131" s="23">
        <f>EXP(-LN(2)/2)*DH130+(1-EXP(-LN(2)/2))/(LN(2)/2)*DB131*DE131*VLOOKUP('Données projet'!$B$9,Paramètres!$A$1:$I$88,3,0)*0.475*44/12</f>
        <v>0</v>
      </c>
      <c r="DI131" s="24">
        <f t="shared" si="74"/>
        <v>0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IF(A131&lt;'Données projet'!$A$166,$DL$205^A131,IF(A131='Données projet'!$A$166,'Données projet'!$B$166,DO130+DN131-DW130))</f>
        <v>-8.5265128291212022E-14</v>
      </c>
      <c r="DP131" s="18">
        <f>DO131*VLOOKUP('Données projet'!$B$14,Paramètres!$A$1:$I$88,3,0)*VLOOKUP('Données projet'!$B$14,Paramètres!$A$1:$I$88,5,0)</f>
        <v>-4.9880100050359036E-14</v>
      </c>
      <c r="DQ131" s="14" t="e">
        <f t="shared" si="102"/>
        <v>#NUM!</v>
      </c>
      <c r="DR131" s="22" t="e">
        <f t="shared" si="75"/>
        <v>#NUM!</v>
      </c>
      <c r="DS131" s="62" t="e">
        <f t="shared" si="76"/>
        <v>#NUM!</v>
      </c>
      <c r="DT131" s="62">
        <f ca="1">AVERAGE(OFFSET($DS$3,0,0,'Données projet'!$E$14+1,1))-AVERAGE(OFFSET($H$3,0,0,'Données projet'!$E$14+1,1))</f>
        <v>155.18073137151848</v>
      </c>
      <c r="DU131" s="62">
        <f t="shared" si="77"/>
        <v>115.19459155667272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projet'!$B$14,Paramètres!$A$1:$I$88,7,0))</f>
        <v>0</v>
      </c>
      <c r="DY131" s="17">
        <f>IF(ISNA(VLOOKUP(A131,'Données projet'!$A$165:$I$185,6,0)),0%,VLOOKUP(A131,'Données projet'!$A$165:$I$185,6,0)*VLOOKUP('Données projet'!$B$14,Paramètres!$A$1:$I$88,7,0))</f>
        <v>0</v>
      </c>
      <c r="DZ131" s="17">
        <f>IF(ISNA(VLOOKUP(A131,'Données projet'!$A$165:$I$185,7,0)),0%,VLOOKUP(A131,'Données projet'!$A$165:$I$185,7,0))</f>
        <v>0</v>
      </c>
      <c r="EA131" s="23">
        <f>EXP(-LN(2)/35)*EA130+(1-EXP(-LN(2)/35))/(LN(2)/35)*DW131*DX131*VLOOKUP('Données projet'!$B$9,Paramètres!$A$1:$I$88,3,0)*0.475*44/12</f>
        <v>0</v>
      </c>
      <c r="EB131" s="23">
        <f>EXP(-LN(2)/25)*EB130+(1-EXP(-LN(2)/25))/(LN(2)/25)*Calculateur!DW131*Calculateur!DY131*VLOOKUP('Données projet'!$B$9,Paramètres!$A$1:$I$88,3,0)*0.475*44/12</f>
        <v>0</v>
      </c>
      <c r="EC131" s="23">
        <f>EXP(-LN(2)/2)*EC130+(1-EXP(-LN(2)/2))/(LN(2)/2)*DW131*DZ131*VLOOKUP('Données projet'!$B$9,Paramètres!$A$1:$I$88,3,0)*0.475*44/12</f>
        <v>0</v>
      </c>
      <c r="ED131" s="24">
        <f t="shared" si="78"/>
        <v>0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IF(A131&lt;'Données projet'!$A$192,$EG$205^A131,IF(A131='Données projet'!$A$192,'Données projet'!$B$192,EJ130+EI131-ER130))</f>
        <v>-5.6843418860808015E-14</v>
      </c>
      <c r="EK131" s="18">
        <f>EJ131*VLOOKUP('Données projet'!$B$15,Paramètres!$A$1:$I$88,3,0)*VLOOKUP('Données projet'!$B$15,Paramètres!$A$1:$I$88,5,0)</f>
        <v>-2.6602720026858149E-14</v>
      </c>
      <c r="EL131" s="14" t="e">
        <f t="shared" si="103"/>
        <v>#NUM!</v>
      </c>
      <c r="EM131" s="22" t="e">
        <f t="shared" si="79"/>
        <v>#NUM!</v>
      </c>
      <c r="EN131" s="62" t="e">
        <f t="shared" si="80"/>
        <v>#NUM!</v>
      </c>
      <c r="EO131" s="62">
        <f ca="1">AVERAGE(OFFSET($EN$3,0,0,'Données projet'!$E$15+1,1))-AVERAGE(OFFSET($H$3,0,0,'Données projet'!$E$15+1,1))</f>
        <v>238.59014604384171</v>
      </c>
      <c r="EP131" s="62">
        <f t="shared" si="81"/>
        <v>90.841373219575217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projet'!$B$15,Paramètres!$A$1:$I$88,7,0))</f>
        <v>0</v>
      </c>
      <c r="ET131" s="17">
        <f>IF(ISNA(VLOOKUP(A131,'Données projet'!$A$191:$I$211,6,0)),0%,VLOOKUP(A131,'Données projet'!$A$191:$I$211,6,0)*VLOOKUP('Données projet'!$B$15,Paramètres!$A$1:$I$88,7,0))</f>
        <v>0</v>
      </c>
      <c r="EU131" s="17">
        <f>IF(ISNA(VLOOKUP(A131,'Données projet'!$A$191:$I$211,7,0)),0%,VLOOKUP(A131,'Données projet'!$A$191:$I$211,7,0))</f>
        <v>0</v>
      </c>
      <c r="EV131" s="23">
        <f>EXP(-LN(2)/35)*EV130+(1-EXP(-LN(2)/35))/(LN(2)/35)*ER131*ES131*VLOOKUP('Données projet'!$B$9,Paramètres!$A$1:$I$88,3,0)*0.475*44/12</f>
        <v>0</v>
      </c>
      <c r="EW131" s="23">
        <f>EXP(-LN(2)/25)*EW130+(1-EXP(-LN(2)/25))/(LN(2)/25)*Calculateur!ER131*Calculateur!ET131*VLOOKUP('Données projet'!$B$9,Paramètres!$A$1:$I$88,3,0)*0.475*44/12</f>
        <v>0</v>
      </c>
      <c r="EX131" s="23">
        <f>EXP(-LN(2)/2)*EX130+(1-EXP(-LN(2)/2))/(LN(2)/2)*ER131*EU131*VLOOKUP('Données projet'!$B$9,Paramètres!$A$1:$I$88,3,0)*0.475*44/12</f>
        <v>0</v>
      </c>
      <c r="EY131" s="24">
        <f t="shared" si="82"/>
        <v>0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IF(A131&lt;'Données projet'!$A$218,$FB$205^A131,IF(A131='Données projet'!$A$218,'Données projet'!$B$218,FE130+FD131-FM130))</f>
        <v>0</v>
      </c>
      <c r="FF131" s="18" t="e">
        <f>FE131*VLOOKUP('Données projet'!$B$16,Paramètres!$A$1:$I$88,3,0)*VLOOKUP('Données projet'!$B$16,Paramètres!$A$1:$I$88,5,0)</f>
        <v>#N/A</v>
      </c>
      <c r="FG131" s="14" t="e">
        <f t="shared" si="104"/>
        <v>#N/A</v>
      </c>
      <c r="FH131" s="22" t="e">
        <f t="shared" si="83"/>
        <v>#N/A</v>
      </c>
      <c r="FI131" s="62" t="e">
        <f t="shared" si="84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85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projet'!$B$16,Paramètres!$A$1:$I$88,7,0))</f>
        <v>0</v>
      </c>
      <c r="FO131" s="17">
        <f>IF(ISNA(VLOOKUP(A131,'Données projet'!$A$217:$I$237,6,0)),0%,VLOOKUP(A131,'Données projet'!$A$217:$I$237,6,0)*VLOOKUP('Données projet'!$B$16,Paramètres!$A$1:$I$88,7,0))</f>
        <v>0</v>
      </c>
      <c r="FP131" s="17">
        <f>IF(ISNA(VLOOKUP(A131,'Données projet'!$A$217:$I$237,7,0)),0%,VLOOKUP(A131,'Données projet'!$A$217:$I$237,7,0))</f>
        <v>0</v>
      </c>
      <c r="FQ131" s="23">
        <f>EXP(-LN(2)/35)*FQ130+(1-EXP(-LN(2)/35))/(LN(2)/35)*FM131*FN131*VLOOKUP('Données projet'!$B$9,Paramètres!$A$1:$I$88,3,0)*0.475*44/12</f>
        <v>0</v>
      </c>
      <c r="FR131" s="23">
        <f>EXP(-LN(2)/25)*FR130+(1-EXP(-LN(2)/25))/(LN(2)/25)*Calculateur!FM131*Calculateur!FO131*VLOOKUP('Données projet'!$B$9,Paramètres!$A$1:$I$88,3,0)*0.475*44/12</f>
        <v>0</v>
      </c>
      <c r="FS131" s="23">
        <f>EXP(-LN(2)/2)*FS130+(1-EXP(-LN(2)/2))/(LN(2)/2)*FM131*FP131*VLOOKUP('Données projet'!$B$9,Paramètres!$A$1:$I$88,3,0)*0.475*44/12</f>
        <v>0</v>
      </c>
      <c r="FT131" s="24">
        <f t="shared" si="86"/>
        <v>0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IF(A131&lt;'Données projet'!$A$244,$FW$205^A131,IF(A131='Données projet'!$A$244,'Données projet'!$B$244,FZ130+FY131-GH130))</f>
        <v>0</v>
      </c>
      <c r="GA131" s="18" t="e">
        <f>FZ131*VLOOKUP('Données projet'!$B$17,Paramètres!$A$1:$I$88,3,0)*VLOOKUP('Données projet'!$B$17,Paramètres!$A$1:$I$88,5,0)</f>
        <v>#N/A</v>
      </c>
      <c r="GB131" s="14" t="e">
        <f t="shared" si="105"/>
        <v>#N/A</v>
      </c>
      <c r="GC131" s="22" t="e">
        <f t="shared" si="87"/>
        <v>#N/A</v>
      </c>
      <c r="GD131" s="62" t="e">
        <f t="shared" si="88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89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projet'!$B$17,Paramètres!$A$1:$I$88,7,0))</f>
        <v>0</v>
      </c>
      <c r="GJ131" s="17">
        <f>IF(ISNA(VLOOKUP(A131,'Données projet'!$A$243:$I$263,6,0)),0%,VLOOKUP(A131,'Données projet'!$A$243:$I$263,6,0)*VLOOKUP('Données projet'!$B$17,Paramètres!$A$1:$I$88,7,0))</f>
        <v>0</v>
      </c>
      <c r="GK131" s="17">
        <f>IF(ISNA(VLOOKUP(A131,'Données projet'!$A$243:$I$263,7,0)),0%,VLOOKUP(A131,'Données projet'!$A$243:$I$263,7,0))</f>
        <v>0</v>
      </c>
      <c r="GL131" s="23">
        <f>EXP(-LN(2)/35)*GL130+(1-EXP(-LN(2)/35))/(LN(2)/35)*GH131*GI131*VLOOKUP('Données projet'!$B$9,Paramètres!$A$1:$I$88,3,0)*0.475*44/12</f>
        <v>0</v>
      </c>
      <c r="GM131" s="23">
        <f>EXP(-LN(2)/25)*GM130+(1-EXP(-LN(2)/25))/(LN(2)/25)*Calculateur!GH131*Calculateur!GJ131*VLOOKUP('Données projet'!$B$9,Paramètres!$A$1:$I$88,3,0)*0.475*44/12</f>
        <v>0</v>
      </c>
      <c r="GN131" s="23">
        <f>EXP(-LN(2)/2)*GN130+(1-EXP(-LN(2)/2))/(LN(2)/2)*GH131*GK131*VLOOKUP('Données projet'!$B$9,Paramètres!$A$1:$I$88,3,0)*0.475*44/12</f>
        <v>0</v>
      </c>
      <c r="GO131" s="23">
        <f t="shared" si="90"/>
        <v>0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IF(A131&lt;'Données projet'!$A$270,$GR$205^A131,IF(A131='Données projet'!$A$270,'Données projet'!$B$270,GU130+GT131-HC130))</f>
        <v>0</v>
      </c>
      <c r="GV131" s="18" t="e">
        <f>GU131*VLOOKUP('Données projet'!$B$18,Paramètres!$A$1:$I$88,3,0)*VLOOKUP('Données projet'!$B$18,Paramètres!$A$1:$I$88,5,0)</f>
        <v>#N/A</v>
      </c>
      <c r="GW131" s="14" t="e">
        <f t="shared" si="106"/>
        <v>#N/A</v>
      </c>
      <c r="GX131" s="22" t="e">
        <f t="shared" si="91"/>
        <v>#N/A</v>
      </c>
      <c r="GY131" s="62" t="e">
        <f t="shared" si="92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93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projet'!$B$18,Paramètres!$A$1:$I$88,7,0))</f>
        <v>0</v>
      </c>
      <c r="HE131" s="17">
        <f>IF(ISNA(VLOOKUP(A131,'Données projet'!$A$269:$I$289,6,0)),0%,VLOOKUP(A131,'Données projet'!$A$269:$I$289,6,0)*VLOOKUP('Données projet'!$B$18,Paramètres!$A$1:$I$88,7,0))</f>
        <v>0</v>
      </c>
      <c r="HF131" s="17">
        <f>IF(ISNA(VLOOKUP(A131,'Données projet'!$A$269:$I$289,7,0)),0%,VLOOKUP(A131,'Données projet'!$A$269:$I$289,7,0))</f>
        <v>0</v>
      </c>
      <c r="HG131" s="23">
        <f>EXP(-LN(2)/35)*HG130+(1-EXP(-LN(2)/35))/(LN(2)/35)*HC131*HD131*VLOOKUP('Données projet'!$B$9,Paramètres!$A$1:$I$88,3,0)*0.475*44/12</f>
        <v>0</v>
      </c>
      <c r="HH131" s="23">
        <f>EXP(-LN(2)/25)*HH130+(1-EXP(-LN(2)/25))/(LN(2)/25)*Calculateur!HC131*Calculateur!HE131*VLOOKUP('Données projet'!$B$9,Paramètres!$A$1:$I$88,3,0)*0.475*44/12</f>
        <v>0</v>
      </c>
      <c r="HI131" s="23">
        <f>EXP(-LN(2)/2)*HI130+(1-EXP(-LN(2)/2))/(LN(2)/2)*HC131*HF131*VLOOKUP('Données projet'!$B$9,Paramètres!$A$1:$I$88,3,0)*0.475*44/12</f>
        <v>0</v>
      </c>
      <c r="HJ131" s="24">
        <f t="shared" si="94"/>
        <v>0</v>
      </c>
    </row>
    <row r="132" spans="1:218" s="5" customFormat="1" x14ac:dyDescent="0.25">
      <c r="A132" s="11">
        <f t="shared" si="95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2" s="12">
        <f t="shared" si="9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111">(B132+E132+F132)*44/12+(C132+D132)*0.475*44/12</f>
        <v>135.66666666666666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1.2474999999999994</v>
      </c>
      <c r="N132" s="14">
        <f>IF(A132&lt;'Données projet'!$A$36,$K$205^A132,IF(A132='Données projet'!$A$36,'Données projet'!$B$36,N131+M132-V131))</f>
        <v>122.99416666666664</v>
      </c>
      <c r="O132" s="14">
        <f>N132*VLOOKUP('Données projet'!$B$9,Paramètres!$A$1:$I$88,3,0)*VLOOKUP('Données projet'!$B$9,Paramètres!$A$1:$I$88,5,0)</f>
        <v>141.68927999999997</v>
      </c>
      <c r="P132" s="14">
        <f t="shared" si="97"/>
        <v>36.683725266946084</v>
      </c>
      <c r="Q132" s="22">
        <f t="shared" si="108"/>
        <v>310.66631750659769</v>
      </c>
      <c r="R132" s="62">
        <f t="shared" si="109"/>
        <v>589.42375573808363</v>
      </c>
      <c r="S132" s="62">
        <f ca="1">AVERAGE(OFFSET($R$3,0,0,'Données projet'!$E$9+1,1))-AVERAGE(OFFSET($H$3,0,0,'Données projet'!$E$9+1,1))</f>
        <v>314.72063458462026</v>
      </c>
      <c r="T132" s="62">
        <f t="shared" si="110"/>
        <v>216.4380325968244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projet'!$B$9,Paramètres!$A$1:$I$88,7,0))</f>
        <v>0</v>
      </c>
      <c r="X132" s="17">
        <f>IF(ISNA(VLOOKUP(A132,'Données projet'!$A$35:$I$55,6,0)),0%,VLOOKUP(A132,'Données projet'!$A$35:$I$55,6,0)*VLOOKUP('Données projet'!$B$9,Paramètres!$A$1:$I$88,7,0))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projet'!$B$9,Paramètres!$A$1:$I$88,3,0)*0.475*44/12</f>
        <v>0</v>
      </c>
      <c r="AA132" s="23">
        <f>EXP(-LN(2)/25)*AA131+(1-EXP(-LN(2)/25))/(LN(2)/25)*Calculateur!V132*Calculateur!X132*VLOOKUP('Données projet'!$B$9,Paramètres!$A$1:$I$88,3,0)*0.475*44/12</f>
        <v>0</v>
      </c>
      <c r="AB132" s="23">
        <f>EXP(-LN(2)/2)*AB131+(1-EXP(-LN(2)/2))/(LN(2)/2)*V132*Y132*VLOOKUP('Données projet'!$B$9,Paramètres!$A$1:$I$88,3,0)*0.475*44/12</f>
        <v>0</v>
      </c>
      <c r="AC132" s="24">
        <f t="shared" ref="AC132:AC153" si="112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2.2999999999999998</v>
      </c>
      <c r="AI132" s="14">
        <f>IF(A132&lt;'Données projet'!$A$62,$AF$205^A132,IF(A132='Données projet'!$A$62,'Données projet'!$B$62,AI131+AH132-AQ131))</f>
        <v>287.7000000000001</v>
      </c>
      <c r="AJ132" s="14">
        <f>AI132*VLOOKUP('Données projet'!$B$10,Paramètres!$A$1:$I$88,3,0)*VLOOKUP('Données projet'!$B$10,Paramètres!$A$1:$I$88,5,0)</f>
        <v>300.70404000000013</v>
      </c>
      <c r="AK132" s="14">
        <f t="shared" si="98"/>
        <v>71.324037160826634</v>
      </c>
      <c r="AL132" s="22">
        <f t="shared" ref="AL132:AL153" si="113">(AJ132+AK132)*0.475*44/12</f>
        <v>647.9489010551066</v>
      </c>
      <c r="AM132" s="62">
        <f t="shared" ref="AM132:AM195" si="114">AL132+(AD132+AE132)*44/12</f>
        <v>926.70633928659254</v>
      </c>
      <c r="AN132" s="62">
        <f ca="1">AVERAGE(OFFSET($AM$3,0,0,'Données projet'!$E$10+1,1))-AVERAGE(OFFSET($H$3,0,0,'Données projet'!$E$10+1,1))</f>
        <v>458.33072853676879</v>
      </c>
      <c r="AO132" s="62">
        <f t="shared" ref="AO132:AO195" si="115">$AM$33-$H$33</f>
        <v>254.1734169352687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projet'!$B$10,Paramètres!$A$1:$I$88,7,0))</f>
        <v>0</v>
      </c>
      <c r="AS132" s="17">
        <f>IF(ISNA(VLOOKUP(A132,'Données projet'!$A$61:$I$81,6,0)),0%,VLOOKUP(A132,'Données projet'!$A$61:$I$81,6,0)*VLOOKUP('Données projet'!$B$10,Paramètres!$A$1:$I$88,7,0))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projet'!$B$9,Paramètres!$A$1:$I$88,3,0)*0.475*44/12</f>
        <v>0</v>
      </c>
      <c r="AV132" s="23">
        <f>EXP(-LN(2)/25)*AV131+(1-EXP(-LN(2)/25))/(LN(2)/25)*Calculateur!AQ132*Calculateur!AS132*VLOOKUP('Données projet'!$B$9,Paramètres!$A$1:$I$88,3,0)*0.475*44/12</f>
        <v>0</v>
      </c>
      <c r="AW132" s="23">
        <f>EXP(-LN(2)/2)*AW131+(1-EXP(-LN(2)/2))/(LN(2)/2)*AQ132*AT132*VLOOKUP('Données projet'!$B$9,Paramètres!$A$1:$I$88,3,0)*0.475*44/12</f>
        <v>0</v>
      </c>
      <c r="AX132" s="23">
        <f t="shared" ref="AX132:AX153" si="116">SUM(AU132:AW132)</f>
        <v>0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2.2999999999999998</v>
      </c>
      <c r="BD132" s="13">
        <f>IF(A132&lt;'Données projet'!$A$88,$BA$205^A132,IF(A132='Données projet'!$A$88,'Données projet'!$B$88,BD131+BC132-BL131))</f>
        <v>287.7000000000001</v>
      </c>
      <c r="BE132" s="14">
        <f>BD132*VLOOKUP('Données projet'!$B$11,Paramètres!$A$1:$I$88,3,0)*VLOOKUP('Données projet'!$B$11,Paramètres!$A$1:$I$88,5,0)</f>
        <v>291.72780000000012</v>
      </c>
      <c r="BF132" s="14">
        <f t="shared" si="99"/>
        <v>69.439480626839682</v>
      </c>
      <c r="BG132" s="22">
        <f t="shared" ref="BG132:BG153" si="117">(BE132+BF132)*0.475*44/12</f>
        <v>629.03301375841249</v>
      </c>
      <c r="BH132" s="62">
        <f t="shared" ref="BH132:BH195" si="118">BG132+(AY132+AZ132)*44/12</f>
        <v>907.79045198989843</v>
      </c>
      <c r="BI132" s="62">
        <f ca="1">AVERAGE(OFFSET($BH$3,0,0,'Données projet'!$E$11+1,1))-AVERAGE(OFFSET($H$3,0,0,'Données projet'!$E$11+1,1))</f>
        <v>447.82618173893104</v>
      </c>
      <c r="BJ132" s="62">
        <f t="shared" ref="BJ132:BJ195" si="119">$BH$33-$H$33</f>
        <v>248.96509970783379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projet'!$B$11,Paramètres!$A$1:$I$88,7,0))</f>
        <v>0</v>
      </c>
      <c r="BN132" s="17">
        <f>IF(ISNA(VLOOKUP(A132,'Données projet'!$A$87:$I$107,6,0)),0%,VLOOKUP(A132,'Données projet'!$A$87:$I$107,6,0)*VLOOKUP('Données projet'!$B$11,Paramètres!$A$1:$I$88,7,0))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projet'!$B$9,Paramètres!$A$1:$I$88,3,0)*0.475*44/12</f>
        <v>0</v>
      </c>
      <c r="BQ132" s="23">
        <f>EXP(-LN(2)/25)*BQ131+(1-EXP(-LN(2)/25))/(LN(2)/25)*Calculateur!BL132*Calculateur!BN132*VLOOKUP('Données projet'!$B$9,Paramètres!$A$1:$I$88,3,0)*0.475*44/12</f>
        <v>0</v>
      </c>
      <c r="BR132" s="23">
        <f>EXP(-LN(2)/2)*BR131+(1-EXP(-LN(2)/2))/(LN(2)/2)*BL132*BO132*VLOOKUP('Données projet'!$B$9,Paramètres!$A$1:$I$88,3,0)*0.475*44/12</f>
        <v>0</v>
      </c>
      <c r="BS132" s="24">
        <f t="shared" ref="BS132:BS153" si="120">SUM(BP132:BR132)</f>
        <v>0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2.2999999999999998</v>
      </c>
      <c r="BY132" s="13">
        <f>IF(A132&lt;'Données projet'!$A$114,$BV$205^A132,IF(A132='Données projet'!$A$114,'Données projet'!$B$114,BY131+BX132-CG131))</f>
        <v>287.7000000000001</v>
      </c>
      <c r="BZ132" s="14">
        <f>BY132*VLOOKUP('Données projet'!$B$12,Paramètres!$A$1:$I$88,3,0)*VLOOKUP('Données projet'!$B$12,Paramètres!$A$1:$I$88,5,0)</f>
        <v>309.6802800000001</v>
      </c>
      <c r="CA132" s="14">
        <f t="shared" si="100"/>
        <v>73.202055901160236</v>
      </c>
      <c r="CB132" s="22">
        <f t="shared" ref="CB132:CB153" si="121">(BZ132+CA132)*0.475*44/12</f>
        <v>666.85340169452081</v>
      </c>
      <c r="CC132" s="62">
        <f t="shared" ref="CC132:CC195" si="122">CB132+(BT132+BU132)*44/12</f>
        <v>945.61083992600675</v>
      </c>
      <c r="CD132" s="62">
        <f ca="1">AVERAGE(OFFSET($CC$3,0,0,'Données projet'!$E$12+1,1))-AVERAGE(OFFSET($H$3,0,0,'Données projet'!$E$12+1,1))</f>
        <v>468.82871618425406</v>
      </c>
      <c r="CE132" s="62">
        <f t="shared" ref="CE132:CE195" si="123">$CC$33-$H$33</f>
        <v>259.37818128554397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projet'!$B$12,Paramètres!$A$1:$I$88,7,0))</f>
        <v>0</v>
      </c>
      <c r="CI132" s="17">
        <f>IF(ISNA(VLOOKUP(A132,'Données projet'!$A$113:$I$133,6,0)),0%,VLOOKUP(A132,'Données projet'!$A$113:$I$133,6,0)*VLOOKUP('Données projet'!$B$12,Paramètres!$A$1:$I$88,7,0))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projet'!$B$9,Paramètres!$A$1:$I$88,3,0)*0.475*44/12</f>
        <v>0</v>
      </c>
      <c r="CL132" s="23">
        <f>EXP(-LN(2)/25)*CL131+(1-EXP(-LN(2)/25))/(LN(2)/25)*Calculateur!CG132*Calculateur!CI132*VLOOKUP('Données projet'!$B$9,Paramètres!$A$1:$I$88,3,0)*0.475*44/12</f>
        <v>0</v>
      </c>
      <c r="CM132" s="23">
        <f>EXP(-LN(2)/2)*CM131+(1-EXP(-LN(2)/2))/(LN(2)/2)*CG132*CJ132*VLOOKUP('Données projet'!$B$9,Paramètres!$A$1:$I$88,3,0)*0.475*44/12</f>
        <v>0</v>
      </c>
      <c r="CN132" s="24">
        <f t="shared" ref="CN132:CN153" si="124">SUM(CK132:CM132)</f>
        <v>0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2.2999999999999998</v>
      </c>
      <c r="CT132" s="13">
        <f>IF(A132&lt;'Données projet'!$A$140,$CQ$205^A132,IF(A132='Données projet'!$A$140,'Données projet'!$B$140,CT131+CS132-DB131))</f>
        <v>287.7000000000001</v>
      </c>
      <c r="CU132" s="18">
        <f>CT132*VLOOKUP('Données projet'!$B$13,Paramètres!$A$1:$I$88,3,0)*VLOOKUP('Données projet'!$B$13,Paramètres!$A$1:$I$88,5,0)</f>
        <v>246.84660000000011</v>
      </c>
      <c r="CV132" s="14">
        <f t="shared" si="101"/>
        <v>59.910189649462481</v>
      </c>
      <c r="CW132" s="22">
        <f t="shared" ref="CW132:CW153" si="125">(CU132+CV132)*0.475*44/12</f>
        <v>534.26807530614724</v>
      </c>
      <c r="CX132" s="62">
        <f t="shared" ref="CX132:CX195" si="126">CW132+(CO132+CP132)*44/12</f>
        <v>813.02551353763317</v>
      </c>
      <c r="CY132" s="62">
        <f ca="1">AVERAGE(OFFSET($CX$3,0,0,'Données projet'!$E$13+1,1))-AVERAGE(OFFSET($H$3,0,0,'Données projet'!$E$13+1,1))</f>
        <v>395.19659151668884</v>
      </c>
      <c r="CZ132" s="62">
        <f t="shared" ref="CZ132:CZ195" si="127">$CX$33-$H$33</f>
        <v>222.86563304507339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projet'!$B$13,Paramètres!$A$1:$I$88,7,0))</f>
        <v>0</v>
      </c>
      <c r="DD132" s="17">
        <f>IF(ISNA(VLOOKUP(A132,'Données projet'!$A$139:$I$159,6,0)),0%,VLOOKUP(A132,'Données projet'!$A$139:$I$159,6,0)*VLOOKUP('Données projet'!$B$13,Paramètres!$A$1:$I$88,7,0))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projet'!$B$9,Paramètres!$A$1:$I$88,3,0)*0.475*44/12</f>
        <v>0</v>
      </c>
      <c r="DG132" s="23">
        <f>EXP(-LN(2)/25)*DG131+(1-EXP(-LN(2)/25))/(LN(2)/25)*Calculateur!DB132*Calculateur!DD132*VLOOKUP('Données projet'!$B$9,Paramètres!$A$1:$I$88,3,0)*0.475*44/12</f>
        <v>0</v>
      </c>
      <c r="DH132" s="23">
        <f>EXP(-LN(2)/2)*DH131+(1-EXP(-LN(2)/2))/(LN(2)/2)*DB132*DE132*VLOOKUP('Données projet'!$B$9,Paramètres!$A$1:$I$88,3,0)*0.475*44/12</f>
        <v>0</v>
      </c>
      <c r="DI132" s="24">
        <f t="shared" ref="DI132:DI153" si="128">SUM(DF132:DH132)</f>
        <v>0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IF(A132&lt;'Données projet'!$A$166,$DL$205^A132,IF(A132='Données projet'!$A$166,'Données projet'!$B$166,DO131+DN132-DW131))</f>
        <v>-8.5265128291212022E-14</v>
      </c>
      <c r="DP132" s="18">
        <f>DO132*VLOOKUP('Données projet'!$B$14,Paramètres!$A$1:$I$88,3,0)*VLOOKUP('Données projet'!$B$14,Paramètres!$A$1:$I$88,5,0)</f>
        <v>-4.9880100050359036E-14</v>
      </c>
      <c r="DQ132" s="14" t="e">
        <f t="shared" si="102"/>
        <v>#NUM!</v>
      </c>
      <c r="DR132" s="22" t="e">
        <f t="shared" ref="DR132:DR153" si="129">(DP132+DQ132)*0.475*44/12</f>
        <v>#NUM!</v>
      </c>
      <c r="DS132" s="62" t="e">
        <f t="shared" ref="DS132:DS195" si="130">DR132+(DJ132+DK132)*44/12</f>
        <v>#NUM!</v>
      </c>
      <c r="DT132" s="62">
        <f ca="1">AVERAGE(OFFSET($DS$3,0,0,'Données projet'!$E$14+1,1))-AVERAGE(OFFSET($H$3,0,0,'Données projet'!$E$14+1,1))</f>
        <v>155.18073137151848</v>
      </c>
      <c r="DU132" s="62">
        <f t="shared" ref="DU132:DU195" si="131">$DS$33-$H$33</f>
        <v>115.19459155667272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projet'!$B$14,Paramètres!$A$1:$I$88,7,0))</f>
        <v>0</v>
      </c>
      <c r="DY132" s="17">
        <f>IF(ISNA(VLOOKUP(A132,'Données projet'!$A$165:$I$185,6,0)),0%,VLOOKUP(A132,'Données projet'!$A$165:$I$185,6,0)*VLOOKUP('Données projet'!$B$14,Paramètres!$A$1:$I$88,7,0))</f>
        <v>0</v>
      </c>
      <c r="DZ132" s="17">
        <f>IF(ISNA(VLOOKUP(A132,'Données projet'!$A$165:$I$185,7,0)),0%,VLOOKUP(A132,'Données projet'!$A$165:$I$185,7,0))</f>
        <v>0</v>
      </c>
      <c r="EA132" s="23">
        <f>EXP(-LN(2)/35)*EA131+(1-EXP(-LN(2)/35))/(LN(2)/35)*DW132*DX132*VLOOKUP('Données projet'!$B$9,Paramètres!$A$1:$I$88,3,0)*0.475*44/12</f>
        <v>0</v>
      </c>
      <c r="EB132" s="23">
        <f>EXP(-LN(2)/25)*EB131+(1-EXP(-LN(2)/25))/(LN(2)/25)*Calculateur!DW132*Calculateur!DY132*VLOOKUP('Données projet'!$B$9,Paramètres!$A$1:$I$88,3,0)*0.475*44/12</f>
        <v>0</v>
      </c>
      <c r="EC132" s="23">
        <f>EXP(-LN(2)/2)*EC131+(1-EXP(-LN(2)/2))/(LN(2)/2)*DW132*DZ132*VLOOKUP('Données projet'!$B$9,Paramètres!$A$1:$I$88,3,0)*0.475*44/12</f>
        <v>0</v>
      </c>
      <c r="ED132" s="24">
        <f t="shared" ref="ED132:ED153" si="132">SUM(EA132:EC132)</f>
        <v>0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IF(A132&lt;'Données projet'!$A$192,$EG$205^A132,IF(A132='Données projet'!$A$192,'Données projet'!$B$192,EJ131+EI132-ER131))</f>
        <v>-5.6843418860808015E-14</v>
      </c>
      <c r="EK132" s="18">
        <f>EJ132*VLOOKUP('Données projet'!$B$15,Paramètres!$A$1:$I$88,3,0)*VLOOKUP('Données projet'!$B$15,Paramètres!$A$1:$I$88,5,0)</f>
        <v>-2.6602720026858149E-14</v>
      </c>
      <c r="EL132" s="14" t="e">
        <f t="shared" si="103"/>
        <v>#NUM!</v>
      </c>
      <c r="EM132" s="22" t="e">
        <f t="shared" ref="EM132:EM153" si="133">(EK132+EL132)*0.475*44/12</f>
        <v>#NUM!</v>
      </c>
      <c r="EN132" s="62" t="e">
        <f t="shared" ref="EN132:EN195" si="134">EM132+(EE132+EF132)*44/12</f>
        <v>#NUM!</v>
      </c>
      <c r="EO132" s="62">
        <f ca="1">AVERAGE(OFFSET($EN$3,0,0,'Données projet'!$E$15+1,1))-AVERAGE(OFFSET($H$3,0,0,'Données projet'!$E$15+1,1))</f>
        <v>238.59014604384171</v>
      </c>
      <c r="EP132" s="62">
        <f t="shared" ref="EP132:EP195" si="135">$EN$33-$H$33</f>
        <v>90.841373219575217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projet'!$B$15,Paramètres!$A$1:$I$88,7,0))</f>
        <v>0</v>
      </c>
      <c r="ET132" s="17">
        <f>IF(ISNA(VLOOKUP(A132,'Données projet'!$A$191:$I$211,6,0)),0%,VLOOKUP(A132,'Données projet'!$A$191:$I$211,6,0)*VLOOKUP('Données projet'!$B$15,Paramètres!$A$1:$I$88,7,0))</f>
        <v>0</v>
      </c>
      <c r="EU132" s="17">
        <f>IF(ISNA(VLOOKUP(A132,'Données projet'!$A$191:$I$211,7,0)),0%,VLOOKUP(A132,'Données projet'!$A$191:$I$211,7,0))</f>
        <v>0</v>
      </c>
      <c r="EV132" s="23">
        <f>EXP(-LN(2)/35)*EV131+(1-EXP(-LN(2)/35))/(LN(2)/35)*ER132*ES132*VLOOKUP('Données projet'!$B$9,Paramètres!$A$1:$I$88,3,0)*0.475*44/12</f>
        <v>0</v>
      </c>
      <c r="EW132" s="23">
        <f>EXP(-LN(2)/25)*EW131+(1-EXP(-LN(2)/25))/(LN(2)/25)*Calculateur!ER132*Calculateur!ET132*VLOOKUP('Données projet'!$B$9,Paramètres!$A$1:$I$88,3,0)*0.475*44/12</f>
        <v>0</v>
      </c>
      <c r="EX132" s="23">
        <f>EXP(-LN(2)/2)*EX131+(1-EXP(-LN(2)/2))/(LN(2)/2)*ER132*EU132*VLOOKUP('Données projet'!$B$9,Paramètres!$A$1:$I$88,3,0)*0.475*44/12</f>
        <v>0</v>
      </c>
      <c r="EY132" s="24">
        <f t="shared" ref="EY132:EY153" si="136">SUM(EV132:EX132)</f>
        <v>0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IF(A132&lt;'Données projet'!$A$218,$FB$205^A132,IF(A132='Données projet'!$A$218,'Données projet'!$B$218,FE131+FD132-FM131))</f>
        <v>0</v>
      </c>
      <c r="FF132" s="18" t="e">
        <f>FE132*VLOOKUP('Données projet'!$B$16,Paramètres!$A$1:$I$88,3,0)*VLOOKUP('Données projet'!$B$16,Paramètres!$A$1:$I$88,5,0)</f>
        <v>#N/A</v>
      </c>
      <c r="FG132" s="14" t="e">
        <f t="shared" si="104"/>
        <v>#N/A</v>
      </c>
      <c r="FH132" s="22" t="e">
        <f t="shared" ref="FH132:FH153" si="137">(FF132+FG132)*0.475*44/12</f>
        <v>#N/A</v>
      </c>
      <c r="FI132" s="62" t="e">
        <f t="shared" ref="FI132:FI195" si="138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ref="FK132:FK195" si="139">$FI$33-$H$33</f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projet'!$B$16,Paramètres!$A$1:$I$88,7,0))</f>
        <v>0</v>
      </c>
      <c r="FO132" s="17">
        <f>IF(ISNA(VLOOKUP(A132,'Données projet'!$A$217:$I$237,6,0)),0%,VLOOKUP(A132,'Données projet'!$A$217:$I$237,6,0)*VLOOKUP('Données projet'!$B$16,Paramètres!$A$1:$I$88,7,0))</f>
        <v>0</v>
      </c>
      <c r="FP132" s="17">
        <f>IF(ISNA(VLOOKUP(A132,'Données projet'!$A$217:$I$237,7,0)),0%,VLOOKUP(A132,'Données projet'!$A$217:$I$237,7,0))</f>
        <v>0</v>
      </c>
      <c r="FQ132" s="23">
        <f>EXP(-LN(2)/35)*FQ131+(1-EXP(-LN(2)/35))/(LN(2)/35)*FM132*FN132*VLOOKUP('Données projet'!$B$9,Paramètres!$A$1:$I$88,3,0)*0.475*44/12</f>
        <v>0</v>
      </c>
      <c r="FR132" s="23">
        <f>EXP(-LN(2)/25)*FR131+(1-EXP(-LN(2)/25))/(LN(2)/25)*Calculateur!FM132*Calculateur!FO132*VLOOKUP('Données projet'!$B$9,Paramètres!$A$1:$I$88,3,0)*0.475*44/12</f>
        <v>0</v>
      </c>
      <c r="FS132" s="23">
        <f>EXP(-LN(2)/2)*FS131+(1-EXP(-LN(2)/2))/(LN(2)/2)*FM132*FP132*VLOOKUP('Données projet'!$B$9,Paramètres!$A$1:$I$88,3,0)*0.475*44/12</f>
        <v>0</v>
      </c>
      <c r="FT132" s="24">
        <f t="shared" ref="FT132:FT153" si="140">SUM(FQ132:FS132)</f>
        <v>0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IF(A132&lt;'Données projet'!$A$244,$FW$205^A132,IF(A132='Données projet'!$A$244,'Données projet'!$B$244,FZ131+FY132-GH131))</f>
        <v>0</v>
      </c>
      <c r="GA132" s="18" t="e">
        <f>FZ132*VLOOKUP('Données projet'!$B$17,Paramètres!$A$1:$I$88,3,0)*VLOOKUP('Données projet'!$B$17,Paramètres!$A$1:$I$88,5,0)</f>
        <v>#N/A</v>
      </c>
      <c r="GB132" s="14" t="e">
        <f t="shared" si="105"/>
        <v>#N/A</v>
      </c>
      <c r="GC132" s="22" t="e">
        <f t="shared" ref="GC132:GC153" si="141">(GA132+GB132)*0.475*44/12</f>
        <v>#N/A</v>
      </c>
      <c r="GD132" s="62" t="e">
        <f t="shared" ref="GD132:GD195" si="142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ref="GF132:GF195" si="143">$GD$33-$H$33</f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projet'!$B$17,Paramètres!$A$1:$I$88,7,0))</f>
        <v>0</v>
      </c>
      <c r="GJ132" s="17">
        <f>IF(ISNA(VLOOKUP(A132,'Données projet'!$A$243:$I$263,6,0)),0%,VLOOKUP(A132,'Données projet'!$A$243:$I$263,6,0)*VLOOKUP('Données projet'!$B$17,Paramètres!$A$1:$I$88,7,0))</f>
        <v>0</v>
      </c>
      <c r="GK132" s="17">
        <f>IF(ISNA(VLOOKUP(A132,'Données projet'!$A$243:$I$263,7,0)),0%,VLOOKUP(A132,'Données projet'!$A$243:$I$263,7,0))</f>
        <v>0</v>
      </c>
      <c r="GL132" s="23">
        <f>EXP(-LN(2)/35)*GL131+(1-EXP(-LN(2)/35))/(LN(2)/35)*GH132*GI132*VLOOKUP('Données projet'!$B$9,Paramètres!$A$1:$I$88,3,0)*0.475*44/12</f>
        <v>0</v>
      </c>
      <c r="GM132" s="23">
        <f>EXP(-LN(2)/25)*GM131+(1-EXP(-LN(2)/25))/(LN(2)/25)*Calculateur!GH132*Calculateur!GJ132*VLOOKUP('Données projet'!$B$9,Paramètres!$A$1:$I$88,3,0)*0.475*44/12</f>
        <v>0</v>
      </c>
      <c r="GN132" s="23">
        <f>EXP(-LN(2)/2)*GN131+(1-EXP(-LN(2)/2))/(LN(2)/2)*GH132*GK132*VLOOKUP('Données projet'!$B$9,Paramètres!$A$1:$I$88,3,0)*0.475*44/12</f>
        <v>0</v>
      </c>
      <c r="GO132" s="23">
        <f t="shared" ref="GO132:GO153" si="144">SUM(GL132:GN132)</f>
        <v>0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IF(A132&lt;'Données projet'!$A$270,$GR$205^A132,IF(A132='Données projet'!$A$270,'Données projet'!$B$270,GU131+GT132-HC131))</f>
        <v>0</v>
      </c>
      <c r="GV132" s="18" t="e">
        <f>GU132*VLOOKUP('Données projet'!$B$18,Paramètres!$A$1:$I$88,3,0)*VLOOKUP('Données projet'!$B$18,Paramètres!$A$1:$I$88,5,0)</f>
        <v>#N/A</v>
      </c>
      <c r="GW132" s="14" t="e">
        <f t="shared" si="106"/>
        <v>#N/A</v>
      </c>
      <c r="GX132" s="22" t="e">
        <f t="shared" ref="GX132:GX153" si="145">(GV132+GW132)*0.475*44/12</f>
        <v>#N/A</v>
      </c>
      <c r="GY132" s="62" t="e">
        <f t="shared" ref="GY132:GY195" si="146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ref="HA132:HA195" si="147">$GY$33-$H$33</f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projet'!$B$18,Paramètres!$A$1:$I$88,7,0))</f>
        <v>0</v>
      </c>
      <c r="HE132" s="17">
        <f>IF(ISNA(VLOOKUP(A132,'Données projet'!$A$269:$I$289,6,0)),0%,VLOOKUP(A132,'Données projet'!$A$269:$I$289,6,0)*VLOOKUP('Données projet'!$B$18,Paramètres!$A$1:$I$88,7,0))</f>
        <v>0</v>
      </c>
      <c r="HF132" s="17">
        <f>IF(ISNA(VLOOKUP(A132,'Données projet'!$A$269:$I$289,7,0)),0%,VLOOKUP(A132,'Données projet'!$A$269:$I$289,7,0))</f>
        <v>0</v>
      </c>
      <c r="HG132" s="23">
        <f>EXP(-LN(2)/35)*HG131+(1-EXP(-LN(2)/35))/(LN(2)/35)*HC132*HD132*VLOOKUP('Données projet'!$B$9,Paramètres!$A$1:$I$88,3,0)*0.475*44/12</f>
        <v>0</v>
      </c>
      <c r="HH132" s="23">
        <f>EXP(-LN(2)/25)*HH131+(1-EXP(-LN(2)/25))/(LN(2)/25)*Calculateur!HC132*Calculateur!HE132*VLOOKUP('Données projet'!$B$9,Paramètres!$A$1:$I$88,3,0)*0.475*44/12</f>
        <v>0</v>
      </c>
      <c r="HI132" s="23">
        <f>EXP(-LN(2)/2)*HI131+(1-EXP(-LN(2)/2))/(LN(2)/2)*HC132*HF132*VLOOKUP('Données projet'!$B$9,Paramètres!$A$1:$I$88,3,0)*0.475*44/12</f>
        <v>0</v>
      </c>
      <c r="HJ132" s="24">
        <f t="shared" ref="HJ132:HJ153" si="148">SUM(HG132:HI132)</f>
        <v>0</v>
      </c>
    </row>
    <row r="133" spans="1:218" s="5" customFormat="1" x14ac:dyDescent="0.25">
      <c r="A133" s="11">
        <f t="shared" ref="A133:A152" si="149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3" s="12">
        <f t="shared" ref="D133:D196" si="15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111"/>
        <v>135.66666666666666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>
        <f>VLOOKUP(A133,'Données projet'!$A$35:$I$55,2,0)</f>
        <v>124.24166666666667</v>
      </c>
      <c r="L133" s="13">
        <f>VLOOKUP(A133,'Données projet'!$A$35:$I$55,9,0)</f>
        <v>1.2474999999999994</v>
      </c>
      <c r="M133" s="13">
        <f t="array" ref="M133">INDEX(L:L,MIN(IF(ISNUMBER(L133:L329),ROW(L133:L329),"")))</f>
        <v>1.2474999999999994</v>
      </c>
      <c r="N133" s="14">
        <f>IF(A133&lt;'Données projet'!$A$36,$K$205^A133,IF(A133='Données projet'!$A$36,'Données projet'!$B$36,N132+M133-V132))</f>
        <v>124.24166666666665</v>
      </c>
      <c r="O133" s="14">
        <f>N133*VLOOKUP('Données projet'!$B$9,Paramètres!$A$1:$I$88,3,0)*VLOOKUP('Données projet'!$B$9,Paramètres!$A$1:$I$88,5,0)</f>
        <v>143.12639999999996</v>
      </c>
      <c r="P133" s="14">
        <f t="shared" ref="P133:P196" si="151">EXP(-1.0587+0.8836*LN(O133)+0.284)</f>
        <v>37.012296622173274</v>
      </c>
      <c r="Q133" s="22">
        <f t="shared" si="108"/>
        <v>313.74156328361835</v>
      </c>
      <c r="R133" s="62">
        <f t="shared" si="109"/>
        <v>592.75186070830182</v>
      </c>
      <c r="S133" s="62">
        <f ca="1">AVERAGE(OFFSET($R$3,0,0,'Données projet'!$E$9+1,1))-AVERAGE(OFFSET($H$3,0,0,'Données projet'!$E$9+1,1))</f>
        <v>314.72063458462026</v>
      </c>
      <c r="T133" s="62">
        <f t="shared" si="110"/>
        <v>216.4380325968244</v>
      </c>
      <c r="U133" s="16">
        <f>IF(ISNA(VLOOKUP(A133,'Données projet'!$A$35:$I$55,3,0)),0,VLOOKUP(A133,'Données projet'!$A$35:$I$55,3,0))</f>
        <v>11</v>
      </c>
      <c r="V133" s="16">
        <f>IF(ISNA(VLOOKUP(A133,'Données projet'!$A$35:$I$55,4,0)),0,VLOOKUP(A133,'Données projet'!$A$35:$I$55,4,0))</f>
        <v>8.7083333333333339</v>
      </c>
      <c r="W133" s="17">
        <f>IF(ISNA(VLOOKUP(A133,'Données projet'!$A$35:$I$55,5,0)),0%,VLOOKUP(A133,'Données projet'!$A$35:$I$55,5,0)*VLOOKUP('Données projet'!$B$9,Paramètres!$A$1:$I$88,7,0))</f>
        <v>0</v>
      </c>
      <c r="X133" s="17">
        <f>IF(ISNA(VLOOKUP(A133,'Données projet'!$A$35:$I$55,6,0)),0%,VLOOKUP(A133,'Données projet'!$A$35:$I$55,6,0)*VLOOKUP('Données projet'!$B$9,Paramètres!$A$1:$I$88,7,0))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projet'!$B$9,Paramètres!$A$1:$I$88,3,0)*0.475*44/12</f>
        <v>0</v>
      </c>
      <c r="AA133" s="23">
        <f>EXP(-LN(2)/25)*AA132+(1-EXP(-LN(2)/25))/(LN(2)/25)*Calculateur!V133*Calculateur!X133*VLOOKUP('Données projet'!$B$9,Paramètres!$A$1:$I$88,3,0)*0.475*44/12</f>
        <v>0</v>
      </c>
      <c r="AB133" s="23">
        <f>EXP(-LN(2)/2)*AB132+(1-EXP(-LN(2)/2))/(LN(2)/2)*V133*Y133*VLOOKUP('Données projet'!$B$9,Paramètres!$A$1:$I$88,3,0)*0.475*44/12</f>
        <v>0</v>
      </c>
      <c r="AC133" s="24">
        <f t="shared" si="112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>
        <f>VLOOKUP(A133,'Données projet'!$A$61:$I$81,2,0)</f>
        <v>290</v>
      </c>
      <c r="AG133" s="13">
        <f>VLOOKUP(A133,'Données projet'!$A$61:$I$81,9,0)</f>
        <v>2.2999999999999998</v>
      </c>
      <c r="AH133" s="13">
        <f t="array" ref="AH133">INDEX(AG:AG,MIN(IF(ISNUMBER(AG133:AG329),ROW(AG133:AG329),"")))</f>
        <v>2.2999999999999998</v>
      </c>
      <c r="AI133" s="14">
        <f>IF(A133&lt;'Données projet'!$A$62,$AF$205^A133,IF(A133='Données projet'!$A$62,'Données projet'!$B$62,AI132+AH133-AQ132))</f>
        <v>290.00000000000011</v>
      </c>
      <c r="AJ133" s="14">
        <f>AI133*VLOOKUP('Données projet'!$B$10,Paramètres!$A$1:$I$88,3,0)*VLOOKUP('Données projet'!$B$10,Paramètres!$A$1:$I$88,5,0)</f>
        <v>303.10800000000017</v>
      </c>
      <c r="AK133" s="14">
        <f t="shared" ref="AK133:AK153" si="152">EXP(-1.0587+0.8836*LN(AJ133)+0.284)</f>
        <v>71.827628304517233</v>
      </c>
      <c r="AL133" s="22">
        <f t="shared" si="113"/>
        <v>653.01288596370114</v>
      </c>
      <c r="AM133" s="62">
        <f t="shared" si="114"/>
        <v>932.0231833883845</v>
      </c>
      <c r="AN133" s="62">
        <f ca="1">AVERAGE(OFFSET($AM$3,0,0,'Données projet'!$E$10+1,1))-AVERAGE(OFFSET($H$3,0,0,'Données projet'!$E$10+1,1))</f>
        <v>458.33072853676879</v>
      </c>
      <c r="AO133" s="62">
        <f t="shared" si="115"/>
        <v>254.1734169352687</v>
      </c>
      <c r="AP133" s="16">
        <f>IF(ISNA(VLOOKUP(A133,'Données projet'!$A$61:$I$81,3,0)),0,VLOOKUP(A133,'Données projet'!$A$61:$I$81,3,0))</f>
        <v>11</v>
      </c>
      <c r="AQ133" s="16">
        <f>IF(ISNA(VLOOKUP(A133,'Données projet'!$A$61:$I$81,4,0)),0,VLOOKUP(A133,'Données projet'!$A$61:$I$81,4,0))</f>
        <v>290</v>
      </c>
      <c r="AR133" s="17">
        <f>IF(ISNA(VLOOKUP(A133,'Données projet'!$A$61:$I$81,5,0)),0%,VLOOKUP(A133,'Données projet'!$A$61:$I$81,5,0)*VLOOKUP('Données projet'!$B$10,Paramètres!$A$1:$I$88,7,0))</f>
        <v>0</v>
      </c>
      <c r="AS133" s="17">
        <f>IF(ISNA(VLOOKUP(A133,'Données projet'!$A$61:$I$81,6,0)),0%,VLOOKUP(A133,'Données projet'!$A$61:$I$81,6,0)*VLOOKUP('Données projet'!$B$10,Paramètres!$A$1:$I$88,7,0))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projet'!$B$9,Paramètres!$A$1:$I$88,3,0)*0.475*44/12</f>
        <v>0</v>
      </c>
      <c r="AV133" s="23">
        <f>EXP(-LN(2)/25)*AV132+(1-EXP(-LN(2)/25))/(LN(2)/25)*Calculateur!AQ133*Calculateur!AS133*VLOOKUP('Données projet'!$B$9,Paramètres!$A$1:$I$88,3,0)*0.475*44/12</f>
        <v>0</v>
      </c>
      <c r="AW133" s="23">
        <f>EXP(-LN(2)/2)*AW132+(1-EXP(-LN(2)/2))/(LN(2)/2)*AQ133*AT133*VLOOKUP('Données projet'!$B$9,Paramètres!$A$1:$I$88,3,0)*0.475*44/12</f>
        <v>0</v>
      </c>
      <c r="AX133" s="23">
        <f t="shared" si="116"/>
        <v>0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>
        <f>VLOOKUP(A133,'Données projet'!$A$87:$I$107,2,0)</f>
        <v>290</v>
      </c>
      <c r="BB133" s="13">
        <f>VLOOKUP(A133,'Données projet'!$A$87:$I$107,9,0)</f>
        <v>2.2999999999999998</v>
      </c>
      <c r="BC133" s="13">
        <f t="array" ref="BC133">INDEX(BB:BB,MIN(IF(ISNUMBER(BB133:BB329),ROW(BB133:BB329),"")))</f>
        <v>2.2999999999999998</v>
      </c>
      <c r="BD133" s="13">
        <f>IF(A133&lt;'Données projet'!$A$88,$BA$205^A133,IF(A133='Données projet'!$A$88,'Données projet'!$B$88,BD132+BC133-BL132))</f>
        <v>290.00000000000011</v>
      </c>
      <c r="BE133" s="14">
        <f>BD133*VLOOKUP('Données projet'!$B$11,Paramètres!$A$1:$I$88,3,0)*VLOOKUP('Données projet'!$B$11,Paramètres!$A$1:$I$88,5,0)</f>
        <v>294.06000000000012</v>
      </c>
      <c r="BF133" s="14">
        <f t="shared" ref="BF133:BF153" si="153">EXP(-1.0587+0.8836*LN(BE133)+0.284)</f>
        <v>69.929765653573369</v>
      </c>
      <c r="BG133" s="22">
        <f t="shared" si="117"/>
        <v>633.94884184664045</v>
      </c>
      <c r="BH133" s="62">
        <f t="shared" si="118"/>
        <v>912.95913927132392</v>
      </c>
      <c r="BI133" s="62">
        <f ca="1">AVERAGE(OFFSET($BH$3,0,0,'Données projet'!$E$11+1,1))-AVERAGE(OFFSET($H$3,0,0,'Données projet'!$E$11+1,1))</f>
        <v>447.82618173893104</v>
      </c>
      <c r="BJ133" s="62">
        <f t="shared" si="119"/>
        <v>248.96509970783379</v>
      </c>
      <c r="BK133" s="16">
        <f>IF(ISNA(VLOOKUP(A133,'Données projet'!$A$87:$I$107,3,0)),0,VLOOKUP(A133,'Données projet'!$A$87:$I$107,3,0))</f>
        <v>11</v>
      </c>
      <c r="BL133" s="16">
        <f>IF(ISNA(VLOOKUP(A133,'Données projet'!$A$87:$I$107,4,0)),0,VLOOKUP(A133,'Données projet'!$A$87:$I$107,4,0))</f>
        <v>290</v>
      </c>
      <c r="BM133" s="17">
        <f>IF(ISNA(VLOOKUP(A133,'Données projet'!$A$87:$I$107,5,0)),0%,VLOOKUP(A133,'Données projet'!$A$87:$I$107,5,0)*VLOOKUP('Données projet'!$B$11,Paramètres!$A$1:$I$88,7,0))</f>
        <v>0</v>
      </c>
      <c r="BN133" s="17">
        <f>IF(ISNA(VLOOKUP(A133,'Données projet'!$A$87:$I$107,6,0)),0%,VLOOKUP(A133,'Données projet'!$A$87:$I$107,6,0)*VLOOKUP('Données projet'!$B$11,Paramètres!$A$1:$I$88,7,0))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projet'!$B$9,Paramètres!$A$1:$I$88,3,0)*0.475*44/12</f>
        <v>0</v>
      </c>
      <c r="BQ133" s="23">
        <f>EXP(-LN(2)/25)*BQ132+(1-EXP(-LN(2)/25))/(LN(2)/25)*Calculateur!BL133*Calculateur!BN133*VLOOKUP('Données projet'!$B$9,Paramètres!$A$1:$I$88,3,0)*0.475*44/12</f>
        <v>0</v>
      </c>
      <c r="BR133" s="23">
        <f>EXP(-LN(2)/2)*BR132+(1-EXP(-LN(2)/2))/(LN(2)/2)*BL133*BO133*VLOOKUP('Données projet'!$B$9,Paramètres!$A$1:$I$88,3,0)*0.475*44/12</f>
        <v>0</v>
      </c>
      <c r="BS133" s="24">
        <f t="shared" si="120"/>
        <v>0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>
        <f>VLOOKUP(A133,'Données projet'!$A$113:$I$133,2,0)</f>
        <v>290</v>
      </c>
      <c r="BW133" s="13">
        <f>VLOOKUP(A133,'Données projet'!$A$113:$I$133,9,0)</f>
        <v>2.2999999999999998</v>
      </c>
      <c r="BX133" s="13">
        <f t="array" ref="BX133">INDEX(BW:BW,MIN(IF(ISNUMBER(BW133:BW329),ROW(BW133:BW329),"")))</f>
        <v>2.2999999999999998</v>
      </c>
      <c r="BY133" s="13">
        <f>IF(A133&lt;'Données projet'!$A$114,$BV$205^A133,IF(A133='Données projet'!$A$114,'Données projet'!$B$114,BY132+BX133-CG132))</f>
        <v>290.00000000000011</v>
      </c>
      <c r="BZ133" s="14">
        <f>BY133*VLOOKUP('Données projet'!$B$12,Paramètres!$A$1:$I$88,3,0)*VLOOKUP('Données projet'!$B$12,Paramètres!$A$1:$I$88,5,0)</f>
        <v>312.15600000000006</v>
      </c>
      <c r="CA133" s="14">
        <f t="shared" ref="CA133:CA153" si="154">EXP(-1.0587+0.8836*LN(BZ133)+0.284)</f>
        <v>73.718907001002549</v>
      </c>
      <c r="CB133" s="22">
        <f t="shared" si="121"/>
        <v>672.06546302674622</v>
      </c>
      <c r="CC133" s="62">
        <f t="shared" si="122"/>
        <v>951.07576045142969</v>
      </c>
      <c r="CD133" s="62">
        <f ca="1">AVERAGE(OFFSET($CC$3,0,0,'Données projet'!$E$12+1,1))-AVERAGE(OFFSET($H$3,0,0,'Données projet'!$E$12+1,1))</f>
        <v>468.82871618425406</v>
      </c>
      <c r="CE133" s="62">
        <f t="shared" si="123"/>
        <v>259.37818128554397</v>
      </c>
      <c r="CF133" s="16">
        <f>IF(ISNA(VLOOKUP(A133,'Données projet'!$A$113:$I$133,3,0)),0,VLOOKUP(A133,'Données projet'!$A$113:$I$133,3,0))</f>
        <v>11</v>
      </c>
      <c r="CG133" s="16">
        <f>IF(ISNA(VLOOKUP(A133,'Données projet'!$A$113:$I$133,4,0)),0,VLOOKUP(A133,'Données projet'!$A$113:$I$133,4,0))</f>
        <v>290</v>
      </c>
      <c r="CH133" s="17">
        <f>IF(ISNA(VLOOKUP(A133,'Données projet'!$A$113:$I$133,5,0)),0%,VLOOKUP(A133,'Données projet'!$A$113:$I$133,5,0)*VLOOKUP('Données projet'!$B$12,Paramètres!$A$1:$I$88,7,0))</f>
        <v>0</v>
      </c>
      <c r="CI133" s="17">
        <f>IF(ISNA(VLOOKUP(A133,'Données projet'!$A$113:$I$133,6,0)),0%,VLOOKUP(A133,'Données projet'!$A$113:$I$133,6,0)*VLOOKUP('Données projet'!$B$12,Paramètres!$A$1:$I$88,7,0))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projet'!$B$9,Paramètres!$A$1:$I$88,3,0)*0.475*44/12</f>
        <v>0</v>
      </c>
      <c r="CL133" s="23">
        <f>EXP(-LN(2)/25)*CL132+(1-EXP(-LN(2)/25))/(LN(2)/25)*Calculateur!CG133*Calculateur!CI133*VLOOKUP('Données projet'!$B$9,Paramètres!$A$1:$I$88,3,0)*0.475*44/12</f>
        <v>0</v>
      </c>
      <c r="CM133" s="23">
        <f>EXP(-LN(2)/2)*CM132+(1-EXP(-LN(2)/2))/(LN(2)/2)*CG133*CJ133*VLOOKUP('Données projet'!$B$9,Paramètres!$A$1:$I$88,3,0)*0.475*44/12</f>
        <v>0</v>
      </c>
      <c r="CN133" s="24">
        <f t="shared" si="124"/>
        <v>0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>
        <f>VLOOKUP(A133,'Données projet'!$A$139:$I$159,2,0)</f>
        <v>290</v>
      </c>
      <c r="CR133" s="13">
        <f>VLOOKUP(A133,'Données projet'!$A$139:$I$159,9,0)</f>
        <v>2.2999999999999998</v>
      </c>
      <c r="CS133" s="13">
        <f t="array" ref="CS133">INDEX(CR:CR,MIN(IF(ISNUMBER(CR133:CR329),ROW(CR133:CR329),"")))</f>
        <v>2.2999999999999998</v>
      </c>
      <c r="CT133" s="13">
        <f>IF(A133&lt;'Données projet'!$A$140,$CQ$205^A133,IF(A133='Données projet'!$A$140,'Données projet'!$B$140,CT132+CS133-DB132))</f>
        <v>290.00000000000011</v>
      </c>
      <c r="CU133" s="18">
        <f>CT133*VLOOKUP('Données projet'!$B$13,Paramètres!$A$1:$I$88,3,0)*VLOOKUP('Données projet'!$B$13,Paramètres!$A$1:$I$88,5,0)</f>
        <v>248.82000000000014</v>
      </c>
      <c r="CV133" s="14">
        <f t="shared" ref="CV133:CV153" si="155">EXP(-1.0587+0.8836*LN(CU133)+0.284)</f>
        <v>60.333192077890068</v>
      </c>
      <c r="CW133" s="22">
        <f t="shared" si="125"/>
        <v>538.44180953565876</v>
      </c>
      <c r="CX133" s="62">
        <f t="shared" si="126"/>
        <v>817.45210696034223</v>
      </c>
      <c r="CY133" s="62">
        <f ca="1">AVERAGE(OFFSET($CX$3,0,0,'Données projet'!$E$13+1,1))-AVERAGE(OFFSET($H$3,0,0,'Données projet'!$E$13+1,1))</f>
        <v>395.19659151668884</v>
      </c>
      <c r="CZ133" s="62">
        <f t="shared" si="127"/>
        <v>222.86563304507339</v>
      </c>
      <c r="DA133" s="16">
        <f>IF(ISNA(VLOOKUP(A133,'Données projet'!$A$139:$I$159,3,0)),0,VLOOKUP(A133,'Données projet'!$A$139:$I$159,3,0))</f>
        <v>11</v>
      </c>
      <c r="DB133" s="16">
        <f>IF(ISNA(VLOOKUP(A133,'Données projet'!$A$139:$I$159,4,0)),0,VLOOKUP(A133,'Données projet'!$A$139:$I$159,4,0))</f>
        <v>290</v>
      </c>
      <c r="DC133" s="17">
        <f>IF(ISNA(VLOOKUP(A133,'Données projet'!$A$139:$I$159,5,0)),0%,VLOOKUP(A133,'Données projet'!$A$139:$I$159,5,0)*VLOOKUP('Données projet'!$B$13,Paramètres!$A$1:$I$88,7,0))</f>
        <v>0</v>
      </c>
      <c r="DD133" s="17">
        <f>IF(ISNA(VLOOKUP(A133,'Données projet'!$A$139:$I$159,6,0)),0%,VLOOKUP(A133,'Données projet'!$A$139:$I$159,6,0)*VLOOKUP('Données projet'!$B$13,Paramètres!$A$1:$I$88,7,0))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projet'!$B$9,Paramètres!$A$1:$I$88,3,0)*0.475*44/12</f>
        <v>0</v>
      </c>
      <c r="DG133" s="23">
        <f>EXP(-LN(2)/25)*DG132+(1-EXP(-LN(2)/25))/(LN(2)/25)*Calculateur!DB133*Calculateur!DD133*VLOOKUP('Données projet'!$B$9,Paramètres!$A$1:$I$88,3,0)*0.475*44/12</f>
        <v>0</v>
      </c>
      <c r="DH133" s="23">
        <f>EXP(-LN(2)/2)*DH132+(1-EXP(-LN(2)/2))/(LN(2)/2)*DB133*DE133*VLOOKUP('Données projet'!$B$9,Paramètres!$A$1:$I$88,3,0)*0.475*44/12</f>
        <v>0</v>
      </c>
      <c r="DI133" s="24">
        <f t="shared" si="128"/>
        <v>0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IF(A133&lt;'Données projet'!$A$166,$DL$205^A133,IF(A133='Données projet'!$A$166,'Données projet'!$B$166,DO132+DN133-DW132))</f>
        <v>-8.5265128291212022E-14</v>
      </c>
      <c r="DP133" s="18">
        <f>DO133*VLOOKUP('Données projet'!$B$14,Paramètres!$A$1:$I$88,3,0)*VLOOKUP('Données projet'!$B$14,Paramètres!$A$1:$I$88,5,0)</f>
        <v>-4.9880100050359036E-14</v>
      </c>
      <c r="DQ133" s="14" t="e">
        <f t="shared" ref="DQ133:DQ153" si="156">EXP(-1.0587+0.8836*LN(DP133)+0.284)</f>
        <v>#NUM!</v>
      </c>
      <c r="DR133" s="22" t="e">
        <f t="shared" si="129"/>
        <v>#NUM!</v>
      </c>
      <c r="DS133" s="62" t="e">
        <f t="shared" si="130"/>
        <v>#NUM!</v>
      </c>
      <c r="DT133" s="62">
        <f ca="1">AVERAGE(OFFSET($DS$3,0,0,'Données projet'!$E$14+1,1))-AVERAGE(OFFSET($H$3,0,0,'Données projet'!$E$14+1,1))</f>
        <v>155.18073137151848</v>
      </c>
      <c r="DU133" s="62">
        <f t="shared" si="131"/>
        <v>115.19459155667272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projet'!$B$14,Paramètres!$A$1:$I$88,7,0))</f>
        <v>0</v>
      </c>
      <c r="DY133" s="17">
        <f>IF(ISNA(VLOOKUP(A133,'Données projet'!$A$165:$I$185,6,0)),0%,VLOOKUP(A133,'Données projet'!$A$165:$I$185,6,0)*VLOOKUP('Données projet'!$B$14,Paramètres!$A$1:$I$88,7,0))</f>
        <v>0</v>
      </c>
      <c r="DZ133" s="17">
        <f>IF(ISNA(VLOOKUP(A133,'Données projet'!$A$165:$I$185,7,0)),0%,VLOOKUP(A133,'Données projet'!$A$165:$I$185,7,0))</f>
        <v>0</v>
      </c>
      <c r="EA133" s="23">
        <f>EXP(-LN(2)/35)*EA132+(1-EXP(-LN(2)/35))/(LN(2)/35)*DW133*DX133*VLOOKUP('Données projet'!$B$9,Paramètres!$A$1:$I$88,3,0)*0.475*44/12</f>
        <v>0</v>
      </c>
      <c r="EB133" s="23">
        <f>EXP(-LN(2)/25)*EB132+(1-EXP(-LN(2)/25))/(LN(2)/25)*Calculateur!DW133*Calculateur!DY133*VLOOKUP('Données projet'!$B$9,Paramètres!$A$1:$I$88,3,0)*0.475*44/12</f>
        <v>0</v>
      </c>
      <c r="EC133" s="23">
        <f>EXP(-LN(2)/2)*EC132+(1-EXP(-LN(2)/2))/(LN(2)/2)*DW133*DZ133*VLOOKUP('Données projet'!$B$9,Paramètres!$A$1:$I$88,3,0)*0.475*44/12</f>
        <v>0</v>
      </c>
      <c r="ED133" s="24">
        <f t="shared" si="132"/>
        <v>0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IF(A133&lt;'Données projet'!$A$192,$EG$205^A133,IF(A133='Données projet'!$A$192,'Données projet'!$B$192,EJ132+EI133-ER132))</f>
        <v>-5.6843418860808015E-14</v>
      </c>
      <c r="EK133" s="18">
        <f>EJ133*VLOOKUP('Données projet'!$B$15,Paramètres!$A$1:$I$88,3,0)*VLOOKUP('Données projet'!$B$15,Paramètres!$A$1:$I$88,5,0)</f>
        <v>-2.6602720026858149E-14</v>
      </c>
      <c r="EL133" s="14" t="e">
        <f t="shared" ref="EL133:EL153" si="157">EXP(-1.0587+0.8836*LN(EK133)+0.284)</f>
        <v>#NUM!</v>
      </c>
      <c r="EM133" s="22" t="e">
        <f t="shared" si="133"/>
        <v>#NUM!</v>
      </c>
      <c r="EN133" s="62" t="e">
        <f t="shared" si="134"/>
        <v>#NUM!</v>
      </c>
      <c r="EO133" s="62">
        <f ca="1">AVERAGE(OFFSET($EN$3,0,0,'Données projet'!$E$15+1,1))-AVERAGE(OFFSET($H$3,0,0,'Données projet'!$E$15+1,1))</f>
        <v>238.59014604384171</v>
      </c>
      <c r="EP133" s="62">
        <f t="shared" si="135"/>
        <v>90.841373219575217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projet'!$B$15,Paramètres!$A$1:$I$88,7,0))</f>
        <v>0</v>
      </c>
      <c r="ET133" s="17">
        <f>IF(ISNA(VLOOKUP(A133,'Données projet'!$A$191:$I$211,6,0)),0%,VLOOKUP(A133,'Données projet'!$A$191:$I$211,6,0)*VLOOKUP('Données projet'!$B$15,Paramètres!$A$1:$I$88,7,0))</f>
        <v>0</v>
      </c>
      <c r="EU133" s="17">
        <f>IF(ISNA(VLOOKUP(A133,'Données projet'!$A$191:$I$211,7,0)),0%,VLOOKUP(A133,'Données projet'!$A$191:$I$211,7,0))</f>
        <v>0</v>
      </c>
      <c r="EV133" s="23">
        <f>EXP(-LN(2)/35)*EV132+(1-EXP(-LN(2)/35))/(LN(2)/35)*ER133*ES133*VLOOKUP('Données projet'!$B$9,Paramètres!$A$1:$I$88,3,0)*0.475*44/12</f>
        <v>0</v>
      </c>
      <c r="EW133" s="23">
        <f>EXP(-LN(2)/25)*EW132+(1-EXP(-LN(2)/25))/(LN(2)/25)*Calculateur!ER133*Calculateur!ET133*VLOOKUP('Données projet'!$B$9,Paramètres!$A$1:$I$88,3,0)*0.475*44/12</f>
        <v>0</v>
      </c>
      <c r="EX133" s="23">
        <f>EXP(-LN(2)/2)*EX132+(1-EXP(-LN(2)/2))/(LN(2)/2)*ER133*EU133*VLOOKUP('Données projet'!$B$9,Paramètres!$A$1:$I$88,3,0)*0.475*44/12</f>
        <v>0</v>
      </c>
      <c r="EY133" s="24">
        <f t="shared" si="136"/>
        <v>0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IF(A133&lt;'Données projet'!$A$218,$FB$205^A133,IF(A133='Données projet'!$A$218,'Données projet'!$B$218,FE132+FD133-FM132))</f>
        <v>0</v>
      </c>
      <c r="FF133" s="18" t="e">
        <f>FE133*VLOOKUP('Données projet'!$B$16,Paramètres!$A$1:$I$88,3,0)*VLOOKUP('Données projet'!$B$16,Paramètres!$A$1:$I$88,5,0)</f>
        <v>#N/A</v>
      </c>
      <c r="FG133" s="14" t="e">
        <f t="shared" ref="FG133:FG153" si="158">EXP(-1.0587+0.8836*LN(FF133)+0.284)</f>
        <v>#N/A</v>
      </c>
      <c r="FH133" s="22" t="e">
        <f t="shared" si="137"/>
        <v>#N/A</v>
      </c>
      <c r="FI133" s="62" t="e">
        <f t="shared" si="138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si="139"/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projet'!$B$16,Paramètres!$A$1:$I$88,7,0))</f>
        <v>0</v>
      </c>
      <c r="FO133" s="17">
        <f>IF(ISNA(VLOOKUP(A133,'Données projet'!$A$217:$I$237,6,0)),0%,VLOOKUP(A133,'Données projet'!$A$217:$I$237,6,0)*VLOOKUP('Données projet'!$B$16,Paramètres!$A$1:$I$88,7,0))</f>
        <v>0</v>
      </c>
      <c r="FP133" s="17">
        <f>IF(ISNA(VLOOKUP(A133,'Données projet'!$A$217:$I$237,7,0)),0%,VLOOKUP(A133,'Données projet'!$A$217:$I$237,7,0))</f>
        <v>0</v>
      </c>
      <c r="FQ133" s="23">
        <f>EXP(-LN(2)/35)*FQ132+(1-EXP(-LN(2)/35))/(LN(2)/35)*FM133*FN133*VLOOKUP('Données projet'!$B$9,Paramètres!$A$1:$I$88,3,0)*0.475*44/12</f>
        <v>0</v>
      </c>
      <c r="FR133" s="23">
        <f>EXP(-LN(2)/25)*FR132+(1-EXP(-LN(2)/25))/(LN(2)/25)*Calculateur!FM133*Calculateur!FO133*VLOOKUP('Données projet'!$B$9,Paramètres!$A$1:$I$88,3,0)*0.475*44/12</f>
        <v>0</v>
      </c>
      <c r="FS133" s="23">
        <f>EXP(-LN(2)/2)*FS132+(1-EXP(-LN(2)/2))/(LN(2)/2)*FM133*FP133*VLOOKUP('Données projet'!$B$9,Paramètres!$A$1:$I$88,3,0)*0.475*44/12</f>
        <v>0</v>
      </c>
      <c r="FT133" s="24">
        <f t="shared" si="140"/>
        <v>0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IF(A133&lt;'Données projet'!$A$244,$FW$205^A133,IF(A133='Données projet'!$A$244,'Données projet'!$B$244,FZ132+FY133-GH132))</f>
        <v>0</v>
      </c>
      <c r="GA133" s="18" t="e">
        <f>FZ133*VLOOKUP('Données projet'!$B$17,Paramètres!$A$1:$I$88,3,0)*VLOOKUP('Données projet'!$B$17,Paramètres!$A$1:$I$88,5,0)</f>
        <v>#N/A</v>
      </c>
      <c r="GB133" s="14" t="e">
        <f t="shared" ref="GB133:GB153" si="159">EXP(-1.0587+0.8836*LN(GA133)+0.284)</f>
        <v>#N/A</v>
      </c>
      <c r="GC133" s="22" t="e">
        <f t="shared" si="141"/>
        <v>#N/A</v>
      </c>
      <c r="GD133" s="62" t="e">
        <f t="shared" si="142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si="143"/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projet'!$B$17,Paramètres!$A$1:$I$88,7,0))</f>
        <v>0</v>
      </c>
      <c r="GJ133" s="17">
        <f>IF(ISNA(VLOOKUP(A133,'Données projet'!$A$243:$I$263,6,0)),0%,VLOOKUP(A133,'Données projet'!$A$243:$I$263,6,0)*VLOOKUP('Données projet'!$B$17,Paramètres!$A$1:$I$88,7,0))</f>
        <v>0</v>
      </c>
      <c r="GK133" s="17">
        <f>IF(ISNA(VLOOKUP(A133,'Données projet'!$A$243:$I$263,7,0)),0%,VLOOKUP(A133,'Données projet'!$A$243:$I$263,7,0))</f>
        <v>0</v>
      </c>
      <c r="GL133" s="23">
        <f>EXP(-LN(2)/35)*GL132+(1-EXP(-LN(2)/35))/(LN(2)/35)*GH133*GI133*VLOOKUP('Données projet'!$B$9,Paramètres!$A$1:$I$88,3,0)*0.475*44/12</f>
        <v>0</v>
      </c>
      <c r="GM133" s="23">
        <f>EXP(-LN(2)/25)*GM132+(1-EXP(-LN(2)/25))/(LN(2)/25)*Calculateur!GH133*Calculateur!GJ133*VLOOKUP('Données projet'!$B$9,Paramètres!$A$1:$I$88,3,0)*0.475*44/12</f>
        <v>0</v>
      </c>
      <c r="GN133" s="23">
        <f>EXP(-LN(2)/2)*GN132+(1-EXP(-LN(2)/2))/(LN(2)/2)*GH133*GK133*VLOOKUP('Données projet'!$B$9,Paramètres!$A$1:$I$88,3,0)*0.475*44/12</f>
        <v>0</v>
      </c>
      <c r="GO133" s="23">
        <f t="shared" si="144"/>
        <v>0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IF(A133&lt;'Données projet'!$A$270,$GR$205^A133,IF(A133='Données projet'!$A$270,'Données projet'!$B$270,GU132+GT133-HC132))</f>
        <v>0</v>
      </c>
      <c r="GV133" s="18" t="e">
        <f>GU133*VLOOKUP('Données projet'!$B$18,Paramètres!$A$1:$I$88,3,0)*VLOOKUP('Données projet'!$B$18,Paramètres!$A$1:$I$88,5,0)</f>
        <v>#N/A</v>
      </c>
      <c r="GW133" s="14" t="e">
        <f t="shared" ref="GW133:GW153" si="160">EXP(-1.0587+0.8836*LN(GV133)+0.284)</f>
        <v>#N/A</v>
      </c>
      <c r="GX133" s="22" t="e">
        <f t="shared" si="145"/>
        <v>#N/A</v>
      </c>
      <c r="GY133" s="62" t="e">
        <f t="shared" si="146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si="147"/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projet'!$B$18,Paramètres!$A$1:$I$88,7,0))</f>
        <v>0</v>
      </c>
      <c r="HE133" s="17">
        <f>IF(ISNA(VLOOKUP(A133,'Données projet'!$A$269:$I$289,6,0)),0%,VLOOKUP(A133,'Données projet'!$A$269:$I$289,6,0)*VLOOKUP('Données projet'!$B$18,Paramètres!$A$1:$I$88,7,0))</f>
        <v>0</v>
      </c>
      <c r="HF133" s="17">
        <f>IF(ISNA(VLOOKUP(A133,'Données projet'!$A$269:$I$289,7,0)),0%,VLOOKUP(A133,'Données projet'!$A$269:$I$289,7,0))</f>
        <v>0</v>
      </c>
      <c r="HG133" s="23">
        <f>EXP(-LN(2)/35)*HG132+(1-EXP(-LN(2)/35))/(LN(2)/35)*HC133*HD133*VLOOKUP('Données projet'!$B$9,Paramètres!$A$1:$I$88,3,0)*0.475*44/12</f>
        <v>0</v>
      </c>
      <c r="HH133" s="23">
        <f>EXP(-LN(2)/25)*HH132+(1-EXP(-LN(2)/25))/(LN(2)/25)*Calculateur!HC133*Calculateur!HE133*VLOOKUP('Données projet'!$B$9,Paramètres!$A$1:$I$88,3,0)*0.475*44/12</f>
        <v>0</v>
      </c>
      <c r="HI133" s="23">
        <f>EXP(-LN(2)/2)*HI132+(1-EXP(-LN(2)/2))/(LN(2)/2)*HC133*HF133*VLOOKUP('Données projet'!$B$9,Paramètres!$A$1:$I$88,3,0)*0.475*44/12</f>
        <v>0</v>
      </c>
      <c r="HJ133" s="24">
        <f t="shared" si="148"/>
        <v>0</v>
      </c>
    </row>
    <row r="134" spans="1:218" s="5" customFormat="1" x14ac:dyDescent="0.25">
      <c r="A134" s="11">
        <f t="shared" si="149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4" s="12">
        <f t="shared" si="15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111"/>
        <v>135.66666666666666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1.1879166666666663</v>
      </c>
      <c r="N134" s="14">
        <f>IF(A134&lt;'Données projet'!$A$36,$K$205^A134,IF(A134='Données projet'!$A$36,'Données projet'!$B$36,N133+M134-V133))</f>
        <v>116.72124999999998</v>
      </c>
      <c r="O134" s="14">
        <f>N134*VLOOKUP('Données projet'!$B$9,Paramètres!$A$1:$I$88,3,0)*VLOOKUP('Données projet'!$B$9,Paramètres!$A$1:$I$88,5,0)</f>
        <v>134.46287999999996</v>
      </c>
      <c r="P134" s="14">
        <f t="shared" si="151"/>
        <v>35.02556530568927</v>
      </c>
      <c r="Q134" s="22">
        <f t="shared" si="108"/>
        <v>295.19237557407541</v>
      </c>
      <c r="R134" s="62">
        <f t="shared" si="109"/>
        <v>574.45114565026279</v>
      </c>
      <c r="S134" s="62">
        <f ca="1">AVERAGE(OFFSET($R$3,0,0,'Données projet'!$E$9+1,1))-AVERAGE(OFFSET($H$3,0,0,'Données projet'!$E$9+1,1))</f>
        <v>314.72063458462026</v>
      </c>
      <c r="T134" s="62">
        <f t="shared" si="110"/>
        <v>216.4380325968244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projet'!$B$9,Paramètres!$A$1:$I$88,7,0))</f>
        <v>0</v>
      </c>
      <c r="X134" s="17">
        <f>IF(ISNA(VLOOKUP(A134,'Données projet'!$A$35:$I$55,6,0)),0%,VLOOKUP(A134,'Données projet'!$A$35:$I$55,6,0)*VLOOKUP('Données projet'!$B$9,Paramètres!$A$1:$I$88,7,0))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projet'!$B$9,Paramètres!$A$1:$I$88,3,0)*0.475*44/12</f>
        <v>0</v>
      </c>
      <c r="AA134" s="23">
        <f>EXP(-LN(2)/25)*AA133+(1-EXP(-LN(2)/25))/(LN(2)/25)*Calculateur!V134*Calculateur!X134*VLOOKUP('Données projet'!$B$9,Paramètres!$A$1:$I$88,3,0)*0.475*44/12</f>
        <v>0</v>
      </c>
      <c r="AB134" s="23">
        <f>EXP(-LN(2)/2)*AB133+(1-EXP(-LN(2)/2))/(LN(2)/2)*V134*Y134*VLOOKUP('Données projet'!$B$9,Paramètres!$A$1:$I$88,3,0)*0.475*44/12</f>
        <v>0</v>
      </c>
      <c r="AC134" s="24">
        <f t="shared" si="112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IF(A134&lt;'Données projet'!$A$62,$AF$205^A134,IF(A134='Données projet'!$A$62,'Données projet'!$B$62,AI133+AH134-AQ133))</f>
        <v>1.1368683772161603E-13</v>
      </c>
      <c r="AJ134" s="14">
        <f>AI134*VLOOKUP('Données projet'!$B$10,Paramètres!$A$1:$I$88,3,0)*VLOOKUP('Données projet'!$B$10,Paramètres!$A$1:$I$88,5,0)</f>
        <v>1.1882548278663309E-13</v>
      </c>
      <c r="AK134" s="14">
        <f t="shared" si="152"/>
        <v>1.7496137229198366E-12</v>
      </c>
      <c r="AL134" s="22">
        <f t="shared" si="113"/>
        <v>3.2541982832721012E-12</v>
      </c>
      <c r="AM134" s="62">
        <f t="shared" si="114"/>
        <v>279.25877007619061</v>
      </c>
      <c r="AN134" s="62">
        <f ca="1">AVERAGE(OFFSET($AM$3,0,0,'Données projet'!$E$10+1,1))-AVERAGE(OFFSET($H$3,0,0,'Données projet'!$E$10+1,1))</f>
        <v>458.33072853676879</v>
      </c>
      <c r="AO134" s="62">
        <f t="shared" si="115"/>
        <v>254.1734169352687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projet'!$B$10,Paramètres!$A$1:$I$88,7,0))</f>
        <v>0</v>
      </c>
      <c r="AS134" s="17">
        <f>IF(ISNA(VLOOKUP(A134,'Données projet'!$A$61:$I$81,6,0)),0%,VLOOKUP(A134,'Données projet'!$A$61:$I$81,6,0)*VLOOKUP('Données projet'!$B$10,Paramètres!$A$1:$I$88,7,0))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projet'!$B$9,Paramètres!$A$1:$I$88,3,0)*0.475*44/12</f>
        <v>0</v>
      </c>
      <c r="AV134" s="23">
        <f>EXP(-LN(2)/25)*AV133+(1-EXP(-LN(2)/25))/(LN(2)/25)*Calculateur!AQ134*Calculateur!AS134*VLOOKUP('Données projet'!$B$9,Paramètres!$A$1:$I$88,3,0)*0.475*44/12</f>
        <v>0</v>
      </c>
      <c r="AW134" s="23">
        <f>EXP(-LN(2)/2)*AW133+(1-EXP(-LN(2)/2))/(LN(2)/2)*AQ134*AT134*VLOOKUP('Données projet'!$B$9,Paramètres!$A$1:$I$88,3,0)*0.475*44/12</f>
        <v>0</v>
      </c>
      <c r="AX134" s="23">
        <f t="shared" si="116"/>
        <v>0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IF(A134&lt;'Données projet'!$A$88,$BA$205^A134,IF(A134='Données projet'!$A$88,'Données projet'!$B$88,BD133+BC134-BL133))</f>
        <v>1.1368683772161603E-13</v>
      </c>
      <c r="BE134" s="14">
        <f>BD134*VLOOKUP('Données projet'!$B$11,Paramètres!$A$1:$I$88,3,0)*VLOOKUP('Données projet'!$B$11,Paramètres!$A$1:$I$88,5,0)</f>
        <v>1.1527845344971866E-13</v>
      </c>
      <c r="BF134" s="14">
        <f t="shared" si="153"/>
        <v>1.7033846239409443E-12</v>
      </c>
      <c r="BG134" s="22">
        <f t="shared" si="117"/>
        <v>3.1675048597887374E-12</v>
      </c>
      <c r="BH134" s="62">
        <f t="shared" si="118"/>
        <v>279.25877007619056</v>
      </c>
      <c r="BI134" s="62">
        <f ca="1">AVERAGE(OFFSET($BH$3,0,0,'Données projet'!$E$11+1,1))-AVERAGE(OFFSET($H$3,0,0,'Données projet'!$E$11+1,1))</f>
        <v>447.82618173893104</v>
      </c>
      <c r="BJ134" s="62">
        <f t="shared" si="119"/>
        <v>248.96509970783379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projet'!$B$11,Paramètres!$A$1:$I$88,7,0))</f>
        <v>0</v>
      </c>
      <c r="BN134" s="17">
        <f>IF(ISNA(VLOOKUP(A134,'Données projet'!$A$87:$I$107,6,0)),0%,VLOOKUP(A134,'Données projet'!$A$87:$I$107,6,0)*VLOOKUP('Données projet'!$B$11,Paramètres!$A$1:$I$88,7,0))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projet'!$B$9,Paramètres!$A$1:$I$88,3,0)*0.475*44/12</f>
        <v>0</v>
      </c>
      <c r="BQ134" s="23">
        <f>EXP(-LN(2)/25)*BQ133+(1-EXP(-LN(2)/25))/(LN(2)/25)*Calculateur!BL134*Calculateur!BN134*VLOOKUP('Données projet'!$B$9,Paramètres!$A$1:$I$88,3,0)*0.475*44/12</f>
        <v>0</v>
      </c>
      <c r="BR134" s="23">
        <f>EXP(-LN(2)/2)*BR133+(1-EXP(-LN(2)/2))/(LN(2)/2)*BL134*BO134*VLOOKUP('Données projet'!$B$9,Paramètres!$A$1:$I$88,3,0)*0.475*44/12</f>
        <v>0</v>
      </c>
      <c r="BS134" s="24">
        <f t="shared" si="120"/>
        <v>0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IF(A134&lt;'Données projet'!$A$114,$BV$205^A134,IF(A134='Données projet'!$A$114,'Données projet'!$B$114,BY133+BX134-CG133))</f>
        <v>1.1368683772161603E-13</v>
      </c>
      <c r="BZ134" s="14">
        <f>BY134*VLOOKUP('Données projet'!$B$12,Paramètres!$A$1:$I$88,3,0)*VLOOKUP('Données projet'!$B$12,Paramètres!$A$1:$I$88,5,0)</f>
        <v>1.223725121235475E-13</v>
      </c>
      <c r="CA134" s="14">
        <f t="shared" si="154"/>
        <v>1.7956824466038182E-12</v>
      </c>
      <c r="CB134" s="22">
        <f t="shared" si="121"/>
        <v>3.3406123864501612E-12</v>
      </c>
      <c r="CC134" s="62">
        <f t="shared" si="122"/>
        <v>279.25877007619073</v>
      </c>
      <c r="CD134" s="62">
        <f ca="1">AVERAGE(OFFSET($CC$3,0,0,'Données projet'!$E$12+1,1))-AVERAGE(OFFSET($H$3,0,0,'Données projet'!$E$12+1,1))</f>
        <v>468.82871618425406</v>
      </c>
      <c r="CE134" s="62">
        <f t="shared" si="123"/>
        <v>259.37818128554397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projet'!$B$12,Paramètres!$A$1:$I$88,7,0))</f>
        <v>0</v>
      </c>
      <c r="CI134" s="17">
        <f>IF(ISNA(VLOOKUP(A134,'Données projet'!$A$113:$I$133,6,0)),0%,VLOOKUP(A134,'Données projet'!$A$113:$I$133,6,0)*VLOOKUP('Données projet'!$B$12,Paramètres!$A$1:$I$88,7,0))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projet'!$B$9,Paramètres!$A$1:$I$88,3,0)*0.475*44/12</f>
        <v>0</v>
      </c>
      <c r="CL134" s="23">
        <f>EXP(-LN(2)/25)*CL133+(1-EXP(-LN(2)/25))/(LN(2)/25)*Calculateur!CG134*Calculateur!CI134*VLOOKUP('Données projet'!$B$9,Paramètres!$A$1:$I$88,3,0)*0.475*44/12</f>
        <v>0</v>
      </c>
      <c r="CM134" s="23">
        <f>EXP(-LN(2)/2)*CM133+(1-EXP(-LN(2)/2))/(LN(2)/2)*CG134*CJ134*VLOOKUP('Données projet'!$B$9,Paramètres!$A$1:$I$88,3,0)*0.475*44/12</f>
        <v>0</v>
      </c>
      <c r="CN134" s="24">
        <f t="shared" si="124"/>
        <v>0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IF(A134&lt;'Données projet'!$A$140,$CQ$205^A134,IF(A134='Données projet'!$A$140,'Données projet'!$B$140,CT133+CS134-DB133))</f>
        <v>1.1368683772161603E-13</v>
      </c>
      <c r="CU134" s="18">
        <f>CT134*VLOOKUP('Données projet'!$B$13,Paramètres!$A$1:$I$88,3,0)*VLOOKUP('Données projet'!$B$13,Paramètres!$A$1:$I$88,5,0)</f>
        <v>9.7543306765146564E-14</v>
      </c>
      <c r="CV134" s="14">
        <f t="shared" si="155"/>
        <v>1.4696264278629426E-12</v>
      </c>
      <c r="CW134" s="22">
        <f t="shared" si="125"/>
        <v>2.7294872878105889E-12</v>
      </c>
      <c r="CX134" s="62">
        <f t="shared" si="126"/>
        <v>279.2587700761901</v>
      </c>
      <c r="CY134" s="62">
        <f ca="1">AVERAGE(OFFSET($CX$3,0,0,'Données projet'!$E$13+1,1))-AVERAGE(OFFSET($H$3,0,0,'Données projet'!$E$13+1,1))</f>
        <v>395.19659151668884</v>
      </c>
      <c r="CZ134" s="62">
        <f t="shared" si="127"/>
        <v>222.86563304507339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projet'!$B$13,Paramètres!$A$1:$I$88,7,0))</f>
        <v>0</v>
      </c>
      <c r="DD134" s="17">
        <f>IF(ISNA(VLOOKUP(A134,'Données projet'!$A$139:$I$159,6,0)),0%,VLOOKUP(A134,'Données projet'!$A$139:$I$159,6,0)*VLOOKUP('Données projet'!$B$13,Paramètres!$A$1:$I$88,7,0))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projet'!$B$9,Paramètres!$A$1:$I$88,3,0)*0.475*44/12</f>
        <v>0</v>
      </c>
      <c r="DG134" s="23">
        <f>EXP(-LN(2)/25)*DG133+(1-EXP(-LN(2)/25))/(LN(2)/25)*Calculateur!DB134*Calculateur!DD134*VLOOKUP('Données projet'!$B$9,Paramètres!$A$1:$I$88,3,0)*0.475*44/12</f>
        <v>0</v>
      </c>
      <c r="DH134" s="23">
        <f>EXP(-LN(2)/2)*DH133+(1-EXP(-LN(2)/2))/(LN(2)/2)*DB134*DE134*VLOOKUP('Données projet'!$B$9,Paramètres!$A$1:$I$88,3,0)*0.475*44/12</f>
        <v>0</v>
      </c>
      <c r="DI134" s="24">
        <f t="shared" si="128"/>
        <v>0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IF(A134&lt;'Données projet'!$A$166,$DL$205^A134,IF(A134='Données projet'!$A$166,'Données projet'!$B$166,DO133+DN134-DW133))</f>
        <v>-8.5265128291212022E-14</v>
      </c>
      <c r="DP134" s="18">
        <f>DO134*VLOOKUP('Données projet'!$B$14,Paramètres!$A$1:$I$88,3,0)*VLOOKUP('Données projet'!$B$14,Paramètres!$A$1:$I$88,5,0)</f>
        <v>-4.9880100050359036E-14</v>
      </c>
      <c r="DQ134" s="14" t="e">
        <f t="shared" si="156"/>
        <v>#NUM!</v>
      </c>
      <c r="DR134" s="22" t="e">
        <f t="shared" si="129"/>
        <v>#NUM!</v>
      </c>
      <c r="DS134" s="62" t="e">
        <f t="shared" si="130"/>
        <v>#NUM!</v>
      </c>
      <c r="DT134" s="62">
        <f ca="1">AVERAGE(OFFSET($DS$3,0,0,'Données projet'!$E$14+1,1))-AVERAGE(OFFSET($H$3,0,0,'Données projet'!$E$14+1,1))</f>
        <v>155.18073137151848</v>
      </c>
      <c r="DU134" s="62">
        <f t="shared" si="131"/>
        <v>115.19459155667272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projet'!$B$14,Paramètres!$A$1:$I$88,7,0))</f>
        <v>0</v>
      </c>
      <c r="DY134" s="17">
        <f>IF(ISNA(VLOOKUP(A134,'Données projet'!$A$165:$I$185,6,0)),0%,VLOOKUP(A134,'Données projet'!$A$165:$I$185,6,0)*VLOOKUP('Données projet'!$B$14,Paramètres!$A$1:$I$88,7,0))</f>
        <v>0</v>
      </c>
      <c r="DZ134" s="17">
        <f>IF(ISNA(VLOOKUP(A134,'Données projet'!$A$165:$I$185,7,0)),0%,VLOOKUP(A134,'Données projet'!$A$165:$I$185,7,0))</f>
        <v>0</v>
      </c>
      <c r="EA134" s="23">
        <f>EXP(-LN(2)/35)*EA133+(1-EXP(-LN(2)/35))/(LN(2)/35)*DW134*DX134*VLOOKUP('Données projet'!$B$9,Paramètres!$A$1:$I$88,3,0)*0.475*44/12</f>
        <v>0</v>
      </c>
      <c r="EB134" s="23">
        <f>EXP(-LN(2)/25)*EB133+(1-EXP(-LN(2)/25))/(LN(2)/25)*Calculateur!DW134*Calculateur!DY134*VLOOKUP('Données projet'!$B$9,Paramètres!$A$1:$I$88,3,0)*0.475*44/12</f>
        <v>0</v>
      </c>
      <c r="EC134" s="23">
        <f>EXP(-LN(2)/2)*EC133+(1-EXP(-LN(2)/2))/(LN(2)/2)*DW134*DZ134*VLOOKUP('Données projet'!$B$9,Paramètres!$A$1:$I$88,3,0)*0.475*44/12</f>
        <v>0</v>
      </c>
      <c r="ED134" s="24">
        <f t="shared" si="132"/>
        <v>0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IF(A134&lt;'Données projet'!$A$192,$EG$205^A134,IF(A134='Données projet'!$A$192,'Données projet'!$B$192,EJ133+EI134-ER133))</f>
        <v>-5.6843418860808015E-14</v>
      </c>
      <c r="EK134" s="18">
        <f>EJ134*VLOOKUP('Données projet'!$B$15,Paramètres!$A$1:$I$88,3,0)*VLOOKUP('Données projet'!$B$15,Paramètres!$A$1:$I$88,5,0)</f>
        <v>-2.6602720026858149E-14</v>
      </c>
      <c r="EL134" s="14" t="e">
        <f t="shared" si="157"/>
        <v>#NUM!</v>
      </c>
      <c r="EM134" s="22" t="e">
        <f t="shared" si="133"/>
        <v>#NUM!</v>
      </c>
      <c r="EN134" s="62" t="e">
        <f t="shared" si="134"/>
        <v>#NUM!</v>
      </c>
      <c r="EO134" s="62">
        <f ca="1">AVERAGE(OFFSET($EN$3,0,0,'Données projet'!$E$15+1,1))-AVERAGE(OFFSET($H$3,0,0,'Données projet'!$E$15+1,1))</f>
        <v>238.59014604384171</v>
      </c>
      <c r="EP134" s="62">
        <f t="shared" si="135"/>
        <v>90.841373219575217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projet'!$B$15,Paramètres!$A$1:$I$88,7,0))</f>
        <v>0</v>
      </c>
      <c r="ET134" s="17">
        <f>IF(ISNA(VLOOKUP(A134,'Données projet'!$A$191:$I$211,6,0)),0%,VLOOKUP(A134,'Données projet'!$A$191:$I$211,6,0)*VLOOKUP('Données projet'!$B$15,Paramètres!$A$1:$I$88,7,0))</f>
        <v>0</v>
      </c>
      <c r="EU134" s="17">
        <f>IF(ISNA(VLOOKUP(A134,'Données projet'!$A$191:$I$211,7,0)),0%,VLOOKUP(A134,'Données projet'!$A$191:$I$211,7,0))</f>
        <v>0</v>
      </c>
      <c r="EV134" s="23">
        <f>EXP(-LN(2)/35)*EV133+(1-EXP(-LN(2)/35))/(LN(2)/35)*ER134*ES134*VLOOKUP('Données projet'!$B$9,Paramètres!$A$1:$I$88,3,0)*0.475*44/12</f>
        <v>0</v>
      </c>
      <c r="EW134" s="23">
        <f>EXP(-LN(2)/25)*EW133+(1-EXP(-LN(2)/25))/(LN(2)/25)*Calculateur!ER134*Calculateur!ET134*VLOOKUP('Données projet'!$B$9,Paramètres!$A$1:$I$88,3,0)*0.475*44/12</f>
        <v>0</v>
      </c>
      <c r="EX134" s="23">
        <f>EXP(-LN(2)/2)*EX133+(1-EXP(-LN(2)/2))/(LN(2)/2)*ER134*EU134*VLOOKUP('Données projet'!$B$9,Paramètres!$A$1:$I$88,3,0)*0.475*44/12</f>
        <v>0</v>
      </c>
      <c r="EY134" s="24">
        <f t="shared" si="136"/>
        <v>0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IF(A134&lt;'Données projet'!$A$218,$FB$205^A134,IF(A134='Données projet'!$A$218,'Données projet'!$B$218,FE133+FD134-FM133))</f>
        <v>0</v>
      </c>
      <c r="FF134" s="18" t="e">
        <f>FE134*VLOOKUP('Données projet'!$B$16,Paramètres!$A$1:$I$88,3,0)*VLOOKUP('Données projet'!$B$16,Paramètres!$A$1:$I$88,5,0)</f>
        <v>#N/A</v>
      </c>
      <c r="FG134" s="14" t="e">
        <f t="shared" si="158"/>
        <v>#N/A</v>
      </c>
      <c r="FH134" s="22" t="e">
        <f t="shared" si="137"/>
        <v>#N/A</v>
      </c>
      <c r="FI134" s="62" t="e">
        <f t="shared" si="138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39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projet'!$B$16,Paramètres!$A$1:$I$88,7,0))</f>
        <v>0</v>
      </c>
      <c r="FO134" s="17">
        <f>IF(ISNA(VLOOKUP(A134,'Données projet'!$A$217:$I$237,6,0)),0%,VLOOKUP(A134,'Données projet'!$A$217:$I$237,6,0)*VLOOKUP('Données projet'!$B$16,Paramètres!$A$1:$I$88,7,0))</f>
        <v>0</v>
      </c>
      <c r="FP134" s="17">
        <f>IF(ISNA(VLOOKUP(A134,'Données projet'!$A$217:$I$237,7,0)),0%,VLOOKUP(A134,'Données projet'!$A$217:$I$237,7,0))</f>
        <v>0</v>
      </c>
      <c r="FQ134" s="23">
        <f>EXP(-LN(2)/35)*FQ133+(1-EXP(-LN(2)/35))/(LN(2)/35)*FM134*FN134*VLOOKUP('Données projet'!$B$9,Paramètres!$A$1:$I$88,3,0)*0.475*44/12</f>
        <v>0</v>
      </c>
      <c r="FR134" s="23">
        <f>EXP(-LN(2)/25)*FR133+(1-EXP(-LN(2)/25))/(LN(2)/25)*Calculateur!FM134*Calculateur!FO134*VLOOKUP('Données projet'!$B$9,Paramètres!$A$1:$I$88,3,0)*0.475*44/12</f>
        <v>0</v>
      </c>
      <c r="FS134" s="23">
        <f>EXP(-LN(2)/2)*FS133+(1-EXP(-LN(2)/2))/(LN(2)/2)*FM134*FP134*VLOOKUP('Données projet'!$B$9,Paramètres!$A$1:$I$88,3,0)*0.475*44/12</f>
        <v>0</v>
      </c>
      <c r="FT134" s="24">
        <f t="shared" si="140"/>
        <v>0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IF(A134&lt;'Données projet'!$A$244,$FW$205^A134,IF(A134='Données projet'!$A$244,'Données projet'!$B$244,FZ133+FY134-GH133))</f>
        <v>0</v>
      </c>
      <c r="GA134" s="18" t="e">
        <f>FZ134*VLOOKUP('Données projet'!$B$17,Paramètres!$A$1:$I$88,3,0)*VLOOKUP('Données projet'!$B$17,Paramètres!$A$1:$I$88,5,0)</f>
        <v>#N/A</v>
      </c>
      <c r="GB134" s="14" t="e">
        <f t="shared" si="159"/>
        <v>#N/A</v>
      </c>
      <c r="GC134" s="22" t="e">
        <f t="shared" si="141"/>
        <v>#N/A</v>
      </c>
      <c r="GD134" s="62" t="e">
        <f t="shared" si="142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43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projet'!$B$17,Paramètres!$A$1:$I$88,7,0))</f>
        <v>0</v>
      </c>
      <c r="GJ134" s="17">
        <f>IF(ISNA(VLOOKUP(A134,'Données projet'!$A$243:$I$263,6,0)),0%,VLOOKUP(A134,'Données projet'!$A$243:$I$263,6,0)*VLOOKUP('Données projet'!$B$17,Paramètres!$A$1:$I$88,7,0))</f>
        <v>0</v>
      </c>
      <c r="GK134" s="17">
        <f>IF(ISNA(VLOOKUP(A134,'Données projet'!$A$243:$I$263,7,0)),0%,VLOOKUP(A134,'Données projet'!$A$243:$I$263,7,0))</f>
        <v>0</v>
      </c>
      <c r="GL134" s="23">
        <f>EXP(-LN(2)/35)*GL133+(1-EXP(-LN(2)/35))/(LN(2)/35)*GH134*GI134*VLOOKUP('Données projet'!$B$9,Paramètres!$A$1:$I$88,3,0)*0.475*44/12</f>
        <v>0</v>
      </c>
      <c r="GM134" s="23">
        <f>EXP(-LN(2)/25)*GM133+(1-EXP(-LN(2)/25))/(LN(2)/25)*Calculateur!GH134*Calculateur!GJ134*VLOOKUP('Données projet'!$B$9,Paramètres!$A$1:$I$88,3,0)*0.475*44/12</f>
        <v>0</v>
      </c>
      <c r="GN134" s="23">
        <f>EXP(-LN(2)/2)*GN133+(1-EXP(-LN(2)/2))/(LN(2)/2)*GH134*GK134*VLOOKUP('Données projet'!$B$9,Paramètres!$A$1:$I$88,3,0)*0.475*44/12</f>
        <v>0</v>
      </c>
      <c r="GO134" s="23">
        <f t="shared" si="144"/>
        <v>0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IF(A134&lt;'Données projet'!$A$270,$GR$205^A134,IF(A134='Données projet'!$A$270,'Données projet'!$B$270,GU133+GT134-HC133))</f>
        <v>0</v>
      </c>
      <c r="GV134" s="18" t="e">
        <f>GU134*VLOOKUP('Données projet'!$B$18,Paramètres!$A$1:$I$88,3,0)*VLOOKUP('Données projet'!$B$18,Paramètres!$A$1:$I$88,5,0)</f>
        <v>#N/A</v>
      </c>
      <c r="GW134" s="14" t="e">
        <f t="shared" si="160"/>
        <v>#N/A</v>
      </c>
      <c r="GX134" s="22" t="e">
        <f t="shared" si="145"/>
        <v>#N/A</v>
      </c>
      <c r="GY134" s="62" t="e">
        <f t="shared" si="146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47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projet'!$B$18,Paramètres!$A$1:$I$88,7,0))</f>
        <v>0</v>
      </c>
      <c r="HE134" s="17">
        <f>IF(ISNA(VLOOKUP(A134,'Données projet'!$A$269:$I$289,6,0)),0%,VLOOKUP(A134,'Données projet'!$A$269:$I$289,6,0)*VLOOKUP('Données projet'!$B$18,Paramètres!$A$1:$I$88,7,0))</f>
        <v>0</v>
      </c>
      <c r="HF134" s="17">
        <f>IF(ISNA(VLOOKUP(A134,'Données projet'!$A$269:$I$289,7,0)),0%,VLOOKUP(A134,'Données projet'!$A$269:$I$289,7,0))</f>
        <v>0</v>
      </c>
      <c r="HG134" s="23">
        <f>EXP(-LN(2)/35)*HG133+(1-EXP(-LN(2)/35))/(LN(2)/35)*HC134*HD134*VLOOKUP('Données projet'!$B$9,Paramètres!$A$1:$I$88,3,0)*0.475*44/12</f>
        <v>0</v>
      </c>
      <c r="HH134" s="23">
        <f>EXP(-LN(2)/25)*HH133+(1-EXP(-LN(2)/25))/(LN(2)/25)*Calculateur!HC134*Calculateur!HE134*VLOOKUP('Données projet'!$B$9,Paramètres!$A$1:$I$88,3,0)*0.475*44/12</f>
        <v>0</v>
      </c>
      <c r="HI134" s="23">
        <f>EXP(-LN(2)/2)*HI133+(1-EXP(-LN(2)/2))/(LN(2)/2)*HC134*HF134*VLOOKUP('Données projet'!$B$9,Paramètres!$A$1:$I$88,3,0)*0.475*44/12</f>
        <v>0</v>
      </c>
      <c r="HJ134" s="24">
        <f t="shared" si="148"/>
        <v>0</v>
      </c>
    </row>
    <row r="135" spans="1:218" s="5" customFormat="1" x14ac:dyDescent="0.25">
      <c r="A135" s="11">
        <f t="shared" si="149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5" s="12">
        <f t="shared" si="15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111"/>
        <v>135.66666666666666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1.1879166666666663</v>
      </c>
      <c r="N135" s="14">
        <f>IF(A135&lt;'Données projet'!$A$36,$K$205^A135,IF(A135='Données projet'!$A$36,'Données projet'!$B$36,N134+M135-V134))</f>
        <v>117.90916666666665</v>
      </c>
      <c r="O135" s="14">
        <f>N135*VLOOKUP('Données projet'!$B$9,Paramètres!$A$1:$I$88,3,0)*VLOOKUP('Données projet'!$B$9,Paramètres!$A$1:$I$88,5,0)</f>
        <v>135.83135999999996</v>
      </c>
      <c r="P135" s="14">
        <f t="shared" si="151"/>
        <v>35.340355037002603</v>
      </c>
      <c r="Q135" s="22">
        <f t="shared" si="108"/>
        <v>298.12407035611278</v>
      </c>
      <c r="R135" s="62">
        <f t="shared" si="109"/>
        <v>577.6270026388022</v>
      </c>
      <c r="S135" s="62">
        <f ca="1">AVERAGE(OFFSET($R$3,0,0,'Données projet'!$E$9+1,1))-AVERAGE(OFFSET($H$3,0,0,'Données projet'!$E$9+1,1))</f>
        <v>314.72063458462026</v>
      </c>
      <c r="T135" s="62">
        <f t="shared" si="110"/>
        <v>216.4380325968244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projet'!$B$9,Paramètres!$A$1:$I$88,7,0))</f>
        <v>0</v>
      </c>
      <c r="X135" s="17">
        <f>IF(ISNA(VLOOKUP(A135,'Données projet'!$A$35:$I$55,6,0)),0%,VLOOKUP(A135,'Données projet'!$A$35:$I$55,6,0)*VLOOKUP('Données projet'!$B$9,Paramètres!$A$1:$I$88,7,0))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projet'!$B$9,Paramètres!$A$1:$I$88,3,0)*0.475*44/12</f>
        <v>0</v>
      </c>
      <c r="AA135" s="23">
        <f>EXP(-LN(2)/25)*AA134+(1-EXP(-LN(2)/25))/(LN(2)/25)*Calculateur!V135*Calculateur!X135*VLOOKUP('Données projet'!$B$9,Paramètres!$A$1:$I$88,3,0)*0.475*44/12</f>
        <v>0</v>
      </c>
      <c r="AB135" s="23">
        <f>EXP(-LN(2)/2)*AB134+(1-EXP(-LN(2)/2))/(LN(2)/2)*V135*Y135*VLOOKUP('Données projet'!$B$9,Paramètres!$A$1:$I$88,3,0)*0.475*44/12</f>
        <v>0</v>
      </c>
      <c r="AC135" s="24">
        <f t="shared" si="112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IF(A135&lt;'Données projet'!$A$62,$AF$205^A135,IF(A135='Données projet'!$A$62,'Données projet'!$B$62,AI134+AH135-AQ134))</f>
        <v>1.1368683772161603E-13</v>
      </c>
      <c r="AJ135" s="14">
        <f>AI135*VLOOKUP('Données projet'!$B$10,Paramètres!$A$1:$I$88,3,0)*VLOOKUP('Données projet'!$B$10,Paramètres!$A$1:$I$88,5,0)</f>
        <v>1.1882548278663309E-13</v>
      </c>
      <c r="AK135" s="14">
        <f t="shared" si="152"/>
        <v>1.7496137229198366E-12</v>
      </c>
      <c r="AL135" s="22">
        <f t="shared" si="113"/>
        <v>3.2541982832721012E-12</v>
      </c>
      <c r="AM135" s="62">
        <f t="shared" si="114"/>
        <v>279.50293228269265</v>
      </c>
      <c r="AN135" s="62">
        <f ca="1">AVERAGE(OFFSET($AM$3,0,0,'Données projet'!$E$10+1,1))-AVERAGE(OFFSET($H$3,0,0,'Données projet'!$E$10+1,1))</f>
        <v>458.33072853676879</v>
      </c>
      <c r="AO135" s="62">
        <f t="shared" si="115"/>
        <v>254.1734169352687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projet'!$B$10,Paramètres!$A$1:$I$88,7,0))</f>
        <v>0</v>
      </c>
      <c r="AS135" s="17">
        <f>IF(ISNA(VLOOKUP(A135,'Données projet'!$A$61:$I$81,6,0)),0%,VLOOKUP(A135,'Données projet'!$A$61:$I$81,6,0)*VLOOKUP('Données projet'!$B$10,Paramètres!$A$1:$I$88,7,0))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projet'!$B$9,Paramètres!$A$1:$I$88,3,0)*0.475*44/12</f>
        <v>0</v>
      </c>
      <c r="AV135" s="23">
        <f>EXP(-LN(2)/25)*AV134+(1-EXP(-LN(2)/25))/(LN(2)/25)*Calculateur!AQ135*Calculateur!AS135*VLOOKUP('Données projet'!$B$9,Paramètres!$A$1:$I$88,3,0)*0.475*44/12</f>
        <v>0</v>
      </c>
      <c r="AW135" s="23">
        <f>EXP(-LN(2)/2)*AW134+(1-EXP(-LN(2)/2))/(LN(2)/2)*AQ135*AT135*VLOOKUP('Données projet'!$B$9,Paramètres!$A$1:$I$88,3,0)*0.475*44/12</f>
        <v>0</v>
      </c>
      <c r="AX135" s="23">
        <f t="shared" si="116"/>
        <v>0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IF(A135&lt;'Données projet'!$A$88,$BA$205^A135,IF(A135='Données projet'!$A$88,'Données projet'!$B$88,BD134+BC135-BL134))</f>
        <v>1.1368683772161603E-13</v>
      </c>
      <c r="BE135" s="14">
        <f>BD135*VLOOKUP('Données projet'!$B$11,Paramètres!$A$1:$I$88,3,0)*VLOOKUP('Données projet'!$B$11,Paramètres!$A$1:$I$88,5,0)</f>
        <v>1.1527845344971866E-13</v>
      </c>
      <c r="BF135" s="14">
        <f t="shared" si="153"/>
        <v>1.7033846239409443E-12</v>
      </c>
      <c r="BG135" s="22">
        <f t="shared" si="117"/>
        <v>3.1675048597887374E-12</v>
      </c>
      <c r="BH135" s="62">
        <f t="shared" si="118"/>
        <v>279.5029322826926</v>
      </c>
      <c r="BI135" s="62">
        <f ca="1">AVERAGE(OFFSET($BH$3,0,0,'Données projet'!$E$11+1,1))-AVERAGE(OFFSET($H$3,0,0,'Données projet'!$E$11+1,1))</f>
        <v>447.82618173893104</v>
      </c>
      <c r="BJ135" s="62">
        <f t="shared" si="119"/>
        <v>248.96509970783379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projet'!$B$11,Paramètres!$A$1:$I$88,7,0))</f>
        <v>0</v>
      </c>
      <c r="BN135" s="17">
        <f>IF(ISNA(VLOOKUP(A135,'Données projet'!$A$87:$I$107,6,0)),0%,VLOOKUP(A135,'Données projet'!$A$87:$I$107,6,0)*VLOOKUP('Données projet'!$B$11,Paramètres!$A$1:$I$88,7,0))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projet'!$B$9,Paramètres!$A$1:$I$88,3,0)*0.475*44/12</f>
        <v>0</v>
      </c>
      <c r="BQ135" s="23">
        <f>EXP(-LN(2)/25)*BQ134+(1-EXP(-LN(2)/25))/(LN(2)/25)*Calculateur!BL135*Calculateur!BN135*VLOOKUP('Données projet'!$B$9,Paramètres!$A$1:$I$88,3,0)*0.475*44/12</f>
        <v>0</v>
      </c>
      <c r="BR135" s="23">
        <f>EXP(-LN(2)/2)*BR134+(1-EXP(-LN(2)/2))/(LN(2)/2)*BL135*BO135*VLOOKUP('Données projet'!$B$9,Paramètres!$A$1:$I$88,3,0)*0.475*44/12</f>
        <v>0</v>
      </c>
      <c r="BS135" s="24">
        <f t="shared" si="120"/>
        <v>0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IF(A135&lt;'Données projet'!$A$114,$BV$205^A135,IF(A135='Données projet'!$A$114,'Données projet'!$B$114,BY134+BX135-CG134))</f>
        <v>1.1368683772161603E-13</v>
      </c>
      <c r="BZ135" s="14">
        <f>BY135*VLOOKUP('Données projet'!$B$12,Paramètres!$A$1:$I$88,3,0)*VLOOKUP('Données projet'!$B$12,Paramètres!$A$1:$I$88,5,0)</f>
        <v>1.223725121235475E-13</v>
      </c>
      <c r="CA135" s="14">
        <f t="shared" si="154"/>
        <v>1.7956824466038182E-12</v>
      </c>
      <c r="CB135" s="22">
        <f t="shared" si="121"/>
        <v>3.3406123864501612E-12</v>
      </c>
      <c r="CC135" s="62">
        <f t="shared" si="122"/>
        <v>279.50293228269277</v>
      </c>
      <c r="CD135" s="62">
        <f ca="1">AVERAGE(OFFSET($CC$3,0,0,'Données projet'!$E$12+1,1))-AVERAGE(OFFSET($H$3,0,0,'Données projet'!$E$12+1,1))</f>
        <v>468.82871618425406</v>
      </c>
      <c r="CE135" s="62">
        <f t="shared" si="123"/>
        <v>259.37818128554397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projet'!$B$12,Paramètres!$A$1:$I$88,7,0))</f>
        <v>0</v>
      </c>
      <c r="CI135" s="17">
        <f>IF(ISNA(VLOOKUP(A135,'Données projet'!$A$113:$I$133,6,0)),0%,VLOOKUP(A135,'Données projet'!$A$113:$I$133,6,0)*VLOOKUP('Données projet'!$B$12,Paramètres!$A$1:$I$88,7,0))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projet'!$B$9,Paramètres!$A$1:$I$88,3,0)*0.475*44/12</f>
        <v>0</v>
      </c>
      <c r="CL135" s="23">
        <f>EXP(-LN(2)/25)*CL134+(1-EXP(-LN(2)/25))/(LN(2)/25)*Calculateur!CG135*Calculateur!CI135*VLOOKUP('Données projet'!$B$9,Paramètres!$A$1:$I$88,3,0)*0.475*44/12</f>
        <v>0</v>
      </c>
      <c r="CM135" s="23">
        <f>EXP(-LN(2)/2)*CM134+(1-EXP(-LN(2)/2))/(LN(2)/2)*CG135*CJ135*VLOOKUP('Données projet'!$B$9,Paramètres!$A$1:$I$88,3,0)*0.475*44/12</f>
        <v>0</v>
      </c>
      <c r="CN135" s="24">
        <f t="shared" si="124"/>
        <v>0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IF(A135&lt;'Données projet'!$A$140,$CQ$205^A135,IF(A135='Données projet'!$A$140,'Données projet'!$B$140,CT134+CS135-DB134))</f>
        <v>1.1368683772161603E-13</v>
      </c>
      <c r="CU135" s="18">
        <f>CT135*VLOOKUP('Données projet'!$B$13,Paramètres!$A$1:$I$88,3,0)*VLOOKUP('Données projet'!$B$13,Paramètres!$A$1:$I$88,5,0)</f>
        <v>9.7543306765146564E-14</v>
      </c>
      <c r="CV135" s="14">
        <f t="shared" si="155"/>
        <v>1.4696264278629426E-12</v>
      </c>
      <c r="CW135" s="22">
        <f t="shared" si="125"/>
        <v>2.7294872878105889E-12</v>
      </c>
      <c r="CX135" s="62">
        <f t="shared" si="126"/>
        <v>279.50293228269214</v>
      </c>
      <c r="CY135" s="62">
        <f ca="1">AVERAGE(OFFSET($CX$3,0,0,'Données projet'!$E$13+1,1))-AVERAGE(OFFSET($H$3,0,0,'Données projet'!$E$13+1,1))</f>
        <v>395.19659151668884</v>
      </c>
      <c r="CZ135" s="62">
        <f t="shared" si="127"/>
        <v>222.86563304507339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projet'!$B$13,Paramètres!$A$1:$I$88,7,0))</f>
        <v>0</v>
      </c>
      <c r="DD135" s="17">
        <f>IF(ISNA(VLOOKUP(A135,'Données projet'!$A$139:$I$159,6,0)),0%,VLOOKUP(A135,'Données projet'!$A$139:$I$159,6,0)*VLOOKUP('Données projet'!$B$13,Paramètres!$A$1:$I$88,7,0))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projet'!$B$9,Paramètres!$A$1:$I$88,3,0)*0.475*44/12</f>
        <v>0</v>
      </c>
      <c r="DG135" s="23">
        <f>EXP(-LN(2)/25)*DG134+(1-EXP(-LN(2)/25))/(LN(2)/25)*Calculateur!DB135*Calculateur!DD135*VLOOKUP('Données projet'!$B$9,Paramètres!$A$1:$I$88,3,0)*0.475*44/12</f>
        <v>0</v>
      </c>
      <c r="DH135" s="23">
        <f>EXP(-LN(2)/2)*DH134+(1-EXP(-LN(2)/2))/(LN(2)/2)*DB135*DE135*VLOOKUP('Données projet'!$B$9,Paramètres!$A$1:$I$88,3,0)*0.475*44/12</f>
        <v>0</v>
      </c>
      <c r="DI135" s="24">
        <f t="shared" si="128"/>
        <v>0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IF(A135&lt;'Données projet'!$A$166,$DL$205^A135,IF(A135='Données projet'!$A$166,'Données projet'!$B$166,DO134+DN135-DW134))</f>
        <v>-8.5265128291212022E-14</v>
      </c>
      <c r="DP135" s="18">
        <f>DO135*VLOOKUP('Données projet'!$B$14,Paramètres!$A$1:$I$88,3,0)*VLOOKUP('Données projet'!$B$14,Paramètres!$A$1:$I$88,5,0)</f>
        <v>-4.9880100050359036E-14</v>
      </c>
      <c r="DQ135" s="14" t="e">
        <f t="shared" si="156"/>
        <v>#NUM!</v>
      </c>
      <c r="DR135" s="22" t="e">
        <f t="shared" si="129"/>
        <v>#NUM!</v>
      </c>
      <c r="DS135" s="62" t="e">
        <f t="shared" si="130"/>
        <v>#NUM!</v>
      </c>
      <c r="DT135" s="62">
        <f ca="1">AVERAGE(OFFSET($DS$3,0,0,'Données projet'!$E$14+1,1))-AVERAGE(OFFSET($H$3,0,0,'Données projet'!$E$14+1,1))</f>
        <v>155.18073137151848</v>
      </c>
      <c r="DU135" s="62">
        <f t="shared" si="131"/>
        <v>115.19459155667272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projet'!$B$14,Paramètres!$A$1:$I$88,7,0))</f>
        <v>0</v>
      </c>
      <c r="DY135" s="17">
        <f>IF(ISNA(VLOOKUP(A135,'Données projet'!$A$165:$I$185,6,0)),0%,VLOOKUP(A135,'Données projet'!$A$165:$I$185,6,0)*VLOOKUP('Données projet'!$B$14,Paramètres!$A$1:$I$88,7,0))</f>
        <v>0</v>
      </c>
      <c r="DZ135" s="17">
        <f>IF(ISNA(VLOOKUP(A135,'Données projet'!$A$165:$I$185,7,0)),0%,VLOOKUP(A135,'Données projet'!$A$165:$I$185,7,0))</f>
        <v>0</v>
      </c>
      <c r="EA135" s="23">
        <f>EXP(-LN(2)/35)*EA134+(1-EXP(-LN(2)/35))/(LN(2)/35)*DW135*DX135*VLOOKUP('Données projet'!$B$9,Paramètres!$A$1:$I$88,3,0)*0.475*44/12</f>
        <v>0</v>
      </c>
      <c r="EB135" s="23">
        <f>EXP(-LN(2)/25)*EB134+(1-EXP(-LN(2)/25))/(LN(2)/25)*Calculateur!DW135*Calculateur!DY135*VLOOKUP('Données projet'!$B$9,Paramètres!$A$1:$I$88,3,0)*0.475*44/12</f>
        <v>0</v>
      </c>
      <c r="EC135" s="23">
        <f>EXP(-LN(2)/2)*EC134+(1-EXP(-LN(2)/2))/(LN(2)/2)*DW135*DZ135*VLOOKUP('Données projet'!$B$9,Paramètres!$A$1:$I$88,3,0)*0.475*44/12</f>
        <v>0</v>
      </c>
      <c r="ED135" s="24">
        <f t="shared" si="132"/>
        <v>0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IF(A135&lt;'Données projet'!$A$192,$EG$205^A135,IF(A135='Données projet'!$A$192,'Données projet'!$B$192,EJ134+EI135-ER134))</f>
        <v>-5.6843418860808015E-14</v>
      </c>
      <c r="EK135" s="18">
        <f>EJ135*VLOOKUP('Données projet'!$B$15,Paramètres!$A$1:$I$88,3,0)*VLOOKUP('Données projet'!$B$15,Paramètres!$A$1:$I$88,5,0)</f>
        <v>-2.6602720026858149E-14</v>
      </c>
      <c r="EL135" s="14" t="e">
        <f t="shared" si="157"/>
        <v>#NUM!</v>
      </c>
      <c r="EM135" s="22" t="e">
        <f t="shared" si="133"/>
        <v>#NUM!</v>
      </c>
      <c r="EN135" s="62" t="e">
        <f t="shared" si="134"/>
        <v>#NUM!</v>
      </c>
      <c r="EO135" s="62">
        <f ca="1">AVERAGE(OFFSET($EN$3,0,0,'Données projet'!$E$15+1,1))-AVERAGE(OFFSET($H$3,0,0,'Données projet'!$E$15+1,1))</f>
        <v>238.59014604384171</v>
      </c>
      <c r="EP135" s="62">
        <f t="shared" si="135"/>
        <v>90.841373219575217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projet'!$B$15,Paramètres!$A$1:$I$88,7,0))</f>
        <v>0</v>
      </c>
      <c r="ET135" s="17">
        <f>IF(ISNA(VLOOKUP(A135,'Données projet'!$A$191:$I$211,6,0)),0%,VLOOKUP(A135,'Données projet'!$A$191:$I$211,6,0)*VLOOKUP('Données projet'!$B$15,Paramètres!$A$1:$I$88,7,0))</f>
        <v>0</v>
      </c>
      <c r="EU135" s="17">
        <f>IF(ISNA(VLOOKUP(A135,'Données projet'!$A$191:$I$211,7,0)),0%,VLOOKUP(A135,'Données projet'!$A$191:$I$211,7,0))</f>
        <v>0</v>
      </c>
      <c r="EV135" s="23">
        <f>EXP(-LN(2)/35)*EV134+(1-EXP(-LN(2)/35))/(LN(2)/35)*ER135*ES135*VLOOKUP('Données projet'!$B$9,Paramètres!$A$1:$I$88,3,0)*0.475*44/12</f>
        <v>0</v>
      </c>
      <c r="EW135" s="23">
        <f>EXP(-LN(2)/25)*EW134+(1-EXP(-LN(2)/25))/(LN(2)/25)*Calculateur!ER135*Calculateur!ET135*VLOOKUP('Données projet'!$B$9,Paramètres!$A$1:$I$88,3,0)*0.475*44/12</f>
        <v>0</v>
      </c>
      <c r="EX135" s="23">
        <f>EXP(-LN(2)/2)*EX134+(1-EXP(-LN(2)/2))/(LN(2)/2)*ER135*EU135*VLOOKUP('Données projet'!$B$9,Paramètres!$A$1:$I$88,3,0)*0.475*44/12</f>
        <v>0</v>
      </c>
      <c r="EY135" s="24">
        <f t="shared" si="136"/>
        <v>0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IF(A135&lt;'Données projet'!$A$218,$FB$205^A135,IF(A135='Données projet'!$A$218,'Données projet'!$B$218,FE134+FD135-FM134))</f>
        <v>0</v>
      </c>
      <c r="FF135" s="18" t="e">
        <f>FE135*VLOOKUP('Données projet'!$B$16,Paramètres!$A$1:$I$88,3,0)*VLOOKUP('Données projet'!$B$16,Paramètres!$A$1:$I$88,5,0)</f>
        <v>#N/A</v>
      </c>
      <c r="FG135" s="14" t="e">
        <f t="shared" si="158"/>
        <v>#N/A</v>
      </c>
      <c r="FH135" s="22" t="e">
        <f t="shared" si="137"/>
        <v>#N/A</v>
      </c>
      <c r="FI135" s="62" t="e">
        <f t="shared" si="138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39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projet'!$B$16,Paramètres!$A$1:$I$88,7,0))</f>
        <v>0</v>
      </c>
      <c r="FO135" s="17">
        <f>IF(ISNA(VLOOKUP(A135,'Données projet'!$A$217:$I$237,6,0)),0%,VLOOKUP(A135,'Données projet'!$A$217:$I$237,6,0)*VLOOKUP('Données projet'!$B$16,Paramètres!$A$1:$I$88,7,0))</f>
        <v>0</v>
      </c>
      <c r="FP135" s="17">
        <f>IF(ISNA(VLOOKUP(A135,'Données projet'!$A$217:$I$237,7,0)),0%,VLOOKUP(A135,'Données projet'!$A$217:$I$237,7,0))</f>
        <v>0</v>
      </c>
      <c r="FQ135" s="23">
        <f>EXP(-LN(2)/35)*FQ134+(1-EXP(-LN(2)/35))/(LN(2)/35)*FM135*FN135*VLOOKUP('Données projet'!$B$9,Paramètres!$A$1:$I$88,3,0)*0.475*44/12</f>
        <v>0</v>
      </c>
      <c r="FR135" s="23">
        <f>EXP(-LN(2)/25)*FR134+(1-EXP(-LN(2)/25))/(LN(2)/25)*Calculateur!FM135*Calculateur!FO135*VLOOKUP('Données projet'!$B$9,Paramètres!$A$1:$I$88,3,0)*0.475*44/12</f>
        <v>0</v>
      </c>
      <c r="FS135" s="23">
        <f>EXP(-LN(2)/2)*FS134+(1-EXP(-LN(2)/2))/(LN(2)/2)*FM135*FP135*VLOOKUP('Données projet'!$B$9,Paramètres!$A$1:$I$88,3,0)*0.475*44/12</f>
        <v>0</v>
      </c>
      <c r="FT135" s="24">
        <f t="shared" si="140"/>
        <v>0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IF(A135&lt;'Données projet'!$A$244,$FW$205^A135,IF(A135='Données projet'!$A$244,'Données projet'!$B$244,FZ134+FY135-GH134))</f>
        <v>0</v>
      </c>
      <c r="GA135" s="18" t="e">
        <f>FZ135*VLOOKUP('Données projet'!$B$17,Paramètres!$A$1:$I$88,3,0)*VLOOKUP('Données projet'!$B$17,Paramètres!$A$1:$I$88,5,0)</f>
        <v>#N/A</v>
      </c>
      <c r="GB135" s="14" t="e">
        <f t="shared" si="159"/>
        <v>#N/A</v>
      </c>
      <c r="GC135" s="22" t="e">
        <f t="shared" si="141"/>
        <v>#N/A</v>
      </c>
      <c r="GD135" s="62" t="e">
        <f t="shared" si="142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43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projet'!$B$17,Paramètres!$A$1:$I$88,7,0))</f>
        <v>0</v>
      </c>
      <c r="GJ135" s="17">
        <f>IF(ISNA(VLOOKUP(A135,'Données projet'!$A$243:$I$263,6,0)),0%,VLOOKUP(A135,'Données projet'!$A$243:$I$263,6,0)*VLOOKUP('Données projet'!$B$17,Paramètres!$A$1:$I$88,7,0))</f>
        <v>0</v>
      </c>
      <c r="GK135" s="17">
        <f>IF(ISNA(VLOOKUP(A135,'Données projet'!$A$243:$I$263,7,0)),0%,VLOOKUP(A135,'Données projet'!$A$243:$I$263,7,0))</f>
        <v>0</v>
      </c>
      <c r="GL135" s="23">
        <f>EXP(-LN(2)/35)*GL134+(1-EXP(-LN(2)/35))/(LN(2)/35)*GH135*GI135*VLOOKUP('Données projet'!$B$9,Paramètres!$A$1:$I$88,3,0)*0.475*44/12</f>
        <v>0</v>
      </c>
      <c r="GM135" s="23">
        <f>EXP(-LN(2)/25)*GM134+(1-EXP(-LN(2)/25))/(LN(2)/25)*Calculateur!GH135*Calculateur!GJ135*VLOOKUP('Données projet'!$B$9,Paramètres!$A$1:$I$88,3,0)*0.475*44/12</f>
        <v>0</v>
      </c>
      <c r="GN135" s="23">
        <f>EXP(-LN(2)/2)*GN134+(1-EXP(-LN(2)/2))/(LN(2)/2)*GH135*GK135*VLOOKUP('Données projet'!$B$9,Paramètres!$A$1:$I$88,3,0)*0.475*44/12</f>
        <v>0</v>
      </c>
      <c r="GO135" s="23">
        <f t="shared" si="144"/>
        <v>0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IF(A135&lt;'Données projet'!$A$270,$GR$205^A135,IF(A135='Données projet'!$A$270,'Données projet'!$B$270,GU134+GT135-HC134))</f>
        <v>0</v>
      </c>
      <c r="GV135" s="18" t="e">
        <f>GU135*VLOOKUP('Données projet'!$B$18,Paramètres!$A$1:$I$88,3,0)*VLOOKUP('Données projet'!$B$18,Paramètres!$A$1:$I$88,5,0)</f>
        <v>#N/A</v>
      </c>
      <c r="GW135" s="14" t="e">
        <f t="shared" si="160"/>
        <v>#N/A</v>
      </c>
      <c r="GX135" s="22" t="e">
        <f t="shared" si="145"/>
        <v>#N/A</v>
      </c>
      <c r="GY135" s="62" t="e">
        <f t="shared" si="146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47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projet'!$B$18,Paramètres!$A$1:$I$88,7,0))</f>
        <v>0</v>
      </c>
      <c r="HE135" s="17">
        <f>IF(ISNA(VLOOKUP(A135,'Données projet'!$A$269:$I$289,6,0)),0%,VLOOKUP(A135,'Données projet'!$A$269:$I$289,6,0)*VLOOKUP('Données projet'!$B$18,Paramètres!$A$1:$I$88,7,0))</f>
        <v>0</v>
      </c>
      <c r="HF135" s="17">
        <f>IF(ISNA(VLOOKUP(A135,'Données projet'!$A$269:$I$289,7,0)),0%,VLOOKUP(A135,'Données projet'!$A$269:$I$289,7,0))</f>
        <v>0</v>
      </c>
      <c r="HG135" s="23">
        <f>EXP(-LN(2)/35)*HG134+(1-EXP(-LN(2)/35))/(LN(2)/35)*HC135*HD135*VLOOKUP('Données projet'!$B$9,Paramètres!$A$1:$I$88,3,0)*0.475*44/12</f>
        <v>0</v>
      </c>
      <c r="HH135" s="23">
        <f>EXP(-LN(2)/25)*HH134+(1-EXP(-LN(2)/25))/(LN(2)/25)*Calculateur!HC135*Calculateur!HE135*VLOOKUP('Données projet'!$B$9,Paramètres!$A$1:$I$88,3,0)*0.475*44/12</f>
        <v>0</v>
      </c>
      <c r="HI135" s="23">
        <f>EXP(-LN(2)/2)*HI134+(1-EXP(-LN(2)/2))/(LN(2)/2)*HC135*HF135*VLOOKUP('Données projet'!$B$9,Paramètres!$A$1:$I$88,3,0)*0.475*44/12</f>
        <v>0</v>
      </c>
      <c r="HJ135" s="24">
        <f t="shared" si="148"/>
        <v>0</v>
      </c>
    </row>
    <row r="136" spans="1:218" s="5" customFormat="1" x14ac:dyDescent="0.25">
      <c r="A136" s="11">
        <f t="shared" si="149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6" s="12">
        <f t="shared" si="15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111"/>
        <v>135.66666666666666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1.1879166666666663</v>
      </c>
      <c r="N136" s="14">
        <f>IF(A136&lt;'Données projet'!$A$36,$K$205^A136,IF(A136='Données projet'!$A$36,'Données projet'!$B$36,N135+M136-V135))</f>
        <v>119.09708333333332</v>
      </c>
      <c r="O136" s="14">
        <f>N136*VLOOKUP('Données projet'!$B$9,Paramètres!$A$1:$I$88,3,0)*VLOOKUP('Données projet'!$B$9,Paramètres!$A$1:$I$88,5,0)</f>
        <v>137.19983999999997</v>
      </c>
      <c r="P136" s="14">
        <f t="shared" si="151"/>
        <v>35.65477582037844</v>
      </c>
      <c r="Q136" s="22">
        <f t="shared" si="108"/>
        <v>301.0551225538257</v>
      </c>
      <c r="R136" s="62">
        <f t="shared" si="109"/>
        <v>580.7979813745992</v>
      </c>
      <c r="S136" s="62">
        <f ca="1">AVERAGE(OFFSET($R$3,0,0,'Données projet'!$E$9+1,1))-AVERAGE(OFFSET($H$3,0,0,'Données projet'!$E$9+1,1))</f>
        <v>314.72063458462026</v>
      </c>
      <c r="T136" s="62">
        <f t="shared" si="110"/>
        <v>216.4380325968244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projet'!$B$9,Paramètres!$A$1:$I$88,7,0))</f>
        <v>0</v>
      </c>
      <c r="X136" s="17">
        <f>IF(ISNA(VLOOKUP(A136,'Données projet'!$A$35:$I$55,6,0)),0%,VLOOKUP(A136,'Données projet'!$A$35:$I$55,6,0)*VLOOKUP('Données projet'!$B$9,Paramètres!$A$1:$I$88,7,0))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projet'!$B$9,Paramètres!$A$1:$I$88,3,0)*0.475*44/12</f>
        <v>0</v>
      </c>
      <c r="AA136" s="23">
        <f>EXP(-LN(2)/25)*AA135+(1-EXP(-LN(2)/25))/(LN(2)/25)*Calculateur!V136*Calculateur!X136*VLOOKUP('Données projet'!$B$9,Paramètres!$A$1:$I$88,3,0)*0.475*44/12</f>
        <v>0</v>
      </c>
      <c r="AB136" s="23">
        <f>EXP(-LN(2)/2)*AB135+(1-EXP(-LN(2)/2))/(LN(2)/2)*V136*Y136*VLOOKUP('Données projet'!$B$9,Paramètres!$A$1:$I$88,3,0)*0.475*44/12</f>
        <v>0</v>
      </c>
      <c r="AC136" s="24">
        <f t="shared" si="112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IF(A136&lt;'Données projet'!$A$62,$AF$205^A136,IF(A136='Données projet'!$A$62,'Données projet'!$B$62,AI135+AH136-AQ135))</f>
        <v>1.1368683772161603E-13</v>
      </c>
      <c r="AJ136" s="14">
        <f>AI136*VLOOKUP('Données projet'!$B$10,Paramètres!$A$1:$I$88,3,0)*VLOOKUP('Données projet'!$B$10,Paramètres!$A$1:$I$88,5,0)</f>
        <v>1.1882548278663309E-13</v>
      </c>
      <c r="AK136" s="14">
        <f t="shared" si="152"/>
        <v>1.7496137229198366E-12</v>
      </c>
      <c r="AL136" s="22">
        <f t="shared" si="113"/>
        <v>3.2541982832721012E-12</v>
      </c>
      <c r="AM136" s="62">
        <f t="shared" si="114"/>
        <v>279.74285882077675</v>
      </c>
      <c r="AN136" s="62">
        <f ca="1">AVERAGE(OFFSET($AM$3,0,0,'Données projet'!$E$10+1,1))-AVERAGE(OFFSET($H$3,0,0,'Données projet'!$E$10+1,1))</f>
        <v>458.33072853676879</v>
      </c>
      <c r="AO136" s="62">
        <f t="shared" si="115"/>
        <v>254.1734169352687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projet'!$B$10,Paramètres!$A$1:$I$88,7,0))</f>
        <v>0</v>
      </c>
      <c r="AS136" s="17">
        <f>IF(ISNA(VLOOKUP(A136,'Données projet'!$A$61:$I$81,6,0)),0%,VLOOKUP(A136,'Données projet'!$A$61:$I$81,6,0)*VLOOKUP('Données projet'!$B$10,Paramètres!$A$1:$I$88,7,0))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projet'!$B$9,Paramètres!$A$1:$I$88,3,0)*0.475*44/12</f>
        <v>0</v>
      </c>
      <c r="AV136" s="23">
        <f>EXP(-LN(2)/25)*AV135+(1-EXP(-LN(2)/25))/(LN(2)/25)*Calculateur!AQ136*Calculateur!AS136*VLOOKUP('Données projet'!$B$9,Paramètres!$A$1:$I$88,3,0)*0.475*44/12</f>
        <v>0</v>
      </c>
      <c r="AW136" s="23">
        <f>EXP(-LN(2)/2)*AW135+(1-EXP(-LN(2)/2))/(LN(2)/2)*AQ136*AT136*VLOOKUP('Données projet'!$B$9,Paramètres!$A$1:$I$88,3,0)*0.475*44/12</f>
        <v>0</v>
      </c>
      <c r="AX136" s="23">
        <f t="shared" si="116"/>
        <v>0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IF(A136&lt;'Données projet'!$A$88,$BA$205^A136,IF(A136='Données projet'!$A$88,'Données projet'!$B$88,BD135+BC136-BL135))</f>
        <v>1.1368683772161603E-13</v>
      </c>
      <c r="BE136" s="14">
        <f>BD136*VLOOKUP('Données projet'!$B$11,Paramètres!$A$1:$I$88,3,0)*VLOOKUP('Données projet'!$B$11,Paramètres!$A$1:$I$88,5,0)</f>
        <v>1.1527845344971866E-13</v>
      </c>
      <c r="BF136" s="14">
        <f t="shared" si="153"/>
        <v>1.7033846239409443E-12</v>
      </c>
      <c r="BG136" s="22">
        <f t="shared" si="117"/>
        <v>3.1675048597887374E-12</v>
      </c>
      <c r="BH136" s="62">
        <f t="shared" si="118"/>
        <v>279.74285882077669</v>
      </c>
      <c r="BI136" s="62">
        <f ca="1">AVERAGE(OFFSET($BH$3,0,0,'Données projet'!$E$11+1,1))-AVERAGE(OFFSET($H$3,0,0,'Données projet'!$E$11+1,1))</f>
        <v>447.82618173893104</v>
      </c>
      <c r="BJ136" s="62">
        <f t="shared" si="119"/>
        <v>248.96509970783379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projet'!$B$11,Paramètres!$A$1:$I$88,7,0))</f>
        <v>0</v>
      </c>
      <c r="BN136" s="17">
        <f>IF(ISNA(VLOOKUP(A136,'Données projet'!$A$87:$I$107,6,0)),0%,VLOOKUP(A136,'Données projet'!$A$87:$I$107,6,0)*VLOOKUP('Données projet'!$B$11,Paramètres!$A$1:$I$88,7,0))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projet'!$B$9,Paramètres!$A$1:$I$88,3,0)*0.475*44/12</f>
        <v>0</v>
      </c>
      <c r="BQ136" s="23">
        <f>EXP(-LN(2)/25)*BQ135+(1-EXP(-LN(2)/25))/(LN(2)/25)*Calculateur!BL136*Calculateur!BN136*VLOOKUP('Données projet'!$B$9,Paramètres!$A$1:$I$88,3,0)*0.475*44/12</f>
        <v>0</v>
      </c>
      <c r="BR136" s="23">
        <f>EXP(-LN(2)/2)*BR135+(1-EXP(-LN(2)/2))/(LN(2)/2)*BL136*BO136*VLOOKUP('Données projet'!$B$9,Paramètres!$A$1:$I$88,3,0)*0.475*44/12</f>
        <v>0</v>
      </c>
      <c r="BS136" s="24">
        <f t="shared" si="120"/>
        <v>0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IF(A136&lt;'Données projet'!$A$114,$BV$205^A136,IF(A136='Données projet'!$A$114,'Données projet'!$B$114,BY135+BX136-CG135))</f>
        <v>1.1368683772161603E-13</v>
      </c>
      <c r="BZ136" s="14">
        <f>BY136*VLOOKUP('Données projet'!$B$12,Paramètres!$A$1:$I$88,3,0)*VLOOKUP('Données projet'!$B$12,Paramètres!$A$1:$I$88,5,0)</f>
        <v>1.223725121235475E-13</v>
      </c>
      <c r="CA136" s="14">
        <f t="shared" si="154"/>
        <v>1.7956824466038182E-12</v>
      </c>
      <c r="CB136" s="22">
        <f t="shared" si="121"/>
        <v>3.3406123864501612E-12</v>
      </c>
      <c r="CC136" s="62">
        <f t="shared" si="122"/>
        <v>279.74285882077686</v>
      </c>
      <c r="CD136" s="62">
        <f ca="1">AVERAGE(OFFSET($CC$3,0,0,'Données projet'!$E$12+1,1))-AVERAGE(OFFSET($H$3,0,0,'Données projet'!$E$12+1,1))</f>
        <v>468.82871618425406</v>
      </c>
      <c r="CE136" s="62">
        <f t="shared" si="123"/>
        <v>259.37818128554397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projet'!$B$12,Paramètres!$A$1:$I$88,7,0))</f>
        <v>0</v>
      </c>
      <c r="CI136" s="17">
        <f>IF(ISNA(VLOOKUP(A136,'Données projet'!$A$113:$I$133,6,0)),0%,VLOOKUP(A136,'Données projet'!$A$113:$I$133,6,0)*VLOOKUP('Données projet'!$B$12,Paramètres!$A$1:$I$88,7,0))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projet'!$B$9,Paramètres!$A$1:$I$88,3,0)*0.475*44/12</f>
        <v>0</v>
      </c>
      <c r="CL136" s="23">
        <f>EXP(-LN(2)/25)*CL135+(1-EXP(-LN(2)/25))/(LN(2)/25)*Calculateur!CG136*Calculateur!CI136*VLOOKUP('Données projet'!$B$9,Paramètres!$A$1:$I$88,3,0)*0.475*44/12</f>
        <v>0</v>
      </c>
      <c r="CM136" s="23">
        <f>EXP(-LN(2)/2)*CM135+(1-EXP(-LN(2)/2))/(LN(2)/2)*CG136*CJ136*VLOOKUP('Données projet'!$B$9,Paramètres!$A$1:$I$88,3,0)*0.475*44/12</f>
        <v>0</v>
      </c>
      <c r="CN136" s="24">
        <f t="shared" si="124"/>
        <v>0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IF(A136&lt;'Données projet'!$A$140,$CQ$205^A136,IF(A136='Données projet'!$A$140,'Données projet'!$B$140,CT135+CS136-DB135))</f>
        <v>1.1368683772161603E-13</v>
      </c>
      <c r="CU136" s="18">
        <f>CT136*VLOOKUP('Données projet'!$B$13,Paramètres!$A$1:$I$88,3,0)*VLOOKUP('Données projet'!$B$13,Paramètres!$A$1:$I$88,5,0)</f>
        <v>9.7543306765146564E-14</v>
      </c>
      <c r="CV136" s="14">
        <f t="shared" si="155"/>
        <v>1.4696264278629426E-12</v>
      </c>
      <c r="CW136" s="22">
        <f t="shared" si="125"/>
        <v>2.7294872878105889E-12</v>
      </c>
      <c r="CX136" s="62">
        <f t="shared" si="126"/>
        <v>279.74285882077623</v>
      </c>
      <c r="CY136" s="62">
        <f ca="1">AVERAGE(OFFSET($CX$3,0,0,'Données projet'!$E$13+1,1))-AVERAGE(OFFSET($H$3,0,0,'Données projet'!$E$13+1,1))</f>
        <v>395.19659151668884</v>
      </c>
      <c r="CZ136" s="62">
        <f t="shared" si="127"/>
        <v>222.86563304507339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projet'!$B$13,Paramètres!$A$1:$I$88,7,0))</f>
        <v>0</v>
      </c>
      <c r="DD136" s="17">
        <f>IF(ISNA(VLOOKUP(A136,'Données projet'!$A$139:$I$159,6,0)),0%,VLOOKUP(A136,'Données projet'!$A$139:$I$159,6,0)*VLOOKUP('Données projet'!$B$13,Paramètres!$A$1:$I$88,7,0))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projet'!$B$9,Paramètres!$A$1:$I$88,3,0)*0.475*44/12</f>
        <v>0</v>
      </c>
      <c r="DG136" s="23">
        <f>EXP(-LN(2)/25)*DG135+(1-EXP(-LN(2)/25))/(LN(2)/25)*Calculateur!DB136*Calculateur!DD136*VLOOKUP('Données projet'!$B$9,Paramètres!$A$1:$I$88,3,0)*0.475*44/12</f>
        <v>0</v>
      </c>
      <c r="DH136" s="23">
        <f>EXP(-LN(2)/2)*DH135+(1-EXP(-LN(2)/2))/(LN(2)/2)*DB136*DE136*VLOOKUP('Données projet'!$B$9,Paramètres!$A$1:$I$88,3,0)*0.475*44/12</f>
        <v>0</v>
      </c>
      <c r="DI136" s="24">
        <f t="shared" si="128"/>
        <v>0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IF(A136&lt;'Données projet'!$A$166,$DL$205^A136,IF(A136='Données projet'!$A$166,'Données projet'!$B$166,DO135+DN136-DW135))</f>
        <v>-8.5265128291212022E-14</v>
      </c>
      <c r="DP136" s="18">
        <f>DO136*VLOOKUP('Données projet'!$B$14,Paramètres!$A$1:$I$88,3,0)*VLOOKUP('Données projet'!$B$14,Paramètres!$A$1:$I$88,5,0)</f>
        <v>-4.9880100050359036E-14</v>
      </c>
      <c r="DQ136" s="14" t="e">
        <f t="shared" si="156"/>
        <v>#NUM!</v>
      </c>
      <c r="DR136" s="22" t="e">
        <f t="shared" si="129"/>
        <v>#NUM!</v>
      </c>
      <c r="DS136" s="62" t="e">
        <f t="shared" si="130"/>
        <v>#NUM!</v>
      </c>
      <c r="DT136" s="62">
        <f ca="1">AVERAGE(OFFSET($DS$3,0,0,'Données projet'!$E$14+1,1))-AVERAGE(OFFSET($H$3,0,0,'Données projet'!$E$14+1,1))</f>
        <v>155.18073137151848</v>
      </c>
      <c r="DU136" s="62">
        <f t="shared" si="131"/>
        <v>115.19459155667272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projet'!$B$14,Paramètres!$A$1:$I$88,7,0))</f>
        <v>0</v>
      </c>
      <c r="DY136" s="17">
        <f>IF(ISNA(VLOOKUP(A136,'Données projet'!$A$165:$I$185,6,0)),0%,VLOOKUP(A136,'Données projet'!$A$165:$I$185,6,0)*VLOOKUP('Données projet'!$B$14,Paramètres!$A$1:$I$88,7,0))</f>
        <v>0</v>
      </c>
      <c r="DZ136" s="17">
        <f>IF(ISNA(VLOOKUP(A136,'Données projet'!$A$165:$I$185,7,0)),0%,VLOOKUP(A136,'Données projet'!$A$165:$I$185,7,0))</f>
        <v>0</v>
      </c>
      <c r="EA136" s="23">
        <f>EXP(-LN(2)/35)*EA135+(1-EXP(-LN(2)/35))/(LN(2)/35)*DW136*DX136*VLOOKUP('Données projet'!$B$9,Paramètres!$A$1:$I$88,3,0)*0.475*44/12</f>
        <v>0</v>
      </c>
      <c r="EB136" s="23">
        <f>EXP(-LN(2)/25)*EB135+(1-EXP(-LN(2)/25))/(LN(2)/25)*Calculateur!DW136*Calculateur!DY136*VLOOKUP('Données projet'!$B$9,Paramètres!$A$1:$I$88,3,0)*0.475*44/12</f>
        <v>0</v>
      </c>
      <c r="EC136" s="23">
        <f>EXP(-LN(2)/2)*EC135+(1-EXP(-LN(2)/2))/(LN(2)/2)*DW136*DZ136*VLOOKUP('Données projet'!$B$9,Paramètres!$A$1:$I$88,3,0)*0.475*44/12</f>
        <v>0</v>
      </c>
      <c r="ED136" s="24">
        <f t="shared" si="132"/>
        <v>0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IF(A136&lt;'Données projet'!$A$192,$EG$205^A136,IF(A136='Données projet'!$A$192,'Données projet'!$B$192,EJ135+EI136-ER135))</f>
        <v>-5.6843418860808015E-14</v>
      </c>
      <c r="EK136" s="18">
        <f>EJ136*VLOOKUP('Données projet'!$B$15,Paramètres!$A$1:$I$88,3,0)*VLOOKUP('Données projet'!$B$15,Paramètres!$A$1:$I$88,5,0)</f>
        <v>-2.6602720026858149E-14</v>
      </c>
      <c r="EL136" s="14" t="e">
        <f t="shared" si="157"/>
        <v>#NUM!</v>
      </c>
      <c r="EM136" s="22" t="e">
        <f t="shared" si="133"/>
        <v>#NUM!</v>
      </c>
      <c r="EN136" s="62" t="e">
        <f t="shared" si="134"/>
        <v>#NUM!</v>
      </c>
      <c r="EO136" s="62">
        <f ca="1">AVERAGE(OFFSET($EN$3,0,0,'Données projet'!$E$15+1,1))-AVERAGE(OFFSET($H$3,0,0,'Données projet'!$E$15+1,1))</f>
        <v>238.59014604384171</v>
      </c>
      <c r="EP136" s="62">
        <f t="shared" si="135"/>
        <v>90.841373219575217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projet'!$B$15,Paramètres!$A$1:$I$88,7,0))</f>
        <v>0</v>
      </c>
      <c r="ET136" s="17">
        <f>IF(ISNA(VLOOKUP(A136,'Données projet'!$A$191:$I$211,6,0)),0%,VLOOKUP(A136,'Données projet'!$A$191:$I$211,6,0)*VLOOKUP('Données projet'!$B$15,Paramètres!$A$1:$I$88,7,0))</f>
        <v>0</v>
      </c>
      <c r="EU136" s="17">
        <f>IF(ISNA(VLOOKUP(A136,'Données projet'!$A$191:$I$211,7,0)),0%,VLOOKUP(A136,'Données projet'!$A$191:$I$211,7,0))</f>
        <v>0</v>
      </c>
      <c r="EV136" s="23">
        <f>EXP(-LN(2)/35)*EV135+(1-EXP(-LN(2)/35))/(LN(2)/35)*ER136*ES136*VLOOKUP('Données projet'!$B$9,Paramètres!$A$1:$I$88,3,0)*0.475*44/12</f>
        <v>0</v>
      </c>
      <c r="EW136" s="23">
        <f>EXP(-LN(2)/25)*EW135+(1-EXP(-LN(2)/25))/(LN(2)/25)*Calculateur!ER136*Calculateur!ET136*VLOOKUP('Données projet'!$B$9,Paramètres!$A$1:$I$88,3,0)*0.475*44/12</f>
        <v>0</v>
      </c>
      <c r="EX136" s="23">
        <f>EXP(-LN(2)/2)*EX135+(1-EXP(-LN(2)/2))/(LN(2)/2)*ER136*EU136*VLOOKUP('Données projet'!$B$9,Paramètres!$A$1:$I$88,3,0)*0.475*44/12</f>
        <v>0</v>
      </c>
      <c r="EY136" s="24">
        <f t="shared" si="136"/>
        <v>0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IF(A136&lt;'Données projet'!$A$218,$FB$205^A136,IF(A136='Données projet'!$A$218,'Données projet'!$B$218,FE135+FD136-FM135))</f>
        <v>0</v>
      </c>
      <c r="FF136" s="18" t="e">
        <f>FE136*VLOOKUP('Données projet'!$B$16,Paramètres!$A$1:$I$88,3,0)*VLOOKUP('Données projet'!$B$16,Paramètres!$A$1:$I$88,5,0)</f>
        <v>#N/A</v>
      </c>
      <c r="FG136" s="14" t="e">
        <f t="shared" si="158"/>
        <v>#N/A</v>
      </c>
      <c r="FH136" s="22" t="e">
        <f t="shared" si="137"/>
        <v>#N/A</v>
      </c>
      <c r="FI136" s="62" t="e">
        <f t="shared" si="138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39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projet'!$B$16,Paramètres!$A$1:$I$88,7,0))</f>
        <v>0</v>
      </c>
      <c r="FO136" s="17">
        <f>IF(ISNA(VLOOKUP(A136,'Données projet'!$A$217:$I$237,6,0)),0%,VLOOKUP(A136,'Données projet'!$A$217:$I$237,6,0)*VLOOKUP('Données projet'!$B$16,Paramètres!$A$1:$I$88,7,0))</f>
        <v>0</v>
      </c>
      <c r="FP136" s="17">
        <f>IF(ISNA(VLOOKUP(A136,'Données projet'!$A$217:$I$237,7,0)),0%,VLOOKUP(A136,'Données projet'!$A$217:$I$237,7,0))</f>
        <v>0</v>
      </c>
      <c r="FQ136" s="23">
        <f>EXP(-LN(2)/35)*FQ135+(1-EXP(-LN(2)/35))/(LN(2)/35)*FM136*FN136*VLOOKUP('Données projet'!$B$9,Paramètres!$A$1:$I$88,3,0)*0.475*44/12</f>
        <v>0</v>
      </c>
      <c r="FR136" s="23">
        <f>EXP(-LN(2)/25)*FR135+(1-EXP(-LN(2)/25))/(LN(2)/25)*Calculateur!FM136*Calculateur!FO136*VLOOKUP('Données projet'!$B$9,Paramètres!$A$1:$I$88,3,0)*0.475*44/12</f>
        <v>0</v>
      </c>
      <c r="FS136" s="23">
        <f>EXP(-LN(2)/2)*FS135+(1-EXP(-LN(2)/2))/(LN(2)/2)*FM136*FP136*VLOOKUP('Données projet'!$B$9,Paramètres!$A$1:$I$88,3,0)*0.475*44/12</f>
        <v>0</v>
      </c>
      <c r="FT136" s="24">
        <f t="shared" si="140"/>
        <v>0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IF(A136&lt;'Données projet'!$A$244,$FW$205^A136,IF(A136='Données projet'!$A$244,'Données projet'!$B$244,FZ135+FY136-GH135))</f>
        <v>0</v>
      </c>
      <c r="GA136" s="18" t="e">
        <f>FZ136*VLOOKUP('Données projet'!$B$17,Paramètres!$A$1:$I$88,3,0)*VLOOKUP('Données projet'!$B$17,Paramètres!$A$1:$I$88,5,0)</f>
        <v>#N/A</v>
      </c>
      <c r="GB136" s="14" t="e">
        <f t="shared" si="159"/>
        <v>#N/A</v>
      </c>
      <c r="GC136" s="22" t="e">
        <f t="shared" si="141"/>
        <v>#N/A</v>
      </c>
      <c r="GD136" s="62" t="e">
        <f t="shared" si="142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43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projet'!$B$17,Paramètres!$A$1:$I$88,7,0))</f>
        <v>0</v>
      </c>
      <c r="GJ136" s="17">
        <f>IF(ISNA(VLOOKUP(A136,'Données projet'!$A$243:$I$263,6,0)),0%,VLOOKUP(A136,'Données projet'!$A$243:$I$263,6,0)*VLOOKUP('Données projet'!$B$17,Paramètres!$A$1:$I$88,7,0))</f>
        <v>0</v>
      </c>
      <c r="GK136" s="17">
        <f>IF(ISNA(VLOOKUP(A136,'Données projet'!$A$243:$I$263,7,0)),0%,VLOOKUP(A136,'Données projet'!$A$243:$I$263,7,0))</f>
        <v>0</v>
      </c>
      <c r="GL136" s="23">
        <f>EXP(-LN(2)/35)*GL135+(1-EXP(-LN(2)/35))/(LN(2)/35)*GH136*GI136*VLOOKUP('Données projet'!$B$9,Paramètres!$A$1:$I$88,3,0)*0.475*44/12</f>
        <v>0</v>
      </c>
      <c r="GM136" s="23">
        <f>EXP(-LN(2)/25)*GM135+(1-EXP(-LN(2)/25))/(LN(2)/25)*Calculateur!GH136*Calculateur!GJ136*VLOOKUP('Données projet'!$B$9,Paramètres!$A$1:$I$88,3,0)*0.475*44/12</f>
        <v>0</v>
      </c>
      <c r="GN136" s="23">
        <f>EXP(-LN(2)/2)*GN135+(1-EXP(-LN(2)/2))/(LN(2)/2)*GH136*GK136*VLOOKUP('Données projet'!$B$9,Paramètres!$A$1:$I$88,3,0)*0.475*44/12</f>
        <v>0</v>
      </c>
      <c r="GO136" s="23">
        <f t="shared" si="144"/>
        <v>0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IF(A136&lt;'Données projet'!$A$270,$GR$205^A136,IF(A136='Données projet'!$A$270,'Données projet'!$B$270,GU135+GT136-HC135))</f>
        <v>0</v>
      </c>
      <c r="GV136" s="18" t="e">
        <f>GU136*VLOOKUP('Données projet'!$B$18,Paramètres!$A$1:$I$88,3,0)*VLOOKUP('Données projet'!$B$18,Paramètres!$A$1:$I$88,5,0)</f>
        <v>#N/A</v>
      </c>
      <c r="GW136" s="14" t="e">
        <f t="shared" si="160"/>
        <v>#N/A</v>
      </c>
      <c r="GX136" s="22" t="e">
        <f t="shared" si="145"/>
        <v>#N/A</v>
      </c>
      <c r="GY136" s="62" t="e">
        <f t="shared" si="146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47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projet'!$B$18,Paramètres!$A$1:$I$88,7,0))</f>
        <v>0</v>
      </c>
      <c r="HE136" s="17">
        <f>IF(ISNA(VLOOKUP(A136,'Données projet'!$A$269:$I$289,6,0)),0%,VLOOKUP(A136,'Données projet'!$A$269:$I$289,6,0)*VLOOKUP('Données projet'!$B$18,Paramètres!$A$1:$I$88,7,0))</f>
        <v>0</v>
      </c>
      <c r="HF136" s="17">
        <f>IF(ISNA(VLOOKUP(A136,'Données projet'!$A$269:$I$289,7,0)),0%,VLOOKUP(A136,'Données projet'!$A$269:$I$289,7,0))</f>
        <v>0</v>
      </c>
      <c r="HG136" s="23">
        <f>EXP(-LN(2)/35)*HG135+(1-EXP(-LN(2)/35))/(LN(2)/35)*HC136*HD136*VLOOKUP('Données projet'!$B$9,Paramètres!$A$1:$I$88,3,0)*0.475*44/12</f>
        <v>0</v>
      </c>
      <c r="HH136" s="23">
        <f>EXP(-LN(2)/25)*HH135+(1-EXP(-LN(2)/25))/(LN(2)/25)*Calculateur!HC136*Calculateur!HE136*VLOOKUP('Données projet'!$B$9,Paramètres!$A$1:$I$88,3,0)*0.475*44/12</f>
        <v>0</v>
      </c>
      <c r="HI136" s="23">
        <f>EXP(-LN(2)/2)*HI135+(1-EXP(-LN(2)/2))/(LN(2)/2)*HC136*HF136*VLOOKUP('Données projet'!$B$9,Paramètres!$A$1:$I$88,3,0)*0.475*44/12</f>
        <v>0</v>
      </c>
      <c r="HJ136" s="24">
        <f t="shared" si="148"/>
        <v>0</v>
      </c>
    </row>
    <row r="137" spans="1:218" s="5" customFormat="1" x14ac:dyDescent="0.25">
      <c r="A137" s="11">
        <f t="shared" si="149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7" s="12">
        <f t="shared" si="15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111"/>
        <v>135.66666666666666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1.1879166666666663</v>
      </c>
      <c r="N137" s="14">
        <f>IF(A137&lt;'Données projet'!$A$36,$K$205^A137,IF(A137='Données projet'!$A$36,'Données projet'!$B$36,N136+M137-V136))</f>
        <v>120.28499999999998</v>
      </c>
      <c r="O137" s="14">
        <f>N137*VLOOKUP('Données projet'!$B$9,Paramètres!$A$1:$I$88,3,0)*VLOOKUP('Données projet'!$B$9,Paramètres!$A$1:$I$88,5,0)</f>
        <v>138.56831999999997</v>
      </c>
      <c r="P137" s="14">
        <f t="shared" si="151"/>
        <v>35.968831761941608</v>
      </c>
      <c r="Q137" s="22">
        <f t="shared" si="108"/>
        <v>303.98553931871487</v>
      </c>
      <c r="R137" s="62">
        <f t="shared" si="109"/>
        <v>583.96416248853211</v>
      </c>
      <c r="S137" s="62">
        <f ca="1">AVERAGE(OFFSET($R$3,0,0,'Données projet'!$E$9+1,1))-AVERAGE(OFFSET($H$3,0,0,'Données projet'!$E$9+1,1))</f>
        <v>314.72063458462026</v>
      </c>
      <c r="T137" s="62">
        <f t="shared" si="110"/>
        <v>216.4380325968244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projet'!$B$9,Paramètres!$A$1:$I$88,7,0))</f>
        <v>0</v>
      </c>
      <c r="X137" s="17">
        <f>IF(ISNA(VLOOKUP(A137,'Données projet'!$A$35:$I$55,6,0)),0%,VLOOKUP(A137,'Données projet'!$A$35:$I$55,6,0)*VLOOKUP('Données projet'!$B$9,Paramètres!$A$1:$I$88,7,0))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projet'!$B$9,Paramètres!$A$1:$I$88,3,0)*0.475*44/12</f>
        <v>0</v>
      </c>
      <c r="AA137" s="23">
        <f>EXP(-LN(2)/25)*AA136+(1-EXP(-LN(2)/25))/(LN(2)/25)*Calculateur!V137*Calculateur!X137*VLOOKUP('Données projet'!$B$9,Paramètres!$A$1:$I$88,3,0)*0.475*44/12</f>
        <v>0</v>
      </c>
      <c r="AB137" s="23">
        <f>EXP(-LN(2)/2)*AB136+(1-EXP(-LN(2)/2))/(LN(2)/2)*V137*Y137*VLOOKUP('Données projet'!$B$9,Paramètres!$A$1:$I$88,3,0)*0.475*44/12</f>
        <v>0</v>
      </c>
      <c r="AC137" s="24">
        <f t="shared" si="112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IF(A137&lt;'Données projet'!$A$62,$AF$205^A137,IF(A137='Données projet'!$A$62,'Données projet'!$B$62,AI136+AH137-AQ136))</f>
        <v>1.1368683772161603E-13</v>
      </c>
      <c r="AJ137" s="14">
        <f>AI137*VLOOKUP('Données projet'!$B$10,Paramètres!$A$1:$I$88,3,0)*VLOOKUP('Données projet'!$B$10,Paramètres!$A$1:$I$88,5,0)</f>
        <v>1.1882548278663309E-13</v>
      </c>
      <c r="AK137" s="14">
        <f t="shared" si="152"/>
        <v>1.7496137229198366E-12</v>
      </c>
      <c r="AL137" s="22">
        <f t="shared" si="113"/>
        <v>3.2541982832721012E-12</v>
      </c>
      <c r="AM137" s="62">
        <f t="shared" si="114"/>
        <v>279.97862316982048</v>
      </c>
      <c r="AN137" s="62">
        <f ca="1">AVERAGE(OFFSET($AM$3,0,0,'Données projet'!$E$10+1,1))-AVERAGE(OFFSET($H$3,0,0,'Données projet'!$E$10+1,1))</f>
        <v>458.33072853676879</v>
      </c>
      <c r="AO137" s="62">
        <f t="shared" si="115"/>
        <v>254.1734169352687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projet'!$B$10,Paramètres!$A$1:$I$88,7,0))</f>
        <v>0</v>
      </c>
      <c r="AS137" s="17">
        <f>IF(ISNA(VLOOKUP(A137,'Données projet'!$A$61:$I$81,6,0)),0%,VLOOKUP(A137,'Données projet'!$A$61:$I$81,6,0)*VLOOKUP('Données projet'!$B$10,Paramètres!$A$1:$I$88,7,0))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projet'!$B$9,Paramètres!$A$1:$I$88,3,0)*0.475*44/12</f>
        <v>0</v>
      </c>
      <c r="AV137" s="23">
        <f>EXP(-LN(2)/25)*AV136+(1-EXP(-LN(2)/25))/(LN(2)/25)*Calculateur!AQ137*Calculateur!AS137*VLOOKUP('Données projet'!$B$9,Paramètres!$A$1:$I$88,3,0)*0.475*44/12</f>
        <v>0</v>
      </c>
      <c r="AW137" s="23">
        <f>EXP(-LN(2)/2)*AW136+(1-EXP(-LN(2)/2))/(LN(2)/2)*AQ137*AT137*VLOOKUP('Données projet'!$B$9,Paramètres!$A$1:$I$88,3,0)*0.475*44/12</f>
        <v>0</v>
      </c>
      <c r="AX137" s="23">
        <f t="shared" si="116"/>
        <v>0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IF(A137&lt;'Données projet'!$A$88,$BA$205^A137,IF(A137='Données projet'!$A$88,'Données projet'!$B$88,BD136+BC137-BL136))</f>
        <v>1.1368683772161603E-13</v>
      </c>
      <c r="BE137" s="14">
        <f>BD137*VLOOKUP('Données projet'!$B$11,Paramètres!$A$1:$I$88,3,0)*VLOOKUP('Données projet'!$B$11,Paramètres!$A$1:$I$88,5,0)</f>
        <v>1.1527845344971866E-13</v>
      </c>
      <c r="BF137" s="14">
        <f t="shared" si="153"/>
        <v>1.7033846239409443E-12</v>
      </c>
      <c r="BG137" s="22">
        <f t="shared" si="117"/>
        <v>3.1675048597887374E-12</v>
      </c>
      <c r="BH137" s="62">
        <f t="shared" si="118"/>
        <v>279.97862316982042</v>
      </c>
      <c r="BI137" s="62">
        <f ca="1">AVERAGE(OFFSET($BH$3,0,0,'Données projet'!$E$11+1,1))-AVERAGE(OFFSET($H$3,0,0,'Données projet'!$E$11+1,1))</f>
        <v>447.82618173893104</v>
      </c>
      <c r="BJ137" s="62">
        <f t="shared" si="119"/>
        <v>248.96509970783379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projet'!$B$11,Paramètres!$A$1:$I$88,7,0))</f>
        <v>0</v>
      </c>
      <c r="BN137" s="17">
        <f>IF(ISNA(VLOOKUP(A137,'Données projet'!$A$87:$I$107,6,0)),0%,VLOOKUP(A137,'Données projet'!$A$87:$I$107,6,0)*VLOOKUP('Données projet'!$B$11,Paramètres!$A$1:$I$88,7,0))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projet'!$B$9,Paramètres!$A$1:$I$88,3,0)*0.475*44/12</f>
        <v>0</v>
      </c>
      <c r="BQ137" s="23">
        <f>EXP(-LN(2)/25)*BQ136+(1-EXP(-LN(2)/25))/(LN(2)/25)*Calculateur!BL137*Calculateur!BN137*VLOOKUP('Données projet'!$B$9,Paramètres!$A$1:$I$88,3,0)*0.475*44/12</f>
        <v>0</v>
      </c>
      <c r="BR137" s="23">
        <f>EXP(-LN(2)/2)*BR136+(1-EXP(-LN(2)/2))/(LN(2)/2)*BL137*BO137*VLOOKUP('Données projet'!$B$9,Paramètres!$A$1:$I$88,3,0)*0.475*44/12</f>
        <v>0</v>
      </c>
      <c r="BS137" s="24">
        <f t="shared" si="120"/>
        <v>0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IF(A137&lt;'Données projet'!$A$114,$BV$205^A137,IF(A137='Données projet'!$A$114,'Données projet'!$B$114,BY136+BX137-CG136))</f>
        <v>1.1368683772161603E-13</v>
      </c>
      <c r="BZ137" s="14">
        <f>BY137*VLOOKUP('Données projet'!$B$12,Paramètres!$A$1:$I$88,3,0)*VLOOKUP('Données projet'!$B$12,Paramètres!$A$1:$I$88,5,0)</f>
        <v>1.223725121235475E-13</v>
      </c>
      <c r="CA137" s="14">
        <f t="shared" si="154"/>
        <v>1.7956824466038182E-12</v>
      </c>
      <c r="CB137" s="22">
        <f t="shared" si="121"/>
        <v>3.3406123864501612E-12</v>
      </c>
      <c r="CC137" s="62">
        <f t="shared" si="122"/>
        <v>279.97862316982059</v>
      </c>
      <c r="CD137" s="62">
        <f ca="1">AVERAGE(OFFSET($CC$3,0,0,'Données projet'!$E$12+1,1))-AVERAGE(OFFSET($H$3,0,0,'Données projet'!$E$12+1,1))</f>
        <v>468.82871618425406</v>
      </c>
      <c r="CE137" s="62">
        <f t="shared" si="123"/>
        <v>259.37818128554397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projet'!$B$12,Paramètres!$A$1:$I$88,7,0))</f>
        <v>0</v>
      </c>
      <c r="CI137" s="17">
        <f>IF(ISNA(VLOOKUP(A137,'Données projet'!$A$113:$I$133,6,0)),0%,VLOOKUP(A137,'Données projet'!$A$113:$I$133,6,0)*VLOOKUP('Données projet'!$B$12,Paramètres!$A$1:$I$88,7,0))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projet'!$B$9,Paramètres!$A$1:$I$88,3,0)*0.475*44/12</f>
        <v>0</v>
      </c>
      <c r="CL137" s="23">
        <f>EXP(-LN(2)/25)*CL136+(1-EXP(-LN(2)/25))/(LN(2)/25)*Calculateur!CG137*Calculateur!CI137*VLOOKUP('Données projet'!$B$9,Paramètres!$A$1:$I$88,3,0)*0.475*44/12</f>
        <v>0</v>
      </c>
      <c r="CM137" s="23">
        <f>EXP(-LN(2)/2)*CM136+(1-EXP(-LN(2)/2))/(LN(2)/2)*CG137*CJ137*VLOOKUP('Données projet'!$B$9,Paramètres!$A$1:$I$88,3,0)*0.475*44/12</f>
        <v>0</v>
      </c>
      <c r="CN137" s="24">
        <f t="shared" si="124"/>
        <v>0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IF(A137&lt;'Données projet'!$A$140,$CQ$205^A137,IF(A137='Données projet'!$A$140,'Données projet'!$B$140,CT136+CS137-DB136))</f>
        <v>1.1368683772161603E-13</v>
      </c>
      <c r="CU137" s="18">
        <f>CT137*VLOOKUP('Données projet'!$B$13,Paramètres!$A$1:$I$88,3,0)*VLOOKUP('Données projet'!$B$13,Paramètres!$A$1:$I$88,5,0)</f>
        <v>9.7543306765146564E-14</v>
      </c>
      <c r="CV137" s="14">
        <f t="shared" si="155"/>
        <v>1.4696264278629426E-12</v>
      </c>
      <c r="CW137" s="22">
        <f t="shared" si="125"/>
        <v>2.7294872878105889E-12</v>
      </c>
      <c r="CX137" s="62">
        <f t="shared" si="126"/>
        <v>279.97862316981997</v>
      </c>
      <c r="CY137" s="62">
        <f ca="1">AVERAGE(OFFSET($CX$3,0,0,'Données projet'!$E$13+1,1))-AVERAGE(OFFSET($H$3,0,0,'Données projet'!$E$13+1,1))</f>
        <v>395.19659151668884</v>
      </c>
      <c r="CZ137" s="62">
        <f t="shared" si="127"/>
        <v>222.86563304507339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projet'!$B$13,Paramètres!$A$1:$I$88,7,0))</f>
        <v>0</v>
      </c>
      <c r="DD137" s="17">
        <f>IF(ISNA(VLOOKUP(A137,'Données projet'!$A$139:$I$159,6,0)),0%,VLOOKUP(A137,'Données projet'!$A$139:$I$159,6,0)*VLOOKUP('Données projet'!$B$13,Paramètres!$A$1:$I$88,7,0))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projet'!$B$9,Paramètres!$A$1:$I$88,3,0)*0.475*44/12</f>
        <v>0</v>
      </c>
      <c r="DG137" s="23">
        <f>EXP(-LN(2)/25)*DG136+(1-EXP(-LN(2)/25))/(LN(2)/25)*Calculateur!DB137*Calculateur!DD137*VLOOKUP('Données projet'!$B$9,Paramètres!$A$1:$I$88,3,0)*0.475*44/12</f>
        <v>0</v>
      </c>
      <c r="DH137" s="23">
        <f>EXP(-LN(2)/2)*DH136+(1-EXP(-LN(2)/2))/(LN(2)/2)*DB137*DE137*VLOOKUP('Données projet'!$B$9,Paramètres!$A$1:$I$88,3,0)*0.475*44/12</f>
        <v>0</v>
      </c>
      <c r="DI137" s="24">
        <f t="shared" si="128"/>
        <v>0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IF(A137&lt;'Données projet'!$A$166,$DL$205^A137,IF(A137='Données projet'!$A$166,'Données projet'!$B$166,DO136+DN137-DW136))</f>
        <v>-8.5265128291212022E-14</v>
      </c>
      <c r="DP137" s="18">
        <f>DO137*VLOOKUP('Données projet'!$B$14,Paramètres!$A$1:$I$88,3,0)*VLOOKUP('Données projet'!$B$14,Paramètres!$A$1:$I$88,5,0)</f>
        <v>-4.9880100050359036E-14</v>
      </c>
      <c r="DQ137" s="14" t="e">
        <f t="shared" si="156"/>
        <v>#NUM!</v>
      </c>
      <c r="DR137" s="22" t="e">
        <f t="shared" si="129"/>
        <v>#NUM!</v>
      </c>
      <c r="DS137" s="62" t="e">
        <f t="shared" si="130"/>
        <v>#NUM!</v>
      </c>
      <c r="DT137" s="62">
        <f ca="1">AVERAGE(OFFSET($DS$3,0,0,'Données projet'!$E$14+1,1))-AVERAGE(OFFSET($H$3,0,0,'Données projet'!$E$14+1,1))</f>
        <v>155.18073137151848</v>
      </c>
      <c r="DU137" s="62">
        <f t="shared" si="131"/>
        <v>115.19459155667272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projet'!$B$14,Paramètres!$A$1:$I$88,7,0))</f>
        <v>0</v>
      </c>
      <c r="DY137" s="17">
        <f>IF(ISNA(VLOOKUP(A137,'Données projet'!$A$165:$I$185,6,0)),0%,VLOOKUP(A137,'Données projet'!$A$165:$I$185,6,0)*VLOOKUP('Données projet'!$B$14,Paramètres!$A$1:$I$88,7,0))</f>
        <v>0</v>
      </c>
      <c r="DZ137" s="17">
        <f>IF(ISNA(VLOOKUP(A137,'Données projet'!$A$165:$I$185,7,0)),0%,VLOOKUP(A137,'Données projet'!$A$165:$I$185,7,0))</f>
        <v>0</v>
      </c>
      <c r="EA137" s="23">
        <f>EXP(-LN(2)/35)*EA136+(1-EXP(-LN(2)/35))/(LN(2)/35)*DW137*DX137*VLOOKUP('Données projet'!$B$9,Paramètres!$A$1:$I$88,3,0)*0.475*44/12</f>
        <v>0</v>
      </c>
      <c r="EB137" s="23">
        <f>EXP(-LN(2)/25)*EB136+(1-EXP(-LN(2)/25))/(LN(2)/25)*Calculateur!DW137*Calculateur!DY137*VLOOKUP('Données projet'!$B$9,Paramètres!$A$1:$I$88,3,0)*0.475*44/12</f>
        <v>0</v>
      </c>
      <c r="EC137" s="23">
        <f>EXP(-LN(2)/2)*EC136+(1-EXP(-LN(2)/2))/(LN(2)/2)*DW137*DZ137*VLOOKUP('Données projet'!$B$9,Paramètres!$A$1:$I$88,3,0)*0.475*44/12</f>
        <v>0</v>
      </c>
      <c r="ED137" s="24">
        <f t="shared" si="132"/>
        <v>0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IF(A137&lt;'Données projet'!$A$192,$EG$205^A137,IF(A137='Données projet'!$A$192,'Données projet'!$B$192,EJ136+EI137-ER136))</f>
        <v>-5.6843418860808015E-14</v>
      </c>
      <c r="EK137" s="18">
        <f>EJ137*VLOOKUP('Données projet'!$B$15,Paramètres!$A$1:$I$88,3,0)*VLOOKUP('Données projet'!$B$15,Paramètres!$A$1:$I$88,5,0)</f>
        <v>-2.6602720026858149E-14</v>
      </c>
      <c r="EL137" s="14" t="e">
        <f t="shared" si="157"/>
        <v>#NUM!</v>
      </c>
      <c r="EM137" s="22" t="e">
        <f t="shared" si="133"/>
        <v>#NUM!</v>
      </c>
      <c r="EN137" s="62" t="e">
        <f t="shared" si="134"/>
        <v>#NUM!</v>
      </c>
      <c r="EO137" s="62">
        <f ca="1">AVERAGE(OFFSET($EN$3,0,0,'Données projet'!$E$15+1,1))-AVERAGE(OFFSET($H$3,0,0,'Données projet'!$E$15+1,1))</f>
        <v>238.59014604384171</v>
      </c>
      <c r="EP137" s="62">
        <f t="shared" si="135"/>
        <v>90.841373219575217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projet'!$B$15,Paramètres!$A$1:$I$88,7,0))</f>
        <v>0</v>
      </c>
      <c r="ET137" s="17">
        <f>IF(ISNA(VLOOKUP(A137,'Données projet'!$A$191:$I$211,6,0)),0%,VLOOKUP(A137,'Données projet'!$A$191:$I$211,6,0)*VLOOKUP('Données projet'!$B$15,Paramètres!$A$1:$I$88,7,0))</f>
        <v>0</v>
      </c>
      <c r="EU137" s="17">
        <f>IF(ISNA(VLOOKUP(A137,'Données projet'!$A$191:$I$211,7,0)),0%,VLOOKUP(A137,'Données projet'!$A$191:$I$211,7,0))</f>
        <v>0</v>
      </c>
      <c r="EV137" s="23">
        <f>EXP(-LN(2)/35)*EV136+(1-EXP(-LN(2)/35))/(LN(2)/35)*ER137*ES137*VLOOKUP('Données projet'!$B$9,Paramètres!$A$1:$I$88,3,0)*0.475*44/12</f>
        <v>0</v>
      </c>
      <c r="EW137" s="23">
        <f>EXP(-LN(2)/25)*EW136+(1-EXP(-LN(2)/25))/(LN(2)/25)*Calculateur!ER137*Calculateur!ET137*VLOOKUP('Données projet'!$B$9,Paramètres!$A$1:$I$88,3,0)*0.475*44/12</f>
        <v>0</v>
      </c>
      <c r="EX137" s="23">
        <f>EXP(-LN(2)/2)*EX136+(1-EXP(-LN(2)/2))/(LN(2)/2)*ER137*EU137*VLOOKUP('Données projet'!$B$9,Paramètres!$A$1:$I$88,3,0)*0.475*44/12</f>
        <v>0</v>
      </c>
      <c r="EY137" s="24">
        <f t="shared" si="136"/>
        <v>0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IF(A137&lt;'Données projet'!$A$218,$FB$205^A137,IF(A137='Données projet'!$A$218,'Données projet'!$B$218,FE136+FD137-FM136))</f>
        <v>0</v>
      </c>
      <c r="FF137" s="18" t="e">
        <f>FE137*VLOOKUP('Données projet'!$B$16,Paramètres!$A$1:$I$88,3,0)*VLOOKUP('Données projet'!$B$16,Paramètres!$A$1:$I$88,5,0)</f>
        <v>#N/A</v>
      </c>
      <c r="FG137" s="14" t="e">
        <f t="shared" si="158"/>
        <v>#N/A</v>
      </c>
      <c r="FH137" s="22" t="e">
        <f t="shared" si="137"/>
        <v>#N/A</v>
      </c>
      <c r="FI137" s="62" t="e">
        <f t="shared" si="138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39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projet'!$B$16,Paramètres!$A$1:$I$88,7,0))</f>
        <v>0</v>
      </c>
      <c r="FO137" s="17">
        <f>IF(ISNA(VLOOKUP(A137,'Données projet'!$A$217:$I$237,6,0)),0%,VLOOKUP(A137,'Données projet'!$A$217:$I$237,6,0)*VLOOKUP('Données projet'!$B$16,Paramètres!$A$1:$I$88,7,0))</f>
        <v>0</v>
      </c>
      <c r="FP137" s="17">
        <f>IF(ISNA(VLOOKUP(A137,'Données projet'!$A$217:$I$237,7,0)),0%,VLOOKUP(A137,'Données projet'!$A$217:$I$237,7,0))</f>
        <v>0</v>
      </c>
      <c r="FQ137" s="23">
        <f>EXP(-LN(2)/35)*FQ136+(1-EXP(-LN(2)/35))/(LN(2)/35)*FM137*FN137*VLOOKUP('Données projet'!$B$9,Paramètres!$A$1:$I$88,3,0)*0.475*44/12</f>
        <v>0</v>
      </c>
      <c r="FR137" s="23">
        <f>EXP(-LN(2)/25)*FR136+(1-EXP(-LN(2)/25))/(LN(2)/25)*Calculateur!FM137*Calculateur!FO137*VLOOKUP('Données projet'!$B$9,Paramètres!$A$1:$I$88,3,0)*0.475*44/12</f>
        <v>0</v>
      </c>
      <c r="FS137" s="23">
        <f>EXP(-LN(2)/2)*FS136+(1-EXP(-LN(2)/2))/(LN(2)/2)*FM137*FP137*VLOOKUP('Données projet'!$B$9,Paramètres!$A$1:$I$88,3,0)*0.475*44/12</f>
        <v>0</v>
      </c>
      <c r="FT137" s="24">
        <f t="shared" si="140"/>
        <v>0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IF(A137&lt;'Données projet'!$A$244,$FW$205^A137,IF(A137='Données projet'!$A$244,'Données projet'!$B$244,FZ136+FY137-GH136))</f>
        <v>0</v>
      </c>
      <c r="GA137" s="18" t="e">
        <f>FZ137*VLOOKUP('Données projet'!$B$17,Paramètres!$A$1:$I$88,3,0)*VLOOKUP('Données projet'!$B$17,Paramètres!$A$1:$I$88,5,0)</f>
        <v>#N/A</v>
      </c>
      <c r="GB137" s="14" t="e">
        <f t="shared" si="159"/>
        <v>#N/A</v>
      </c>
      <c r="GC137" s="22" t="e">
        <f t="shared" si="141"/>
        <v>#N/A</v>
      </c>
      <c r="GD137" s="62" t="e">
        <f t="shared" si="142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43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projet'!$B$17,Paramètres!$A$1:$I$88,7,0))</f>
        <v>0</v>
      </c>
      <c r="GJ137" s="17">
        <f>IF(ISNA(VLOOKUP(A137,'Données projet'!$A$243:$I$263,6,0)),0%,VLOOKUP(A137,'Données projet'!$A$243:$I$263,6,0)*VLOOKUP('Données projet'!$B$17,Paramètres!$A$1:$I$88,7,0))</f>
        <v>0</v>
      </c>
      <c r="GK137" s="17">
        <f>IF(ISNA(VLOOKUP(A137,'Données projet'!$A$243:$I$263,7,0)),0%,VLOOKUP(A137,'Données projet'!$A$243:$I$263,7,0))</f>
        <v>0</v>
      </c>
      <c r="GL137" s="23">
        <f>EXP(-LN(2)/35)*GL136+(1-EXP(-LN(2)/35))/(LN(2)/35)*GH137*GI137*VLOOKUP('Données projet'!$B$9,Paramètres!$A$1:$I$88,3,0)*0.475*44/12</f>
        <v>0</v>
      </c>
      <c r="GM137" s="23">
        <f>EXP(-LN(2)/25)*GM136+(1-EXP(-LN(2)/25))/(LN(2)/25)*Calculateur!GH137*Calculateur!GJ137*VLOOKUP('Données projet'!$B$9,Paramètres!$A$1:$I$88,3,0)*0.475*44/12</f>
        <v>0</v>
      </c>
      <c r="GN137" s="23">
        <f>EXP(-LN(2)/2)*GN136+(1-EXP(-LN(2)/2))/(LN(2)/2)*GH137*GK137*VLOOKUP('Données projet'!$B$9,Paramètres!$A$1:$I$88,3,0)*0.475*44/12</f>
        <v>0</v>
      </c>
      <c r="GO137" s="23">
        <f t="shared" si="144"/>
        <v>0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IF(A137&lt;'Données projet'!$A$270,$GR$205^A137,IF(A137='Données projet'!$A$270,'Données projet'!$B$270,GU136+GT137-HC136))</f>
        <v>0</v>
      </c>
      <c r="GV137" s="18" t="e">
        <f>GU137*VLOOKUP('Données projet'!$B$18,Paramètres!$A$1:$I$88,3,0)*VLOOKUP('Données projet'!$B$18,Paramètres!$A$1:$I$88,5,0)</f>
        <v>#N/A</v>
      </c>
      <c r="GW137" s="14" t="e">
        <f t="shared" si="160"/>
        <v>#N/A</v>
      </c>
      <c r="GX137" s="22" t="e">
        <f t="shared" si="145"/>
        <v>#N/A</v>
      </c>
      <c r="GY137" s="62" t="e">
        <f t="shared" si="146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47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projet'!$B$18,Paramètres!$A$1:$I$88,7,0))</f>
        <v>0</v>
      </c>
      <c r="HE137" s="17">
        <f>IF(ISNA(VLOOKUP(A137,'Données projet'!$A$269:$I$289,6,0)),0%,VLOOKUP(A137,'Données projet'!$A$269:$I$289,6,0)*VLOOKUP('Données projet'!$B$18,Paramètres!$A$1:$I$88,7,0))</f>
        <v>0</v>
      </c>
      <c r="HF137" s="17">
        <f>IF(ISNA(VLOOKUP(A137,'Données projet'!$A$269:$I$289,7,0)),0%,VLOOKUP(A137,'Données projet'!$A$269:$I$289,7,0))</f>
        <v>0</v>
      </c>
      <c r="HG137" s="23">
        <f>EXP(-LN(2)/35)*HG136+(1-EXP(-LN(2)/35))/(LN(2)/35)*HC137*HD137*VLOOKUP('Données projet'!$B$9,Paramètres!$A$1:$I$88,3,0)*0.475*44/12</f>
        <v>0</v>
      </c>
      <c r="HH137" s="23">
        <f>EXP(-LN(2)/25)*HH136+(1-EXP(-LN(2)/25))/(LN(2)/25)*Calculateur!HC137*Calculateur!HE137*VLOOKUP('Données projet'!$B$9,Paramètres!$A$1:$I$88,3,0)*0.475*44/12</f>
        <v>0</v>
      </c>
      <c r="HI137" s="23">
        <f>EXP(-LN(2)/2)*HI136+(1-EXP(-LN(2)/2))/(LN(2)/2)*HC137*HF137*VLOOKUP('Données projet'!$B$9,Paramètres!$A$1:$I$88,3,0)*0.475*44/12</f>
        <v>0</v>
      </c>
      <c r="HJ137" s="24">
        <f t="shared" si="148"/>
        <v>0</v>
      </c>
    </row>
    <row r="138" spans="1:218" s="5" customFormat="1" x14ac:dyDescent="0.25">
      <c r="A138" s="11">
        <f t="shared" si="149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8" s="12">
        <f t="shared" si="15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111"/>
        <v>135.66666666666666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1.1879166666666663</v>
      </c>
      <c r="N138" s="14">
        <f>IF(A138&lt;'Données projet'!$A$36,$K$205^A138,IF(A138='Données projet'!$A$36,'Données projet'!$B$36,N137+M138-V137))</f>
        <v>121.47291666666665</v>
      </c>
      <c r="O138" s="14">
        <f>N138*VLOOKUP('Données projet'!$B$9,Paramètres!$A$1:$I$88,3,0)*VLOOKUP('Données projet'!$B$9,Paramètres!$A$1:$I$88,5,0)</f>
        <v>139.93679999999998</v>
      </c>
      <c r="P138" s="14">
        <f t="shared" si="151"/>
        <v>36.282526882038972</v>
      </c>
      <c r="Q138" s="22">
        <f t="shared" si="108"/>
        <v>306.91532765288451</v>
      </c>
      <c r="R138" s="62">
        <f t="shared" si="109"/>
        <v>587.12562518737968</v>
      </c>
      <c r="S138" s="62">
        <f ca="1">AVERAGE(OFFSET($R$3,0,0,'Données projet'!$E$9+1,1))-AVERAGE(OFFSET($H$3,0,0,'Données projet'!$E$9+1,1))</f>
        <v>314.72063458462026</v>
      </c>
      <c r="T138" s="62">
        <f t="shared" si="110"/>
        <v>216.4380325968244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projet'!$B$9,Paramètres!$A$1:$I$88,7,0))</f>
        <v>0</v>
      </c>
      <c r="X138" s="17">
        <f>IF(ISNA(VLOOKUP(A138,'Données projet'!$A$35:$I$55,6,0)),0%,VLOOKUP(A138,'Données projet'!$A$35:$I$55,6,0)*VLOOKUP('Données projet'!$B$9,Paramètres!$A$1:$I$88,7,0))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projet'!$B$9,Paramètres!$A$1:$I$88,3,0)*0.475*44/12</f>
        <v>0</v>
      </c>
      <c r="AA138" s="23">
        <f>EXP(-LN(2)/25)*AA137+(1-EXP(-LN(2)/25))/(LN(2)/25)*Calculateur!V138*Calculateur!X138*VLOOKUP('Données projet'!$B$9,Paramètres!$A$1:$I$88,3,0)*0.475*44/12</f>
        <v>0</v>
      </c>
      <c r="AB138" s="23">
        <f>EXP(-LN(2)/2)*AB137+(1-EXP(-LN(2)/2))/(LN(2)/2)*V138*Y138*VLOOKUP('Données projet'!$B$9,Paramètres!$A$1:$I$88,3,0)*0.475*44/12</f>
        <v>0</v>
      </c>
      <c r="AC138" s="24">
        <f t="shared" si="112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IF(A138&lt;'Données projet'!$A$62,$AF$205^A138,IF(A138='Données projet'!$A$62,'Données projet'!$B$62,AI137+AH138-AQ137))</f>
        <v>1.1368683772161603E-13</v>
      </c>
      <c r="AJ138" s="14">
        <f>AI138*VLOOKUP('Données projet'!$B$10,Paramètres!$A$1:$I$88,3,0)*VLOOKUP('Données projet'!$B$10,Paramètres!$A$1:$I$88,5,0)</f>
        <v>1.1882548278663309E-13</v>
      </c>
      <c r="AK138" s="14">
        <f t="shared" si="152"/>
        <v>1.7496137229198366E-12</v>
      </c>
      <c r="AL138" s="22">
        <f t="shared" si="113"/>
        <v>3.2541982832721012E-12</v>
      </c>
      <c r="AM138" s="62">
        <f t="shared" si="114"/>
        <v>280.21029753449841</v>
      </c>
      <c r="AN138" s="62">
        <f ca="1">AVERAGE(OFFSET($AM$3,0,0,'Données projet'!$E$10+1,1))-AVERAGE(OFFSET($H$3,0,0,'Données projet'!$E$10+1,1))</f>
        <v>458.33072853676879</v>
      </c>
      <c r="AO138" s="62">
        <f t="shared" si="115"/>
        <v>254.1734169352687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projet'!$B$10,Paramètres!$A$1:$I$88,7,0))</f>
        <v>0</v>
      </c>
      <c r="AS138" s="17">
        <f>IF(ISNA(VLOOKUP(A138,'Données projet'!$A$61:$I$81,6,0)),0%,VLOOKUP(A138,'Données projet'!$A$61:$I$81,6,0)*VLOOKUP('Données projet'!$B$10,Paramètres!$A$1:$I$88,7,0))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projet'!$B$9,Paramètres!$A$1:$I$88,3,0)*0.475*44/12</f>
        <v>0</v>
      </c>
      <c r="AV138" s="23">
        <f>EXP(-LN(2)/25)*AV137+(1-EXP(-LN(2)/25))/(LN(2)/25)*Calculateur!AQ138*Calculateur!AS138*VLOOKUP('Données projet'!$B$9,Paramètres!$A$1:$I$88,3,0)*0.475*44/12</f>
        <v>0</v>
      </c>
      <c r="AW138" s="23">
        <f>EXP(-LN(2)/2)*AW137+(1-EXP(-LN(2)/2))/(LN(2)/2)*AQ138*AT138*VLOOKUP('Données projet'!$B$9,Paramètres!$A$1:$I$88,3,0)*0.475*44/12</f>
        <v>0</v>
      </c>
      <c r="AX138" s="23">
        <f t="shared" si="116"/>
        <v>0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IF(A138&lt;'Données projet'!$A$88,$BA$205^A138,IF(A138='Données projet'!$A$88,'Données projet'!$B$88,BD137+BC138-BL137))</f>
        <v>1.1368683772161603E-13</v>
      </c>
      <c r="BE138" s="14">
        <f>BD138*VLOOKUP('Données projet'!$B$11,Paramètres!$A$1:$I$88,3,0)*VLOOKUP('Données projet'!$B$11,Paramètres!$A$1:$I$88,5,0)</f>
        <v>1.1527845344971866E-13</v>
      </c>
      <c r="BF138" s="14">
        <f t="shared" si="153"/>
        <v>1.7033846239409443E-12</v>
      </c>
      <c r="BG138" s="22">
        <f t="shared" si="117"/>
        <v>3.1675048597887374E-12</v>
      </c>
      <c r="BH138" s="62">
        <f t="shared" si="118"/>
        <v>280.21029753449835</v>
      </c>
      <c r="BI138" s="62">
        <f ca="1">AVERAGE(OFFSET($BH$3,0,0,'Données projet'!$E$11+1,1))-AVERAGE(OFFSET($H$3,0,0,'Données projet'!$E$11+1,1))</f>
        <v>447.82618173893104</v>
      </c>
      <c r="BJ138" s="62">
        <f t="shared" si="119"/>
        <v>248.96509970783379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projet'!$B$11,Paramètres!$A$1:$I$88,7,0))</f>
        <v>0</v>
      </c>
      <c r="BN138" s="17">
        <f>IF(ISNA(VLOOKUP(A138,'Données projet'!$A$87:$I$107,6,0)),0%,VLOOKUP(A138,'Données projet'!$A$87:$I$107,6,0)*VLOOKUP('Données projet'!$B$11,Paramètres!$A$1:$I$88,7,0))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projet'!$B$9,Paramètres!$A$1:$I$88,3,0)*0.475*44/12</f>
        <v>0</v>
      </c>
      <c r="BQ138" s="23">
        <f>EXP(-LN(2)/25)*BQ137+(1-EXP(-LN(2)/25))/(LN(2)/25)*Calculateur!BL138*Calculateur!BN138*VLOOKUP('Données projet'!$B$9,Paramètres!$A$1:$I$88,3,0)*0.475*44/12</f>
        <v>0</v>
      </c>
      <c r="BR138" s="23">
        <f>EXP(-LN(2)/2)*BR137+(1-EXP(-LN(2)/2))/(LN(2)/2)*BL138*BO138*VLOOKUP('Données projet'!$B$9,Paramètres!$A$1:$I$88,3,0)*0.475*44/12</f>
        <v>0</v>
      </c>
      <c r="BS138" s="24">
        <f t="shared" si="120"/>
        <v>0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IF(A138&lt;'Données projet'!$A$114,$BV$205^A138,IF(A138='Données projet'!$A$114,'Données projet'!$B$114,BY137+BX138-CG137))</f>
        <v>1.1368683772161603E-13</v>
      </c>
      <c r="BZ138" s="14">
        <f>BY138*VLOOKUP('Données projet'!$B$12,Paramètres!$A$1:$I$88,3,0)*VLOOKUP('Données projet'!$B$12,Paramètres!$A$1:$I$88,5,0)</f>
        <v>1.223725121235475E-13</v>
      </c>
      <c r="CA138" s="14">
        <f t="shared" si="154"/>
        <v>1.7956824466038182E-12</v>
      </c>
      <c r="CB138" s="22">
        <f t="shared" si="121"/>
        <v>3.3406123864501612E-12</v>
      </c>
      <c r="CC138" s="62">
        <f t="shared" si="122"/>
        <v>280.21029753449852</v>
      </c>
      <c r="CD138" s="62">
        <f ca="1">AVERAGE(OFFSET($CC$3,0,0,'Données projet'!$E$12+1,1))-AVERAGE(OFFSET($H$3,0,0,'Données projet'!$E$12+1,1))</f>
        <v>468.82871618425406</v>
      </c>
      <c r="CE138" s="62">
        <f t="shared" si="123"/>
        <v>259.37818128554397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projet'!$B$12,Paramètres!$A$1:$I$88,7,0))</f>
        <v>0</v>
      </c>
      <c r="CI138" s="17">
        <f>IF(ISNA(VLOOKUP(A138,'Données projet'!$A$113:$I$133,6,0)),0%,VLOOKUP(A138,'Données projet'!$A$113:$I$133,6,0)*VLOOKUP('Données projet'!$B$12,Paramètres!$A$1:$I$88,7,0))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projet'!$B$9,Paramètres!$A$1:$I$88,3,0)*0.475*44/12</f>
        <v>0</v>
      </c>
      <c r="CL138" s="23">
        <f>EXP(-LN(2)/25)*CL137+(1-EXP(-LN(2)/25))/(LN(2)/25)*Calculateur!CG138*Calculateur!CI138*VLOOKUP('Données projet'!$B$9,Paramètres!$A$1:$I$88,3,0)*0.475*44/12</f>
        <v>0</v>
      </c>
      <c r="CM138" s="23">
        <f>EXP(-LN(2)/2)*CM137+(1-EXP(-LN(2)/2))/(LN(2)/2)*CG138*CJ138*VLOOKUP('Données projet'!$B$9,Paramètres!$A$1:$I$88,3,0)*0.475*44/12</f>
        <v>0</v>
      </c>
      <c r="CN138" s="24">
        <f t="shared" si="124"/>
        <v>0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IF(A138&lt;'Données projet'!$A$140,$CQ$205^A138,IF(A138='Données projet'!$A$140,'Données projet'!$B$140,CT137+CS138-DB137))</f>
        <v>1.1368683772161603E-13</v>
      </c>
      <c r="CU138" s="18">
        <f>CT138*VLOOKUP('Données projet'!$B$13,Paramètres!$A$1:$I$88,3,0)*VLOOKUP('Données projet'!$B$13,Paramètres!$A$1:$I$88,5,0)</f>
        <v>9.7543306765146564E-14</v>
      </c>
      <c r="CV138" s="14">
        <f t="shared" si="155"/>
        <v>1.4696264278629426E-12</v>
      </c>
      <c r="CW138" s="22">
        <f t="shared" si="125"/>
        <v>2.7294872878105889E-12</v>
      </c>
      <c r="CX138" s="62">
        <f t="shared" si="126"/>
        <v>280.2102975344979</v>
      </c>
      <c r="CY138" s="62">
        <f ca="1">AVERAGE(OFFSET($CX$3,0,0,'Données projet'!$E$13+1,1))-AVERAGE(OFFSET($H$3,0,0,'Données projet'!$E$13+1,1))</f>
        <v>395.19659151668884</v>
      </c>
      <c r="CZ138" s="62">
        <f t="shared" si="127"/>
        <v>222.86563304507339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projet'!$B$13,Paramètres!$A$1:$I$88,7,0))</f>
        <v>0</v>
      </c>
      <c r="DD138" s="17">
        <f>IF(ISNA(VLOOKUP(A138,'Données projet'!$A$139:$I$159,6,0)),0%,VLOOKUP(A138,'Données projet'!$A$139:$I$159,6,0)*VLOOKUP('Données projet'!$B$13,Paramètres!$A$1:$I$88,7,0))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projet'!$B$9,Paramètres!$A$1:$I$88,3,0)*0.475*44/12</f>
        <v>0</v>
      </c>
      <c r="DG138" s="23">
        <f>EXP(-LN(2)/25)*DG137+(1-EXP(-LN(2)/25))/(LN(2)/25)*Calculateur!DB138*Calculateur!DD138*VLOOKUP('Données projet'!$B$9,Paramètres!$A$1:$I$88,3,0)*0.475*44/12</f>
        <v>0</v>
      </c>
      <c r="DH138" s="23">
        <f>EXP(-LN(2)/2)*DH137+(1-EXP(-LN(2)/2))/(LN(2)/2)*DB138*DE138*VLOOKUP('Données projet'!$B$9,Paramètres!$A$1:$I$88,3,0)*0.475*44/12</f>
        <v>0</v>
      </c>
      <c r="DI138" s="24">
        <f t="shared" si="128"/>
        <v>0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IF(A138&lt;'Données projet'!$A$166,$DL$205^A138,IF(A138='Données projet'!$A$166,'Données projet'!$B$166,DO137+DN138-DW137))</f>
        <v>-8.5265128291212022E-14</v>
      </c>
      <c r="DP138" s="18">
        <f>DO138*VLOOKUP('Données projet'!$B$14,Paramètres!$A$1:$I$88,3,0)*VLOOKUP('Données projet'!$B$14,Paramètres!$A$1:$I$88,5,0)</f>
        <v>-4.9880100050359036E-14</v>
      </c>
      <c r="DQ138" s="14" t="e">
        <f t="shared" si="156"/>
        <v>#NUM!</v>
      </c>
      <c r="DR138" s="22" t="e">
        <f t="shared" si="129"/>
        <v>#NUM!</v>
      </c>
      <c r="DS138" s="62" t="e">
        <f t="shared" si="130"/>
        <v>#NUM!</v>
      </c>
      <c r="DT138" s="62">
        <f ca="1">AVERAGE(OFFSET($DS$3,0,0,'Données projet'!$E$14+1,1))-AVERAGE(OFFSET($H$3,0,0,'Données projet'!$E$14+1,1))</f>
        <v>155.18073137151848</v>
      </c>
      <c r="DU138" s="62">
        <f t="shared" si="131"/>
        <v>115.19459155667272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projet'!$B$14,Paramètres!$A$1:$I$88,7,0))</f>
        <v>0</v>
      </c>
      <c r="DY138" s="17">
        <f>IF(ISNA(VLOOKUP(A138,'Données projet'!$A$165:$I$185,6,0)),0%,VLOOKUP(A138,'Données projet'!$A$165:$I$185,6,0)*VLOOKUP('Données projet'!$B$14,Paramètres!$A$1:$I$88,7,0))</f>
        <v>0</v>
      </c>
      <c r="DZ138" s="17">
        <f>IF(ISNA(VLOOKUP(A138,'Données projet'!$A$165:$I$185,7,0)),0%,VLOOKUP(A138,'Données projet'!$A$165:$I$185,7,0))</f>
        <v>0</v>
      </c>
      <c r="EA138" s="23">
        <f>EXP(-LN(2)/35)*EA137+(1-EXP(-LN(2)/35))/(LN(2)/35)*DW138*DX138*VLOOKUP('Données projet'!$B$9,Paramètres!$A$1:$I$88,3,0)*0.475*44/12</f>
        <v>0</v>
      </c>
      <c r="EB138" s="23">
        <f>EXP(-LN(2)/25)*EB137+(1-EXP(-LN(2)/25))/(LN(2)/25)*Calculateur!DW138*Calculateur!DY138*VLOOKUP('Données projet'!$B$9,Paramètres!$A$1:$I$88,3,0)*0.475*44/12</f>
        <v>0</v>
      </c>
      <c r="EC138" s="23">
        <f>EXP(-LN(2)/2)*EC137+(1-EXP(-LN(2)/2))/(LN(2)/2)*DW138*DZ138*VLOOKUP('Données projet'!$B$9,Paramètres!$A$1:$I$88,3,0)*0.475*44/12</f>
        <v>0</v>
      </c>
      <c r="ED138" s="24">
        <f t="shared" si="132"/>
        <v>0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IF(A138&lt;'Données projet'!$A$192,$EG$205^A138,IF(A138='Données projet'!$A$192,'Données projet'!$B$192,EJ137+EI138-ER137))</f>
        <v>-5.6843418860808015E-14</v>
      </c>
      <c r="EK138" s="18">
        <f>EJ138*VLOOKUP('Données projet'!$B$15,Paramètres!$A$1:$I$88,3,0)*VLOOKUP('Données projet'!$B$15,Paramètres!$A$1:$I$88,5,0)</f>
        <v>-2.6602720026858149E-14</v>
      </c>
      <c r="EL138" s="14" t="e">
        <f t="shared" si="157"/>
        <v>#NUM!</v>
      </c>
      <c r="EM138" s="22" t="e">
        <f t="shared" si="133"/>
        <v>#NUM!</v>
      </c>
      <c r="EN138" s="62" t="e">
        <f t="shared" si="134"/>
        <v>#NUM!</v>
      </c>
      <c r="EO138" s="62">
        <f ca="1">AVERAGE(OFFSET($EN$3,0,0,'Données projet'!$E$15+1,1))-AVERAGE(OFFSET($H$3,0,0,'Données projet'!$E$15+1,1))</f>
        <v>238.59014604384171</v>
      </c>
      <c r="EP138" s="62">
        <f t="shared" si="135"/>
        <v>90.841373219575217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projet'!$B$15,Paramètres!$A$1:$I$88,7,0))</f>
        <v>0</v>
      </c>
      <c r="ET138" s="17">
        <f>IF(ISNA(VLOOKUP(A138,'Données projet'!$A$191:$I$211,6,0)),0%,VLOOKUP(A138,'Données projet'!$A$191:$I$211,6,0)*VLOOKUP('Données projet'!$B$15,Paramètres!$A$1:$I$88,7,0))</f>
        <v>0</v>
      </c>
      <c r="EU138" s="17">
        <f>IF(ISNA(VLOOKUP(A138,'Données projet'!$A$191:$I$211,7,0)),0%,VLOOKUP(A138,'Données projet'!$A$191:$I$211,7,0))</f>
        <v>0</v>
      </c>
      <c r="EV138" s="23">
        <f>EXP(-LN(2)/35)*EV137+(1-EXP(-LN(2)/35))/(LN(2)/35)*ER138*ES138*VLOOKUP('Données projet'!$B$9,Paramètres!$A$1:$I$88,3,0)*0.475*44/12</f>
        <v>0</v>
      </c>
      <c r="EW138" s="23">
        <f>EXP(-LN(2)/25)*EW137+(1-EXP(-LN(2)/25))/(LN(2)/25)*Calculateur!ER138*Calculateur!ET138*VLOOKUP('Données projet'!$B$9,Paramètres!$A$1:$I$88,3,0)*0.475*44/12</f>
        <v>0</v>
      </c>
      <c r="EX138" s="23">
        <f>EXP(-LN(2)/2)*EX137+(1-EXP(-LN(2)/2))/(LN(2)/2)*ER138*EU138*VLOOKUP('Données projet'!$B$9,Paramètres!$A$1:$I$88,3,0)*0.475*44/12</f>
        <v>0</v>
      </c>
      <c r="EY138" s="24">
        <f t="shared" si="136"/>
        <v>0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IF(A138&lt;'Données projet'!$A$218,$FB$205^A138,IF(A138='Données projet'!$A$218,'Données projet'!$B$218,FE137+FD138-FM137))</f>
        <v>0</v>
      </c>
      <c r="FF138" s="18" t="e">
        <f>FE138*VLOOKUP('Données projet'!$B$16,Paramètres!$A$1:$I$88,3,0)*VLOOKUP('Données projet'!$B$16,Paramètres!$A$1:$I$88,5,0)</f>
        <v>#N/A</v>
      </c>
      <c r="FG138" s="14" t="e">
        <f t="shared" si="158"/>
        <v>#N/A</v>
      </c>
      <c r="FH138" s="22" t="e">
        <f t="shared" si="137"/>
        <v>#N/A</v>
      </c>
      <c r="FI138" s="62" t="e">
        <f t="shared" si="138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39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projet'!$B$16,Paramètres!$A$1:$I$88,7,0))</f>
        <v>0</v>
      </c>
      <c r="FO138" s="17">
        <f>IF(ISNA(VLOOKUP(A138,'Données projet'!$A$217:$I$237,6,0)),0%,VLOOKUP(A138,'Données projet'!$A$217:$I$237,6,0)*VLOOKUP('Données projet'!$B$16,Paramètres!$A$1:$I$88,7,0))</f>
        <v>0</v>
      </c>
      <c r="FP138" s="17">
        <f>IF(ISNA(VLOOKUP(A138,'Données projet'!$A$217:$I$237,7,0)),0%,VLOOKUP(A138,'Données projet'!$A$217:$I$237,7,0))</f>
        <v>0</v>
      </c>
      <c r="FQ138" s="23">
        <f>EXP(-LN(2)/35)*FQ137+(1-EXP(-LN(2)/35))/(LN(2)/35)*FM138*FN138*VLOOKUP('Données projet'!$B$9,Paramètres!$A$1:$I$88,3,0)*0.475*44/12</f>
        <v>0</v>
      </c>
      <c r="FR138" s="23">
        <f>EXP(-LN(2)/25)*FR137+(1-EXP(-LN(2)/25))/(LN(2)/25)*Calculateur!FM138*Calculateur!FO138*VLOOKUP('Données projet'!$B$9,Paramètres!$A$1:$I$88,3,0)*0.475*44/12</f>
        <v>0</v>
      </c>
      <c r="FS138" s="23">
        <f>EXP(-LN(2)/2)*FS137+(1-EXP(-LN(2)/2))/(LN(2)/2)*FM138*FP138*VLOOKUP('Données projet'!$B$9,Paramètres!$A$1:$I$88,3,0)*0.475*44/12</f>
        <v>0</v>
      </c>
      <c r="FT138" s="24">
        <f t="shared" si="140"/>
        <v>0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IF(A138&lt;'Données projet'!$A$244,$FW$205^A138,IF(A138='Données projet'!$A$244,'Données projet'!$B$244,FZ137+FY138-GH137))</f>
        <v>0</v>
      </c>
      <c r="GA138" s="18" t="e">
        <f>FZ138*VLOOKUP('Données projet'!$B$17,Paramètres!$A$1:$I$88,3,0)*VLOOKUP('Données projet'!$B$17,Paramètres!$A$1:$I$88,5,0)</f>
        <v>#N/A</v>
      </c>
      <c r="GB138" s="14" t="e">
        <f t="shared" si="159"/>
        <v>#N/A</v>
      </c>
      <c r="GC138" s="22" t="e">
        <f t="shared" si="141"/>
        <v>#N/A</v>
      </c>
      <c r="GD138" s="62" t="e">
        <f t="shared" si="142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43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projet'!$B$17,Paramètres!$A$1:$I$88,7,0))</f>
        <v>0</v>
      </c>
      <c r="GJ138" s="17">
        <f>IF(ISNA(VLOOKUP(A138,'Données projet'!$A$243:$I$263,6,0)),0%,VLOOKUP(A138,'Données projet'!$A$243:$I$263,6,0)*VLOOKUP('Données projet'!$B$17,Paramètres!$A$1:$I$88,7,0))</f>
        <v>0</v>
      </c>
      <c r="GK138" s="17">
        <f>IF(ISNA(VLOOKUP(A138,'Données projet'!$A$243:$I$263,7,0)),0%,VLOOKUP(A138,'Données projet'!$A$243:$I$263,7,0))</f>
        <v>0</v>
      </c>
      <c r="GL138" s="23">
        <f>EXP(-LN(2)/35)*GL137+(1-EXP(-LN(2)/35))/(LN(2)/35)*GH138*GI138*VLOOKUP('Données projet'!$B$9,Paramètres!$A$1:$I$88,3,0)*0.475*44/12</f>
        <v>0</v>
      </c>
      <c r="GM138" s="23">
        <f>EXP(-LN(2)/25)*GM137+(1-EXP(-LN(2)/25))/(LN(2)/25)*Calculateur!GH138*Calculateur!GJ138*VLOOKUP('Données projet'!$B$9,Paramètres!$A$1:$I$88,3,0)*0.475*44/12</f>
        <v>0</v>
      </c>
      <c r="GN138" s="23">
        <f>EXP(-LN(2)/2)*GN137+(1-EXP(-LN(2)/2))/(LN(2)/2)*GH138*GK138*VLOOKUP('Données projet'!$B$9,Paramètres!$A$1:$I$88,3,0)*0.475*44/12</f>
        <v>0</v>
      </c>
      <c r="GO138" s="23">
        <f t="shared" si="144"/>
        <v>0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IF(A138&lt;'Données projet'!$A$270,$GR$205^A138,IF(A138='Données projet'!$A$270,'Données projet'!$B$270,GU137+GT138-HC137))</f>
        <v>0</v>
      </c>
      <c r="GV138" s="18" t="e">
        <f>GU138*VLOOKUP('Données projet'!$B$18,Paramètres!$A$1:$I$88,3,0)*VLOOKUP('Données projet'!$B$18,Paramètres!$A$1:$I$88,5,0)</f>
        <v>#N/A</v>
      </c>
      <c r="GW138" s="14" t="e">
        <f t="shared" si="160"/>
        <v>#N/A</v>
      </c>
      <c r="GX138" s="22" t="e">
        <f t="shared" si="145"/>
        <v>#N/A</v>
      </c>
      <c r="GY138" s="62" t="e">
        <f t="shared" si="146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47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projet'!$B$18,Paramètres!$A$1:$I$88,7,0))</f>
        <v>0</v>
      </c>
      <c r="HE138" s="17">
        <f>IF(ISNA(VLOOKUP(A138,'Données projet'!$A$269:$I$289,6,0)),0%,VLOOKUP(A138,'Données projet'!$A$269:$I$289,6,0)*VLOOKUP('Données projet'!$B$18,Paramètres!$A$1:$I$88,7,0))</f>
        <v>0</v>
      </c>
      <c r="HF138" s="17">
        <f>IF(ISNA(VLOOKUP(A138,'Données projet'!$A$269:$I$289,7,0)),0%,VLOOKUP(A138,'Données projet'!$A$269:$I$289,7,0))</f>
        <v>0</v>
      </c>
      <c r="HG138" s="23">
        <f>EXP(-LN(2)/35)*HG137+(1-EXP(-LN(2)/35))/(LN(2)/35)*HC138*HD138*VLOOKUP('Données projet'!$B$9,Paramètres!$A$1:$I$88,3,0)*0.475*44/12</f>
        <v>0</v>
      </c>
      <c r="HH138" s="23">
        <f>EXP(-LN(2)/25)*HH137+(1-EXP(-LN(2)/25))/(LN(2)/25)*Calculateur!HC138*Calculateur!HE138*VLOOKUP('Données projet'!$B$9,Paramètres!$A$1:$I$88,3,0)*0.475*44/12</f>
        <v>0</v>
      </c>
      <c r="HI138" s="23">
        <f>EXP(-LN(2)/2)*HI137+(1-EXP(-LN(2)/2))/(LN(2)/2)*HC138*HF138*VLOOKUP('Données projet'!$B$9,Paramètres!$A$1:$I$88,3,0)*0.475*44/12</f>
        <v>0</v>
      </c>
      <c r="HJ138" s="24">
        <f t="shared" si="148"/>
        <v>0</v>
      </c>
    </row>
    <row r="139" spans="1:218" s="5" customFormat="1" x14ac:dyDescent="0.25">
      <c r="A139" s="11">
        <f t="shared" si="149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39" s="12">
        <f t="shared" si="15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111"/>
        <v>135.66666666666666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1.1879166666666663</v>
      </c>
      <c r="N139" s="14">
        <f>IF(A139&lt;'Données projet'!$A$36,$K$205^A139,IF(A139='Données projet'!$A$36,'Données projet'!$B$36,N138+M139-V138))</f>
        <v>122.66083333333331</v>
      </c>
      <c r="O139" s="14">
        <f>N139*VLOOKUP('Données projet'!$B$9,Paramètres!$A$1:$I$88,3,0)*VLOOKUP('Données projet'!$B$9,Paramètres!$A$1:$I$88,5,0)</f>
        <v>141.30527999999995</v>
      </c>
      <c r="P139" s="14">
        <f t="shared" si="151"/>
        <v>36.595865117852185</v>
      </c>
      <c r="Q139" s="22">
        <f t="shared" si="108"/>
        <v>309.84449441359243</v>
      </c>
      <c r="R139" s="62">
        <f t="shared" si="109"/>
        <v>590.28244728048458</v>
      </c>
      <c r="S139" s="62">
        <f ca="1">AVERAGE(OFFSET($R$3,0,0,'Données projet'!$E$9+1,1))-AVERAGE(OFFSET($H$3,0,0,'Données projet'!$E$9+1,1))</f>
        <v>314.72063458462026</v>
      </c>
      <c r="T139" s="62">
        <f t="shared" si="110"/>
        <v>216.4380325968244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projet'!$B$9,Paramètres!$A$1:$I$88,7,0))</f>
        <v>0</v>
      </c>
      <c r="X139" s="17">
        <f>IF(ISNA(VLOOKUP(A139,'Données projet'!$A$35:$I$55,6,0)),0%,VLOOKUP(A139,'Données projet'!$A$35:$I$55,6,0)*VLOOKUP('Données projet'!$B$9,Paramètres!$A$1:$I$88,7,0))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projet'!$B$9,Paramètres!$A$1:$I$88,3,0)*0.475*44/12</f>
        <v>0</v>
      </c>
      <c r="AA139" s="23">
        <f>EXP(-LN(2)/25)*AA138+(1-EXP(-LN(2)/25))/(LN(2)/25)*Calculateur!V139*Calculateur!X139*VLOOKUP('Données projet'!$B$9,Paramètres!$A$1:$I$88,3,0)*0.475*44/12</f>
        <v>0</v>
      </c>
      <c r="AB139" s="23">
        <f>EXP(-LN(2)/2)*AB138+(1-EXP(-LN(2)/2))/(LN(2)/2)*V139*Y139*VLOOKUP('Données projet'!$B$9,Paramètres!$A$1:$I$88,3,0)*0.475*44/12</f>
        <v>0</v>
      </c>
      <c r="AC139" s="24">
        <f t="shared" si="112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IF(A139&lt;'Données projet'!$A$62,$AF$205^A139,IF(A139='Données projet'!$A$62,'Données projet'!$B$62,AI138+AH139-AQ138))</f>
        <v>1.1368683772161603E-13</v>
      </c>
      <c r="AJ139" s="14">
        <f>AI139*VLOOKUP('Données projet'!$B$10,Paramètres!$A$1:$I$88,3,0)*VLOOKUP('Données projet'!$B$10,Paramètres!$A$1:$I$88,5,0)</f>
        <v>1.1882548278663309E-13</v>
      </c>
      <c r="AK139" s="14">
        <f t="shared" si="152"/>
        <v>1.7496137229198366E-12</v>
      </c>
      <c r="AL139" s="22">
        <f t="shared" si="113"/>
        <v>3.2541982832721012E-12</v>
      </c>
      <c r="AM139" s="62">
        <f t="shared" si="114"/>
        <v>280.43795286689539</v>
      </c>
      <c r="AN139" s="62">
        <f ca="1">AVERAGE(OFFSET($AM$3,0,0,'Données projet'!$E$10+1,1))-AVERAGE(OFFSET($H$3,0,0,'Données projet'!$E$10+1,1))</f>
        <v>458.33072853676879</v>
      </c>
      <c r="AO139" s="62">
        <f t="shared" si="115"/>
        <v>254.1734169352687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projet'!$B$10,Paramètres!$A$1:$I$88,7,0))</f>
        <v>0</v>
      </c>
      <c r="AS139" s="17">
        <f>IF(ISNA(VLOOKUP(A139,'Données projet'!$A$61:$I$81,6,0)),0%,VLOOKUP(A139,'Données projet'!$A$61:$I$81,6,0)*VLOOKUP('Données projet'!$B$10,Paramètres!$A$1:$I$88,7,0))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projet'!$B$9,Paramètres!$A$1:$I$88,3,0)*0.475*44/12</f>
        <v>0</v>
      </c>
      <c r="AV139" s="23">
        <f>EXP(-LN(2)/25)*AV138+(1-EXP(-LN(2)/25))/(LN(2)/25)*Calculateur!AQ139*Calculateur!AS139*VLOOKUP('Données projet'!$B$9,Paramètres!$A$1:$I$88,3,0)*0.475*44/12</f>
        <v>0</v>
      </c>
      <c r="AW139" s="23">
        <f>EXP(-LN(2)/2)*AW138+(1-EXP(-LN(2)/2))/(LN(2)/2)*AQ139*AT139*VLOOKUP('Données projet'!$B$9,Paramètres!$A$1:$I$88,3,0)*0.475*44/12</f>
        <v>0</v>
      </c>
      <c r="AX139" s="23">
        <f t="shared" si="116"/>
        <v>0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IF(A139&lt;'Données projet'!$A$88,$BA$205^A139,IF(A139='Données projet'!$A$88,'Données projet'!$B$88,BD138+BC139-BL138))</f>
        <v>1.1368683772161603E-13</v>
      </c>
      <c r="BE139" s="14">
        <f>BD139*VLOOKUP('Données projet'!$B$11,Paramètres!$A$1:$I$88,3,0)*VLOOKUP('Données projet'!$B$11,Paramètres!$A$1:$I$88,5,0)</f>
        <v>1.1527845344971866E-13</v>
      </c>
      <c r="BF139" s="14">
        <f t="shared" si="153"/>
        <v>1.7033846239409443E-12</v>
      </c>
      <c r="BG139" s="22">
        <f t="shared" si="117"/>
        <v>3.1675048597887374E-12</v>
      </c>
      <c r="BH139" s="62">
        <f t="shared" si="118"/>
        <v>280.43795286689533</v>
      </c>
      <c r="BI139" s="62">
        <f ca="1">AVERAGE(OFFSET($BH$3,0,0,'Données projet'!$E$11+1,1))-AVERAGE(OFFSET($H$3,0,0,'Données projet'!$E$11+1,1))</f>
        <v>447.82618173893104</v>
      </c>
      <c r="BJ139" s="62">
        <f t="shared" si="119"/>
        <v>248.96509970783379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projet'!$B$11,Paramètres!$A$1:$I$88,7,0))</f>
        <v>0</v>
      </c>
      <c r="BN139" s="17">
        <f>IF(ISNA(VLOOKUP(A139,'Données projet'!$A$87:$I$107,6,0)),0%,VLOOKUP(A139,'Données projet'!$A$87:$I$107,6,0)*VLOOKUP('Données projet'!$B$11,Paramètres!$A$1:$I$88,7,0))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projet'!$B$9,Paramètres!$A$1:$I$88,3,0)*0.475*44/12</f>
        <v>0</v>
      </c>
      <c r="BQ139" s="23">
        <f>EXP(-LN(2)/25)*BQ138+(1-EXP(-LN(2)/25))/(LN(2)/25)*Calculateur!BL139*Calculateur!BN139*VLOOKUP('Données projet'!$B$9,Paramètres!$A$1:$I$88,3,0)*0.475*44/12</f>
        <v>0</v>
      </c>
      <c r="BR139" s="23">
        <f>EXP(-LN(2)/2)*BR138+(1-EXP(-LN(2)/2))/(LN(2)/2)*BL139*BO139*VLOOKUP('Données projet'!$B$9,Paramètres!$A$1:$I$88,3,0)*0.475*44/12</f>
        <v>0</v>
      </c>
      <c r="BS139" s="24">
        <f t="shared" si="120"/>
        <v>0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IF(A139&lt;'Données projet'!$A$114,$BV$205^A139,IF(A139='Données projet'!$A$114,'Données projet'!$B$114,BY138+BX139-CG138))</f>
        <v>1.1368683772161603E-13</v>
      </c>
      <c r="BZ139" s="14">
        <f>BY139*VLOOKUP('Données projet'!$B$12,Paramètres!$A$1:$I$88,3,0)*VLOOKUP('Données projet'!$B$12,Paramètres!$A$1:$I$88,5,0)</f>
        <v>1.223725121235475E-13</v>
      </c>
      <c r="CA139" s="14">
        <f t="shared" si="154"/>
        <v>1.7956824466038182E-12</v>
      </c>
      <c r="CB139" s="22">
        <f t="shared" si="121"/>
        <v>3.3406123864501612E-12</v>
      </c>
      <c r="CC139" s="62">
        <f t="shared" si="122"/>
        <v>280.4379528668955</v>
      </c>
      <c r="CD139" s="62">
        <f ca="1">AVERAGE(OFFSET($CC$3,0,0,'Données projet'!$E$12+1,1))-AVERAGE(OFFSET($H$3,0,0,'Données projet'!$E$12+1,1))</f>
        <v>468.82871618425406</v>
      </c>
      <c r="CE139" s="62">
        <f t="shared" si="123"/>
        <v>259.37818128554397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projet'!$B$12,Paramètres!$A$1:$I$88,7,0))</f>
        <v>0</v>
      </c>
      <c r="CI139" s="17">
        <f>IF(ISNA(VLOOKUP(A139,'Données projet'!$A$113:$I$133,6,0)),0%,VLOOKUP(A139,'Données projet'!$A$113:$I$133,6,0)*VLOOKUP('Données projet'!$B$12,Paramètres!$A$1:$I$88,7,0))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projet'!$B$9,Paramètres!$A$1:$I$88,3,0)*0.475*44/12</f>
        <v>0</v>
      </c>
      <c r="CL139" s="23">
        <f>EXP(-LN(2)/25)*CL138+(1-EXP(-LN(2)/25))/(LN(2)/25)*Calculateur!CG139*Calculateur!CI139*VLOOKUP('Données projet'!$B$9,Paramètres!$A$1:$I$88,3,0)*0.475*44/12</f>
        <v>0</v>
      </c>
      <c r="CM139" s="23">
        <f>EXP(-LN(2)/2)*CM138+(1-EXP(-LN(2)/2))/(LN(2)/2)*CG139*CJ139*VLOOKUP('Données projet'!$B$9,Paramètres!$A$1:$I$88,3,0)*0.475*44/12</f>
        <v>0</v>
      </c>
      <c r="CN139" s="24">
        <f t="shared" si="124"/>
        <v>0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IF(A139&lt;'Données projet'!$A$140,$CQ$205^A139,IF(A139='Données projet'!$A$140,'Données projet'!$B$140,CT138+CS139-DB138))</f>
        <v>1.1368683772161603E-13</v>
      </c>
      <c r="CU139" s="18">
        <f>CT139*VLOOKUP('Données projet'!$B$13,Paramètres!$A$1:$I$88,3,0)*VLOOKUP('Données projet'!$B$13,Paramètres!$A$1:$I$88,5,0)</f>
        <v>9.7543306765146564E-14</v>
      </c>
      <c r="CV139" s="14">
        <f t="shared" si="155"/>
        <v>1.4696264278629426E-12</v>
      </c>
      <c r="CW139" s="22">
        <f t="shared" si="125"/>
        <v>2.7294872878105889E-12</v>
      </c>
      <c r="CX139" s="62">
        <f t="shared" si="126"/>
        <v>280.43795286689488</v>
      </c>
      <c r="CY139" s="62">
        <f ca="1">AVERAGE(OFFSET($CX$3,0,0,'Données projet'!$E$13+1,1))-AVERAGE(OFFSET($H$3,0,0,'Données projet'!$E$13+1,1))</f>
        <v>395.19659151668884</v>
      </c>
      <c r="CZ139" s="62">
        <f t="shared" si="127"/>
        <v>222.86563304507339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projet'!$B$13,Paramètres!$A$1:$I$88,7,0))</f>
        <v>0</v>
      </c>
      <c r="DD139" s="17">
        <f>IF(ISNA(VLOOKUP(A139,'Données projet'!$A$139:$I$159,6,0)),0%,VLOOKUP(A139,'Données projet'!$A$139:$I$159,6,0)*VLOOKUP('Données projet'!$B$13,Paramètres!$A$1:$I$88,7,0))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projet'!$B$9,Paramètres!$A$1:$I$88,3,0)*0.475*44/12</f>
        <v>0</v>
      </c>
      <c r="DG139" s="23">
        <f>EXP(-LN(2)/25)*DG138+(1-EXP(-LN(2)/25))/(LN(2)/25)*Calculateur!DB139*Calculateur!DD139*VLOOKUP('Données projet'!$B$9,Paramètres!$A$1:$I$88,3,0)*0.475*44/12</f>
        <v>0</v>
      </c>
      <c r="DH139" s="23">
        <f>EXP(-LN(2)/2)*DH138+(1-EXP(-LN(2)/2))/(LN(2)/2)*DB139*DE139*VLOOKUP('Données projet'!$B$9,Paramètres!$A$1:$I$88,3,0)*0.475*44/12</f>
        <v>0</v>
      </c>
      <c r="DI139" s="24">
        <f t="shared" si="128"/>
        <v>0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IF(A139&lt;'Données projet'!$A$166,$DL$205^A139,IF(A139='Données projet'!$A$166,'Données projet'!$B$166,DO138+DN139-DW138))</f>
        <v>-8.5265128291212022E-14</v>
      </c>
      <c r="DP139" s="18">
        <f>DO139*VLOOKUP('Données projet'!$B$14,Paramètres!$A$1:$I$88,3,0)*VLOOKUP('Données projet'!$B$14,Paramètres!$A$1:$I$88,5,0)</f>
        <v>-4.9880100050359036E-14</v>
      </c>
      <c r="DQ139" s="14" t="e">
        <f t="shared" si="156"/>
        <v>#NUM!</v>
      </c>
      <c r="DR139" s="22" t="e">
        <f t="shared" si="129"/>
        <v>#NUM!</v>
      </c>
      <c r="DS139" s="62" t="e">
        <f t="shared" si="130"/>
        <v>#NUM!</v>
      </c>
      <c r="DT139" s="62">
        <f ca="1">AVERAGE(OFFSET($DS$3,0,0,'Données projet'!$E$14+1,1))-AVERAGE(OFFSET($H$3,0,0,'Données projet'!$E$14+1,1))</f>
        <v>155.18073137151848</v>
      </c>
      <c r="DU139" s="62">
        <f t="shared" si="131"/>
        <v>115.19459155667272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projet'!$B$14,Paramètres!$A$1:$I$88,7,0))</f>
        <v>0</v>
      </c>
      <c r="DY139" s="17">
        <f>IF(ISNA(VLOOKUP(A139,'Données projet'!$A$165:$I$185,6,0)),0%,VLOOKUP(A139,'Données projet'!$A$165:$I$185,6,0)*VLOOKUP('Données projet'!$B$14,Paramètres!$A$1:$I$88,7,0))</f>
        <v>0</v>
      </c>
      <c r="DZ139" s="17">
        <f>IF(ISNA(VLOOKUP(A139,'Données projet'!$A$165:$I$185,7,0)),0%,VLOOKUP(A139,'Données projet'!$A$165:$I$185,7,0))</f>
        <v>0</v>
      </c>
      <c r="EA139" s="23">
        <f>EXP(-LN(2)/35)*EA138+(1-EXP(-LN(2)/35))/(LN(2)/35)*DW139*DX139*VLOOKUP('Données projet'!$B$9,Paramètres!$A$1:$I$88,3,0)*0.475*44/12</f>
        <v>0</v>
      </c>
      <c r="EB139" s="23">
        <f>EXP(-LN(2)/25)*EB138+(1-EXP(-LN(2)/25))/(LN(2)/25)*Calculateur!DW139*Calculateur!DY139*VLOOKUP('Données projet'!$B$9,Paramètres!$A$1:$I$88,3,0)*0.475*44/12</f>
        <v>0</v>
      </c>
      <c r="EC139" s="23">
        <f>EXP(-LN(2)/2)*EC138+(1-EXP(-LN(2)/2))/(LN(2)/2)*DW139*DZ139*VLOOKUP('Données projet'!$B$9,Paramètres!$A$1:$I$88,3,0)*0.475*44/12</f>
        <v>0</v>
      </c>
      <c r="ED139" s="24">
        <f t="shared" si="132"/>
        <v>0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IF(A139&lt;'Données projet'!$A$192,$EG$205^A139,IF(A139='Données projet'!$A$192,'Données projet'!$B$192,EJ138+EI139-ER138))</f>
        <v>-5.6843418860808015E-14</v>
      </c>
      <c r="EK139" s="18">
        <f>EJ139*VLOOKUP('Données projet'!$B$15,Paramètres!$A$1:$I$88,3,0)*VLOOKUP('Données projet'!$B$15,Paramètres!$A$1:$I$88,5,0)</f>
        <v>-2.6602720026858149E-14</v>
      </c>
      <c r="EL139" s="14" t="e">
        <f t="shared" si="157"/>
        <v>#NUM!</v>
      </c>
      <c r="EM139" s="22" t="e">
        <f t="shared" si="133"/>
        <v>#NUM!</v>
      </c>
      <c r="EN139" s="62" t="e">
        <f t="shared" si="134"/>
        <v>#NUM!</v>
      </c>
      <c r="EO139" s="62">
        <f ca="1">AVERAGE(OFFSET($EN$3,0,0,'Données projet'!$E$15+1,1))-AVERAGE(OFFSET($H$3,0,0,'Données projet'!$E$15+1,1))</f>
        <v>238.59014604384171</v>
      </c>
      <c r="EP139" s="62">
        <f t="shared" si="135"/>
        <v>90.841373219575217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projet'!$B$15,Paramètres!$A$1:$I$88,7,0))</f>
        <v>0</v>
      </c>
      <c r="ET139" s="17">
        <f>IF(ISNA(VLOOKUP(A139,'Données projet'!$A$191:$I$211,6,0)),0%,VLOOKUP(A139,'Données projet'!$A$191:$I$211,6,0)*VLOOKUP('Données projet'!$B$15,Paramètres!$A$1:$I$88,7,0))</f>
        <v>0</v>
      </c>
      <c r="EU139" s="17">
        <f>IF(ISNA(VLOOKUP(A139,'Données projet'!$A$191:$I$211,7,0)),0%,VLOOKUP(A139,'Données projet'!$A$191:$I$211,7,0))</f>
        <v>0</v>
      </c>
      <c r="EV139" s="23">
        <f>EXP(-LN(2)/35)*EV138+(1-EXP(-LN(2)/35))/(LN(2)/35)*ER139*ES139*VLOOKUP('Données projet'!$B$9,Paramètres!$A$1:$I$88,3,0)*0.475*44/12</f>
        <v>0</v>
      </c>
      <c r="EW139" s="23">
        <f>EXP(-LN(2)/25)*EW138+(1-EXP(-LN(2)/25))/(LN(2)/25)*Calculateur!ER139*Calculateur!ET139*VLOOKUP('Données projet'!$B$9,Paramètres!$A$1:$I$88,3,0)*0.475*44/12</f>
        <v>0</v>
      </c>
      <c r="EX139" s="23">
        <f>EXP(-LN(2)/2)*EX138+(1-EXP(-LN(2)/2))/(LN(2)/2)*ER139*EU139*VLOOKUP('Données projet'!$B$9,Paramètres!$A$1:$I$88,3,0)*0.475*44/12</f>
        <v>0</v>
      </c>
      <c r="EY139" s="24">
        <f t="shared" si="136"/>
        <v>0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IF(A139&lt;'Données projet'!$A$218,$FB$205^A139,IF(A139='Données projet'!$A$218,'Données projet'!$B$218,FE138+FD139-FM138))</f>
        <v>0</v>
      </c>
      <c r="FF139" s="18" t="e">
        <f>FE139*VLOOKUP('Données projet'!$B$16,Paramètres!$A$1:$I$88,3,0)*VLOOKUP('Données projet'!$B$16,Paramètres!$A$1:$I$88,5,0)</f>
        <v>#N/A</v>
      </c>
      <c r="FG139" s="14" t="e">
        <f t="shared" si="158"/>
        <v>#N/A</v>
      </c>
      <c r="FH139" s="22" t="e">
        <f t="shared" si="137"/>
        <v>#N/A</v>
      </c>
      <c r="FI139" s="62" t="e">
        <f t="shared" si="138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39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projet'!$B$16,Paramètres!$A$1:$I$88,7,0))</f>
        <v>0</v>
      </c>
      <c r="FO139" s="17">
        <f>IF(ISNA(VLOOKUP(A139,'Données projet'!$A$217:$I$237,6,0)),0%,VLOOKUP(A139,'Données projet'!$A$217:$I$237,6,0)*VLOOKUP('Données projet'!$B$16,Paramètres!$A$1:$I$88,7,0))</f>
        <v>0</v>
      </c>
      <c r="FP139" s="17">
        <f>IF(ISNA(VLOOKUP(A139,'Données projet'!$A$217:$I$237,7,0)),0%,VLOOKUP(A139,'Données projet'!$A$217:$I$237,7,0))</f>
        <v>0</v>
      </c>
      <c r="FQ139" s="23">
        <f>EXP(-LN(2)/35)*FQ138+(1-EXP(-LN(2)/35))/(LN(2)/35)*FM139*FN139*VLOOKUP('Données projet'!$B$9,Paramètres!$A$1:$I$88,3,0)*0.475*44/12</f>
        <v>0</v>
      </c>
      <c r="FR139" s="23">
        <f>EXP(-LN(2)/25)*FR138+(1-EXP(-LN(2)/25))/(LN(2)/25)*Calculateur!FM139*Calculateur!FO139*VLOOKUP('Données projet'!$B$9,Paramètres!$A$1:$I$88,3,0)*0.475*44/12</f>
        <v>0</v>
      </c>
      <c r="FS139" s="23">
        <f>EXP(-LN(2)/2)*FS138+(1-EXP(-LN(2)/2))/(LN(2)/2)*FM139*FP139*VLOOKUP('Données projet'!$B$9,Paramètres!$A$1:$I$88,3,0)*0.475*44/12</f>
        <v>0</v>
      </c>
      <c r="FT139" s="24">
        <f t="shared" si="140"/>
        <v>0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IF(A139&lt;'Données projet'!$A$244,$FW$205^A139,IF(A139='Données projet'!$A$244,'Données projet'!$B$244,FZ138+FY139-GH138))</f>
        <v>0</v>
      </c>
      <c r="GA139" s="18" t="e">
        <f>FZ139*VLOOKUP('Données projet'!$B$17,Paramètres!$A$1:$I$88,3,0)*VLOOKUP('Données projet'!$B$17,Paramètres!$A$1:$I$88,5,0)</f>
        <v>#N/A</v>
      </c>
      <c r="GB139" s="14" t="e">
        <f t="shared" si="159"/>
        <v>#N/A</v>
      </c>
      <c r="GC139" s="22" t="e">
        <f t="shared" si="141"/>
        <v>#N/A</v>
      </c>
      <c r="GD139" s="62" t="e">
        <f t="shared" si="142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43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projet'!$B$17,Paramètres!$A$1:$I$88,7,0))</f>
        <v>0</v>
      </c>
      <c r="GJ139" s="17">
        <f>IF(ISNA(VLOOKUP(A139,'Données projet'!$A$243:$I$263,6,0)),0%,VLOOKUP(A139,'Données projet'!$A$243:$I$263,6,0)*VLOOKUP('Données projet'!$B$17,Paramètres!$A$1:$I$88,7,0))</f>
        <v>0</v>
      </c>
      <c r="GK139" s="17">
        <f>IF(ISNA(VLOOKUP(A139,'Données projet'!$A$243:$I$263,7,0)),0%,VLOOKUP(A139,'Données projet'!$A$243:$I$263,7,0))</f>
        <v>0</v>
      </c>
      <c r="GL139" s="23">
        <f>EXP(-LN(2)/35)*GL138+(1-EXP(-LN(2)/35))/(LN(2)/35)*GH139*GI139*VLOOKUP('Données projet'!$B$9,Paramètres!$A$1:$I$88,3,0)*0.475*44/12</f>
        <v>0</v>
      </c>
      <c r="GM139" s="23">
        <f>EXP(-LN(2)/25)*GM138+(1-EXP(-LN(2)/25))/(LN(2)/25)*Calculateur!GH139*Calculateur!GJ139*VLOOKUP('Données projet'!$B$9,Paramètres!$A$1:$I$88,3,0)*0.475*44/12</f>
        <v>0</v>
      </c>
      <c r="GN139" s="23">
        <f>EXP(-LN(2)/2)*GN138+(1-EXP(-LN(2)/2))/(LN(2)/2)*GH139*GK139*VLOOKUP('Données projet'!$B$9,Paramètres!$A$1:$I$88,3,0)*0.475*44/12</f>
        <v>0</v>
      </c>
      <c r="GO139" s="23">
        <f t="shared" si="144"/>
        <v>0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IF(A139&lt;'Données projet'!$A$270,$GR$205^A139,IF(A139='Données projet'!$A$270,'Données projet'!$B$270,GU138+GT139-HC138))</f>
        <v>0</v>
      </c>
      <c r="GV139" s="18" t="e">
        <f>GU139*VLOOKUP('Données projet'!$B$18,Paramètres!$A$1:$I$88,3,0)*VLOOKUP('Données projet'!$B$18,Paramètres!$A$1:$I$88,5,0)</f>
        <v>#N/A</v>
      </c>
      <c r="GW139" s="14" t="e">
        <f t="shared" si="160"/>
        <v>#N/A</v>
      </c>
      <c r="GX139" s="22" t="e">
        <f t="shared" si="145"/>
        <v>#N/A</v>
      </c>
      <c r="GY139" s="62" t="e">
        <f t="shared" si="146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47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projet'!$B$18,Paramètres!$A$1:$I$88,7,0))</f>
        <v>0</v>
      </c>
      <c r="HE139" s="17">
        <f>IF(ISNA(VLOOKUP(A139,'Données projet'!$A$269:$I$289,6,0)),0%,VLOOKUP(A139,'Données projet'!$A$269:$I$289,6,0)*VLOOKUP('Données projet'!$B$18,Paramètres!$A$1:$I$88,7,0))</f>
        <v>0</v>
      </c>
      <c r="HF139" s="17">
        <f>IF(ISNA(VLOOKUP(A139,'Données projet'!$A$269:$I$289,7,0)),0%,VLOOKUP(A139,'Données projet'!$A$269:$I$289,7,0))</f>
        <v>0</v>
      </c>
      <c r="HG139" s="23">
        <f>EXP(-LN(2)/35)*HG138+(1-EXP(-LN(2)/35))/(LN(2)/35)*HC139*HD139*VLOOKUP('Données projet'!$B$9,Paramètres!$A$1:$I$88,3,0)*0.475*44/12</f>
        <v>0</v>
      </c>
      <c r="HH139" s="23">
        <f>EXP(-LN(2)/25)*HH138+(1-EXP(-LN(2)/25))/(LN(2)/25)*Calculateur!HC139*Calculateur!HE139*VLOOKUP('Données projet'!$B$9,Paramètres!$A$1:$I$88,3,0)*0.475*44/12</f>
        <v>0</v>
      </c>
      <c r="HI139" s="23">
        <f>EXP(-LN(2)/2)*HI138+(1-EXP(-LN(2)/2))/(LN(2)/2)*HC139*HF139*VLOOKUP('Données projet'!$B$9,Paramètres!$A$1:$I$88,3,0)*0.475*44/12</f>
        <v>0</v>
      </c>
      <c r="HJ139" s="24">
        <f t="shared" si="148"/>
        <v>0</v>
      </c>
    </row>
    <row r="140" spans="1:218" s="5" customFormat="1" x14ac:dyDescent="0.25">
      <c r="A140" s="11">
        <f t="shared" si="149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0" s="12">
        <f t="shared" si="15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111"/>
        <v>135.66666666666666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1.1879166666666663</v>
      </c>
      <c r="N140" s="14">
        <f>IF(A140&lt;'Données projet'!$A$36,$K$205^A140,IF(A140='Données projet'!$A$36,'Données projet'!$B$36,N139+M140-V139))</f>
        <v>123.84874999999998</v>
      </c>
      <c r="O140" s="14">
        <f>N140*VLOOKUP('Données projet'!$B$9,Paramètres!$A$1:$I$88,3,0)*VLOOKUP('Données projet'!$B$9,Paramètres!$A$1:$I$88,5,0)</f>
        <v>142.67375999999996</v>
      </c>
      <c r="P140" s="14">
        <f t="shared" si="151"/>
        <v>36.908850325906613</v>
      </c>
      <c r="Q140" s="22">
        <f t="shared" si="108"/>
        <v>312.77304631762058</v>
      </c>
      <c r="R140" s="62">
        <f t="shared" si="109"/>
        <v>593.43470520585379</v>
      </c>
      <c r="S140" s="62">
        <f ca="1">AVERAGE(OFFSET($R$3,0,0,'Données projet'!$E$9+1,1))-AVERAGE(OFFSET($H$3,0,0,'Données projet'!$E$9+1,1))</f>
        <v>314.72063458462026</v>
      </c>
      <c r="T140" s="62">
        <f t="shared" si="110"/>
        <v>216.4380325968244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projet'!$B$9,Paramètres!$A$1:$I$88,7,0))</f>
        <v>0</v>
      </c>
      <c r="X140" s="17">
        <f>IF(ISNA(VLOOKUP(A140,'Données projet'!$A$35:$I$55,6,0)),0%,VLOOKUP(A140,'Données projet'!$A$35:$I$55,6,0)*VLOOKUP('Données projet'!$B$9,Paramètres!$A$1:$I$88,7,0))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projet'!$B$9,Paramètres!$A$1:$I$88,3,0)*0.475*44/12</f>
        <v>0</v>
      </c>
      <c r="AA140" s="23">
        <f>EXP(-LN(2)/25)*AA139+(1-EXP(-LN(2)/25))/(LN(2)/25)*Calculateur!V140*Calculateur!X140*VLOOKUP('Données projet'!$B$9,Paramètres!$A$1:$I$88,3,0)*0.475*44/12</f>
        <v>0</v>
      </c>
      <c r="AB140" s="23">
        <f>EXP(-LN(2)/2)*AB139+(1-EXP(-LN(2)/2))/(LN(2)/2)*V140*Y140*VLOOKUP('Données projet'!$B$9,Paramètres!$A$1:$I$88,3,0)*0.475*44/12</f>
        <v>0</v>
      </c>
      <c r="AC140" s="24">
        <f t="shared" si="112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IF(A140&lt;'Données projet'!$A$62,$AF$205^A140,IF(A140='Données projet'!$A$62,'Données projet'!$B$62,AI139+AH140-AQ139))</f>
        <v>1.1368683772161603E-13</v>
      </c>
      <c r="AJ140" s="14">
        <f>AI140*VLOOKUP('Données projet'!$B$10,Paramètres!$A$1:$I$88,3,0)*VLOOKUP('Données projet'!$B$10,Paramètres!$A$1:$I$88,5,0)</f>
        <v>1.1882548278663309E-13</v>
      </c>
      <c r="AK140" s="14">
        <f t="shared" si="152"/>
        <v>1.7496137229198366E-12</v>
      </c>
      <c r="AL140" s="22">
        <f t="shared" si="113"/>
        <v>3.2541982832721012E-12</v>
      </c>
      <c r="AM140" s="62">
        <f t="shared" si="114"/>
        <v>280.66165888823645</v>
      </c>
      <c r="AN140" s="62">
        <f ca="1">AVERAGE(OFFSET($AM$3,0,0,'Données projet'!$E$10+1,1))-AVERAGE(OFFSET($H$3,0,0,'Données projet'!$E$10+1,1))</f>
        <v>458.33072853676879</v>
      </c>
      <c r="AO140" s="62">
        <f t="shared" si="115"/>
        <v>254.1734169352687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projet'!$B$10,Paramètres!$A$1:$I$88,7,0))</f>
        <v>0</v>
      </c>
      <c r="AS140" s="17">
        <f>IF(ISNA(VLOOKUP(A140,'Données projet'!$A$61:$I$81,6,0)),0%,VLOOKUP(A140,'Données projet'!$A$61:$I$81,6,0)*VLOOKUP('Données projet'!$B$10,Paramètres!$A$1:$I$88,7,0))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projet'!$B$9,Paramètres!$A$1:$I$88,3,0)*0.475*44/12</f>
        <v>0</v>
      </c>
      <c r="AV140" s="23">
        <f>EXP(-LN(2)/25)*AV139+(1-EXP(-LN(2)/25))/(LN(2)/25)*Calculateur!AQ140*Calculateur!AS140*VLOOKUP('Données projet'!$B$9,Paramètres!$A$1:$I$88,3,0)*0.475*44/12</f>
        <v>0</v>
      </c>
      <c r="AW140" s="23">
        <f>EXP(-LN(2)/2)*AW139+(1-EXP(-LN(2)/2))/(LN(2)/2)*AQ140*AT140*VLOOKUP('Données projet'!$B$9,Paramètres!$A$1:$I$88,3,0)*0.475*44/12</f>
        <v>0</v>
      </c>
      <c r="AX140" s="23">
        <f t="shared" si="116"/>
        <v>0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IF(A140&lt;'Données projet'!$A$88,$BA$205^A140,IF(A140='Données projet'!$A$88,'Données projet'!$B$88,BD139+BC140-BL139))</f>
        <v>1.1368683772161603E-13</v>
      </c>
      <c r="BE140" s="14">
        <f>BD140*VLOOKUP('Données projet'!$B$11,Paramètres!$A$1:$I$88,3,0)*VLOOKUP('Données projet'!$B$11,Paramètres!$A$1:$I$88,5,0)</f>
        <v>1.1527845344971866E-13</v>
      </c>
      <c r="BF140" s="14">
        <f t="shared" si="153"/>
        <v>1.7033846239409443E-12</v>
      </c>
      <c r="BG140" s="22">
        <f t="shared" si="117"/>
        <v>3.1675048597887374E-12</v>
      </c>
      <c r="BH140" s="62">
        <f t="shared" si="118"/>
        <v>280.66165888823639</v>
      </c>
      <c r="BI140" s="62">
        <f ca="1">AVERAGE(OFFSET($BH$3,0,0,'Données projet'!$E$11+1,1))-AVERAGE(OFFSET($H$3,0,0,'Données projet'!$E$11+1,1))</f>
        <v>447.82618173893104</v>
      </c>
      <c r="BJ140" s="62">
        <f t="shared" si="119"/>
        <v>248.96509970783379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projet'!$B$11,Paramètres!$A$1:$I$88,7,0))</f>
        <v>0</v>
      </c>
      <c r="BN140" s="17">
        <f>IF(ISNA(VLOOKUP(A140,'Données projet'!$A$87:$I$107,6,0)),0%,VLOOKUP(A140,'Données projet'!$A$87:$I$107,6,0)*VLOOKUP('Données projet'!$B$11,Paramètres!$A$1:$I$88,7,0))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projet'!$B$9,Paramètres!$A$1:$I$88,3,0)*0.475*44/12</f>
        <v>0</v>
      </c>
      <c r="BQ140" s="23">
        <f>EXP(-LN(2)/25)*BQ139+(1-EXP(-LN(2)/25))/(LN(2)/25)*Calculateur!BL140*Calculateur!BN140*VLOOKUP('Données projet'!$B$9,Paramètres!$A$1:$I$88,3,0)*0.475*44/12</f>
        <v>0</v>
      </c>
      <c r="BR140" s="23">
        <f>EXP(-LN(2)/2)*BR139+(1-EXP(-LN(2)/2))/(LN(2)/2)*BL140*BO140*VLOOKUP('Données projet'!$B$9,Paramètres!$A$1:$I$88,3,0)*0.475*44/12</f>
        <v>0</v>
      </c>
      <c r="BS140" s="24">
        <f t="shared" si="120"/>
        <v>0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IF(A140&lt;'Données projet'!$A$114,$BV$205^A140,IF(A140='Données projet'!$A$114,'Données projet'!$B$114,BY139+BX140-CG139))</f>
        <v>1.1368683772161603E-13</v>
      </c>
      <c r="BZ140" s="14">
        <f>BY140*VLOOKUP('Données projet'!$B$12,Paramètres!$A$1:$I$88,3,0)*VLOOKUP('Données projet'!$B$12,Paramètres!$A$1:$I$88,5,0)</f>
        <v>1.223725121235475E-13</v>
      </c>
      <c r="CA140" s="14">
        <f t="shared" si="154"/>
        <v>1.7956824466038182E-12</v>
      </c>
      <c r="CB140" s="22">
        <f t="shared" si="121"/>
        <v>3.3406123864501612E-12</v>
      </c>
      <c r="CC140" s="62">
        <f t="shared" si="122"/>
        <v>280.66165888823656</v>
      </c>
      <c r="CD140" s="62">
        <f ca="1">AVERAGE(OFFSET($CC$3,0,0,'Données projet'!$E$12+1,1))-AVERAGE(OFFSET($H$3,0,0,'Données projet'!$E$12+1,1))</f>
        <v>468.82871618425406</v>
      </c>
      <c r="CE140" s="62">
        <f t="shared" si="123"/>
        <v>259.37818128554397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projet'!$B$12,Paramètres!$A$1:$I$88,7,0))</f>
        <v>0</v>
      </c>
      <c r="CI140" s="17">
        <f>IF(ISNA(VLOOKUP(A140,'Données projet'!$A$113:$I$133,6,0)),0%,VLOOKUP(A140,'Données projet'!$A$113:$I$133,6,0)*VLOOKUP('Données projet'!$B$12,Paramètres!$A$1:$I$88,7,0))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projet'!$B$9,Paramètres!$A$1:$I$88,3,0)*0.475*44/12</f>
        <v>0</v>
      </c>
      <c r="CL140" s="23">
        <f>EXP(-LN(2)/25)*CL139+(1-EXP(-LN(2)/25))/(LN(2)/25)*Calculateur!CG140*Calculateur!CI140*VLOOKUP('Données projet'!$B$9,Paramètres!$A$1:$I$88,3,0)*0.475*44/12</f>
        <v>0</v>
      </c>
      <c r="CM140" s="23">
        <f>EXP(-LN(2)/2)*CM139+(1-EXP(-LN(2)/2))/(LN(2)/2)*CG140*CJ140*VLOOKUP('Données projet'!$B$9,Paramètres!$A$1:$I$88,3,0)*0.475*44/12</f>
        <v>0</v>
      </c>
      <c r="CN140" s="24">
        <f t="shared" si="124"/>
        <v>0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IF(A140&lt;'Données projet'!$A$140,$CQ$205^A140,IF(A140='Données projet'!$A$140,'Données projet'!$B$140,CT139+CS140-DB139))</f>
        <v>1.1368683772161603E-13</v>
      </c>
      <c r="CU140" s="18">
        <f>CT140*VLOOKUP('Données projet'!$B$13,Paramètres!$A$1:$I$88,3,0)*VLOOKUP('Données projet'!$B$13,Paramètres!$A$1:$I$88,5,0)</f>
        <v>9.7543306765146564E-14</v>
      </c>
      <c r="CV140" s="14">
        <f t="shared" si="155"/>
        <v>1.4696264278629426E-12</v>
      </c>
      <c r="CW140" s="22">
        <f t="shared" si="125"/>
        <v>2.7294872878105889E-12</v>
      </c>
      <c r="CX140" s="62">
        <f t="shared" si="126"/>
        <v>280.66165888823593</v>
      </c>
      <c r="CY140" s="62">
        <f ca="1">AVERAGE(OFFSET($CX$3,0,0,'Données projet'!$E$13+1,1))-AVERAGE(OFFSET($H$3,0,0,'Données projet'!$E$13+1,1))</f>
        <v>395.19659151668884</v>
      </c>
      <c r="CZ140" s="62">
        <f t="shared" si="127"/>
        <v>222.86563304507339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projet'!$B$13,Paramètres!$A$1:$I$88,7,0))</f>
        <v>0</v>
      </c>
      <c r="DD140" s="17">
        <f>IF(ISNA(VLOOKUP(A140,'Données projet'!$A$139:$I$159,6,0)),0%,VLOOKUP(A140,'Données projet'!$A$139:$I$159,6,0)*VLOOKUP('Données projet'!$B$13,Paramètres!$A$1:$I$88,7,0))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projet'!$B$9,Paramètres!$A$1:$I$88,3,0)*0.475*44/12</f>
        <v>0</v>
      </c>
      <c r="DG140" s="23">
        <f>EXP(-LN(2)/25)*DG139+(1-EXP(-LN(2)/25))/(LN(2)/25)*Calculateur!DB140*Calculateur!DD140*VLOOKUP('Données projet'!$B$9,Paramètres!$A$1:$I$88,3,0)*0.475*44/12</f>
        <v>0</v>
      </c>
      <c r="DH140" s="23">
        <f>EXP(-LN(2)/2)*DH139+(1-EXP(-LN(2)/2))/(LN(2)/2)*DB140*DE140*VLOOKUP('Données projet'!$B$9,Paramètres!$A$1:$I$88,3,0)*0.475*44/12</f>
        <v>0</v>
      </c>
      <c r="DI140" s="24">
        <f t="shared" si="128"/>
        <v>0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IF(A140&lt;'Données projet'!$A$166,$DL$205^A140,IF(A140='Données projet'!$A$166,'Données projet'!$B$166,DO139+DN140-DW139))</f>
        <v>-8.5265128291212022E-14</v>
      </c>
      <c r="DP140" s="18">
        <f>DO140*VLOOKUP('Données projet'!$B$14,Paramètres!$A$1:$I$88,3,0)*VLOOKUP('Données projet'!$B$14,Paramètres!$A$1:$I$88,5,0)</f>
        <v>-4.9880100050359036E-14</v>
      </c>
      <c r="DQ140" s="14" t="e">
        <f t="shared" si="156"/>
        <v>#NUM!</v>
      </c>
      <c r="DR140" s="22" t="e">
        <f t="shared" si="129"/>
        <v>#NUM!</v>
      </c>
      <c r="DS140" s="62" t="e">
        <f t="shared" si="130"/>
        <v>#NUM!</v>
      </c>
      <c r="DT140" s="62">
        <f ca="1">AVERAGE(OFFSET($DS$3,0,0,'Données projet'!$E$14+1,1))-AVERAGE(OFFSET($H$3,0,0,'Données projet'!$E$14+1,1))</f>
        <v>155.18073137151848</v>
      </c>
      <c r="DU140" s="62">
        <f t="shared" si="131"/>
        <v>115.19459155667272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projet'!$B$14,Paramètres!$A$1:$I$88,7,0))</f>
        <v>0</v>
      </c>
      <c r="DY140" s="17">
        <f>IF(ISNA(VLOOKUP(A140,'Données projet'!$A$165:$I$185,6,0)),0%,VLOOKUP(A140,'Données projet'!$A$165:$I$185,6,0)*VLOOKUP('Données projet'!$B$14,Paramètres!$A$1:$I$88,7,0))</f>
        <v>0</v>
      </c>
      <c r="DZ140" s="17">
        <f>IF(ISNA(VLOOKUP(A140,'Données projet'!$A$165:$I$185,7,0)),0%,VLOOKUP(A140,'Données projet'!$A$165:$I$185,7,0))</f>
        <v>0</v>
      </c>
      <c r="EA140" s="23">
        <f>EXP(-LN(2)/35)*EA139+(1-EXP(-LN(2)/35))/(LN(2)/35)*DW140*DX140*VLOOKUP('Données projet'!$B$9,Paramètres!$A$1:$I$88,3,0)*0.475*44/12</f>
        <v>0</v>
      </c>
      <c r="EB140" s="23">
        <f>EXP(-LN(2)/25)*EB139+(1-EXP(-LN(2)/25))/(LN(2)/25)*Calculateur!DW140*Calculateur!DY140*VLOOKUP('Données projet'!$B$9,Paramètres!$A$1:$I$88,3,0)*0.475*44/12</f>
        <v>0</v>
      </c>
      <c r="EC140" s="23">
        <f>EXP(-LN(2)/2)*EC139+(1-EXP(-LN(2)/2))/(LN(2)/2)*DW140*DZ140*VLOOKUP('Données projet'!$B$9,Paramètres!$A$1:$I$88,3,0)*0.475*44/12</f>
        <v>0</v>
      </c>
      <c r="ED140" s="24">
        <f t="shared" si="132"/>
        <v>0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IF(A140&lt;'Données projet'!$A$192,$EG$205^A140,IF(A140='Données projet'!$A$192,'Données projet'!$B$192,EJ139+EI140-ER139))</f>
        <v>-5.6843418860808015E-14</v>
      </c>
      <c r="EK140" s="18">
        <f>EJ140*VLOOKUP('Données projet'!$B$15,Paramètres!$A$1:$I$88,3,0)*VLOOKUP('Données projet'!$B$15,Paramètres!$A$1:$I$88,5,0)</f>
        <v>-2.6602720026858149E-14</v>
      </c>
      <c r="EL140" s="14" t="e">
        <f t="shared" si="157"/>
        <v>#NUM!</v>
      </c>
      <c r="EM140" s="22" t="e">
        <f t="shared" si="133"/>
        <v>#NUM!</v>
      </c>
      <c r="EN140" s="62" t="e">
        <f t="shared" si="134"/>
        <v>#NUM!</v>
      </c>
      <c r="EO140" s="62">
        <f ca="1">AVERAGE(OFFSET($EN$3,0,0,'Données projet'!$E$15+1,1))-AVERAGE(OFFSET($H$3,0,0,'Données projet'!$E$15+1,1))</f>
        <v>238.59014604384171</v>
      </c>
      <c r="EP140" s="62">
        <f t="shared" si="135"/>
        <v>90.841373219575217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projet'!$B$15,Paramètres!$A$1:$I$88,7,0))</f>
        <v>0</v>
      </c>
      <c r="ET140" s="17">
        <f>IF(ISNA(VLOOKUP(A140,'Données projet'!$A$191:$I$211,6,0)),0%,VLOOKUP(A140,'Données projet'!$A$191:$I$211,6,0)*VLOOKUP('Données projet'!$B$15,Paramètres!$A$1:$I$88,7,0))</f>
        <v>0</v>
      </c>
      <c r="EU140" s="17">
        <f>IF(ISNA(VLOOKUP(A140,'Données projet'!$A$191:$I$211,7,0)),0%,VLOOKUP(A140,'Données projet'!$A$191:$I$211,7,0))</f>
        <v>0</v>
      </c>
      <c r="EV140" s="23">
        <f>EXP(-LN(2)/35)*EV139+(1-EXP(-LN(2)/35))/(LN(2)/35)*ER140*ES140*VLOOKUP('Données projet'!$B$9,Paramètres!$A$1:$I$88,3,0)*0.475*44/12</f>
        <v>0</v>
      </c>
      <c r="EW140" s="23">
        <f>EXP(-LN(2)/25)*EW139+(1-EXP(-LN(2)/25))/(LN(2)/25)*Calculateur!ER140*Calculateur!ET140*VLOOKUP('Données projet'!$B$9,Paramètres!$A$1:$I$88,3,0)*0.475*44/12</f>
        <v>0</v>
      </c>
      <c r="EX140" s="23">
        <f>EXP(-LN(2)/2)*EX139+(1-EXP(-LN(2)/2))/(LN(2)/2)*ER140*EU140*VLOOKUP('Données projet'!$B$9,Paramètres!$A$1:$I$88,3,0)*0.475*44/12</f>
        <v>0</v>
      </c>
      <c r="EY140" s="24">
        <f t="shared" si="136"/>
        <v>0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IF(A140&lt;'Données projet'!$A$218,$FB$205^A140,IF(A140='Données projet'!$A$218,'Données projet'!$B$218,FE139+FD140-FM139))</f>
        <v>0</v>
      </c>
      <c r="FF140" s="18" t="e">
        <f>FE140*VLOOKUP('Données projet'!$B$16,Paramètres!$A$1:$I$88,3,0)*VLOOKUP('Données projet'!$B$16,Paramètres!$A$1:$I$88,5,0)</f>
        <v>#N/A</v>
      </c>
      <c r="FG140" s="14" t="e">
        <f t="shared" si="158"/>
        <v>#N/A</v>
      </c>
      <c r="FH140" s="22" t="e">
        <f t="shared" si="137"/>
        <v>#N/A</v>
      </c>
      <c r="FI140" s="62" t="e">
        <f t="shared" si="138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39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projet'!$B$16,Paramètres!$A$1:$I$88,7,0))</f>
        <v>0</v>
      </c>
      <c r="FO140" s="17">
        <f>IF(ISNA(VLOOKUP(A140,'Données projet'!$A$217:$I$237,6,0)),0%,VLOOKUP(A140,'Données projet'!$A$217:$I$237,6,0)*VLOOKUP('Données projet'!$B$16,Paramètres!$A$1:$I$88,7,0))</f>
        <v>0</v>
      </c>
      <c r="FP140" s="17">
        <f>IF(ISNA(VLOOKUP(A140,'Données projet'!$A$217:$I$237,7,0)),0%,VLOOKUP(A140,'Données projet'!$A$217:$I$237,7,0))</f>
        <v>0</v>
      </c>
      <c r="FQ140" s="23">
        <f>EXP(-LN(2)/35)*FQ139+(1-EXP(-LN(2)/35))/(LN(2)/35)*FM140*FN140*VLOOKUP('Données projet'!$B$9,Paramètres!$A$1:$I$88,3,0)*0.475*44/12</f>
        <v>0</v>
      </c>
      <c r="FR140" s="23">
        <f>EXP(-LN(2)/25)*FR139+(1-EXP(-LN(2)/25))/(LN(2)/25)*Calculateur!FM140*Calculateur!FO140*VLOOKUP('Données projet'!$B$9,Paramètres!$A$1:$I$88,3,0)*0.475*44/12</f>
        <v>0</v>
      </c>
      <c r="FS140" s="23">
        <f>EXP(-LN(2)/2)*FS139+(1-EXP(-LN(2)/2))/(LN(2)/2)*FM140*FP140*VLOOKUP('Données projet'!$B$9,Paramètres!$A$1:$I$88,3,0)*0.475*44/12</f>
        <v>0</v>
      </c>
      <c r="FT140" s="24">
        <f t="shared" si="140"/>
        <v>0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IF(A140&lt;'Données projet'!$A$244,$FW$205^A140,IF(A140='Données projet'!$A$244,'Données projet'!$B$244,FZ139+FY140-GH139))</f>
        <v>0</v>
      </c>
      <c r="GA140" s="18" t="e">
        <f>FZ140*VLOOKUP('Données projet'!$B$17,Paramètres!$A$1:$I$88,3,0)*VLOOKUP('Données projet'!$B$17,Paramètres!$A$1:$I$88,5,0)</f>
        <v>#N/A</v>
      </c>
      <c r="GB140" s="14" t="e">
        <f t="shared" si="159"/>
        <v>#N/A</v>
      </c>
      <c r="GC140" s="22" t="e">
        <f t="shared" si="141"/>
        <v>#N/A</v>
      </c>
      <c r="GD140" s="62" t="e">
        <f t="shared" si="142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43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projet'!$B$17,Paramètres!$A$1:$I$88,7,0))</f>
        <v>0</v>
      </c>
      <c r="GJ140" s="17">
        <f>IF(ISNA(VLOOKUP(A140,'Données projet'!$A$243:$I$263,6,0)),0%,VLOOKUP(A140,'Données projet'!$A$243:$I$263,6,0)*VLOOKUP('Données projet'!$B$17,Paramètres!$A$1:$I$88,7,0))</f>
        <v>0</v>
      </c>
      <c r="GK140" s="17">
        <f>IF(ISNA(VLOOKUP(A140,'Données projet'!$A$243:$I$263,7,0)),0%,VLOOKUP(A140,'Données projet'!$A$243:$I$263,7,0))</f>
        <v>0</v>
      </c>
      <c r="GL140" s="23">
        <f>EXP(-LN(2)/35)*GL139+(1-EXP(-LN(2)/35))/(LN(2)/35)*GH140*GI140*VLOOKUP('Données projet'!$B$9,Paramètres!$A$1:$I$88,3,0)*0.475*44/12</f>
        <v>0</v>
      </c>
      <c r="GM140" s="23">
        <f>EXP(-LN(2)/25)*GM139+(1-EXP(-LN(2)/25))/(LN(2)/25)*Calculateur!GH140*Calculateur!GJ140*VLOOKUP('Données projet'!$B$9,Paramètres!$A$1:$I$88,3,0)*0.475*44/12</f>
        <v>0</v>
      </c>
      <c r="GN140" s="23">
        <f>EXP(-LN(2)/2)*GN139+(1-EXP(-LN(2)/2))/(LN(2)/2)*GH140*GK140*VLOOKUP('Données projet'!$B$9,Paramètres!$A$1:$I$88,3,0)*0.475*44/12</f>
        <v>0</v>
      </c>
      <c r="GO140" s="23">
        <f t="shared" si="144"/>
        <v>0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IF(A140&lt;'Données projet'!$A$270,$GR$205^A140,IF(A140='Données projet'!$A$270,'Données projet'!$B$270,GU139+GT140-HC139))</f>
        <v>0</v>
      </c>
      <c r="GV140" s="18" t="e">
        <f>GU140*VLOOKUP('Données projet'!$B$18,Paramètres!$A$1:$I$88,3,0)*VLOOKUP('Données projet'!$B$18,Paramètres!$A$1:$I$88,5,0)</f>
        <v>#N/A</v>
      </c>
      <c r="GW140" s="14" t="e">
        <f t="shared" si="160"/>
        <v>#N/A</v>
      </c>
      <c r="GX140" s="22" t="e">
        <f t="shared" si="145"/>
        <v>#N/A</v>
      </c>
      <c r="GY140" s="62" t="e">
        <f t="shared" si="146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47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projet'!$B$18,Paramètres!$A$1:$I$88,7,0))</f>
        <v>0</v>
      </c>
      <c r="HE140" s="17">
        <f>IF(ISNA(VLOOKUP(A140,'Données projet'!$A$269:$I$289,6,0)),0%,VLOOKUP(A140,'Données projet'!$A$269:$I$289,6,0)*VLOOKUP('Données projet'!$B$18,Paramètres!$A$1:$I$88,7,0))</f>
        <v>0</v>
      </c>
      <c r="HF140" s="17">
        <f>IF(ISNA(VLOOKUP(A140,'Données projet'!$A$269:$I$289,7,0)),0%,VLOOKUP(A140,'Données projet'!$A$269:$I$289,7,0))</f>
        <v>0</v>
      </c>
      <c r="HG140" s="23">
        <f>EXP(-LN(2)/35)*HG139+(1-EXP(-LN(2)/35))/(LN(2)/35)*HC140*HD140*VLOOKUP('Données projet'!$B$9,Paramètres!$A$1:$I$88,3,0)*0.475*44/12</f>
        <v>0</v>
      </c>
      <c r="HH140" s="23">
        <f>EXP(-LN(2)/25)*HH139+(1-EXP(-LN(2)/25))/(LN(2)/25)*Calculateur!HC140*Calculateur!HE140*VLOOKUP('Données projet'!$B$9,Paramètres!$A$1:$I$88,3,0)*0.475*44/12</f>
        <v>0</v>
      </c>
      <c r="HI140" s="23">
        <f>EXP(-LN(2)/2)*HI139+(1-EXP(-LN(2)/2))/(LN(2)/2)*HC140*HF140*VLOOKUP('Données projet'!$B$9,Paramètres!$A$1:$I$88,3,0)*0.475*44/12</f>
        <v>0</v>
      </c>
      <c r="HJ140" s="24">
        <f t="shared" si="148"/>
        <v>0</v>
      </c>
    </row>
    <row r="141" spans="1:218" s="5" customFormat="1" x14ac:dyDescent="0.25">
      <c r="A141" s="11">
        <f t="shared" si="149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1" s="12">
        <f t="shared" si="15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111"/>
        <v>135.66666666666666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1.1879166666666663</v>
      </c>
      <c r="N141" s="14">
        <f>IF(A141&lt;'Données projet'!$A$36,$K$205^A141,IF(A141='Données projet'!$A$36,'Données projet'!$B$36,N140+M141-V140))</f>
        <v>125.03666666666665</v>
      </c>
      <c r="O141" s="14">
        <f>N141*VLOOKUP('Données projet'!$B$9,Paramètres!$A$1:$I$88,3,0)*VLOOKUP('Données projet'!$B$9,Paramètres!$A$1:$I$88,5,0)</f>
        <v>144.04223999999996</v>
      </c>
      <c r="P141" s="14">
        <f t="shared" si="151"/>
        <v>37.221486284480982</v>
      </c>
      <c r="Q141" s="22">
        <f t="shared" si="108"/>
        <v>315.70098994547101</v>
      </c>
      <c r="R141" s="62">
        <f t="shared" si="109"/>
        <v>596.58247405570671</v>
      </c>
      <c r="S141" s="62">
        <f ca="1">AVERAGE(OFFSET($R$3,0,0,'Données projet'!$E$9+1,1))-AVERAGE(OFFSET($H$3,0,0,'Données projet'!$E$9+1,1))</f>
        <v>314.72063458462026</v>
      </c>
      <c r="T141" s="62">
        <f t="shared" si="110"/>
        <v>216.4380325968244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projet'!$B$9,Paramètres!$A$1:$I$88,7,0))</f>
        <v>0</v>
      </c>
      <c r="X141" s="17">
        <f>IF(ISNA(VLOOKUP(A141,'Données projet'!$A$35:$I$55,6,0)),0%,VLOOKUP(A141,'Données projet'!$A$35:$I$55,6,0)*VLOOKUP('Données projet'!$B$9,Paramètres!$A$1:$I$88,7,0))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projet'!$B$9,Paramètres!$A$1:$I$88,3,0)*0.475*44/12</f>
        <v>0</v>
      </c>
      <c r="AA141" s="23">
        <f>EXP(-LN(2)/25)*AA140+(1-EXP(-LN(2)/25))/(LN(2)/25)*Calculateur!V141*Calculateur!X141*VLOOKUP('Données projet'!$B$9,Paramètres!$A$1:$I$88,3,0)*0.475*44/12</f>
        <v>0</v>
      </c>
      <c r="AB141" s="23">
        <f>EXP(-LN(2)/2)*AB140+(1-EXP(-LN(2)/2))/(LN(2)/2)*V141*Y141*VLOOKUP('Données projet'!$B$9,Paramètres!$A$1:$I$88,3,0)*0.475*44/12</f>
        <v>0</v>
      </c>
      <c r="AC141" s="24">
        <f t="shared" si="112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IF(A141&lt;'Données projet'!$A$62,$AF$205^A141,IF(A141='Données projet'!$A$62,'Données projet'!$B$62,AI140+AH141-AQ140))</f>
        <v>1.1368683772161603E-13</v>
      </c>
      <c r="AJ141" s="14">
        <f>AI141*VLOOKUP('Données projet'!$B$10,Paramètres!$A$1:$I$88,3,0)*VLOOKUP('Données projet'!$B$10,Paramètres!$A$1:$I$88,5,0)</f>
        <v>1.1882548278663309E-13</v>
      </c>
      <c r="AK141" s="14">
        <f t="shared" si="152"/>
        <v>1.7496137229198366E-12</v>
      </c>
      <c r="AL141" s="22">
        <f t="shared" si="113"/>
        <v>3.2541982832721012E-12</v>
      </c>
      <c r="AM141" s="62">
        <f t="shared" si="114"/>
        <v>280.88148411023894</v>
      </c>
      <c r="AN141" s="62">
        <f ca="1">AVERAGE(OFFSET($AM$3,0,0,'Données projet'!$E$10+1,1))-AVERAGE(OFFSET($H$3,0,0,'Données projet'!$E$10+1,1))</f>
        <v>458.33072853676879</v>
      </c>
      <c r="AO141" s="62">
        <f t="shared" si="115"/>
        <v>254.1734169352687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projet'!$B$10,Paramètres!$A$1:$I$88,7,0))</f>
        <v>0</v>
      </c>
      <c r="AS141" s="17">
        <f>IF(ISNA(VLOOKUP(A141,'Données projet'!$A$61:$I$81,6,0)),0%,VLOOKUP(A141,'Données projet'!$A$61:$I$81,6,0)*VLOOKUP('Données projet'!$B$10,Paramètres!$A$1:$I$88,7,0))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projet'!$B$9,Paramètres!$A$1:$I$88,3,0)*0.475*44/12</f>
        <v>0</v>
      </c>
      <c r="AV141" s="23">
        <f>EXP(-LN(2)/25)*AV140+(1-EXP(-LN(2)/25))/(LN(2)/25)*Calculateur!AQ141*Calculateur!AS141*VLOOKUP('Données projet'!$B$9,Paramètres!$A$1:$I$88,3,0)*0.475*44/12</f>
        <v>0</v>
      </c>
      <c r="AW141" s="23">
        <f>EXP(-LN(2)/2)*AW140+(1-EXP(-LN(2)/2))/(LN(2)/2)*AQ141*AT141*VLOOKUP('Données projet'!$B$9,Paramètres!$A$1:$I$88,3,0)*0.475*44/12</f>
        <v>0</v>
      </c>
      <c r="AX141" s="23">
        <f t="shared" si="116"/>
        <v>0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IF(A141&lt;'Données projet'!$A$88,$BA$205^A141,IF(A141='Données projet'!$A$88,'Données projet'!$B$88,BD140+BC141-BL140))</f>
        <v>1.1368683772161603E-13</v>
      </c>
      <c r="BE141" s="14">
        <f>BD141*VLOOKUP('Données projet'!$B$11,Paramètres!$A$1:$I$88,3,0)*VLOOKUP('Données projet'!$B$11,Paramètres!$A$1:$I$88,5,0)</f>
        <v>1.1527845344971866E-13</v>
      </c>
      <c r="BF141" s="14">
        <f t="shared" si="153"/>
        <v>1.7033846239409443E-12</v>
      </c>
      <c r="BG141" s="22">
        <f t="shared" si="117"/>
        <v>3.1675048597887374E-12</v>
      </c>
      <c r="BH141" s="62">
        <f t="shared" si="118"/>
        <v>280.88148411023889</v>
      </c>
      <c r="BI141" s="62">
        <f ca="1">AVERAGE(OFFSET($BH$3,0,0,'Données projet'!$E$11+1,1))-AVERAGE(OFFSET($H$3,0,0,'Données projet'!$E$11+1,1))</f>
        <v>447.82618173893104</v>
      </c>
      <c r="BJ141" s="62">
        <f t="shared" si="119"/>
        <v>248.96509970783379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projet'!$B$11,Paramètres!$A$1:$I$88,7,0))</f>
        <v>0</v>
      </c>
      <c r="BN141" s="17">
        <f>IF(ISNA(VLOOKUP(A141,'Données projet'!$A$87:$I$107,6,0)),0%,VLOOKUP(A141,'Données projet'!$A$87:$I$107,6,0)*VLOOKUP('Données projet'!$B$11,Paramètres!$A$1:$I$88,7,0))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projet'!$B$9,Paramètres!$A$1:$I$88,3,0)*0.475*44/12</f>
        <v>0</v>
      </c>
      <c r="BQ141" s="23">
        <f>EXP(-LN(2)/25)*BQ140+(1-EXP(-LN(2)/25))/(LN(2)/25)*Calculateur!BL141*Calculateur!BN141*VLOOKUP('Données projet'!$B$9,Paramètres!$A$1:$I$88,3,0)*0.475*44/12</f>
        <v>0</v>
      </c>
      <c r="BR141" s="23">
        <f>EXP(-LN(2)/2)*BR140+(1-EXP(-LN(2)/2))/(LN(2)/2)*BL141*BO141*VLOOKUP('Données projet'!$B$9,Paramètres!$A$1:$I$88,3,0)*0.475*44/12</f>
        <v>0</v>
      </c>
      <c r="BS141" s="24">
        <f t="shared" si="120"/>
        <v>0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IF(A141&lt;'Données projet'!$A$114,$BV$205^A141,IF(A141='Données projet'!$A$114,'Données projet'!$B$114,BY140+BX141-CG140))</f>
        <v>1.1368683772161603E-13</v>
      </c>
      <c r="BZ141" s="14">
        <f>BY141*VLOOKUP('Données projet'!$B$12,Paramètres!$A$1:$I$88,3,0)*VLOOKUP('Données projet'!$B$12,Paramètres!$A$1:$I$88,5,0)</f>
        <v>1.223725121235475E-13</v>
      </c>
      <c r="CA141" s="14">
        <f t="shared" si="154"/>
        <v>1.7956824466038182E-12</v>
      </c>
      <c r="CB141" s="22">
        <f t="shared" si="121"/>
        <v>3.3406123864501612E-12</v>
      </c>
      <c r="CC141" s="62">
        <f t="shared" si="122"/>
        <v>280.88148411023906</v>
      </c>
      <c r="CD141" s="62">
        <f ca="1">AVERAGE(OFFSET($CC$3,0,0,'Données projet'!$E$12+1,1))-AVERAGE(OFFSET($H$3,0,0,'Données projet'!$E$12+1,1))</f>
        <v>468.82871618425406</v>
      </c>
      <c r="CE141" s="62">
        <f t="shared" si="123"/>
        <v>259.37818128554397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projet'!$B$12,Paramètres!$A$1:$I$88,7,0))</f>
        <v>0</v>
      </c>
      <c r="CI141" s="17">
        <f>IF(ISNA(VLOOKUP(A141,'Données projet'!$A$113:$I$133,6,0)),0%,VLOOKUP(A141,'Données projet'!$A$113:$I$133,6,0)*VLOOKUP('Données projet'!$B$12,Paramètres!$A$1:$I$88,7,0))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projet'!$B$9,Paramètres!$A$1:$I$88,3,0)*0.475*44/12</f>
        <v>0</v>
      </c>
      <c r="CL141" s="23">
        <f>EXP(-LN(2)/25)*CL140+(1-EXP(-LN(2)/25))/(LN(2)/25)*Calculateur!CG141*Calculateur!CI141*VLOOKUP('Données projet'!$B$9,Paramètres!$A$1:$I$88,3,0)*0.475*44/12</f>
        <v>0</v>
      </c>
      <c r="CM141" s="23">
        <f>EXP(-LN(2)/2)*CM140+(1-EXP(-LN(2)/2))/(LN(2)/2)*CG141*CJ141*VLOOKUP('Données projet'!$B$9,Paramètres!$A$1:$I$88,3,0)*0.475*44/12</f>
        <v>0</v>
      </c>
      <c r="CN141" s="24">
        <f t="shared" si="124"/>
        <v>0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IF(A141&lt;'Données projet'!$A$140,$CQ$205^A141,IF(A141='Données projet'!$A$140,'Données projet'!$B$140,CT140+CS141-DB140))</f>
        <v>1.1368683772161603E-13</v>
      </c>
      <c r="CU141" s="18">
        <f>CT141*VLOOKUP('Données projet'!$B$13,Paramètres!$A$1:$I$88,3,0)*VLOOKUP('Données projet'!$B$13,Paramètres!$A$1:$I$88,5,0)</f>
        <v>9.7543306765146564E-14</v>
      </c>
      <c r="CV141" s="14">
        <f t="shared" si="155"/>
        <v>1.4696264278629426E-12</v>
      </c>
      <c r="CW141" s="22">
        <f t="shared" si="125"/>
        <v>2.7294872878105889E-12</v>
      </c>
      <c r="CX141" s="62">
        <f t="shared" si="126"/>
        <v>280.88148411023843</v>
      </c>
      <c r="CY141" s="62">
        <f ca="1">AVERAGE(OFFSET($CX$3,0,0,'Données projet'!$E$13+1,1))-AVERAGE(OFFSET($H$3,0,0,'Données projet'!$E$13+1,1))</f>
        <v>395.19659151668884</v>
      </c>
      <c r="CZ141" s="62">
        <f t="shared" si="127"/>
        <v>222.86563304507339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projet'!$B$13,Paramètres!$A$1:$I$88,7,0))</f>
        <v>0</v>
      </c>
      <c r="DD141" s="17">
        <f>IF(ISNA(VLOOKUP(A141,'Données projet'!$A$139:$I$159,6,0)),0%,VLOOKUP(A141,'Données projet'!$A$139:$I$159,6,0)*VLOOKUP('Données projet'!$B$13,Paramètres!$A$1:$I$88,7,0))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projet'!$B$9,Paramètres!$A$1:$I$88,3,0)*0.475*44/12</f>
        <v>0</v>
      </c>
      <c r="DG141" s="23">
        <f>EXP(-LN(2)/25)*DG140+(1-EXP(-LN(2)/25))/(LN(2)/25)*Calculateur!DB141*Calculateur!DD141*VLOOKUP('Données projet'!$B$9,Paramètres!$A$1:$I$88,3,0)*0.475*44/12</f>
        <v>0</v>
      </c>
      <c r="DH141" s="23">
        <f>EXP(-LN(2)/2)*DH140+(1-EXP(-LN(2)/2))/(LN(2)/2)*DB141*DE141*VLOOKUP('Données projet'!$B$9,Paramètres!$A$1:$I$88,3,0)*0.475*44/12</f>
        <v>0</v>
      </c>
      <c r="DI141" s="24">
        <f t="shared" si="128"/>
        <v>0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IF(A141&lt;'Données projet'!$A$166,$DL$205^A141,IF(A141='Données projet'!$A$166,'Données projet'!$B$166,DO140+DN141-DW140))</f>
        <v>-8.5265128291212022E-14</v>
      </c>
      <c r="DP141" s="18">
        <f>DO141*VLOOKUP('Données projet'!$B$14,Paramètres!$A$1:$I$88,3,0)*VLOOKUP('Données projet'!$B$14,Paramètres!$A$1:$I$88,5,0)</f>
        <v>-4.9880100050359036E-14</v>
      </c>
      <c r="DQ141" s="14" t="e">
        <f t="shared" si="156"/>
        <v>#NUM!</v>
      </c>
      <c r="DR141" s="22" t="e">
        <f t="shared" si="129"/>
        <v>#NUM!</v>
      </c>
      <c r="DS141" s="62" t="e">
        <f t="shared" si="130"/>
        <v>#NUM!</v>
      </c>
      <c r="DT141" s="62">
        <f ca="1">AVERAGE(OFFSET($DS$3,0,0,'Données projet'!$E$14+1,1))-AVERAGE(OFFSET($H$3,0,0,'Données projet'!$E$14+1,1))</f>
        <v>155.18073137151848</v>
      </c>
      <c r="DU141" s="62">
        <f t="shared" si="131"/>
        <v>115.19459155667272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projet'!$B$14,Paramètres!$A$1:$I$88,7,0))</f>
        <v>0</v>
      </c>
      <c r="DY141" s="17">
        <f>IF(ISNA(VLOOKUP(A141,'Données projet'!$A$165:$I$185,6,0)),0%,VLOOKUP(A141,'Données projet'!$A$165:$I$185,6,0)*VLOOKUP('Données projet'!$B$14,Paramètres!$A$1:$I$88,7,0))</f>
        <v>0</v>
      </c>
      <c r="DZ141" s="17">
        <f>IF(ISNA(VLOOKUP(A141,'Données projet'!$A$165:$I$185,7,0)),0%,VLOOKUP(A141,'Données projet'!$A$165:$I$185,7,0))</f>
        <v>0</v>
      </c>
      <c r="EA141" s="23">
        <f>EXP(-LN(2)/35)*EA140+(1-EXP(-LN(2)/35))/(LN(2)/35)*DW141*DX141*VLOOKUP('Données projet'!$B$9,Paramètres!$A$1:$I$88,3,0)*0.475*44/12</f>
        <v>0</v>
      </c>
      <c r="EB141" s="23">
        <f>EXP(-LN(2)/25)*EB140+(1-EXP(-LN(2)/25))/(LN(2)/25)*Calculateur!DW141*Calculateur!DY141*VLOOKUP('Données projet'!$B$9,Paramètres!$A$1:$I$88,3,0)*0.475*44/12</f>
        <v>0</v>
      </c>
      <c r="EC141" s="23">
        <f>EXP(-LN(2)/2)*EC140+(1-EXP(-LN(2)/2))/(LN(2)/2)*DW141*DZ141*VLOOKUP('Données projet'!$B$9,Paramètres!$A$1:$I$88,3,0)*0.475*44/12</f>
        <v>0</v>
      </c>
      <c r="ED141" s="24">
        <f t="shared" si="132"/>
        <v>0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IF(A141&lt;'Données projet'!$A$192,$EG$205^A141,IF(A141='Données projet'!$A$192,'Données projet'!$B$192,EJ140+EI141-ER140))</f>
        <v>-5.6843418860808015E-14</v>
      </c>
      <c r="EK141" s="18">
        <f>EJ141*VLOOKUP('Données projet'!$B$15,Paramètres!$A$1:$I$88,3,0)*VLOOKUP('Données projet'!$B$15,Paramètres!$A$1:$I$88,5,0)</f>
        <v>-2.6602720026858149E-14</v>
      </c>
      <c r="EL141" s="14" t="e">
        <f t="shared" si="157"/>
        <v>#NUM!</v>
      </c>
      <c r="EM141" s="22" t="e">
        <f t="shared" si="133"/>
        <v>#NUM!</v>
      </c>
      <c r="EN141" s="62" t="e">
        <f t="shared" si="134"/>
        <v>#NUM!</v>
      </c>
      <c r="EO141" s="62">
        <f ca="1">AVERAGE(OFFSET($EN$3,0,0,'Données projet'!$E$15+1,1))-AVERAGE(OFFSET($H$3,0,0,'Données projet'!$E$15+1,1))</f>
        <v>238.59014604384171</v>
      </c>
      <c r="EP141" s="62">
        <f t="shared" si="135"/>
        <v>90.841373219575217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projet'!$B$15,Paramètres!$A$1:$I$88,7,0))</f>
        <v>0</v>
      </c>
      <c r="ET141" s="17">
        <f>IF(ISNA(VLOOKUP(A141,'Données projet'!$A$191:$I$211,6,0)),0%,VLOOKUP(A141,'Données projet'!$A$191:$I$211,6,0)*VLOOKUP('Données projet'!$B$15,Paramètres!$A$1:$I$88,7,0))</f>
        <v>0</v>
      </c>
      <c r="EU141" s="17">
        <f>IF(ISNA(VLOOKUP(A141,'Données projet'!$A$191:$I$211,7,0)),0%,VLOOKUP(A141,'Données projet'!$A$191:$I$211,7,0))</f>
        <v>0</v>
      </c>
      <c r="EV141" s="23">
        <f>EXP(-LN(2)/35)*EV140+(1-EXP(-LN(2)/35))/(LN(2)/35)*ER141*ES141*VLOOKUP('Données projet'!$B$9,Paramètres!$A$1:$I$88,3,0)*0.475*44/12</f>
        <v>0</v>
      </c>
      <c r="EW141" s="23">
        <f>EXP(-LN(2)/25)*EW140+(1-EXP(-LN(2)/25))/(LN(2)/25)*Calculateur!ER141*Calculateur!ET141*VLOOKUP('Données projet'!$B$9,Paramètres!$A$1:$I$88,3,0)*0.475*44/12</f>
        <v>0</v>
      </c>
      <c r="EX141" s="23">
        <f>EXP(-LN(2)/2)*EX140+(1-EXP(-LN(2)/2))/(LN(2)/2)*ER141*EU141*VLOOKUP('Données projet'!$B$9,Paramètres!$A$1:$I$88,3,0)*0.475*44/12</f>
        <v>0</v>
      </c>
      <c r="EY141" s="24">
        <f t="shared" si="136"/>
        <v>0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IF(A141&lt;'Données projet'!$A$218,$FB$205^A141,IF(A141='Données projet'!$A$218,'Données projet'!$B$218,FE140+FD141-FM140))</f>
        <v>0</v>
      </c>
      <c r="FF141" s="18" t="e">
        <f>FE141*VLOOKUP('Données projet'!$B$16,Paramètres!$A$1:$I$88,3,0)*VLOOKUP('Données projet'!$B$16,Paramètres!$A$1:$I$88,5,0)</f>
        <v>#N/A</v>
      </c>
      <c r="FG141" s="14" t="e">
        <f t="shared" si="158"/>
        <v>#N/A</v>
      </c>
      <c r="FH141" s="22" t="e">
        <f t="shared" si="137"/>
        <v>#N/A</v>
      </c>
      <c r="FI141" s="62" t="e">
        <f t="shared" si="138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39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projet'!$B$16,Paramètres!$A$1:$I$88,7,0))</f>
        <v>0</v>
      </c>
      <c r="FO141" s="17">
        <f>IF(ISNA(VLOOKUP(A141,'Données projet'!$A$217:$I$237,6,0)),0%,VLOOKUP(A141,'Données projet'!$A$217:$I$237,6,0)*VLOOKUP('Données projet'!$B$16,Paramètres!$A$1:$I$88,7,0))</f>
        <v>0</v>
      </c>
      <c r="FP141" s="17">
        <f>IF(ISNA(VLOOKUP(A141,'Données projet'!$A$217:$I$237,7,0)),0%,VLOOKUP(A141,'Données projet'!$A$217:$I$237,7,0))</f>
        <v>0</v>
      </c>
      <c r="FQ141" s="23">
        <f>EXP(-LN(2)/35)*FQ140+(1-EXP(-LN(2)/35))/(LN(2)/35)*FM141*FN141*VLOOKUP('Données projet'!$B$9,Paramètres!$A$1:$I$88,3,0)*0.475*44/12</f>
        <v>0</v>
      </c>
      <c r="FR141" s="23">
        <f>EXP(-LN(2)/25)*FR140+(1-EXP(-LN(2)/25))/(LN(2)/25)*Calculateur!FM141*Calculateur!FO141*VLOOKUP('Données projet'!$B$9,Paramètres!$A$1:$I$88,3,0)*0.475*44/12</f>
        <v>0</v>
      </c>
      <c r="FS141" s="23">
        <f>EXP(-LN(2)/2)*FS140+(1-EXP(-LN(2)/2))/(LN(2)/2)*FM141*FP141*VLOOKUP('Données projet'!$B$9,Paramètres!$A$1:$I$88,3,0)*0.475*44/12</f>
        <v>0</v>
      </c>
      <c r="FT141" s="24">
        <f t="shared" si="140"/>
        <v>0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IF(A141&lt;'Données projet'!$A$244,$FW$205^A141,IF(A141='Données projet'!$A$244,'Données projet'!$B$244,FZ140+FY141-GH140))</f>
        <v>0</v>
      </c>
      <c r="GA141" s="18" t="e">
        <f>FZ141*VLOOKUP('Données projet'!$B$17,Paramètres!$A$1:$I$88,3,0)*VLOOKUP('Données projet'!$B$17,Paramètres!$A$1:$I$88,5,0)</f>
        <v>#N/A</v>
      </c>
      <c r="GB141" s="14" t="e">
        <f t="shared" si="159"/>
        <v>#N/A</v>
      </c>
      <c r="GC141" s="22" t="e">
        <f t="shared" si="141"/>
        <v>#N/A</v>
      </c>
      <c r="GD141" s="62" t="e">
        <f t="shared" si="142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43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projet'!$B$17,Paramètres!$A$1:$I$88,7,0))</f>
        <v>0</v>
      </c>
      <c r="GJ141" s="17">
        <f>IF(ISNA(VLOOKUP(A141,'Données projet'!$A$243:$I$263,6,0)),0%,VLOOKUP(A141,'Données projet'!$A$243:$I$263,6,0)*VLOOKUP('Données projet'!$B$17,Paramètres!$A$1:$I$88,7,0))</f>
        <v>0</v>
      </c>
      <c r="GK141" s="17">
        <f>IF(ISNA(VLOOKUP(A141,'Données projet'!$A$243:$I$263,7,0)),0%,VLOOKUP(A141,'Données projet'!$A$243:$I$263,7,0))</f>
        <v>0</v>
      </c>
      <c r="GL141" s="23">
        <f>EXP(-LN(2)/35)*GL140+(1-EXP(-LN(2)/35))/(LN(2)/35)*GH141*GI141*VLOOKUP('Données projet'!$B$9,Paramètres!$A$1:$I$88,3,0)*0.475*44/12</f>
        <v>0</v>
      </c>
      <c r="GM141" s="23">
        <f>EXP(-LN(2)/25)*GM140+(1-EXP(-LN(2)/25))/(LN(2)/25)*Calculateur!GH141*Calculateur!GJ141*VLOOKUP('Données projet'!$B$9,Paramètres!$A$1:$I$88,3,0)*0.475*44/12</f>
        <v>0</v>
      </c>
      <c r="GN141" s="23">
        <f>EXP(-LN(2)/2)*GN140+(1-EXP(-LN(2)/2))/(LN(2)/2)*GH141*GK141*VLOOKUP('Données projet'!$B$9,Paramètres!$A$1:$I$88,3,0)*0.475*44/12</f>
        <v>0</v>
      </c>
      <c r="GO141" s="23">
        <f t="shared" si="144"/>
        <v>0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IF(A141&lt;'Données projet'!$A$270,$GR$205^A141,IF(A141='Données projet'!$A$270,'Données projet'!$B$270,GU140+GT141-HC140))</f>
        <v>0</v>
      </c>
      <c r="GV141" s="18" t="e">
        <f>GU141*VLOOKUP('Données projet'!$B$18,Paramètres!$A$1:$I$88,3,0)*VLOOKUP('Données projet'!$B$18,Paramètres!$A$1:$I$88,5,0)</f>
        <v>#N/A</v>
      </c>
      <c r="GW141" s="14" t="e">
        <f t="shared" si="160"/>
        <v>#N/A</v>
      </c>
      <c r="GX141" s="22" t="e">
        <f t="shared" si="145"/>
        <v>#N/A</v>
      </c>
      <c r="GY141" s="62" t="e">
        <f t="shared" si="146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47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projet'!$B$18,Paramètres!$A$1:$I$88,7,0))</f>
        <v>0</v>
      </c>
      <c r="HE141" s="17">
        <f>IF(ISNA(VLOOKUP(A141,'Données projet'!$A$269:$I$289,6,0)),0%,VLOOKUP(A141,'Données projet'!$A$269:$I$289,6,0)*VLOOKUP('Données projet'!$B$18,Paramètres!$A$1:$I$88,7,0))</f>
        <v>0</v>
      </c>
      <c r="HF141" s="17">
        <f>IF(ISNA(VLOOKUP(A141,'Données projet'!$A$269:$I$289,7,0)),0%,VLOOKUP(A141,'Données projet'!$A$269:$I$289,7,0))</f>
        <v>0</v>
      </c>
      <c r="HG141" s="23">
        <f>EXP(-LN(2)/35)*HG140+(1-EXP(-LN(2)/35))/(LN(2)/35)*HC141*HD141*VLOOKUP('Données projet'!$B$9,Paramètres!$A$1:$I$88,3,0)*0.475*44/12</f>
        <v>0</v>
      </c>
      <c r="HH141" s="23">
        <f>EXP(-LN(2)/25)*HH140+(1-EXP(-LN(2)/25))/(LN(2)/25)*Calculateur!HC141*Calculateur!HE141*VLOOKUP('Données projet'!$B$9,Paramètres!$A$1:$I$88,3,0)*0.475*44/12</f>
        <v>0</v>
      </c>
      <c r="HI141" s="23">
        <f>EXP(-LN(2)/2)*HI140+(1-EXP(-LN(2)/2))/(LN(2)/2)*HC141*HF141*VLOOKUP('Données projet'!$B$9,Paramètres!$A$1:$I$88,3,0)*0.475*44/12</f>
        <v>0</v>
      </c>
      <c r="HJ141" s="24">
        <f t="shared" si="148"/>
        <v>0</v>
      </c>
    </row>
    <row r="142" spans="1:218" s="5" customFormat="1" x14ac:dyDescent="0.25">
      <c r="A142" s="11">
        <f t="shared" si="149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2" s="12">
        <f t="shared" si="15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111"/>
        <v>135.66666666666666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1.1879166666666663</v>
      </c>
      <c r="N142" s="14">
        <f>IF(A142&lt;'Données projet'!$A$36,$K$205^A142,IF(A142='Données projet'!$A$36,'Données projet'!$B$36,N141+M142-V141))</f>
        <v>126.22458333333331</v>
      </c>
      <c r="O142" s="14">
        <f>N142*VLOOKUP('Données projet'!$B$9,Paramètres!$A$1:$I$88,3,0)*VLOOKUP('Données projet'!$B$9,Paramètres!$A$1:$I$88,5,0)</f>
        <v>145.41071999999997</v>
      </c>
      <c r="P142" s="14">
        <f t="shared" si="151"/>
        <v>37.533776695922867</v>
      </c>
      <c r="Q142" s="22">
        <f t="shared" si="108"/>
        <v>318.62833174539895</v>
      </c>
      <c r="R142" s="62">
        <f t="shared" si="109"/>
        <v>599.72582760149101</v>
      </c>
      <c r="S142" s="62">
        <f ca="1">AVERAGE(OFFSET($R$3,0,0,'Données projet'!$E$9+1,1))-AVERAGE(OFFSET($H$3,0,0,'Données projet'!$E$9+1,1))</f>
        <v>314.72063458462026</v>
      </c>
      <c r="T142" s="62">
        <f t="shared" si="110"/>
        <v>216.4380325968244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projet'!$B$9,Paramètres!$A$1:$I$88,7,0))</f>
        <v>0</v>
      </c>
      <c r="X142" s="17">
        <f>IF(ISNA(VLOOKUP(A142,'Données projet'!$A$35:$I$55,6,0)),0%,VLOOKUP(A142,'Données projet'!$A$35:$I$55,6,0)*VLOOKUP('Données projet'!$B$9,Paramètres!$A$1:$I$88,7,0))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projet'!$B$9,Paramètres!$A$1:$I$88,3,0)*0.475*44/12</f>
        <v>0</v>
      </c>
      <c r="AA142" s="23">
        <f>EXP(-LN(2)/25)*AA141+(1-EXP(-LN(2)/25))/(LN(2)/25)*Calculateur!V142*Calculateur!X142*VLOOKUP('Données projet'!$B$9,Paramètres!$A$1:$I$88,3,0)*0.475*44/12</f>
        <v>0</v>
      </c>
      <c r="AB142" s="23">
        <f>EXP(-LN(2)/2)*AB141+(1-EXP(-LN(2)/2))/(LN(2)/2)*V142*Y142*VLOOKUP('Données projet'!$B$9,Paramètres!$A$1:$I$88,3,0)*0.475*44/12</f>
        <v>0</v>
      </c>
      <c r="AC142" s="24">
        <f t="shared" si="112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IF(A142&lt;'Données projet'!$A$62,$AF$205^A142,IF(A142='Données projet'!$A$62,'Données projet'!$B$62,AI141+AH142-AQ141))</f>
        <v>1.1368683772161603E-13</v>
      </c>
      <c r="AJ142" s="14">
        <f>AI142*VLOOKUP('Données projet'!$B$10,Paramètres!$A$1:$I$88,3,0)*VLOOKUP('Données projet'!$B$10,Paramètres!$A$1:$I$88,5,0)</f>
        <v>1.1882548278663309E-13</v>
      </c>
      <c r="AK142" s="14">
        <f t="shared" si="152"/>
        <v>1.7496137229198366E-12</v>
      </c>
      <c r="AL142" s="22">
        <f t="shared" si="113"/>
        <v>3.2541982832721012E-12</v>
      </c>
      <c r="AM142" s="62">
        <f t="shared" si="114"/>
        <v>281.09749585609529</v>
      </c>
      <c r="AN142" s="62">
        <f ca="1">AVERAGE(OFFSET($AM$3,0,0,'Données projet'!$E$10+1,1))-AVERAGE(OFFSET($H$3,0,0,'Données projet'!$E$10+1,1))</f>
        <v>458.33072853676879</v>
      </c>
      <c r="AO142" s="62">
        <f t="shared" si="115"/>
        <v>254.1734169352687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projet'!$B$10,Paramètres!$A$1:$I$88,7,0))</f>
        <v>0</v>
      </c>
      <c r="AS142" s="17">
        <f>IF(ISNA(VLOOKUP(A142,'Données projet'!$A$61:$I$81,6,0)),0%,VLOOKUP(A142,'Données projet'!$A$61:$I$81,6,0)*VLOOKUP('Données projet'!$B$10,Paramètres!$A$1:$I$88,7,0))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projet'!$B$9,Paramètres!$A$1:$I$88,3,0)*0.475*44/12</f>
        <v>0</v>
      </c>
      <c r="AV142" s="23">
        <f>EXP(-LN(2)/25)*AV141+(1-EXP(-LN(2)/25))/(LN(2)/25)*Calculateur!AQ142*Calculateur!AS142*VLOOKUP('Données projet'!$B$9,Paramètres!$A$1:$I$88,3,0)*0.475*44/12</f>
        <v>0</v>
      </c>
      <c r="AW142" s="23">
        <f>EXP(-LN(2)/2)*AW141+(1-EXP(-LN(2)/2))/(LN(2)/2)*AQ142*AT142*VLOOKUP('Données projet'!$B$9,Paramètres!$A$1:$I$88,3,0)*0.475*44/12</f>
        <v>0</v>
      </c>
      <c r="AX142" s="23">
        <f t="shared" si="116"/>
        <v>0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IF(A142&lt;'Données projet'!$A$88,$BA$205^A142,IF(A142='Données projet'!$A$88,'Données projet'!$B$88,BD141+BC142-BL141))</f>
        <v>1.1368683772161603E-13</v>
      </c>
      <c r="BE142" s="14">
        <f>BD142*VLOOKUP('Données projet'!$B$11,Paramètres!$A$1:$I$88,3,0)*VLOOKUP('Données projet'!$B$11,Paramètres!$A$1:$I$88,5,0)</f>
        <v>1.1527845344971866E-13</v>
      </c>
      <c r="BF142" s="14">
        <f t="shared" si="153"/>
        <v>1.7033846239409443E-12</v>
      </c>
      <c r="BG142" s="22">
        <f t="shared" si="117"/>
        <v>3.1675048597887374E-12</v>
      </c>
      <c r="BH142" s="62">
        <f t="shared" si="118"/>
        <v>281.09749585609524</v>
      </c>
      <c r="BI142" s="62">
        <f ca="1">AVERAGE(OFFSET($BH$3,0,0,'Données projet'!$E$11+1,1))-AVERAGE(OFFSET($H$3,0,0,'Données projet'!$E$11+1,1))</f>
        <v>447.82618173893104</v>
      </c>
      <c r="BJ142" s="62">
        <f t="shared" si="119"/>
        <v>248.96509970783379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projet'!$B$11,Paramètres!$A$1:$I$88,7,0))</f>
        <v>0</v>
      </c>
      <c r="BN142" s="17">
        <f>IF(ISNA(VLOOKUP(A142,'Données projet'!$A$87:$I$107,6,0)),0%,VLOOKUP(A142,'Données projet'!$A$87:$I$107,6,0)*VLOOKUP('Données projet'!$B$11,Paramètres!$A$1:$I$88,7,0))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projet'!$B$9,Paramètres!$A$1:$I$88,3,0)*0.475*44/12</f>
        <v>0</v>
      </c>
      <c r="BQ142" s="23">
        <f>EXP(-LN(2)/25)*BQ141+(1-EXP(-LN(2)/25))/(LN(2)/25)*Calculateur!BL142*Calculateur!BN142*VLOOKUP('Données projet'!$B$9,Paramètres!$A$1:$I$88,3,0)*0.475*44/12</f>
        <v>0</v>
      </c>
      <c r="BR142" s="23">
        <f>EXP(-LN(2)/2)*BR141+(1-EXP(-LN(2)/2))/(LN(2)/2)*BL142*BO142*VLOOKUP('Données projet'!$B$9,Paramètres!$A$1:$I$88,3,0)*0.475*44/12</f>
        <v>0</v>
      </c>
      <c r="BS142" s="24">
        <f t="shared" si="120"/>
        <v>0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IF(A142&lt;'Données projet'!$A$114,$BV$205^A142,IF(A142='Données projet'!$A$114,'Données projet'!$B$114,BY141+BX142-CG141))</f>
        <v>1.1368683772161603E-13</v>
      </c>
      <c r="BZ142" s="14">
        <f>BY142*VLOOKUP('Données projet'!$B$12,Paramètres!$A$1:$I$88,3,0)*VLOOKUP('Données projet'!$B$12,Paramètres!$A$1:$I$88,5,0)</f>
        <v>1.223725121235475E-13</v>
      </c>
      <c r="CA142" s="14">
        <f t="shared" si="154"/>
        <v>1.7956824466038182E-12</v>
      </c>
      <c r="CB142" s="22">
        <f t="shared" si="121"/>
        <v>3.3406123864501612E-12</v>
      </c>
      <c r="CC142" s="62">
        <f t="shared" si="122"/>
        <v>281.09749585609541</v>
      </c>
      <c r="CD142" s="62">
        <f ca="1">AVERAGE(OFFSET($CC$3,0,0,'Données projet'!$E$12+1,1))-AVERAGE(OFFSET($H$3,0,0,'Données projet'!$E$12+1,1))</f>
        <v>468.82871618425406</v>
      </c>
      <c r="CE142" s="62">
        <f t="shared" si="123"/>
        <v>259.37818128554397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projet'!$B$12,Paramètres!$A$1:$I$88,7,0))</f>
        <v>0</v>
      </c>
      <c r="CI142" s="17">
        <f>IF(ISNA(VLOOKUP(A142,'Données projet'!$A$113:$I$133,6,0)),0%,VLOOKUP(A142,'Données projet'!$A$113:$I$133,6,0)*VLOOKUP('Données projet'!$B$12,Paramètres!$A$1:$I$88,7,0))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projet'!$B$9,Paramètres!$A$1:$I$88,3,0)*0.475*44/12</f>
        <v>0</v>
      </c>
      <c r="CL142" s="23">
        <f>EXP(-LN(2)/25)*CL141+(1-EXP(-LN(2)/25))/(LN(2)/25)*Calculateur!CG142*Calculateur!CI142*VLOOKUP('Données projet'!$B$9,Paramètres!$A$1:$I$88,3,0)*0.475*44/12</f>
        <v>0</v>
      </c>
      <c r="CM142" s="23">
        <f>EXP(-LN(2)/2)*CM141+(1-EXP(-LN(2)/2))/(LN(2)/2)*CG142*CJ142*VLOOKUP('Données projet'!$B$9,Paramètres!$A$1:$I$88,3,0)*0.475*44/12</f>
        <v>0</v>
      </c>
      <c r="CN142" s="24">
        <f t="shared" si="124"/>
        <v>0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IF(A142&lt;'Données projet'!$A$140,$CQ$205^A142,IF(A142='Données projet'!$A$140,'Données projet'!$B$140,CT141+CS142-DB141))</f>
        <v>1.1368683772161603E-13</v>
      </c>
      <c r="CU142" s="18">
        <f>CT142*VLOOKUP('Données projet'!$B$13,Paramètres!$A$1:$I$88,3,0)*VLOOKUP('Données projet'!$B$13,Paramètres!$A$1:$I$88,5,0)</f>
        <v>9.7543306765146564E-14</v>
      </c>
      <c r="CV142" s="14">
        <f t="shared" si="155"/>
        <v>1.4696264278629426E-12</v>
      </c>
      <c r="CW142" s="22">
        <f t="shared" si="125"/>
        <v>2.7294872878105889E-12</v>
      </c>
      <c r="CX142" s="62">
        <f t="shared" si="126"/>
        <v>281.09749585609478</v>
      </c>
      <c r="CY142" s="62">
        <f ca="1">AVERAGE(OFFSET($CX$3,0,0,'Données projet'!$E$13+1,1))-AVERAGE(OFFSET($H$3,0,0,'Données projet'!$E$13+1,1))</f>
        <v>395.19659151668884</v>
      </c>
      <c r="CZ142" s="62">
        <f t="shared" si="127"/>
        <v>222.86563304507339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projet'!$B$13,Paramètres!$A$1:$I$88,7,0))</f>
        <v>0</v>
      </c>
      <c r="DD142" s="17">
        <f>IF(ISNA(VLOOKUP(A142,'Données projet'!$A$139:$I$159,6,0)),0%,VLOOKUP(A142,'Données projet'!$A$139:$I$159,6,0)*VLOOKUP('Données projet'!$B$13,Paramètres!$A$1:$I$88,7,0))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projet'!$B$9,Paramètres!$A$1:$I$88,3,0)*0.475*44/12</f>
        <v>0</v>
      </c>
      <c r="DG142" s="23">
        <f>EXP(-LN(2)/25)*DG141+(1-EXP(-LN(2)/25))/(LN(2)/25)*Calculateur!DB142*Calculateur!DD142*VLOOKUP('Données projet'!$B$9,Paramètres!$A$1:$I$88,3,0)*0.475*44/12</f>
        <v>0</v>
      </c>
      <c r="DH142" s="23">
        <f>EXP(-LN(2)/2)*DH141+(1-EXP(-LN(2)/2))/(LN(2)/2)*DB142*DE142*VLOOKUP('Données projet'!$B$9,Paramètres!$A$1:$I$88,3,0)*0.475*44/12</f>
        <v>0</v>
      </c>
      <c r="DI142" s="24">
        <f t="shared" si="128"/>
        <v>0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IF(A142&lt;'Données projet'!$A$166,$DL$205^A142,IF(A142='Données projet'!$A$166,'Données projet'!$B$166,DO141+DN142-DW141))</f>
        <v>-8.5265128291212022E-14</v>
      </c>
      <c r="DP142" s="18">
        <f>DO142*VLOOKUP('Données projet'!$B$14,Paramètres!$A$1:$I$88,3,0)*VLOOKUP('Données projet'!$B$14,Paramètres!$A$1:$I$88,5,0)</f>
        <v>-4.9880100050359036E-14</v>
      </c>
      <c r="DQ142" s="14" t="e">
        <f t="shared" si="156"/>
        <v>#NUM!</v>
      </c>
      <c r="DR142" s="22" t="e">
        <f t="shared" si="129"/>
        <v>#NUM!</v>
      </c>
      <c r="DS142" s="62" t="e">
        <f t="shared" si="130"/>
        <v>#NUM!</v>
      </c>
      <c r="DT142" s="62">
        <f ca="1">AVERAGE(OFFSET($DS$3,0,0,'Données projet'!$E$14+1,1))-AVERAGE(OFFSET($H$3,0,0,'Données projet'!$E$14+1,1))</f>
        <v>155.18073137151848</v>
      </c>
      <c r="DU142" s="62">
        <f t="shared" si="131"/>
        <v>115.19459155667272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projet'!$B$14,Paramètres!$A$1:$I$88,7,0))</f>
        <v>0</v>
      </c>
      <c r="DY142" s="17">
        <f>IF(ISNA(VLOOKUP(A142,'Données projet'!$A$165:$I$185,6,0)),0%,VLOOKUP(A142,'Données projet'!$A$165:$I$185,6,0)*VLOOKUP('Données projet'!$B$14,Paramètres!$A$1:$I$88,7,0))</f>
        <v>0</v>
      </c>
      <c r="DZ142" s="17">
        <f>IF(ISNA(VLOOKUP(A142,'Données projet'!$A$165:$I$185,7,0)),0%,VLOOKUP(A142,'Données projet'!$A$165:$I$185,7,0))</f>
        <v>0</v>
      </c>
      <c r="EA142" s="23">
        <f>EXP(-LN(2)/35)*EA141+(1-EXP(-LN(2)/35))/(LN(2)/35)*DW142*DX142*VLOOKUP('Données projet'!$B$9,Paramètres!$A$1:$I$88,3,0)*0.475*44/12</f>
        <v>0</v>
      </c>
      <c r="EB142" s="23">
        <f>EXP(-LN(2)/25)*EB141+(1-EXP(-LN(2)/25))/(LN(2)/25)*Calculateur!DW142*Calculateur!DY142*VLOOKUP('Données projet'!$B$9,Paramètres!$A$1:$I$88,3,0)*0.475*44/12</f>
        <v>0</v>
      </c>
      <c r="EC142" s="23">
        <f>EXP(-LN(2)/2)*EC141+(1-EXP(-LN(2)/2))/(LN(2)/2)*DW142*DZ142*VLOOKUP('Données projet'!$B$9,Paramètres!$A$1:$I$88,3,0)*0.475*44/12</f>
        <v>0</v>
      </c>
      <c r="ED142" s="24">
        <f t="shared" si="132"/>
        <v>0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IF(A142&lt;'Données projet'!$A$192,$EG$205^A142,IF(A142='Données projet'!$A$192,'Données projet'!$B$192,EJ141+EI142-ER141))</f>
        <v>-5.6843418860808015E-14</v>
      </c>
      <c r="EK142" s="18">
        <f>EJ142*VLOOKUP('Données projet'!$B$15,Paramètres!$A$1:$I$88,3,0)*VLOOKUP('Données projet'!$B$15,Paramètres!$A$1:$I$88,5,0)</f>
        <v>-2.6602720026858149E-14</v>
      </c>
      <c r="EL142" s="14" t="e">
        <f t="shared" si="157"/>
        <v>#NUM!</v>
      </c>
      <c r="EM142" s="22" t="e">
        <f t="shared" si="133"/>
        <v>#NUM!</v>
      </c>
      <c r="EN142" s="62" t="e">
        <f t="shared" si="134"/>
        <v>#NUM!</v>
      </c>
      <c r="EO142" s="62">
        <f ca="1">AVERAGE(OFFSET($EN$3,0,0,'Données projet'!$E$15+1,1))-AVERAGE(OFFSET($H$3,0,0,'Données projet'!$E$15+1,1))</f>
        <v>238.59014604384171</v>
      </c>
      <c r="EP142" s="62">
        <f t="shared" si="135"/>
        <v>90.841373219575217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projet'!$B$15,Paramètres!$A$1:$I$88,7,0))</f>
        <v>0</v>
      </c>
      <c r="ET142" s="17">
        <f>IF(ISNA(VLOOKUP(A142,'Données projet'!$A$191:$I$211,6,0)),0%,VLOOKUP(A142,'Données projet'!$A$191:$I$211,6,0)*VLOOKUP('Données projet'!$B$15,Paramètres!$A$1:$I$88,7,0))</f>
        <v>0</v>
      </c>
      <c r="EU142" s="17">
        <f>IF(ISNA(VLOOKUP(A142,'Données projet'!$A$191:$I$211,7,0)),0%,VLOOKUP(A142,'Données projet'!$A$191:$I$211,7,0))</f>
        <v>0</v>
      </c>
      <c r="EV142" s="23">
        <f>EXP(-LN(2)/35)*EV141+(1-EXP(-LN(2)/35))/(LN(2)/35)*ER142*ES142*VLOOKUP('Données projet'!$B$9,Paramètres!$A$1:$I$88,3,0)*0.475*44/12</f>
        <v>0</v>
      </c>
      <c r="EW142" s="23">
        <f>EXP(-LN(2)/25)*EW141+(1-EXP(-LN(2)/25))/(LN(2)/25)*Calculateur!ER142*Calculateur!ET142*VLOOKUP('Données projet'!$B$9,Paramètres!$A$1:$I$88,3,0)*0.475*44/12</f>
        <v>0</v>
      </c>
      <c r="EX142" s="23">
        <f>EXP(-LN(2)/2)*EX141+(1-EXP(-LN(2)/2))/(LN(2)/2)*ER142*EU142*VLOOKUP('Données projet'!$B$9,Paramètres!$A$1:$I$88,3,0)*0.475*44/12</f>
        <v>0</v>
      </c>
      <c r="EY142" s="24">
        <f t="shared" si="136"/>
        <v>0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IF(A142&lt;'Données projet'!$A$218,$FB$205^A142,IF(A142='Données projet'!$A$218,'Données projet'!$B$218,FE141+FD142-FM141))</f>
        <v>0</v>
      </c>
      <c r="FF142" s="18" t="e">
        <f>FE142*VLOOKUP('Données projet'!$B$16,Paramètres!$A$1:$I$88,3,0)*VLOOKUP('Données projet'!$B$16,Paramètres!$A$1:$I$88,5,0)</f>
        <v>#N/A</v>
      </c>
      <c r="FG142" s="14" t="e">
        <f t="shared" si="158"/>
        <v>#N/A</v>
      </c>
      <c r="FH142" s="22" t="e">
        <f t="shared" si="137"/>
        <v>#N/A</v>
      </c>
      <c r="FI142" s="62" t="e">
        <f t="shared" si="138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39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projet'!$B$16,Paramètres!$A$1:$I$88,7,0))</f>
        <v>0</v>
      </c>
      <c r="FO142" s="17">
        <f>IF(ISNA(VLOOKUP(A142,'Données projet'!$A$217:$I$237,6,0)),0%,VLOOKUP(A142,'Données projet'!$A$217:$I$237,6,0)*VLOOKUP('Données projet'!$B$16,Paramètres!$A$1:$I$88,7,0))</f>
        <v>0</v>
      </c>
      <c r="FP142" s="17">
        <f>IF(ISNA(VLOOKUP(A142,'Données projet'!$A$217:$I$237,7,0)),0%,VLOOKUP(A142,'Données projet'!$A$217:$I$237,7,0))</f>
        <v>0</v>
      </c>
      <c r="FQ142" s="23">
        <f>EXP(-LN(2)/35)*FQ141+(1-EXP(-LN(2)/35))/(LN(2)/35)*FM142*FN142*VLOOKUP('Données projet'!$B$9,Paramètres!$A$1:$I$88,3,0)*0.475*44/12</f>
        <v>0</v>
      </c>
      <c r="FR142" s="23">
        <f>EXP(-LN(2)/25)*FR141+(1-EXP(-LN(2)/25))/(LN(2)/25)*Calculateur!FM142*Calculateur!FO142*VLOOKUP('Données projet'!$B$9,Paramètres!$A$1:$I$88,3,0)*0.475*44/12</f>
        <v>0</v>
      </c>
      <c r="FS142" s="23">
        <f>EXP(-LN(2)/2)*FS141+(1-EXP(-LN(2)/2))/(LN(2)/2)*FM142*FP142*VLOOKUP('Données projet'!$B$9,Paramètres!$A$1:$I$88,3,0)*0.475*44/12</f>
        <v>0</v>
      </c>
      <c r="FT142" s="24">
        <f t="shared" si="140"/>
        <v>0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IF(A142&lt;'Données projet'!$A$244,$FW$205^A142,IF(A142='Données projet'!$A$244,'Données projet'!$B$244,FZ141+FY142-GH141))</f>
        <v>0</v>
      </c>
      <c r="GA142" s="18" t="e">
        <f>FZ142*VLOOKUP('Données projet'!$B$17,Paramètres!$A$1:$I$88,3,0)*VLOOKUP('Données projet'!$B$17,Paramètres!$A$1:$I$88,5,0)</f>
        <v>#N/A</v>
      </c>
      <c r="GB142" s="14" t="e">
        <f t="shared" si="159"/>
        <v>#N/A</v>
      </c>
      <c r="GC142" s="22" t="e">
        <f t="shared" si="141"/>
        <v>#N/A</v>
      </c>
      <c r="GD142" s="62" t="e">
        <f t="shared" si="142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43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projet'!$B$17,Paramètres!$A$1:$I$88,7,0))</f>
        <v>0</v>
      </c>
      <c r="GJ142" s="17">
        <f>IF(ISNA(VLOOKUP(A142,'Données projet'!$A$243:$I$263,6,0)),0%,VLOOKUP(A142,'Données projet'!$A$243:$I$263,6,0)*VLOOKUP('Données projet'!$B$17,Paramètres!$A$1:$I$88,7,0))</f>
        <v>0</v>
      </c>
      <c r="GK142" s="17">
        <f>IF(ISNA(VLOOKUP(A142,'Données projet'!$A$243:$I$263,7,0)),0%,VLOOKUP(A142,'Données projet'!$A$243:$I$263,7,0))</f>
        <v>0</v>
      </c>
      <c r="GL142" s="23">
        <f>EXP(-LN(2)/35)*GL141+(1-EXP(-LN(2)/35))/(LN(2)/35)*GH142*GI142*VLOOKUP('Données projet'!$B$9,Paramètres!$A$1:$I$88,3,0)*0.475*44/12</f>
        <v>0</v>
      </c>
      <c r="GM142" s="23">
        <f>EXP(-LN(2)/25)*GM141+(1-EXP(-LN(2)/25))/(LN(2)/25)*Calculateur!GH142*Calculateur!GJ142*VLOOKUP('Données projet'!$B$9,Paramètres!$A$1:$I$88,3,0)*0.475*44/12</f>
        <v>0</v>
      </c>
      <c r="GN142" s="23">
        <f>EXP(-LN(2)/2)*GN141+(1-EXP(-LN(2)/2))/(LN(2)/2)*GH142*GK142*VLOOKUP('Données projet'!$B$9,Paramètres!$A$1:$I$88,3,0)*0.475*44/12</f>
        <v>0</v>
      </c>
      <c r="GO142" s="23">
        <f t="shared" si="144"/>
        <v>0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IF(A142&lt;'Données projet'!$A$270,$GR$205^A142,IF(A142='Données projet'!$A$270,'Données projet'!$B$270,GU141+GT142-HC141))</f>
        <v>0</v>
      </c>
      <c r="GV142" s="18" t="e">
        <f>GU142*VLOOKUP('Données projet'!$B$18,Paramètres!$A$1:$I$88,3,0)*VLOOKUP('Données projet'!$B$18,Paramètres!$A$1:$I$88,5,0)</f>
        <v>#N/A</v>
      </c>
      <c r="GW142" s="14" t="e">
        <f t="shared" si="160"/>
        <v>#N/A</v>
      </c>
      <c r="GX142" s="22" t="e">
        <f t="shared" si="145"/>
        <v>#N/A</v>
      </c>
      <c r="GY142" s="62" t="e">
        <f t="shared" si="146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47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projet'!$B$18,Paramètres!$A$1:$I$88,7,0))</f>
        <v>0</v>
      </c>
      <c r="HE142" s="17">
        <f>IF(ISNA(VLOOKUP(A142,'Données projet'!$A$269:$I$289,6,0)),0%,VLOOKUP(A142,'Données projet'!$A$269:$I$289,6,0)*VLOOKUP('Données projet'!$B$18,Paramètres!$A$1:$I$88,7,0))</f>
        <v>0</v>
      </c>
      <c r="HF142" s="17">
        <f>IF(ISNA(VLOOKUP(A142,'Données projet'!$A$269:$I$289,7,0)),0%,VLOOKUP(A142,'Données projet'!$A$269:$I$289,7,0))</f>
        <v>0</v>
      </c>
      <c r="HG142" s="23">
        <f>EXP(-LN(2)/35)*HG141+(1-EXP(-LN(2)/35))/(LN(2)/35)*HC142*HD142*VLOOKUP('Données projet'!$B$9,Paramètres!$A$1:$I$88,3,0)*0.475*44/12</f>
        <v>0</v>
      </c>
      <c r="HH142" s="23">
        <f>EXP(-LN(2)/25)*HH141+(1-EXP(-LN(2)/25))/(LN(2)/25)*Calculateur!HC142*Calculateur!HE142*VLOOKUP('Données projet'!$B$9,Paramètres!$A$1:$I$88,3,0)*0.475*44/12</f>
        <v>0</v>
      </c>
      <c r="HI142" s="23">
        <f>EXP(-LN(2)/2)*HI141+(1-EXP(-LN(2)/2))/(LN(2)/2)*HC142*HF142*VLOOKUP('Données projet'!$B$9,Paramètres!$A$1:$I$88,3,0)*0.475*44/12</f>
        <v>0</v>
      </c>
      <c r="HJ142" s="24">
        <f t="shared" si="148"/>
        <v>0</v>
      </c>
    </row>
    <row r="143" spans="1:218" s="5" customFormat="1" x14ac:dyDescent="0.25">
      <c r="A143" s="11">
        <f t="shared" si="149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3" s="12">
        <f t="shared" si="15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111"/>
        <v>135.66666666666666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>
        <f>VLOOKUP(A143,'Données projet'!$A$35:$I$55,2,0)</f>
        <v>127.41250000000001</v>
      </c>
      <c r="L143" s="13">
        <f>VLOOKUP(A143,'Données projet'!$A$35:$I$55,9,0)</f>
        <v>1.1879166666666663</v>
      </c>
      <c r="M143" s="13">
        <f t="array" ref="M143">INDEX(L:L,MIN(IF(ISNUMBER(L143:L339),ROW(L143:L339),"")))</f>
        <v>1.1879166666666663</v>
      </c>
      <c r="N143" s="14">
        <f>IF(A143&lt;'Données projet'!$A$36,$K$205^A143,IF(A143='Données projet'!$A$36,'Données projet'!$B$36,N142+M143-V142))</f>
        <v>127.41249999999998</v>
      </c>
      <c r="O143" s="14">
        <f>N143*VLOOKUP('Données projet'!$B$9,Paramètres!$A$1:$I$88,3,0)*VLOOKUP('Données projet'!$B$9,Paramètres!$A$1:$I$88,5,0)</f>
        <v>146.77919999999997</v>
      </c>
      <c r="P143" s="14">
        <f t="shared" si="151"/>
        <v>37.845725188874766</v>
      </c>
      <c r="Q143" s="22">
        <f t="shared" si="108"/>
        <v>321.55507803729012</v>
      </c>
      <c r="R143" s="62">
        <f t="shared" si="109"/>
        <v>602.86483831837791</v>
      </c>
      <c r="S143" s="62">
        <f ca="1">AVERAGE(OFFSET($R$3,0,0,'Données projet'!$E$9+1,1))-AVERAGE(OFFSET($H$3,0,0,'Données projet'!$E$9+1,1))</f>
        <v>314.72063458462026</v>
      </c>
      <c r="T143" s="62">
        <f t="shared" si="110"/>
        <v>216.4380325968244</v>
      </c>
      <c r="U143" s="16">
        <f>IF(ISNA(VLOOKUP(A143,'Données projet'!$A$35:$I$55,3,0)),0,VLOOKUP(A143,'Données projet'!$A$35:$I$55,3,0))</f>
        <v>12</v>
      </c>
      <c r="V143" s="16">
        <f>IF(ISNA(VLOOKUP(A143,'Données projet'!$A$35:$I$55,4,0)),0,VLOOKUP(A143,'Données projet'!$A$35:$I$55,4,0))</f>
        <v>8.5416666666666679</v>
      </c>
      <c r="W143" s="17">
        <f>IF(ISNA(VLOOKUP(A143,'Données projet'!$A$35:$I$55,5,0)),0%,VLOOKUP(A143,'Données projet'!$A$35:$I$55,5,0)*VLOOKUP('Données projet'!$B$9,Paramètres!$A$1:$I$88,7,0))</f>
        <v>0</v>
      </c>
      <c r="X143" s="17">
        <f>IF(ISNA(VLOOKUP(A143,'Données projet'!$A$35:$I$55,6,0)),0%,VLOOKUP(A143,'Données projet'!$A$35:$I$55,6,0)*VLOOKUP('Données projet'!$B$9,Paramètres!$A$1:$I$88,7,0))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projet'!$B$9,Paramètres!$A$1:$I$88,3,0)*0.475*44/12</f>
        <v>0</v>
      </c>
      <c r="AA143" s="23">
        <f>EXP(-LN(2)/25)*AA142+(1-EXP(-LN(2)/25))/(LN(2)/25)*Calculateur!V143*Calculateur!X143*VLOOKUP('Données projet'!$B$9,Paramètres!$A$1:$I$88,3,0)*0.475*44/12</f>
        <v>0</v>
      </c>
      <c r="AB143" s="23">
        <f>EXP(-LN(2)/2)*AB142+(1-EXP(-LN(2)/2))/(LN(2)/2)*V143*Y143*VLOOKUP('Données projet'!$B$9,Paramètres!$A$1:$I$88,3,0)*0.475*44/12</f>
        <v>0</v>
      </c>
      <c r="AC143" s="24">
        <f t="shared" si="112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IF(A143&lt;'Données projet'!$A$62,$AF$205^A143,IF(A143='Données projet'!$A$62,'Données projet'!$B$62,AI142+AH143-AQ142))</f>
        <v>1.1368683772161603E-13</v>
      </c>
      <c r="AJ143" s="14">
        <f>AI143*VLOOKUP('Données projet'!$B$10,Paramètres!$A$1:$I$88,3,0)*VLOOKUP('Données projet'!$B$10,Paramètres!$A$1:$I$88,5,0)</f>
        <v>1.1882548278663309E-13</v>
      </c>
      <c r="AK143" s="14">
        <f t="shared" si="152"/>
        <v>1.7496137229198366E-12</v>
      </c>
      <c r="AL143" s="22">
        <f t="shared" si="113"/>
        <v>3.2541982832721012E-12</v>
      </c>
      <c r="AM143" s="62">
        <f t="shared" si="114"/>
        <v>281.30976028109097</v>
      </c>
      <c r="AN143" s="62">
        <f ca="1">AVERAGE(OFFSET($AM$3,0,0,'Données projet'!$E$10+1,1))-AVERAGE(OFFSET($H$3,0,0,'Données projet'!$E$10+1,1))</f>
        <v>458.33072853676879</v>
      </c>
      <c r="AO143" s="62">
        <f t="shared" si="115"/>
        <v>254.1734169352687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projet'!$B$10,Paramètres!$A$1:$I$88,7,0))</f>
        <v>0</v>
      </c>
      <c r="AS143" s="17">
        <f>IF(ISNA(VLOOKUP(A143,'Données projet'!$A$61:$I$81,6,0)),0%,VLOOKUP(A143,'Données projet'!$A$61:$I$81,6,0)*VLOOKUP('Données projet'!$B$10,Paramètres!$A$1:$I$88,7,0))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projet'!$B$9,Paramètres!$A$1:$I$88,3,0)*0.475*44/12</f>
        <v>0</v>
      </c>
      <c r="AV143" s="23">
        <f>EXP(-LN(2)/25)*AV142+(1-EXP(-LN(2)/25))/(LN(2)/25)*Calculateur!AQ143*Calculateur!AS143*VLOOKUP('Données projet'!$B$9,Paramètres!$A$1:$I$88,3,0)*0.475*44/12</f>
        <v>0</v>
      </c>
      <c r="AW143" s="23">
        <f>EXP(-LN(2)/2)*AW142+(1-EXP(-LN(2)/2))/(LN(2)/2)*AQ143*AT143*VLOOKUP('Données projet'!$B$9,Paramètres!$A$1:$I$88,3,0)*0.475*44/12</f>
        <v>0</v>
      </c>
      <c r="AX143" s="23">
        <f t="shared" si="116"/>
        <v>0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IF(A143&lt;'Données projet'!$A$88,$BA$205^A143,IF(A143='Données projet'!$A$88,'Données projet'!$B$88,BD142+BC143-BL142))</f>
        <v>1.1368683772161603E-13</v>
      </c>
      <c r="BE143" s="14">
        <f>BD143*VLOOKUP('Données projet'!$B$11,Paramètres!$A$1:$I$88,3,0)*VLOOKUP('Données projet'!$B$11,Paramètres!$A$1:$I$88,5,0)</f>
        <v>1.1527845344971866E-13</v>
      </c>
      <c r="BF143" s="14">
        <f t="shared" si="153"/>
        <v>1.7033846239409443E-12</v>
      </c>
      <c r="BG143" s="22">
        <f t="shared" si="117"/>
        <v>3.1675048597887374E-12</v>
      </c>
      <c r="BH143" s="62">
        <f t="shared" si="118"/>
        <v>281.30976028109092</v>
      </c>
      <c r="BI143" s="62">
        <f ca="1">AVERAGE(OFFSET($BH$3,0,0,'Données projet'!$E$11+1,1))-AVERAGE(OFFSET($H$3,0,0,'Données projet'!$E$11+1,1))</f>
        <v>447.82618173893104</v>
      </c>
      <c r="BJ143" s="62">
        <f t="shared" si="119"/>
        <v>248.96509970783379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projet'!$B$11,Paramètres!$A$1:$I$88,7,0))</f>
        <v>0</v>
      </c>
      <c r="BN143" s="17">
        <f>IF(ISNA(VLOOKUP(A143,'Données projet'!$A$87:$I$107,6,0)),0%,VLOOKUP(A143,'Données projet'!$A$87:$I$107,6,0)*VLOOKUP('Données projet'!$B$11,Paramètres!$A$1:$I$88,7,0))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projet'!$B$9,Paramètres!$A$1:$I$88,3,0)*0.475*44/12</f>
        <v>0</v>
      </c>
      <c r="BQ143" s="23">
        <f>EXP(-LN(2)/25)*BQ142+(1-EXP(-LN(2)/25))/(LN(2)/25)*Calculateur!BL143*Calculateur!BN143*VLOOKUP('Données projet'!$B$9,Paramètres!$A$1:$I$88,3,0)*0.475*44/12</f>
        <v>0</v>
      </c>
      <c r="BR143" s="23">
        <f>EXP(-LN(2)/2)*BR142+(1-EXP(-LN(2)/2))/(LN(2)/2)*BL143*BO143*VLOOKUP('Données projet'!$B$9,Paramètres!$A$1:$I$88,3,0)*0.475*44/12</f>
        <v>0</v>
      </c>
      <c r="BS143" s="24">
        <f t="shared" si="120"/>
        <v>0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IF(A143&lt;'Données projet'!$A$114,$BV$205^A143,IF(A143='Données projet'!$A$114,'Données projet'!$B$114,BY142+BX143-CG142))</f>
        <v>1.1368683772161603E-13</v>
      </c>
      <c r="BZ143" s="14">
        <f>BY143*VLOOKUP('Données projet'!$B$12,Paramètres!$A$1:$I$88,3,0)*VLOOKUP('Données projet'!$B$12,Paramètres!$A$1:$I$88,5,0)</f>
        <v>1.223725121235475E-13</v>
      </c>
      <c r="CA143" s="14">
        <f t="shared" si="154"/>
        <v>1.7956824466038182E-12</v>
      </c>
      <c r="CB143" s="22">
        <f t="shared" si="121"/>
        <v>3.3406123864501612E-12</v>
      </c>
      <c r="CC143" s="62">
        <f t="shared" si="122"/>
        <v>281.30976028109109</v>
      </c>
      <c r="CD143" s="62">
        <f ca="1">AVERAGE(OFFSET($CC$3,0,0,'Données projet'!$E$12+1,1))-AVERAGE(OFFSET($H$3,0,0,'Données projet'!$E$12+1,1))</f>
        <v>468.82871618425406</v>
      </c>
      <c r="CE143" s="62">
        <f t="shared" si="123"/>
        <v>259.37818128554397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projet'!$B$12,Paramètres!$A$1:$I$88,7,0))</f>
        <v>0</v>
      </c>
      <c r="CI143" s="17">
        <f>IF(ISNA(VLOOKUP(A143,'Données projet'!$A$113:$I$133,6,0)),0%,VLOOKUP(A143,'Données projet'!$A$113:$I$133,6,0)*VLOOKUP('Données projet'!$B$12,Paramètres!$A$1:$I$88,7,0))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projet'!$B$9,Paramètres!$A$1:$I$88,3,0)*0.475*44/12</f>
        <v>0</v>
      </c>
      <c r="CL143" s="23">
        <f>EXP(-LN(2)/25)*CL142+(1-EXP(-LN(2)/25))/(LN(2)/25)*Calculateur!CG143*Calculateur!CI143*VLOOKUP('Données projet'!$B$9,Paramètres!$A$1:$I$88,3,0)*0.475*44/12</f>
        <v>0</v>
      </c>
      <c r="CM143" s="23">
        <f>EXP(-LN(2)/2)*CM142+(1-EXP(-LN(2)/2))/(LN(2)/2)*CG143*CJ143*VLOOKUP('Données projet'!$B$9,Paramètres!$A$1:$I$88,3,0)*0.475*44/12</f>
        <v>0</v>
      </c>
      <c r="CN143" s="24">
        <f t="shared" si="124"/>
        <v>0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IF(A143&lt;'Données projet'!$A$140,$CQ$205^A143,IF(A143='Données projet'!$A$140,'Données projet'!$B$140,CT142+CS143-DB142))</f>
        <v>1.1368683772161603E-13</v>
      </c>
      <c r="CU143" s="18">
        <f>CT143*VLOOKUP('Données projet'!$B$13,Paramètres!$A$1:$I$88,3,0)*VLOOKUP('Données projet'!$B$13,Paramètres!$A$1:$I$88,5,0)</f>
        <v>9.7543306765146564E-14</v>
      </c>
      <c r="CV143" s="14">
        <f t="shared" si="155"/>
        <v>1.4696264278629426E-12</v>
      </c>
      <c r="CW143" s="22">
        <f t="shared" si="125"/>
        <v>2.7294872878105889E-12</v>
      </c>
      <c r="CX143" s="62">
        <f t="shared" si="126"/>
        <v>281.30976028109046</v>
      </c>
      <c r="CY143" s="62">
        <f ca="1">AVERAGE(OFFSET($CX$3,0,0,'Données projet'!$E$13+1,1))-AVERAGE(OFFSET($H$3,0,0,'Données projet'!$E$13+1,1))</f>
        <v>395.19659151668884</v>
      </c>
      <c r="CZ143" s="62">
        <f t="shared" si="127"/>
        <v>222.86563304507339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projet'!$B$13,Paramètres!$A$1:$I$88,7,0))</f>
        <v>0</v>
      </c>
      <c r="DD143" s="17">
        <f>IF(ISNA(VLOOKUP(A143,'Données projet'!$A$139:$I$159,6,0)),0%,VLOOKUP(A143,'Données projet'!$A$139:$I$159,6,0)*VLOOKUP('Données projet'!$B$13,Paramètres!$A$1:$I$88,7,0))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projet'!$B$9,Paramètres!$A$1:$I$88,3,0)*0.475*44/12</f>
        <v>0</v>
      </c>
      <c r="DG143" s="23">
        <f>EXP(-LN(2)/25)*DG142+(1-EXP(-LN(2)/25))/(LN(2)/25)*Calculateur!DB143*Calculateur!DD143*VLOOKUP('Données projet'!$B$9,Paramètres!$A$1:$I$88,3,0)*0.475*44/12</f>
        <v>0</v>
      </c>
      <c r="DH143" s="23">
        <f>EXP(-LN(2)/2)*DH142+(1-EXP(-LN(2)/2))/(LN(2)/2)*DB143*DE143*VLOOKUP('Données projet'!$B$9,Paramètres!$A$1:$I$88,3,0)*0.475*44/12</f>
        <v>0</v>
      </c>
      <c r="DI143" s="24">
        <f t="shared" si="128"/>
        <v>0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IF(A143&lt;'Données projet'!$A$166,$DL$205^A143,IF(A143='Données projet'!$A$166,'Données projet'!$B$166,DO142+DN143-DW142))</f>
        <v>-8.5265128291212022E-14</v>
      </c>
      <c r="DP143" s="18">
        <f>DO143*VLOOKUP('Données projet'!$B$14,Paramètres!$A$1:$I$88,3,0)*VLOOKUP('Données projet'!$B$14,Paramètres!$A$1:$I$88,5,0)</f>
        <v>-4.9880100050359036E-14</v>
      </c>
      <c r="DQ143" s="14" t="e">
        <f t="shared" si="156"/>
        <v>#NUM!</v>
      </c>
      <c r="DR143" s="22" t="e">
        <f t="shared" si="129"/>
        <v>#NUM!</v>
      </c>
      <c r="DS143" s="62" t="e">
        <f t="shared" si="130"/>
        <v>#NUM!</v>
      </c>
      <c r="DT143" s="62">
        <f ca="1">AVERAGE(OFFSET($DS$3,0,0,'Données projet'!$E$14+1,1))-AVERAGE(OFFSET($H$3,0,0,'Données projet'!$E$14+1,1))</f>
        <v>155.18073137151848</v>
      </c>
      <c r="DU143" s="62">
        <f t="shared" si="131"/>
        <v>115.19459155667272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projet'!$B$14,Paramètres!$A$1:$I$88,7,0))</f>
        <v>0</v>
      </c>
      <c r="DY143" s="17">
        <f>IF(ISNA(VLOOKUP(A143,'Données projet'!$A$165:$I$185,6,0)),0%,VLOOKUP(A143,'Données projet'!$A$165:$I$185,6,0)*VLOOKUP('Données projet'!$B$14,Paramètres!$A$1:$I$88,7,0))</f>
        <v>0</v>
      </c>
      <c r="DZ143" s="17">
        <f>IF(ISNA(VLOOKUP(A143,'Données projet'!$A$165:$I$185,7,0)),0%,VLOOKUP(A143,'Données projet'!$A$165:$I$185,7,0))</f>
        <v>0</v>
      </c>
      <c r="EA143" s="23">
        <f>EXP(-LN(2)/35)*EA142+(1-EXP(-LN(2)/35))/(LN(2)/35)*DW143*DX143*VLOOKUP('Données projet'!$B$9,Paramètres!$A$1:$I$88,3,0)*0.475*44/12</f>
        <v>0</v>
      </c>
      <c r="EB143" s="23">
        <f>EXP(-LN(2)/25)*EB142+(1-EXP(-LN(2)/25))/(LN(2)/25)*Calculateur!DW143*Calculateur!DY143*VLOOKUP('Données projet'!$B$9,Paramètres!$A$1:$I$88,3,0)*0.475*44/12</f>
        <v>0</v>
      </c>
      <c r="EC143" s="23">
        <f>EXP(-LN(2)/2)*EC142+(1-EXP(-LN(2)/2))/(LN(2)/2)*DW143*DZ143*VLOOKUP('Données projet'!$B$9,Paramètres!$A$1:$I$88,3,0)*0.475*44/12</f>
        <v>0</v>
      </c>
      <c r="ED143" s="24">
        <f t="shared" si="132"/>
        <v>0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IF(A143&lt;'Données projet'!$A$192,$EG$205^A143,IF(A143='Données projet'!$A$192,'Données projet'!$B$192,EJ142+EI143-ER142))</f>
        <v>-5.6843418860808015E-14</v>
      </c>
      <c r="EK143" s="18">
        <f>EJ143*VLOOKUP('Données projet'!$B$15,Paramètres!$A$1:$I$88,3,0)*VLOOKUP('Données projet'!$B$15,Paramètres!$A$1:$I$88,5,0)</f>
        <v>-2.6602720026858149E-14</v>
      </c>
      <c r="EL143" s="14" t="e">
        <f t="shared" si="157"/>
        <v>#NUM!</v>
      </c>
      <c r="EM143" s="22" t="e">
        <f t="shared" si="133"/>
        <v>#NUM!</v>
      </c>
      <c r="EN143" s="62" t="e">
        <f t="shared" si="134"/>
        <v>#NUM!</v>
      </c>
      <c r="EO143" s="62">
        <f ca="1">AVERAGE(OFFSET($EN$3,0,0,'Données projet'!$E$15+1,1))-AVERAGE(OFFSET($H$3,0,0,'Données projet'!$E$15+1,1))</f>
        <v>238.59014604384171</v>
      </c>
      <c r="EP143" s="62">
        <f t="shared" si="135"/>
        <v>90.841373219575217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projet'!$B$15,Paramètres!$A$1:$I$88,7,0))</f>
        <v>0</v>
      </c>
      <c r="ET143" s="17">
        <f>IF(ISNA(VLOOKUP(A143,'Données projet'!$A$191:$I$211,6,0)),0%,VLOOKUP(A143,'Données projet'!$A$191:$I$211,6,0)*VLOOKUP('Données projet'!$B$15,Paramètres!$A$1:$I$88,7,0))</f>
        <v>0</v>
      </c>
      <c r="EU143" s="17">
        <f>IF(ISNA(VLOOKUP(A143,'Données projet'!$A$191:$I$211,7,0)),0%,VLOOKUP(A143,'Données projet'!$A$191:$I$211,7,0))</f>
        <v>0</v>
      </c>
      <c r="EV143" s="23">
        <f>EXP(-LN(2)/35)*EV142+(1-EXP(-LN(2)/35))/(LN(2)/35)*ER143*ES143*VLOOKUP('Données projet'!$B$9,Paramètres!$A$1:$I$88,3,0)*0.475*44/12</f>
        <v>0</v>
      </c>
      <c r="EW143" s="23">
        <f>EXP(-LN(2)/25)*EW142+(1-EXP(-LN(2)/25))/(LN(2)/25)*Calculateur!ER143*Calculateur!ET143*VLOOKUP('Données projet'!$B$9,Paramètres!$A$1:$I$88,3,0)*0.475*44/12</f>
        <v>0</v>
      </c>
      <c r="EX143" s="23">
        <f>EXP(-LN(2)/2)*EX142+(1-EXP(-LN(2)/2))/(LN(2)/2)*ER143*EU143*VLOOKUP('Données projet'!$B$9,Paramètres!$A$1:$I$88,3,0)*0.475*44/12</f>
        <v>0</v>
      </c>
      <c r="EY143" s="24">
        <f t="shared" si="136"/>
        <v>0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IF(A143&lt;'Données projet'!$A$218,$FB$205^A143,IF(A143='Données projet'!$A$218,'Données projet'!$B$218,FE142+FD143-FM142))</f>
        <v>0</v>
      </c>
      <c r="FF143" s="18" t="e">
        <f>FE143*VLOOKUP('Données projet'!$B$16,Paramètres!$A$1:$I$88,3,0)*VLOOKUP('Données projet'!$B$16,Paramètres!$A$1:$I$88,5,0)</f>
        <v>#N/A</v>
      </c>
      <c r="FG143" s="14" t="e">
        <f t="shared" si="158"/>
        <v>#N/A</v>
      </c>
      <c r="FH143" s="22" t="e">
        <f t="shared" si="137"/>
        <v>#N/A</v>
      </c>
      <c r="FI143" s="62" t="e">
        <f t="shared" si="138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39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projet'!$B$16,Paramètres!$A$1:$I$88,7,0))</f>
        <v>0</v>
      </c>
      <c r="FO143" s="17">
        <f>IF(ISNA(VLOOKUP(A143,'Données projet'!$A$217:$I$237,6,0)),0%,VLOOKUP(A143,'Données projet'!$A$217:$I$237,6,0)*VLOOKUP('Données projet'!$B$16,Paramètres!$A$1:$I$88,7,0))</f>
        <v>0</v>
      </c>
      <c r="FP143" s="17">
        <f>IF(ISNA(VLOOKUP(A143,'Données projet'!$A$217:$I$237,7,0)),0%,VLOOKUP(A143,'Données projet'!$A$217:$I$237,7,0))</f>
        <v>0</v>
      </c>
      <c r="FQ143" s="23">
        <f>EXP(-LN(2)/35)*FQ142+(1-EXP(-LN(2)/35))/(LN(2)/35)*FM143*FN143*VLOOKUP('Données projet'!$B$9,Paramètres!$A$1:$I$88,3,0)*0.475*44/12</f>
        <v>0</v>
      </c>
      <c r="FR143" s="23">
        <f>EXP(-LN(2)/25)*FR142+(1-EXP(-LN(2)/25))/(LN(2)/25)*Calculateur!FM143*Calculateur!FO143*VLOOKUP('Données projet'!$B$9,Paramètres!$A$1:$I$88,3,0)*0.475*44/12</f>
        <v>0</v>
      </c>
      <c r="FS143" s="23">
        <f>EXP(-LN(2)/2)*FS142+(1-EXP(-LN(2)/2))/(LN(2)/2)*FM143*FP143*VLOOKUP('Données projet'!$B$9,Paramètres!$A$1:$I$88,3,0)*0.475*44/12</f>
        <v>0</v>
      </c>
      <c r="FT143" s="24">
        <f t="shared" si="140"/>
        <v>0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IF(A143&lt;'Données projet'!$A$244,$FW$205^A143,IF(A143='Données projet'!$A$244,'Données projet'!$B$244,FZ142+FY143-GH142))</f>
        <v>0</v>
      </c>
      <c r="GA143" s="18" t="e">
        <f>FZ143*VLOOKUP('Données projet'!$B$17,Paramètres!$A$1:$I$88,3,0)*VLOOKUP('Données projet'!$B$17,Paramètres!$A$1:$I$88,5,0)</f>
        <v>#N/A</v>
      </c>
      <c r="GB143" s="14" t="e">
        <f t="shared" si="159"/>
        <v>#N/A</v>
      </c>
      <c r="GC143" s="22" t="e">
        <f t="shared" si="141"/>
        <v>#N/A</v>
      </c>
      <c r="GD143" s="62" t="e">
        <f t="shared" si="142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43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projet'!$B$17,Paramètres!$A$1:$I$88,7,0))</f>
        <v>0</v>
      </c>
      <c r="GJ143" s="17">
        <f>IF(ISNA(VLOOKUP(A143,'Données projet'!$A$243:$I$263,6,0)),0%,VLOOKUP(A143,'Données projet'!$A$243:$I$263,6,0)*VLOOKUP('Données projet'!$B$17,Paramètres!$A$1:$I$88,7,0))</f>
        <v>0</v>
      </c>
      <c r="GK143" s="17">
        <f>IF(ISNA(VLOOKUP(A143,'Données projet'!$A$243:$I$263,7,0)),0%,VLOOKUP(A143,'Données projet'!$A$243:$I$263,7,0))</f>
        <v>0</v>
      </c>
      <c r="GL143" s="23">
        <f>EXP(-LN(2)/35)*GL142+(1-EXP(-LN(2)/35))/(LN(2)/35)*GH143*GI143*VLOOKUP('Données projet'!$B$9,Paramètres!$A$1:$I$88,3,0)*0.475*44/12</f>
        <v>0</v>
      </c>
      <c r="GM143" s="23">
        <f>EXP(-LN(2)/25)*GM142+(1-EXP(-LN(2)/25))/(LN(2)/25)*Calculateur!GH143*Calculateur!GJ143*VLOOKUP('Données projet'!$B$9,Paramètres!$A$1:$I$88,3,0)*0.475*44/12</f>
        <v>0</v>
      </c>
      <c r="GN143" s="23">
        <f>EXP(-LN(2)/2)*GN142+(1-EXP(-LN(2)/2))/(LN(2)/2)*GH143*GK143*VLOOKUP('Données projet'!$B$9,Paramètres!$A$1:$I$88,3,0)*0.475*44/12</f>
        <v>0</v>
      </c>
      <c r="GO143" s="23">
        <f t="shared" si="144"/>
        <v>0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IF(A143&lt;'Données projet'!$A$270,$GR$205^A143,IF(A143='Données projet'!$A$270,'Données projet'!$B$270,GU142+GT143-HC142))</f>
        <v>0</v>
      </c>
      <c r="GV143" s="18" t="e">
        <f>GU143*VLOOKUP('Données projet'!$B$18,Paramètres!$A$1:$I$88,3,0)*VLOOKUP('Données projet'!$B$18,Paramètres!$A$1:$I$88,5,0)</f>
        <v>#N/A</v>
      </c>
      <c r="GW143" s="14" t="e">
        <f t="shared" si="160"/>
        <v>#N/A</v>
      </c>
      <c r="GX143" s="22" t="e">
        <f t="shared" si="145"/>
        <v>#N/A</v>
      </c>
      <c r="GY143" s="62" t="e">
        <f t="shared" si="146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47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projet'!$B$18,Paramètres!$A$1:$I$88,7,0))</f>
        <v>0</v>
      </c>
      <c r="HE143" s="17">
        <f>IF(ISNA(VLOOKUP(A143,'Données projet'!$A$269:$I$289,6,0)),0%,VLOOKUP(A143,'Données projet'!$A$269:$I$289,6,0)*VLOOKUP('Données projet'!$B$18,Paramètres!$A$1:$I$88,7,0))</f>
        <v>0</v>
      </c>
      <c r="HF143" s="17">
        <f>IF(ISNA(VLOOKUP(A143,'Données projet'!$A$269:$I$289,7,0)),0%,VLOOKUP(A143,'Données projet'!$A$269:$I$289,7,0))</f>
        <v>0</v>
      </c>
      <c r="HG143" s="23">
        <f>EXP(-LN(2)/35)*HG142+(1-EXP(-LN(2)/35))/(LN(2)/35)*HC143*HD143*VLOOKUP('Données projet'!$B$9,Paramètres!$A$1:$I$88,3,0)*0.475*44/12</f>
        <v>0</v>
      </c>
      <c r="HH143" s="23">
        <f>EXP(-LN(2)/25)*HH142+(1-EXP(-LN(2)/25))/(LN(2)/25)*Calculateur!HC143*Calculateur!HE143*VLOOKUP('Données projet'!$B$9,Paramètres!$A$1:$I$88,3,0)*0.475*44/12</f>
        <v>0</v>
      </c>
      <c r="HI143" s="23">
        <f>EXP(-LN(2)/2)*HI142+(1-EXP(-LN(2)/2))/(LN(2)/2)*HC143*HF143*VLOOKUP('Données projet'!$B$9,Paramètres!$A$1:$I$88,3,0)*0.475*44/12</f>
        <v>0</v>
      </c>
      <c r="HJ143" s="24">
        <f t="shared" si="148"/>
        <v>0</v>
      </c>
    </row>
    <row r="144" spans="1:218" s="5" customFormat="1" x14ac:dyDescent="0.25">
      <c r="A144" s="11">
        <f t="shared" si="149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4" s="12">
        <f t="shared" si="15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111"/>
        <v>135.66666666666666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1.1341666666666668</v>
      </c>
      <c r="N144" s="14">
        <f>IF(A144&lt;'Données projet'!$A$36,$K$205^A144,IF(A144='Données projet'!$A$36,'Données projet'!$B$36,N143+M144-V143))</f>
        <v>120.00499999999998</v>
      </c>
      <c r="O144" s="14">
        <f>N144*VLOOKUP('Données projet'!$B$9,Paramètres!$A$1:$I$88,3,0)*VLOOKUP('Données projet'!$B$9,Paramètres!$A$1:$I$88,5,0)</f>
        <v>138.24575999999996</v>
      </c>
      <c r="P144" s="14">
        <f t="shared" si="151"/>
        <v>35.89483929910822</v>
      </c>
      <c r="Q144" s="22">
        <f t="shared" si="108"/>
        <v>303.29487711261339</v>
      </c>
      <c r="R144" s="62">
        <f t="shared" si="109"/>
        <v>584.81321950547522</v>
      </c>
      <c r="S144" s="62">
        <f ca="1">AVERAGE(OFFSET($R$3,0,0,'Données projet'!$E$9+1,1))-AVERAGE(OFFSET($H$3,0,0,'Données projet'!$E$9+1,1))</f>
        <v>314.72063458462026</v>
      </c>
      <c r="T144" s="62">
        <f t="shared" si="110"/>
        <v>216.4380325968244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projet'!$B$9,Paramètres!$A$1:$I$88,7,0))</f>
        <v>0</v>
      </c>
      <c r="X144" s="17">
        <f>IF(ISNA(VLOOKUP(A144,'Données projet'!$A$35:$I$55,6,0)),0%,VLOOKUP(A144,'Données projet'!$A$35:$I$55,6,0)*VLOOKUP('Données projet'!$B$9,Paramètres!$A$1:$I$88,7,0))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projet'!$B$9,Paramètres!$A$1:$I$88,3,0)*0.475*44/12</f>
        <v>0</v>
      </c>
      <c r="AA144" s="23">
        <f>EXP(-LN(2)/25)*AA143+(1-EXP(-LN(2)/25))/(LN(2)/25)*Calculateur!V144*Calculateur!X144*VLOOKUP('Données projet'!$B$9,Paramètres!$A$1:$I$88,3,0)*0.475*44/12</f>
        <v>0</v>
      </c>
      <c r="AB144" s="23">
        <f>EXP(-LN(2)/2)*AB143+(1-EXP(-LN(2)/2))/(LN(2)/2)*V144*Y144*VLOOKUP('Données projet'!$B$9,Paramètres!$A$1:$I$88,3,0)*0.475*44/12</f>
        <v>0</v>
      </c>
      <c r="AC144" s="24">
        <f t="shared" si="112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IF(A144&lt;'Données projet'!$A$62,$AF$205^A144,IF(A144='Données projet'!$A$62,'Données projet'!$B$62,AI143+AH144-AQ143))</f>
        <v>1.1368683772161603E-13</v>
      </c>
      <c r="AJ144" s="14">
        <f>AI144*VLOOKUP('Données projet'!$B$10,Paramètres!$A$1:$I$88,3,0)*VLOOKUP('Données projet'!$B$10,Paramètres!$A$1:$I$88,5,0)</f>
        <v>1.1882548278663309E-13</v>
      </c>
      <c r="AK144" s="14">
        <f t="shared" si="152"/>
        <v>1.7496137229198366E-12</v>
      </c>
      <c r="AL144" s="22">
        <f t="shared" si="113"/>
        <v>3.2541982832721012E-12</v>
      </c>
      <c r="AM144" s="62">
        <f t="shared" si="114"/>
        <v>281.51834239286507</v>
      </c>
      <c r="AN144" s="62">
        <f ca="1">AVERAGE(OFFSET($AM$3,0,0,'Données projet'!$E$10+1,1))-AVERAGE(OFFSET($H$3,0,0,'Données projet'!$E$10+1,1))</f>
        <v>458.33072853676879</v>
      </c>
      <c r="AO144" s="62">
        <f t="shared" si="115"/>
        <v>254.1734169352687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projet'!$B$10,Paramètres!$A$1:$I$88,7,0))</f>
        <v>0</v>
      </c>
      <c r="AS144" s="17">
        <f>IF(ISNA(VLOOKUP(A144,'Données projet'!$A$61:$I$81,6,0)),0%,VLOOKUP(A144,'Données projet'!$A$61:$I$81,6,0)*VLOOKUP('Données projet'!$B$10,Paramètres!$A$1:$I$88,7,0))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projet'!$B$9,Paramètres!$A$1:$I$88,3,0)*0.475*44/12</f>
        <v>0</v>
      </c>
      <c r="AV144" s="23">
        <f>EXP(-LN(2)/25)*AV143+(1-EXP(-LN(2)/25))/(LN(2)/25)*Calculateur!AQ144*Calculateur!AS144*VLOOKUP('Données projet'!$B$9,Paramètres!$A$1:$I$88,3,0)*0.475*44/12</f>
        <v>0</v>
      </c>
      <c r="AW144" s="23">
        <f>EXP(-LN(2)/2)*AW143+(1-EXP(-LN(2)/2))/(LN(2)/2)*AQ144*AT144*VLOOKUP('Données projet'!$B$9,Paramètres!$A$1:$I$88,3,0)*0.475*44/12</f>
        <v>0</v>
      </c>
      <c r="AX144" s="23">
        <f t="shared" si="116"/>
        <v>0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IF(A144&lt;'Données projet'!$A$88,$BA$205^A144,IF(A144='Données projet'!$A$88,'Données projet'!$B$88,BD143+BC144-BL143))</f>
        <v>1.1368683772161603E-13</v>
      </c>
      <c r="BE144" s="14">
        <f>BD144*VLOOKUP('Données projet'!$B$11,Paramètres!$A$1:$I$88,3,0)*VLOOKUP('Données projet'!$B$11,Paramètres!$A$1:$I$88,5,0)</f>
        <v>1.1527845344971866E-13</v>
      </c>
      <c r="BF144" s="14">
        <f t="shared" si="153"/>
        <v>1.7033846239409443E-12</v>
      </c>
      <c r="BG144" s="22">
        <f t="shared" si="117"/>
        <v>3.1675048597887374E-12</v>
      </c>
      <c r="BH144" s="62">
        <f t="shared" si="118"/>
        <v>281.51834239286501</v>
      </c>
      <c r="BI144" s="62">
        <f ca="1">AVERAGE(OFFSET($BH$3,0,0,'Données projet'!$E$11+1,1))-AVERAGE(OFFSET($H$3,0,0,'Données projet'!$E$11+1,1))</f>
        <v>447.82618173893104</v>
      </c>
      <c r="BJ144" s="62">
        <f t="shared" si="119"/>
        <v>248.96509970783379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projet'!$B$11,Paramètres!$A$1:$I$88,7,0))</f>
        <v>0</v>
      </c>
      <c r="BN144" s="17">
        <f>IF(ISNA(VLOOKUP(A144,'Données projet'!$A$87:$I$107,6,0)),0%,VLOOKUP(A144,'Données projet'!$A$87:$I$107,6,0)*VLOOKUP('Données projet'!$B$11,Paramètres!$A$1:$I$88,7,0))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projet'!$B$9,Paramètres!$A$1:$I$88,3,0)*0.475*44/12</f>
        <v>0</v>
      </c>
      <c r="BQ144" s="23">
        <f>EXP(-LN(2)/25)*BQ143+(1-EXP(-LN(2)/25))/(LN(2)/25)*Calculateur!BL144*Calculateur!BN144*VLOOKUP('Données projet'!$B$9,Paramètres!$A$1:$I$88,3,0)*0.475*44/12</f>
        <v>0</v>
      </c>
      <c r="BR144" s="23">
        <f>EXP(-LN(2)/2)*BR143+(1-EXP(-LN(2)/2))/(LN(2)/2)*BL144*BO144*VLOOKUP('Données projet'!$B$9,Paramètres!$A$1:$I$88,3,0)*0.475*44/12</f>
        <v>0</v>
      </c>
      <c r="BS144" s="24">
        <f t="shared" si="120"/>
        <v>0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IF(A144&lt;'Données projet'!$A$114,$BV$205^A144,IF(A144='Données projet'!$A$114,'Données projet'!$B$114,BY143+BX144-CG143))</f>
        <v>1.1368683772161603E-13</v>
      </c>
      <c r="BZ144" s="14">
        <f>BY144*VLOOKUP('Données projet'!$B$12,Paramètres!$A$1:$I$88,3,0)*VLOOKUP('Données projet'!$B$12,Paramètres!$A$1:$I$88,5,0)</f>
        <v>1.223725121235475E-13</v>
      </c>
      <c r="CA144" s="14">
        <f t="shared" si="154"/>
        <v>1.7956824466038182E-12</v>
      </c>
      <c r="CB144" s="22">
        <f t="shared" si="121"/>
        <v>3.3406123864501612E-12</v>
      </c>
      <c r="CC144" s="62">
        <f t="shared" si="122"/>
        <v>281.51834239286518</v>
      </c>
      <c r="CD144" s="62">
        <f ca="1">AVERAGE(OFFSET($CC$3,0,0,'Données projet'!$E$12+1,1))-AVERAGE(OFFSET($H$3,0,0,'Données projet'!$E$12+1,1))</f>
        <v>468.82871618425406</v>
      </c>
      <c r="CE144" s="62">
        <f t="shared" si="123"/>
        <v>259.37818128554397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projet'!$B$12,Paramètres!$A$1:$I$88,7,0))</f>
        <v>0</v>
      </c>
      <c r="CI144" s="17">
        <f>IF(ISNA(VLOOKUP(A144,'Données projet'!$A$113:$I$133,6,0)),0%,VLOOKUP(A144,'Données projet'!$A$113:$I$133,6,0)*VLOOKUP('Données projet'!$B$12,Paramètres!$A$1:$I$88,7,0))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projet'!$B$9,Paramètres!$A$1:$I$88,3,0)*0.475*44/12</f>
        <v>0</v>
      </c>
      <c r="CL144" s="23">
        <f>EXP(-LN(2)/25)*CL143+(1-EXP(-LN(2)/25))/(LN(2)/25)*Calculateur!CG144*Calculateur!CI144*VLOOKUP('Données projet'!$B$9,Paramètres!$A$1:$I$88,3,0)*0.475*44/12</f>
        <v>0</v>
      </c>
      <c r="CM144" s="23">
        <f>EXP(-LN(2)/2)*CM143+(1-EXP(-LN(2)/2))/(LN(2)/2)*CG144*CJ144*VLOOKUP('Données projet'!$B$9,Paramètres!$A$1:$I$88,3,0)*0.475*44/12</f>
        <v>0</v>
      </c>
      <c r="CN144" s="24">
        <f t="shared" si="124"/>
        <v>0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IF(A144&lt;'Données projet'!$A$140,$CQ$205^A144,IF(A144='Données projet'!$A$140,'Données projet'!$B$140,CT143+CS144-DB143))</f>
        <v>1.1368683772161603E-13</v>
      </c>
      <c r="CU144" s="18">
        <f>CT144*VLOOKUP('Données projet'!$B$13,Paramètres!$A$1:$I$88,3,0)*VLOOKUP('Données projet'!$B$13,Paramètres!$A$1:$I$88,5,0)</f>
        <v>9.7543306765146564E-14</v>
      </c>
      <c r="CV144" s="14">
        <f t="shared" si="155"/>
        <v>1.4696264278629426E-12</v>
      </c>
      <c r="CW144" s="22">
        <f t="shared" si="125"/>
        <v>2.7294872878105889E-12</v>
      </c>
      <c r="CX144" s="62">
        <f t="shared" si="126"/>
        <v>281.51834239286455</v>
      </c>
      <c r="CY144" s="62">
        <f ca="1">AVERAGE(OFFSET($CX$3,0,0,'Données projet'!$E$13+1,1))-AVERAGE(OFFSET($H$3,0,0,'Données projet'!$E$13+1,1))</f>
        <v>395.19659151668884</v>
      </c>
      <c r="CZ144" s="62">
        <f t="shared" si="127"/>
        <v>222.86563304507339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projet'!$B$13,Paramètres!$A$1:$I$88,7,0))</f>
        <v>0</v>
      </c>
      <c r="DD144" s="17">
        <f>IF(ISNA(VLOOKUP(A144,'Données projet'!$A$139:$I$159,6,0)),0%,VLOOKUP(A144,'Données projet'!$A$139:$I$159,6,0)*VLOOKUP('Données projet'!$B$13,Paramètres!$A$1:$I$88,7,0))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projet'!$B$9,Paramètres!$A$1:$I$88,3,0)*0.475*44/12</f>
        <v>0</v>
      </c>
      <c r="DG144" s="23">
        <f>EXP(-LN(2)/25)*DG143+(1-EXP(-LN(2)/25))/(LN(2)/25)*Calculateur!DB144*Calculateur!DD144*VLOOKUP('Données projet'!$B$9,Paramètres!$A$1:$I$88,3,0)*0.475*44/12</f>
        <v>0</v>
      </c>
      <c r="DH144" s="23">
        <f>EXP(-LN(2)/2)*DH143+(1-EXP(-LN(2)/2))/(LN(2)/2)*DB144*DE144*VLOOKUP('Données projet'!$B$9,Paramètres!$A$1:$I$88,3,0)*0.475*44/12</f>
        <v>0</v>
      </c>
      <c r="DI144" s="24">
        <f t="shared" si="128"/>
        <v>0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IF(A144&lt;'Données projet'!$A$166,$DL$205^A144,IF(A144='Données projet'!$A$166,'Données projet'!$B$166,DO143+DN144-DW143))</f>
        <v>-8.5265128291212022E-14</v>
      </c>
      <c r="DP144" s="18">
        <f>DO144*VLOOKUP('Données projet'!$B$14,Paramètres!$A$1:$I$88,3,0)*VLOOKUP('Données projet'!$B$14,Paramètres!$A$1:$I$88,5,0)</f>
        <v>-4.9880100050359036E-14</v>
      </c>
      <c r="DQ144" s="14" t="e">
        <f t="shared" si="156"/>
        <v>#NUM!</v>
      </c>
      <c r="DR144" s="22" t="e">
        <f t="shared" si="129"/>
        <v>#NUM!</v>
      </c>
      <c r="DS144" s="62" t="e">
        <f t="shared" si="130"/>
        <v>#NUM!</v>
      </c>
      <c r="DT144" s="62">
        <f ca="1">AVERAGE(OFFSET($DS$3,0,0,'Données projet'!$E$14+1,1))-AVERAGE(OFFSET($H$3,0,0,'Données projet'!$E$14+1,1))</f>
        <v>155.18073137151848</v>
      </c>
      <c r="DU144" s="62">
        <f t="shared" si="131"/>
        <v>115.19459155667272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projet'!$B$14,Paramètres!$A$1:$I$88,7,0))</f>
        <v>0</v>
      </c>
      <c r="DY144" s="17">
        <f>IF(ISNA(VLOOKUP(A144,'Données projet'!$A$165:$I$185,6,0)),0%,VLOOKUP(A144,'Données projet'!$A$165:$I$185,6,0)*VLOOKUP('Données projet'!$B$14,Paramètres!$A$1:$I$88,7,0))</f>
        <v>0</v>
      </c>
      <c r="DZ144" s="17">
        <f>IF(ISNA(VLOOKUP(A144,'Données projet'!$A$165:$I$185,7,0)),0%,VLOOKUP(A144,'Données projet'!$A$165:$I$185,7,0))</f>
        <v>0</v>
      </c>
      <c r="EA144" s="23">
        <f>EXP(-LN(2)/35)*EA143+(1-EXP(-LN(2)/35))/(LN(2)/35)*DW144*DX144*VLOOKUP('Données projet'!$B$9,Paramètres!$A$1:$I$88,3,0)*0.475*44/12</f>
        <v>0</v>
      </c>
      <c r="EB144" s="23">
        <f>EXP(-LN(2)/25)*EB143+(1-EXP(-LN(2)/25))/(LN(2)/25)*Calculateur!DW144*Calculateur!DY144*VLOOKUP('Données projet'!$B$9,Paramètres!$A$1:$I$88,3,0)*0.475*44/12</f>
        <v>0</v>
      </c>
      <c r="EC144" s="23">
        <f>EXP(-LN(2)/2)*EC143+(1-EXP(-LN(2)/2))/(LN(2)/2)*DW144*DZ144*VLOOKUP('Données projet'!$B$9,Paramètres!$A$1:$I$88,3,0)*0.475*44/12</f>
        <v>0</v>
      </c>
      <c r="ED144" s="24">
        <f t="shared" si="132"/>
        <v>0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IF(A144&lt;'Données projet'!$A$192,$EG$205^A144,IF(A144='Données projet'!$A$192,'Données projet'!$B$192,EJ143+EI144-ER143))</f>
        <v>-5.6843418860808015E-14</v>
      </c>
      <c r="EK144" s="18">
        <f>EJ144*VLOOKUP('Données projet'!$B$15,Paramètres!$A$1:$I$88,3,0)*VLOOKUP('Données projet'!$B$15,Paramètres!$A$1:$I$88,5,0)</f>
        <v>-2.6602720026858149E-14</v>
      </c>
      <c r="EL144" s="14" t="e">
        <f t="shared" si="157"/>
        <v>#NUM!</v>
      </c>
      <c r="EM144" s="22" t="e">
        <f t="shared" si="133"/>
        <v>#NUM!</v>
      </c>
      <c r="EN144" s="62" t="e">
        <f t="shared" si="134"/>
        <v>#NUM!</v>
      </c>
      <c r="EO144" s="62">
        <f ca="1">AVERAGE(OFFSET($EN$3,0,0,'Données projet'!$E$15+1,1))-AVERAGE(OFFSET($H$3,0,0,'Données projet'!$E$15+1,1))</f>
        <v>238.59014604384171</v>
      </c>
      <c r="EP144" s="62">
        <f t="shared" si="135"/>
        <v>90.841373219575217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projet'!$B$15,Paramètres!$A$1:$I$88,7,0))</f>
        <v>0</v>
      </c>
      <c r="ET144" s="17">
        <f>IF(ISNA(VLOOKUP(A144,'Données projet'!$A$191:$I$211,6,0)),0%,VLOOKUP(A144,'Données projet'!$A$191:$I$211,6,0)*VLOOKUP('Données projet'!$B$15,Paramètres!$A$1:$I$88,7,0))</f>
        <v>0</v>
      </c>
      <c r="EU144" s="17">
        <f>IF(ISNA(VLOOKUP(A144,'Données projet'!$A$191:$I$211,7,0)),0%,VLOOKUP(A144,'Données projet'!$A$191:$I$211,7,0))</f>
        <v>0</v>
      </c>
      <c r="EV144" s="23">
        <f>EXP(-LN(2)/35)*EV143+(1-EXP(-LN(2)/35))/(LN(2)/35)*ER144*ES144*VLOOKUP('Données projet'!$B$9,Paramètres!$A$1:$I$88,3,0)*0.475*44/12</f>
        <v>0</v>
      </c>
      <c r="EW144" s="23">
        <f>EXP(-LN(2)/25)*EW143+(1-EXP(-LN(2)/25))/(LN(2)/25)*Calculateur!ER144*Calculateur!ET144*VLOOKUP('Données projet'!$B$9,Paramètres!$A$1:$I$88,3,0)*0.475*44/12</f>
        <v>0</v>
      </c>
      <c r="EX144" s="23">
        <f>EXP(-LN(2)/2)*EX143+(1-EXP(-LN(2)/2))/(LN(2)/2)*ER144*EU144*VLOOKUP('Données projet'!$B$9,Paramètres!$A$1:$I$88,3,0)*0.475*44/12</f>
        <v>0</v>
      </c>
      <c r="EY144" s="24">
        <f t="shared" si="136"/>
        <v>0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IF(A144&lt;'Données projet'!$A$218,$FB$205^A144,IF(A144='Données projet'!$A$218,'Données projet'!$B$218,FE143+FD144-FM143))</f>
        <v>0</v>
      </c>
      <c r="FF144" s="18" t="e">
        <f>FE144*VLOOKUP('Données projet'!$B$16,Paramètres!$A$1:$I$88,3,0)*VLOOKUP('Données projet'!$B$16,Paramètres!$A$1:$I$88,5,0)</f>
        <v>#N/A</v>
      </c>
      <c r="FG144" s="14" t="e">
        <f t="shared" si="158"/>
        <v>#N/A</v>
      </c>
      <c r="FH144" s="22" t="e">
        <f t="shared" si="137"/>
        <v>#N/A</v>
      </c>
      <c r="FI144" s="62" t="e">
        <f t="shared" si="138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39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projet'!$B$16,Paramètres!$A$1:$I$88,7,0))</f>
        <v>0</v>
      </c>
      <c r="FO144" s="17">
        <f>IF(ISNA(VLOOKUP(A144,'Données projet'!$A$217:$I$237,6,0)),0%,VLOOKUP(A144,'Données projet'!$A$217:$I$237,6,0)*VLOOKUP('Données projet'!$B$16,Paramètres!$A$1:$I$88,7,0))</f>
        <v>0</v>
      </c>
      <c r="FP144" s="17">
        <f>IF(ISNA(VLOOKUP(A144,'Données projet'!$A$217:$I$237,7,0)),0%,VLOOKUP(A144,'Données projet'!$A$217:$I$237,7,0))</f>
        <v>0</v>
      </c>
      <c r="FQ144" s="23">
        <f>EXP(-LN(2)/35)*FQ143+(1-EXP(-LN(2)/35))/(LN(2)/35)*FM144*FN144*VLOOKUP('Données projet'!$B$9,Paramètres!$A$1:$I$88,3,0)*0.475*44/12</f>
        <v>0</v>
      </c>
      <c r="FR144" s="23">
        <f>EXP(-LN(2)/25)*FR143+(1-EXP(-LN(2)/25))/(LN(2)/25)*Calculateur!FM144*Calculateur!FO144*VLOOKUP('Données projet'!$B$9,Paramètres!$A$1:$I$88,3,0)*0.475*44/12</f>
        <v>0</v>
      </c>
      <c r="FS144" s="23">
        <f>EXP(-LN(2)/2)*FS143+(1-EXP(-LN(2)/2))/(LN(2)/2)*FM144*FP144*VLOOKUP('Données projet'!$B$9,Paramètres!$A$1:$I$88,3,0)*0.475*44/12</f>
        <v>0</v>
      </c>
      <c r="FT144" s="24">
        <f t="shared" si="140"/>
        <v>0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IF(A144&lt;'Données projet'!$A$244,$FW$205^A144,IF(A144='Données projet'!$A$244,'Données projet'!$B$244,FZ143+FY144-GH143))</f>
        <v>0</v>
      </c>
      <c r="GA144" s="18" t="e">
        <f>FZ144*VLOOKUP('Données projet'!$B$17,Paramètres!$A$1:$I$88,3,0)*VLOOKUP('Données projet'!$B$17,Paramètres!$A$1:$I$88,5,0)</f>
        <v>#N/A</v>
      </c>
      <c r="GB144" s="14" t="e">
        <f t="shared" si="159"/>
        <v>#N/A</v>
      </c>
      <c r="GC144" s="22" t="e">
        <f t="shared" si="141"/>
        <v>#N/A</v>
      </c>
      <c r="GD144" s="62" t="e">
        <f t="shared" si="142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43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projet'!$B$17,Paramètres!$A$1:$I$88,7,0))</f>
        <v>0</v>
      </c>
      <c r="GJ144" s="17">
        <f>IF(ISNA(VLOOKUP(A144,'Données projet'!$A$243:$I$263,6,0)),0%,VLOOKUP(A144,'Données projet'!$A$243:$I$263,6,0)*VLOOKUP('Données projet'!$B$17,Paramètres!$A$1:$I$88,7,0))</f>
        <v>0</v>
      </c>
      <c r="GK144" s="17">
        <f>IF(ISNA(VLOOKUP(A144,'Données projet'!$A$243:$I$263,7,0)),0%,VLOOKUP(A144,'Données projet'!$A$243:$I$263,7,0))</f>
        <v>0</v>
      </c>
      <c r="GL144" s="23">
        <f>EXP(-LN(2)/35)*GL143+(1-EXP(-LN(2)/35))/(LN(2)/35)*GH144*GI144*VLOOKUP('Données projet'!$B$9,Paramètres!$A$1:$I$88,3,0)*0.475*44/12</f>
        <v>0</v>
      </c>
      <c r="GM144" s="23">
        <f>EXP(-LN(2)/25)*GM143+(1-EXP(-LN(2)/25))/(LN(2)/25)*Calculateur!GH144*Calculateur!GJ144*VLOOKUP('Données projet'!$B$9,Paramètres!$A$1:$I$88,3,0)*0.475*44/12</f>
        <v>0</v>
      </c>
      <c r="GN144" s="23">
        <f>EXP(-LN(2)/2)*GN143+(1-EXP(-LN(2)/2))/(LN(2)/2)*GH144*GK144*VLOOKUP('Données projet'!$B$9,Paramètres!$A$1:$I$88,3,0)*0.475*44/12</f>
        <v>0</v>
      </c>
      <c r="GO144" s="23">
        <f t="shared" si="144"/>
        <v>0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IF(A144&lt;'Données projet'!$A$270,$GR$205^A144,IF(A144='Données projet'!$A$270,'Données projet'!$B$270,GU143+GT144-HC143))</f>
        <v>0</v>
      </c>
      <c r="GV144" s="18" t="e">
        <f>GU144*VLOOKUP('Données projet'!$B$18,Paramètres!$A$1:$I$88,3,0)*VLOOKUP('Données projet'!$B$18,Paramètres!$A$1:$I$88,5,0)</f>
        <v>#N/A</v>
      </c>
      <c r="GW144" s="14" t="e">
        <f t="shared" si="160"/>
        <v>#N/A</v>
      </c>
      <c r="GX144" s="22" t="e">
        <f t="shared" si="145"/>
        <v>#N/A</v>
      </c>
      <c r="GY144" s="62" t="e">
        <f t="shared" si="146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47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projet'!$B$18,Paramètres!$A$1:$I$88,7,0))</f>
        <v>0</v>
      </c>
      <c r="HE144" s="17">
        <f>IF(ISNA(VLOOKUP(A144,'Données projet'!$A$269:$I$289,6,0)),0%,VLOOKUP(A144,'Données projet'!$A$269:$I$289,6,0)*VLOOKUP('Données projet'!$B$18,Paramètres!$A$1:$I$88,7,0))</f>
        <v>0</v>
      </c>
      <c r="HF144" s="17">
        <f>IF(ISNA(VLOOKUP(A144,'Données projet'!$A$269:$I$289,7,0)),0%,VLOOKUP(A144,'Données projet'!$A$269:$I$289,7,0))</f>
        <v>0</v>
      </c>
      <c r="HG144" s="23">
        <f>EXP(-LN(2)/35)*HG143+(1-EXP(-LN(2)/35))/(LN(2)/35)*HC144*HD144*VLOOKUP('Données projet'!$B$9,Paramètres!$A$1:$I$88,3,0)*0.475*44/12</f>
        <v>0</v>
      </c>
      <c r="HH144" s="23">
        <f>EXP(-LN(2)/25)*HH143+(1-EXP(-LN(2)/25))/(LN(2)/25)*Calculateur!HC144*Calculateur!HE144*VLOOKUP('Données projet'!$B$9,Paramètres!$A$1:$I$88,3,0)*0.475*44/12</f>
        <v>0</v>
      </c>
      <c r="HI144" s="23">
        <f>EXP(-LN(2)/2)*HI143+(1-EXP(-LN(2)/2))/(LN(2)/2)*HC144*HF144*VLOOKUP('Données projet'!$B$9,Paramètres!$A$1:$I$88,3,0)*0.475*44/12</f>
        <v>0</v>
      </c>
      <c r="HJ144" s="24">
        <f t="shared" si="148"/>
        <v>0</v>
      </c>
    </row>
    <row r="145" spans="1:218" s="5" customFormat="1" x14ac:dyDescent="0.25">
      <c r="A145" s="11">
        <f t="shared" si="149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5" s="12">
        <f t="shared" si="15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111"/>
        <v>135.66666666666666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1.1341666666666668</v>
      </c>
      <c r="N145" s="14">
        <f>IF(A145&lt;'Données projet'!$A$36,$K$205^A145,IF(A145='Données projet'!$A$36,'Données projet'!$B$36,N144+M145-V144))</f>
        <v>121.13916666666665</v>
      </c>
      <c r="O145" s="14">
        <f>N145*VLOOKUP('Données projet'!$B$9,Paramètres!$A$1:$I$88,3,0)*VLOOKUP('Données projet'!$B$9,Paramètres!$A$1:$I$88,5,0)</f>
        <v>139.55231999999998</v>
      </c>
      <c r="P145" s="14">
        <f t="shared" si="151"/>
        <v>36.194429184175888</v>
      </c>
      <c r="Q145" s="22">
        <f t="shared" si="108"/>
        <v>306.09225482910631</v>
      </c>
      <c r="R145" s="62">
        <f t="shared" si="109"/>
        <v>587.81556090042272</v>
      </c>
      <c r="S145" s="62">
        <f ca="1">AVERAGE(OFFSET($R$3,0,0,'Données projet'!$E$9+1,1))-AVERAGE(OFFSET($H$3,0,0,'Données projet'!$E$9+1,1))</f>
        <v>314.72063458462026</v>
      </c>
      <c r="T145" s="62">
        <f t="shared" si="110"/>
        <v>216.4380325968244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projet'!$B$9,Paramètres!$A$1:$I$88,7,0))</f>
        <v>0</v>
      </c>
      <c r="X145" s="17">
        <f>IF(ISNA(VLOOKUP(A145,'Données projet'!$A$35:$I$55,6,0)),0%,VLOOKUP(A145,'Données projet'!$A$35:$I$55,6,0)*VLOOKUP('Données projet'!$B$9,Paramètres!$A$1:$I$88,7,0))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projet'!$B$9,Paramètres!$A$1:$I$88,3,0)*0.475*44/12</f>
        <v>0</v>
      </c>
      <c r="AA145" s="23">
        <f>EXP(-LN(2)/25)*AA144+(1-EXP(-LN(2)/25))/(LN(2)/25)*Calculateur!V145*Calculateur!X145*VLOOKUP('Données projet'!$B$9,Paramètres!$A$1:$I$88,3,0)*0.475*44/12</f>
        <v>0</v>
      </c>
      <c r="AB145" s="23">
        <f>EXP(-LN(2)/2)*AB144+(1-EXP(-LN(2)/2))/(LN(2)/2)*V145*Y145*VLOOKUP('Données projet'!$B$9,Paramètres!$A$1:$I$88,3,0)*0.475*44/12</f>
        <v>0</v>
      </c>
      <c r="AC145" s="24">
        <f t="shared" si="112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IF(A145&lt;'Données projet'!$A$62,$AF$205^A145,IF(A145='Données projet'!$A$62,'Données projet'!$B$62,AI144+AH145-AQ144))</f>
        <v>1.1368683772161603E-13</v>
      </c>
      <c r="AJ145" s="14">
        <f>AI145*VLOOKUP('Données projet'!$B$10,Paramètres!$A$1:$I$88,3,0)*VLOOKUP('Données projet'!$B$10,Paramètres!$A$1:$I$88,5,0)</f>
        <v>1.1882548278663309E-13</v>
      </c>
      <c r="AK145" s="14">
        <f t="shared" si="152"/>
        <v>1.7496137229198366E-12</v>
      </c>
      <c r="AL145" s="22">
        <f t="shared" si="113"/>
        <v>3.2541982832721012E-12</v>
      </c>
      <c r="AM145" s="62">
        <f t="shared" si="114"/>
        <v>281.72330607131971</v>
      </c>
      <c r="AN145" s="62">
        <f ca="1">AVERAGE(OFFSET($AM$3,0,0,'Données projet'!$E$10+1,1))-AVERAGE(OFFSET($H$3,0,0,'Données projet'!$E$10+1,1))</f>
        <v>458.33072853676879</v>
      </c>
      <c r="AO145" s="62">
        <f t="shared" si="115"/>
        <v>254.1734169352687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projet'!$B$10,Paramètres!$A$1:$I$88,7,0))</f>
        <v>0</v>
      </c>
      <c r="AS145" s="17">
        <f>IF(ISNA(VLOOKUP(A145,'Données projet'!$A$61:$I$81,6,0)),0%,VLOOKUP(A145,'Données projet'!$A$61:$I$81,6,0)*VLOOKUP('Données projet'!$B$10,Paramètres!$A$1:$I$88,7,0))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projet'!$B$9,Paramètres!$A$1:$I$88,3,0)*0.475*44/12</f>
        <v>0</v>
      </c>
      <c r="AV145" s="23">
        <f>EXP(-LN(2)/25)*AV144+(1-EXP(-LN(2)/25))/(LN(2)/25)*Calculateur!AQ145*Calculateur!AS145*VLOOKUP('Données projet'!$B$9,Paramètres!$A$1:$I$88,3,0)*0.475*44/12</f>
        <v>0</v>
      </c>
      <c r="AW145" s="23">
        <f>EXP(-LN(2)/2)*AW144+(1-EXP(-LN(2)/2))/(LN(2)/2)*AQ145*AT145*VLOOKUP('Données projet'!$B$9,Paramètres!$A$1:$I$88,3,0)*0.475*44/12</f>
        <v>0</v>
      </c>
      <c r="AX145" s="23">
        <f t="shared" si="116"/>
        <v>0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IF(A145&lt;'Données projet'!$A$88,$BA$205^A145,IF(A145='Données projet'!$A$88,'Données projet'!$B$88,BD144+BC145-BL144))</f>
        <v>1.1368683772161603E-13</v>
      </c>
      <c r="BE145" s="14">
        <f>BD145*VLOOKUP('Données projet'!$B$11,Paramètres!$A$1:$I$88,3,0)*VLOOKUP('Données projet'!$B$11,Paramètres!$A$1:$I$88,5,0)</f>
        <v>1.1527845344971866E-13</v>
      </c>
      <c r="BF145" s="14">
        <f t="shared" si="153"/>
        <v>1.7033846239409443E-12</v>
      </c>
      <c r="BG145" s="22">
        <f t="shared" si="117"/>
        <v>3.1675048597887374E-12</v>
      </c>
      <c r="BH145" s="62">
        <f t="shared" si="118"/>
        <v>281.72330607131966</v>
      </c>
      <c r="BI145" s="62">
        <f ca="1">AVERAGE(OFFSET($BH$3,0,0,'Données projet'!$E$11+1,1))-AVERAGE(OFFSET($H$3,0,0,'Données projet'!$E$11+1,1))</f>
        <v>447.82618173893104</v>
      </c>
      <c r="BJ145" s="62">
        <f t="shared" si="119"/>
        <v>248.96509970783379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projet'!$B$11,Paramètres!$A$1:$I$88,7,0))</f>
        <v>0</v>
      </c>
      <c r="BN145" s="17">
        <f>IF(ISNA(VLOOKUP(A145,'Données projet'!$A$87:$I$107,6,0)),0%,VLOOKUP(A145,'Données projet'!$A$87:$I$107,6,0)*VLOOKUP('Données projet'!$B$11,Paramètres!$A$1:$I$88,7,0))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projet'!$B$9,Paramètres!$A$1:$I$88,3,0)*0.475*44/12</f>
        <v>0</v>
      </c>
      <c r="BQ145" s="23">
        <f>EXP(-LN(2)/25)*BQ144+(1-EXP(-LN(2)/25))/(LN(2)/25)*Calculateur!BL145*Calculateur!BN145*VLOOKUP('Données projet'!$B$9,Paramètres!$A$1:$I$88,3,0)*0.475*44/12</f>
        <v>0</v>
      </c>
      <c r="BR145" s="23">
        <f>EXP(-LN(2)/2)*BR144+(1-EXP(-LN(2)/2))/(LN(2)/2)*BL145*BO145*VLOOKUP('Données projet'!$B$9,Paramètres!$A$1:$I$88,3,0)*0.475*44/12</f>
        <v>0</v>
      </c>
      <c r="BS145" s="24">
        <f t="shared" si="120"/>
        <v>0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IF(A145&lt;'Données projet'!$A$114,$BV$205^A145,IF(A145='Données projet'!$A$114,'Données projet'!$B$114,BY144+BX145-CG144))</f>
        <v>1.1368683772161603E-13</v>
      </c>
      <c r="BZ145" s="14">
        <f>BY145*VLOOKUP('Données projet'!$B$12,Paramètres!$A$1:$I$88,3,0)*VLOOKUP('Données projet'!$B$12,Paramètres!$A$1:$I$88,5,0)</f>
        <v>1.223725121235475E-13</v>
      </c>
      <c r="CA145" s="14">
        <f t="shared" si="154"/>
        <v>1.7956824466038182E-12</v>
      </c>
      <c r="CB145" s="22">
        <f t="shared" si="121"/>
        <v>3.3406123864501612E-12</v>
      </c>
      <c r="CC145" s="62">
        <f t="shared" si="122"/>
        <v>281.72330607131983</v>
      </c>
      <c r="CD145" s="62">
        <f ca="1">AVERAGE(OFFSET($CC$3,0,0,'Données projet'!$E$12+1,1))-AVERAGE(OFFSET($H$3,0,0,'Données projet'!$E$12+1,1))</f>
        <v>468.82871618425406</v>
      </c>
      <c r="CE145" s="62">
        <f t="shared" si="123"/>
        <v>259.37818128554397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projet'!$B$12,Paramètres!$A$1:$I$88,7,0))</f>
        <v>0</v>
      </c>
      <c r="CI145" s="17">
        <f>IF(ISNA(VLOOKUP(A145,'Données projet'!$A$113:$I$133,6,0)),0%,VLOOKUP(A145,'Données projet'!$A$113:$I$133,6,0)*VLOOKUP('Données projet'!$B$12,Paramètres!$A$1:$I$88,7,0))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projet'!$B$9,Paramètres!$A$1:$I$88,3,0)*0.475*44/12</f>
        <v>0</v>
      </c>
      <c r="CL145" s="23">
        <f>EXP(-LN(2)/25)*CL144+(1-EXP(-LN(2)/25))/(LN(2)/25)*Calculateur!CG145*Calculateur!CI145*VLOOKUP('Données projet'!$B$9,Paramètres!$A$1:$I$88,3,0)*0.475*44/12</f>
        <v>0</v>
      </c>
      <c r="CM145" s="23">
        <f>EXP(-LN(2)/2)*CM144+(1-EXP(-LN(2)/2))/(LN(2)/2)*CG145*CJ145*VLOOKUP('Données projet'!$B$9,Paramètres!$A$1:$I$88,3,0)*0.475*44/12</f>
        <v>0</v>
      </c>
      <c r="CN145" s="24">
        <f t="shared" si="124"/>
        <v>0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IF(A145&lt;'Données projet'!$A$140,$CQ$205^A145,IF(A145='Données projet'!$A$140,'Données projet'!$B$140,CT144+CS145-DB144))</f>
        <v>1.1368683772161603E-13</v>
      </c>
      <c r="CU145" s="18">
        <f>CT145*VLOOKUP('Données projet'!$B$13,Paramètres!$A$1:$I$88,3,0)*VLOOKUP('Données projet'!$B$13,Paramètres!$A$1:$I$88,5,0)</f>
        <v>9.7543306765146564E-14</v>
      </c>
      <c r="CV145" s="14">
        <f t="shared" si="155"/>
        <v>1.4696264278629426E-12</v>
      </c>
      <c r="CW145" s="22">
        <f t="shared" si="125"/>
        <v>2.7294872878105889E-12</v>
      </c>
      <c r="CX145" s="62">
        <f t="shared" si="126"/>
        <v>281.7233060713192</v>
      </c>
      <c r="CY145" s="62">
        <f ca="1">AVERAGE(OFFSET($CX$3,0,0,'Données projet'!$E$13+1,1))-AVERAGE(OFFSET($H$3,0,0,'Données projet'!$E$13+1,1))</f>
        <v>395.19659151668884</v>
      </c>
      <c r="CZ145" s="62">
        <f t="shared" si="127"/>
        <v>222.86563304507339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projet'!$B$13,Paramètres!$A$1:$I$88,7,0))</f>
        <v>0</v>
      </c>
      <c r="DD145" s="17">
        <f>IF(ISNA(VLOOKUP(A145,'Données projet'!$A$139:$I$159,6,0)),0%,VLOOKUP(A145,'Données projet'!$A$139:$I$159,6,0)*VLOOKUP('Données projet'!$B$13,Paramètres!$A$1:$I$88,7,0))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projet'!$B$9,Paramètres!$A$1:$I$88,3,0)*0.475*44/12</f>
        <v>0</v>
      </c>
      <c r="DG145" s="23">
        <f>EXP(-LN(2)/25)*DG144+(1-EXP(-LN(2)/25))/(LN(2)/25)*Calculateur!DB145*Calculateur!DD145*VLOOKUP('Données projet'!$B$9,Paramètres!$A$1:$I$88,3,0)*0.475*44/12</f>
        <v>0</v>
      </c>
      <c r="DH145" s="23">
        <f>EXP(-LN(2)/2)*DH144+(1-EXP(-LN(2)/2))/(LN(2)/2)*DB145*DE145*VLOOKUP('Données projet'!$B$9,Paramètres!$A$1:$I$88,3,0)*0.475*44/12</f>
        <v>0</v>
      </c>
      <c r="DI145" s="24">
        <f t="shared" si="128"/>
        <v>0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IF(A145&lt;'Données projet'!$A$166,$DL$205^A145,IF(A145='Données projet'!$A$166,'Données projet'!$B$166,DO144+DN145-DW144))</f>
        <v>-8.5265128291212022E-14</v>
      </c>
      <c r="DP145" s="18">
        <f>DO145*VLOOKUP('Données projet'!$B$14,Paramètres!$A$1:$I$88,3,0)*VLOOKUP('Données projet'!$B$14,Paramètres!$A$1:$I$88,5,0)</f>
        <v>-4.9880100050359036E-14</v>
      </c>
      <c r="DQ145" s="14" t="e">
        <f t="shared" si="156"/>
        <v>#NUM!</v>
      </c>
      <c r="DR145" s="22" t="e">
        <f t="shared" si="129"/>
        <v>#NUM!</v>
      </c>
      <c r="DS145" s="62" t="e">
        <f t="shared" si="130"/>
        <v>#NUM!</v>
      </c>
      <c r="DT145" s="62">
        <f ca="1">AVERAGE(OFFSET($DS$3,0,0,'Données projet'!$E$14+1,1))-AVERAGE(OFFSET($H$3,0,0,'Données projet'!$E$14+1,1))</f>
        <v>155.18073137151848</v>
      </c>
      <c r="DU145" s="62">
        <f t="shared" si="131"/>
        <v>115.19459155667272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projet'!$B$14,Paramètres!$A$1:$I$88,7,0))</f>
        <v>0</v>
      </c>
      <c r="DY145" s="17">
        <f>IF(ISNA(VLOOKUP(A145,'Données projet'!$A$165:$I$185,6,0)),0%,VLOOKUP(A145,'Données projet'!$A$165:$I$185,6,0)*VLOOKUP('Données projet'!$B$14,Paramètres!$A$1:$I$88,7,0))</f>
        <v>0</v>
      </c>
      <c r="DZ145" s="17">
        <f>IF(ISNA(VLOOKUP(A145,'Données projet'!$A$165:$I$185,7,0)),0%,VLOOKUP(A145,'Données projet'!$A$165:$I$185,7,0))</f>
        <v>0</v>
      </c>
      <c r="EA145" s="23">
        <f>EXP(-LN(2)/35)*EA144+(1-EXP(-LN(2)/35))/(LN(2)/35)*DW145*DX145*VLOOKUP('Données projet'!$B$9,Paramètres!$A$1:$I$88,3,0)*0.475*44/12</f>
        <v>0</v>
      </c>
      <c r="EB145" s="23">
        <f>EXP(-LN(2)/25)*EB144+(1-EXP(-LN(2)/25))/(LN(2)/25)*Calculateur!DW145*Calculateur!DY145*VLOOKUP('Données projet'!$B$9,Paramètres!$A$1:$I$88,3,0)*0.475*44/12</f>
        <v>0</v>
      </c>
      <c r="EC145" s="23">
        <f>EXP(-LN(2)/2)*EC144+(1-EXP(-LN(2)/2))/(LN(2)/2)*DW145*DZ145*VLOOKUP('Données projet'!$B$9,Paramètres!$A$1:$I$88,3,0)*0.475*44/12</f>
        <v>0</v>
      </c>
      <c r="ED145" s="24">
        <f t="shared" si="132"/>
        <v>0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IF(A145&lt;'Données projet'!$A$192,$EG$205^A145,IF(A145='Données projet'!$A$192,'Données projet'!$B$192,EJ144+EI145-ER144))</f>
        <v>-5.6843418860808015E-14</v>
      </c>
      <c r="EK145" s="18">
        <f>EJ145*VLOOKUP('Données projet'!$B$15,Paramètres!$A$1:$I$88,3,0)*VLOOKUP('Données projet'!$B$15,Paramètres!$A$1:$I$88,5,0)</f>
        <v>-2.6602720026858149E-14</v>
      </c>
      <c r="EL145" s="14" t="e">
        <f t="shared" si="157"/>
        <v>#NUM!</v>
      </c>
      <c r="EM145" s="22" t="e">
        <f t="shared" si="133"/>
        <v>#NUM!</v>
      </c>
      <c r="EN145" s="62" t="e">
        <f t="shared" si="134"/>
        <v>#NUM!</v>
      </c>
      <c r="EO145" s="62">
        <f ca="1">AVERAGE(OFFSET($EN$3,0,0,'Données projet'!$E$15+1,1))-AVERAGE(OFFSET($H$3,0,0,'Données projet'!$E$15+1,1))</f>
        <v>238.59014604384171</v>
      </c>
      <c r="EP145" s="62">
        <f t="shared" si="135"/>
        <v>90.841373219575217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projet'!$B$15,Paramètres!$A$1:$I$88,7,0))</f>
        <v>0</v>
      </c>
      <c r="ET145" s="17">
        <f>IF(ISNA(VLOOKUP(A145,'Données projet'!$A$191:$I$211,6,0)),0%,VLOOKUP(A145,'Données projet'!$A$191:$I$211,6,0)*VLOOKUP('Données projet'!$B$15,Paramètres!$A$1:$I$88,7,0))</f>
        <v>0</v>
      </c>
      <c r="EU145" s="17">
        <f>IF(ISNA(VLOOKUP(A145,'Données projet'!$A$191:$I$211,7,0)),0%,VLOOKUP(A145,'Données projet'!$A$191:$I$211,7,0))</f>
        <v>0</v>
      </c>
      <c r="EV145" s="23">
        <f>EXP(-LN(2)/35)*EV144+(1-EXP(-LN(2)/35))/(LN(2)/35)*ER145*ES145*VLOOKUP('Données projet'!$B$9,Paramètres!$A$1:$I$88,3,0)*0.475*44/12</f>
        <v>0</v>
      </c>
      <c r="EW145" s="23">
        <f>EXP(-LN(2)/25)*EW144+(1-EXP(-LN(2)/25))/(LN(2)/25)*Calculateur!ER145*Calculateur!ET145*VLOOKUP('Données projet'!$B$9,Paramètres!$A$1:$I$88,3,0)*0.475*44/12</f>
        <v>0</v>
      </c>
      <c r="EX145" s="23">
        <f>EXP(-LN(2)/2)*EX144+(1-EXP(-LN(2)/2))/(LN(2)/2)*ER145*EU145*VLOOKUP('Données projet'!$B$9,Paramètres!$A$1:$I$88,3,0)*0.475*44/12</f>
        <v>0</v>
      </c>
      <c r="EY145" s="24">
        <f t="shared" si="136"/>
        <v>0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IF(A145&lt;'Données projet'!$A$218,$FB$205^A145,IF(A145='Données projet'!$A$218,'Données projet'!$B$218,FE144+FD145-FM144))</f>
        <v>0</v>
      </c>
      <c r="FF145" s="18" t="e">
        <f>FE145*VLOOKUP('Données projet'!$B$16,Paramètres!$A$1:$I$88,3,0)*VLOOKUP('Données projet'!$B$16,Paramètres!$A$1:$I$88,5,0)</f>
        <v>#N/A</v>
      </c>
      <c r="FG145" s="14" t="e">
        <f t="shared" si="158"/>
        <v>#N/A</v>
      </c>
      <c r="FH145" s="22" t="e">
        <f t="shared" si="137"/>
        <v>#N/A</v>
      </c>
      <c r="FI145" s="62" t="e">
        <f t="shared" si="138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39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projet'!$B$16,Paramètres!$A$1:$I$88,7,0))</f>
        <v>0</v>
      </c>
      <c r="FO145" s="17">
        <f>IF(ISNA(VLOOKUP(A145,'Données projet'!$A$217:$I$237,6,0)),0%,VLOOKUP(A145,'Données projet'!$A$217:$I$237,6,0)*VLOOKUP('Données projet'!$B$16,Paramètres!$A$1:$I$88,7,0))</f>
        <v>0</v>
      </c>
      <c r="FP145" s="17">
        <f>IF(ISNA(VLOOKUP(A145,'Données projet'!$A$217:$I$237,7,0)),0%,VLOOKUP(A145,'Données projet'!$A$217:$I$237,7,0))</f>
        <v>0</v>
      </c>
      <c r="FQ145" s="23">
        <f>EXP(-LN(2)/35)*FQ144+(1-EXP(-LN(2)/35))/(LN(2)/35)*FM145*FN145*VLOOKUP('Données projet'!$B$9,Paramètres!$A$1:$I$88,3,0)*0.475*44/12</f>
        <v>0</v>
      </c>
      <c r="FR145" s="23">
        <f>EXP(-LN(2)/25)*FR144+(1-EXP(-LN(2)/25))/(LN(2)/25)*Calculateur!FM145*Calculateur!FO145*VLOOKUP('Données projet'!$B$9,Paramètres!$A$1:$I$88,3,0)*0.475*44/12</f>
        <v>0</v>
      </c>
      <c r="FS145" s="23">
        <f>EXP(-LN(2)/2)*FS144+(1-EXP(-LN(2)/2))/(LN(2)/2)*FM145*FP145*VLOOKUP('Données projet'!$B$9,Paramètres!$A$1:$I$88,3,0)*0.475*44/12</f>
        <v>0</v>
      </c>
      <c r="FT145" s="24">
        <f t="shared" si="140"/>
        <v>0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IF(A145&lt;'Données projet'!$A$244,$FW$205^A145,IF(A145='Données projet'!$A$244,'Données projet'!$B$244,FZ144+FY145-GH144))</f>
        <v>0</v>
      </c>
      <c r="GA145" s="18" t="e">
        <f>FZ145*VLOOKUP('Données projet'!$B$17,Paramètres!$A$1:$I$88,3,0)*VLOOKUP('Données projet'!$B$17,Paramètres!$A$1:$I$88,5,0)</f>
        <v>#N/A</v>
      </c>
      <c r="GB145" s="14" t="e">
        <f t="shared" si="159"/>
        <v>#N/A</v>
      </c>
      <c r="GC145" s="22" t="e">
        <f t="shared" si="141"/>
        <v>#N/A</v>
      </c>
      <c r="GD145" s="62" t="e">
        <f t="shared" si="142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43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projet'!$B$17,Paramètres!$A$1:$I$88,7,0))</f>
        <v>0</v>
      </c>
      <c r="GJ145" s="17">
        <f>IF(ISNA(VLOOKUP(A145,'Données projet'!$A$243:$I$263,6,0)),0%,VLOOKUP(A145,'Données projet'!$A$243:$I$263,6,0)*VLOOKUP('Données projet'!$B$17,Paramètres!$A$1:$I$88,7,0))</f>
        <v>0</v>
      </c>
      <c r="GK145" s="17">
        <f>IF(ISNA(VLOOKUP(A145,'Données projet'!$A$243:$I$263,7,0)),0%,VLOOKUP(A145,'Données projet'!$A$243:$I$263,7,0))</f>
        <v>0</v>
      </c>
      <c r="GL145" s="23">
        <f>EXP(-LN(2)/35)*GL144+(1-EXP(-LN(2)/35))/(LN(2)/35)*GH145*GI145*VLOOKUP('Données projet'!$B$9,Paramètres!$A$1:$I$88,3,0)*0.475*44/12</f>
        <v>0</v>
      </c>
      <c r="GM145" s="23">
        <f>EXP(-LN(2)/25)*GM144+(1-EXP(-LN(2)/25))/(LN(2)/25)*Calculateur!GH145*Calculateur!GJ145*VLOOKUP('Données projet'!$B$9,Paramètres!$A$1:$I$88,3,0)*0.475*44/12</f>
        <v>0</v>
      </c>
      <c r="GN145" s="23">
        <f>EXP(-LN(2)/2)*GN144+(1-EXP(-LN(2)/2))/(LN(2)/2)*GH145*GK145*VLOOKUP('Données projet'!$B$9,Paramètres!$A$1:$I$88,3,0)*0.475*44/12</f>
        <v>0</v>
      </c>
      <c r="GO145" s="23">
        <f t="shared" si="144"/>
        <v>0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IF(A145&lt;'Données projet'!$A$270,$GR$205^A145,IF(A145='Données projet'!$A$270,'Données projet'!$B$270,GU144+GT145-HC144))</f>
        <v>0</v>
      </c>
      <c r="GV145" s="18" t="e">
        <f>GU145*VLOOKUP('Données projet'!$B$18,Paramètres!$A$1:$I$88,3,0)*VLOOKUP('Données projet'!$B$18,Paramètres!$A$1:$I$88,5,0)</f>
        <v>#N/A</v>
      </c>
      <c r="GW145" s="14" t="e">
        <f t="shared" si="160"/>
        <v>#N/A</v>
      </c>
      <c r="GX145" s="22" t="e">
        <f t="shared" si="145"/>
        <v>#N/A</v>
      </c>
      <c r="GY145" s="62" t="e">
        <f t="shared" si="146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47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projet'!$B$18,Paramètres!$A$1:$I$88,7,0))</f>
        <v>0</v>
      </c>
      <c r="HE145" s="17">
        <f>IF(ISNA(VLOOKUP(A145,'Données projet'!$A$269:$I$289,6,0)),0%,VLOOKUP(A145,'Données projet'!$A$269:$I$289,6,0)*VLOOKUP('Données projet'!$B$18,Paramètres!$A$1:$I$88,7,0))</f>
        <v>0</v>
      </c>
      <c r="HF145" s="17">
        <f>IF(ISNA(VLOOKUP(A145,'Données projet'!$A$269:$I$289,7,0)),0%,VLOOKUP(A145,'Données projet'!$A$269:$I$289,7,0))</f>
        <v>0</v>
      </c>
      <c r="HG145" s="23">
        <f>EXP(-LN(2)/35)*HG144+(1-EXP(-LN(2)/35))/(LN(2)/35)*HC145*HD145*VLOOKUP('Données projet'!$B$9,Paramètres!$A$1:$I$88,3,0)*0.475*44/12</f>
        <v>0</v>
      </c>
      <c r="HH145" s="23">
        <f>EXP(-LN(2)/25)*HH144+(1-EXP(-LN(2)/25))/(LN(2)/25)*Calculateur!HC145*Calculateur!HE145*VLOOKUP('Données projet'!$B$9,Paramètres!$A$1:$I$88,3,0)*0.475*44/12</f>
        <v>0</v>
      </c>
      <c r="HI145" s="23">
        <f>EXP(-LN(2)/2)*HI144+(1-EXP(-LN(2)/2))/(LN(2)/2)*HC145*HF145*VLOOKUP('Données projet'!$B$9,Paramètres!$A$1:$I$88,3,0)*0.475*44/12</f>
        <v>0</v>
      </c>
      <c r="HJ145" s="24">
        <f t="shared" si="148"/>
        <v>0</v>
      </c>
    </row>
    <row r="146" spans="1:218" s="5" customFormat="1" x14ac:dyDescent="0.25">
      <c r="A146" s="11">
        <f t="shared" si="149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6" s="12">
        <f t="shared" si="15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111"/>
        <v>135.66666666666666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1.1341666666666668</v>
      </c>
      <c r="N146" s="14">
        <f>IF(A146&lt;'Données projet'!$A$36,$K$205^A146,IF(A146='Données projet'!$A$36,'Données projet'!$B$36,N145+M146-V145))</f>
        <v>122.27333333333333</v>
      </c>
      <c r="O146" s="14">
        <f>N146*VLOOKUP('Données projet'!$B$9,Paramètres!$A$1:$I$88,3,0)*VLOOKUP('Données projet'!$B$9,Paramètres!$A$1:$I$88,5,0)</f>
        <v>140.85887999999997</v>
      </c>
      <c r="P146" s="14">
        <f t="shared" si="151"/>
        <v>36.49369275013197</v>
      </c>
      <c r="Q146" s="22">
        <f t="shared" si="108"/>
        <v>308.88906420647976</v>
      </c>
      <c r="R146" s="62">
        <f t="shared" si="109"/>
        <v>590.81377829465976</v>
      </c>
      <c r="S146" s="62">
        <f ca="1">AVERAGE(OFFSET($R$3,0,0,'Données projet'!$E$9+1,1))-AVERAGE(OFFSET($H$3,0,0,'Données projet'!$E$9+1,1))</f>
        <v>314.72063458462026</v>
      </c>
      <c r="T146" s="62">
        <f t="shared" si="110"/>
        <v>216.4380325968244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projet'!$B$9,Paramètres!$A$1:$I$88,7,0))</f>
        <v>0</v>
      </c>
      <c r="X146" s="17">
        <f>IF(ISNA(VLOOKUP(A146,'Données projet'!$A$35:$I$55,6,0)),0%,VLOOKUP(A146,'Données projet'!$A$35:$I$55,6,0)*VLOOKUP('Données projet'!$B$9,Paramètres!$A$1:$I$88,7,0))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projet'!$B$9,Paramètres!$A$1:$I$88,3,0)*0.475*44/12</f>
        <v>0</v>
      </c>
      <c r="AA146" s="23">
        <f>EXP(-LN(2)/25)*AA145+(1-EXP(-LN(2)/25))/(LN(2)/25)*Calculateur!V146*Calculateur!X146*VLOOKUP('Données projet'!$B$9,Paramètres!$A$1:$I$88,3,0)*0.475*44/12</f>
        <v>0</v>
      </c>
      <c r="AB146" s="23">
        <f>EXP(-LN(2)/2)*AB145+(1-EXP(-LN(2)/2))/(LN(2)/2)*V146*Y146*VLOOKUP('Données projet'!$B$9,Paramètres!$A$1:$I$88,3,0)*0.475*44/12</f>
        <v>0</v>
      </c>
      <c r="AC146" s="24">
        <f t="shared" si="112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IF(A146&lt;'Données projet'!$A$62,$AF$205^A146,IF(A146='Données projet'!$A$62,'Données projet'!$B$62,AI145+AH146-AQ145))</f>
        <v>1.1368683772161603E-13</v>
      </c>
      <c r="AJ146" s="14">
        <f>AI146*VLOOKUP('Données projet'!$B$10,Paramètres!$A$1:$I$88,3,0)*VLOOKUP('Données projet'!$B$10,Paramètres!$A$1:$I$88,5,0)</f>
        <v>1.1882548278663309E-13</v>
      </c>
      <c r="AK146" s="14">
        <f t="shared" si="152"/>
        <v>1.7496137229198366E-12</v>
      </c>
      <c r="AL146" s="22">
        <f t="shared" si="113"/>
        <v>3.2541982832721012E-12</v>
      </c>
      <c r="AM146" s="62">
        <f t="shared" si="114"/>
        <v>281.92471408818324</v>
      </c>
      <c r="AN146" s="62">
        <f ca="1">AVERAGE(OFFSET($AM$3,0,0,'Données projet'!$E$10+1,1))-AVERAGE(OFFSET($H$3,0,0,'Données projet'!$E$10+1,1))</f>
        <v>458.33072853676879</v>
      </c>
      <c r="AO146" s="62">
        <f t="shared" si="115"/>
        <v>254.1734169352687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projet'!$B$10,Paramètres!$A$1:$I$88,7,0))</f>
        <v>0</v>
      </c>
      <c r="AS146" s="17">
        <f>IF(ISNA(VLOOKUP(A146,'Données projet'!$A$61:$I$81,6,0)),0%,VLOOKUP(A146,'Données projet'!$A$61:$I$81,6,0)*VLOOKUP('Données projet'!$B$10,Paramètres!$A$1:$I$88,7,0))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projet'!$B$9,Paramètres!$A$1:$I$88,3,0)*0.475*44/12</f>
        <v>0</v>
      </c>
      <c r="AV146" s="23">
        <f>EXP(-LN(2)/25)*AV145+(1-EXP(-LN(2)/25))/(LN(2)/25)*Calculateur!AQ146*Calculateur!AS146*VLOOKUP('Données projet'!$B$9,Paramètres!$A$1:$I$88,3,0)*0.475*44/12</f>
        <v>0</v>
      </c>
      <c r="AW146" s="23">
        <f>EXP(-LN(2)/2)*AW145+(1-EXP(-LN(2)/2))/(LN(2)/2)*AQ146*AT146*VLOOKUP('Données projet'!$B$9,Paramètres!$A$1:$I$88,3,0)*0.475*44/12</f>
        <v>0</v>
      </c>
      <c r="AX146" s="23">
        <f t="shared" si="116"/>
        <v>0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IF(A146&lt;'Données projet'!$A$88,$BA$205^A146,IF(A146='Données projet'!$A$88,'Données projet'!$B$88,BD145+BC146-BL145))</f>
        <v>1.1368683772161603E-13</v>
      </c>
      <c r="BE146" s="14">
        <f>BD146*VLOOKUP('Données projet'!$B$11,Paramètres!$A$1:$I$88,3,0)*VLOOKUP('Données projet'!$B$11,Paramètres!$A$1:$I$88,5,0)</f>
        <v>1.1527845344971866E-13</v>
      </c>
      <c r="BF146" s="14">
        <f t="shared" si="153"/>
        <v>1.7033846239409443E-12</v>
      </c>
      <c r="BG146" s="22">
        <f t="shared" si="117"/>
        <v>3.1675048597887374E-12</v>
      </c>
      <c r="BH146" s="62">
        <f t="shared" si="118"/>
        <v>281.92471408818318</v>
      </c>
      <c r="BI146" s="62">
        <f ca="1">AVERAGE(OFFSET($BH$3,0,0,'Données projet'!$E$11+1,1))-AVERAGE(OFFSET($H$3,0,0,'Données projet'!$E$11+1,1))</f>
        <v>447.82618173893104</v>
      </c>
      <c r="BJ146" s="62">
        <f t="shared" si="119"/>
        <v>248.96509970783379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projet'!$B$11,Paramètres!$A$1:$I$88,7,0))</f>
        <v>0</v>
      </c>
      <c r="BN146" s="17">
        <f>IF(ISNA(VLOOKUP(A146,'Données projet'!$A$87:$I$107,6,0)),0%,VLOOKUP(A146,'Données projet'!$A$87:$I$107,6,0)*VLOOKUP('Données projet'!$B$11,Paramètres!$A$1:$I$88,7,0))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projet'!$B$9,Paramètres!$A$1:$I$88,3,0)*0.475*44/12</f>
        <v>0</v>
      </c>
      <c r="BQ146" s="23">
        <f>EXP(-LN(2)/25)*BQ145+(1-EXP(-LN(2)/25))/(LN(2)/25)*Calculateur!BL146*Calculateur!BN146*VLOOKUP('Données projet'!$B$9,Paramètres!$A$1:$I$88,3,0)*0.475*44/12</f>
        <v>0</v>
      </c>
      <c r="BR146" s="23">
        <f>EXP(-LN(2)/2)*BR145+(1-EXP(-LN(2)/2))/(LN(2)/2)*BL146*BO146*VLOOKUP('Données projet'!$B$9,Paramètres!$A$1:$I$88,3,0)*0.475*44/12</f>
        <v>0</v>
      </c>
      <c r="BS146" s="24">
        <f t="shared" si="120"/>
        <v>0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IF(A146&lt;'Données projet'!$A$114,$BV$205^A146,IF(A146='Données projet'!$A$114,'Données projet'!$B$114,BY145+BX146-CG145))</f>
        <v>1.1368683772161603E-13</v>
      </c>
      <c r="BZ146" s="14">
        <f>BY146*VLOOKUP('Données projet'!$B$12,Paramètres!$A$1:$I$88,3,0)*VLOOKUP('Données projet'!$B$12,Paramètres!$A$1:$I$88,5,0)</f>
        <v>1.223725121235475E-13</v>
      </c>
      <c r="CA146" s="14">
        <f t="shared" si="154"/>
        <v>1.7956824466038182E-12</v>
      </c>
      <c r="CB146" s="22">
        <f t="shared" si="121"/>
        <v>3.3406123864501612E-12</v>
      </c>
      <c r="CC146" s="62">
        <f t="shared" si="122"/>
        <v>281.92471408818335</v>
      </c>
      <c r="CD146" s="62">
        <f ca="1">AVERAGE(OFFSET($CC$3,0,0,'Données projet'!$E$12+1,1))-AVERAGE(OFFSET($H$3,0,0,'Données projet'!$E$12+1,1))</f>
        <v>468.82871618425406</v>
      </c>
      <c r="CE146" s="62">
        <f t="shared" si="123"/>
        <v>259.37818128554397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projet'!$B$12,Paramètres!$A$1:$I$88,7,0))</f>
        <v>0</v>
      </c>
      <c r="CI146" s="17">
        <f>IF(ISNA(VLOOKUP(A146,'Données projet'!$A$113:$I$133,6,0)),0%,VLOOKUP(A146,'Données projet'!$A$113:$I$133,6,0)*VLOOKUP('Données projet'!$B$12,Paramètres!$A$1:$I$88,7,0))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projet'!$B$9,Paramètres!$A$1:$I$88,3,0)*0.475*44/12</f>
        <v>0</v>
      </c>
      <c r="CL146" s="23">
        <f>EXP(-LN(2)/25)*CL145+(1-EXP(-LN(2)/25))/(LN(2)/25)*Calculateur!CG146*Calculateur!CI146*VLOOKUP('Données projet'!$B$9,Paramètres!$A$1:$I$88,3,0)*0.475*44/12</f>
        <v>0</v>
      </c>
      <c r="CM146" s="23">
        <f>EXP(-LN(2)/2)*CM145+(1-EXP(-LN(2)/2))/(LN(2)/2)*CG146*CJ146*VLOOKUP('Données projet'!$B$9,Paramètres!$A$1:$I$88,3,0)*0.475*44/12</f>
        <v>0</v>
      </c>
      <c r="CN146" s="24">
        <f t="shared" si="124"/>
        <v>0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IF(A146&lt;'Données projet'!$A$140,$CQ$205^A146,IF(A146='Données projet'!$A$140,'Données projet'!$B$140,CT145+CS146-DB145))</f>
        <v>1.1368683772161603E-13</v>
      </c>
      <c r="CU146" s="18">
        <f>CT146*VLOOKUP('Données projet'!$B$13,Paramètres!$A$1:$I$88,3,0)*VLOOKUP('Données projet'!$B$13,Paramètres!$A$1:$I$88,5,0)</f>
        <v>9.7543306765146564E-14</v>
      </c>
      <c r="CV146" s="14">
        <f t="shared" si="155"/>
        <v>1.4696264278629426E-12</v>
      </c>
      <c r="CW146" s="22">
        <f t="shared" si="125"/>
        <v>2.7294872878105889E-12</v>
      </c>
      <c r="CX146" s="62">
        <f t="shared" si="126"/>
        <v>281.92471408818272</v>
      </c>
      <c r="CY146" s="62">
        <f ca="1">AVERAGE(OFFSET($CX$3,0,0,'Données projet'!$E$13+1,1))-AVERAGE(OFFSET($H$3,0,0,'Données projet'!$E$13+1,1))</f>
        <v>395.19659151668884</v>
      </c>
      <c r="CZ146" s="62">
        <f t="shared" si="127"/>
        <v>222.86563304507339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projet'!$B$13,Paramètres!$A$1:$I$88,7,0))</f>
        <v>0</v>
      </c>
      <c r="DD146" s="17">
        <f>IF(ISNA(VLOOKUP(A146,'Données projet'!$A$139:$I$159,6,0)),0%,VLOOKUP(A146,'Données projet'!$A$139:$I$159,6,0)*VLOOKUP('Données projet'!$B$13,Paramètres!$A$1:$I$88,7,0))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projet'!$B$9,Paramètres!$A$1:$I$88,3,0)*0.475*44/12</f>
        <v>0</v>
      </c>
      <c r="DG146" s="23">
        <f>EXP(-LN(2)/25)*DG145+(1-EXP(-LN(2)/25))/(LN(2)/25)*Calculateur!DB146*Calculateur!DD146*VLOOKUP('Données projet'!$B$9,Paramètres!$A$1:$I$88,3,0)*0.475*44/12</f>
        <v>0</v>
      </c>
      <c r="DH146" s="23">
        <f>EXP(-LN(2)/2)*DH145+(1-EXP(-LN(2)/2))/(LN(2)/2)*DB146*DE146*VLOOKUP('Données projet'!$B$9,Paramètres!$A$1:$I$88,3,0)*0.475*44/12</f>
        <v>0</v>
      </c>
      <c r="DI146" s="24">
        <f t="shared" si="128"/>
        <v>0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IF(A146&lt;'Données projet'!$A$166,$DL$205^A146,IF(A146='Données projet'!$A$166,'Données projet'!$B$166,DO145+DN146-DW145))</f>
        <v>-8.5265128291212022E-14</v>
      </c>
      <c r="DP146" s="18">
        <f>DO146*VLOOKUP('Données projet'!$B$14,Paramètres!$A$1:$I$88,3,0)*VLOOKUP('Données projet'!$B$14,Paramètres!$A$1:$I$88,5,0)</f>
        <v>-4.9880100050359036E-14</v>
      </c>
      <c r="DQ146" s="14" t="e">
        <f t="shared" si="156"/>
        <v>#NUM!</v>
      </c>
      <c r="DR146" s="22" t="e">
        <f t="shared" si="129"/>
        <v>#NUM!</v>
      </c>
      <c r="DS146" s="62" t="e">
        <f t="shared" si="130"/>
        <v>#NUM!</v>
      </c>
      <c r="DT146" s="62">
        <f ca="1">AVERAGE(OFFSET($DS$3,0,0,'Données projet'!$E$14+1,1))-AVERAGE(OFFSET($H$3,0,0,'Données projet'!$E$14+1,1))</f>
        <v>155.18073137151848</v>
      </c>
      <c r="DU146" s="62">
        <f t="shared" si="131"/>
        <v>115.19459155667272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projet'!$B$14,Paramètres!$A$1:$I$88,7,0))</f>
        <v>0</v>
      </c>
      <c r="DY146" s="17">
        <f>IF(ISNA(VLOOKUP(A146,'Données projet'!$A$165:$I$185,6,0)),0%,VLOOKUP(A146,'Données projet'!$A$165:$I$185,6,0)*VLOOKUP('Données projet'!$B$14,Paramètres!$A$1:$I$88,7,0))</f>
        <v>0</v>
      </c>
      <c r="DZ146" s="17">
        <f>IF(ISNA(VLOOKUP(A146,'Données projet'!$A$165:$I$185,7,0)),0%,VLOOKUP(A146,'Données projet'!$A$165:$I$185,7,0))</f>
        <v>0</v>
      </c>
      <c r="EA146" s="23">
        <f>EXP(-LN(2)/35)*EA145+(1-EXP(-LN(2)/35))/(LN(2)/35)*DW146*DX146*VLOOKUP('Données projet'!$B$9,Paramètres!$A$1:$I$88,3,0)*0.475*44/12</f>
        <v>0</v>
      </c>
      <c r="EB146" s="23">
        <f>EXP(-LN(2)/25)*EB145+(1-EXP(-LN(2)/25))/(LN(2)/25)*Calculateur!DW146*Calculateur!DY146*VLOOKUP('Données projet'!$B$9,Paramètres!$A$1:$I$88,3,0)*0.475*44/12</f>
        <v>0</v>
      </c>
      <c r="EC146" s="23">
        <f>EXP(-LN(2)/2)*EC145+(1-EXP(-LN(2)/2))/(LN(2)/2)*DW146*DZ146*VLOOKUP('Données projet'!$B$9,Paramètres!$A$1:$I$88,3,0)*0.475*44/12</f>
        <v>0</v>
      </c>
      <c r="ED146" s="24">
        <f t="shared" si="132"/>
        <v>0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IF(A146&lt;'Données projet'!$A$192,$EG$205^A146,IF(A146='Données projet'!$A$192,'Données projet'!$B$192,EJ145+EI146-ER145))</f>
        <v>-5.6843418860808015E-14</v>
      </c>
      <c r="EK146" s="18">
        <f>EJ146*VLOOKUP('Données projet'!$B$15,Paramètres!$A$1:$I$88,3,0)*VLOOKUP('Données projet'!$B$15,Paramètres!$A$1:$I$88,5,0)</f>
        <v>-2.6602720026858149E-14</v>
      </c>
      <c r="EL146" s="14" t="e">
        <f t="shared" si="157"/>
        <v>#NUM!</v>
      </c>
      <c r="EM146" s="22" t="e">
        <f t="shared" si="133"/>
        <v>#NUM!</v>
      </c>
      <c r="EN146" s="62" t="e">
        <f t="shared" si="134"/>
        <v>#NUM!</v>
      </c>
      <c r="EO146" s="62">
        <f ca="1">AVERAGE(OFFSET($EN$3,0,0,'Données projet'!$E$15+1,1))-AVERAGE(OFFSET($H$3,0,0,'Données projet'!$E$15+1,1))</f>
        <v>238.59014604384171</v>
      </c>
      <c r="EP146" s="62">
        <f t="shared" si="135"/>
        <v>90.841373219575217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projet'!$B$15,Paramètres!$A$1:$I$88,7,0))</f>
        <v>0</v>
      </c>
      <c r="ET146" s="17">
        <f>IF(ISNA(VLOOKUP(A146,'Données projet'!$A$191:$I$211,6,0)),0%,VLOOKUP(A146,'Données projet'!$A$191:$I$211,6,0)*VLOOKUP('Données projet'!$B$15,Paramètres!$A$1:$I$88,7,0))</f>
        <v>0</v>
      </c>
      <c r="EU146" s="17">
        <f>IF(ISNA(VLOOKUP(A146,'Données projet'!$A$191:$I$211,7,0)),0%,VLOOKUP(A146,'Données projet'!$A$191:$I$211,7,0))</f>
        <v>0</v>
      </c>
      <c r="EV146" s="23">
        <f>EXP(-LN(2)/35)*EV145+(1-EXP(-LN(2)/35))/(LN(2)/35)*ER146*ES146*VLOOKUP('Données projet'!$B$9,Paramètres!$A$1:$I$88,3,0)*0.475*44/12</f>
        <v>0</v>
      </c>
      <c r="EW146" s="23">
        <f>EXP(-LN(2)/25)*EW145+(1-EXP(-LN(2)/25))/(LN(2)/25)*Calculateur!ER146*Calculateur!ET146*VLOOKUP('Données projet'!$B$9,Paramètres!$A$1:$I$88,3,0)*0.475*44/12</f>
        <v>0</v>
      </c>
      <c r="EX146" s="23">
        <f>EXP(-LN(2)/2)*EX145+(1-EXP(-LN(2)/2))/(LN(2)/2)*ER146*EU146*VLOOKUP('Données projet'!$B$9,Paramètres!$A$1:$I$88,3,0)*0.475*44/12</f>
        <v>0</v>
      </c>
      <c r="EY146" s="24">
        <f t="shared" si="136"/>
        <v>0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IF(A146&lt;'Données projet'!$A$218,$FB$205^A146,IF(A146='Données projet'!$A$218,'Données projet'!$B$218,FE145+FD146-FM145))</f>
        <v>0</v>
      </c>
      <c r="FF146" s="18" t="e">
        <f>FE146*VLOOKUP('Données projet'!$B$16,Paramètres!$A$1:$I$88,3,0)*VLOOKUP('Données projet'!$B$16,Paramètres!$A$1:$I$88,5,0)</f>
        <v>#N/A</v>
      </c>
      <c r="FG146" s="14" t="e">
        <f t="shared" si="158"/>
        <v>#N/A</v>
      </c>
      <c r="FH146" s="22" t="e">
        <f t="shared" si="137"/>
        <v>#N/A</v>
      </c>
      <c r="FI146" s="62" t="e">
        <f t="shared" si="138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39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projet'!$B$16,Paramètres!$A$1:$I$88,7,0))</f>
        <v>0</v>
      </c>
      <c r="FO146" s="17">
        <f>IF(ISNA(VLOOKUP(A146,'Données projet'!$A$217:$I$237,6,0)),0%,VLOOKUP(A146,'Données projet'!$A$217:$I$237,6,0)*VLOOKUP('Données projet'!$B$16,Paramètres!$A$1:$I$88,7,0))</f>
        <v>0</v>
      </c>
      <c r="FP146" s="17">
        <f>IF(ISNA(VLOOKUP(A146,'Données projet'!$A$217:$I$237,7,0)),0%,VLOOKUP(A146,'Données projet'!$A$217:$I$237,7,0))</f>
        <v>0</v>
      </c>
      <c r="FQ146" s="23">
        <f>EXP(-LN(2)/35)*FQ145+(1-EXP(-LN(2)/35))/(LN(2)/35)*FM146*FN146*VLOOKUP('Données projet'!$B$9,Paramètres!$A$1:$I$88,3,0)*0.475*44/12</f>
        <v>0</v>
      </c>
      <c r="FR146" s="23">
        <f>EXP(-LN(2)/25)*FR145+(1-EXP(-LN(2)/25))/(LN(2)/25)*Calculateur!FM146*Calculateur!FO146*VLOOKUP('Données projet'!$B$9,Paramètres!$A$1:$I$88,3,0)*0.475*44/12</f>
        <v>0</v>
      </c>
      <c r="FS146" s="23">
        <f>EXP(-LN(2)/2)*FS145+(1-EXP(-LN(2)/2))/(LN(2)/2)*FM146*FP146*VLOOKUP('Données projet'!$B$9,Paramètres!$A$1:$I$88,3,0)*0.475*44/12</f>
        <v>0</v>
      </c>
      <c r="FT146" s="24">
        <f t="shared" si="140"/>
        <v>0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IF(A146&lt;'Données projet'!$A$244,$FW$205^A146,IF(A146='Données projet'!$A$244,'Données projet'!$B$244,FZ145+FY146-GH145))</f>
        <v>0</v>
      </c>
      <c r="GA146" s="18" t="e">
        <f>FZ146*VLOOKUP('Données projet'!$B$17,Paramètres!$A$1:$I$88,3,0)*VLOOKUP('Données projet'!$B$17,Paramètres!$A$1:$I$88,5,0)</f>
        <v>#N/A</v>
      </c>
      <c r="GB146" s="14" t="e">
        <f t="shared" si="159"/>
        <v>#N/A</v>
      </c>
      <c r="GC146" s="22" t="e">
        <f t="shared" si="141"/>
        <v>#N/A</v>
      </c>
      <c r="GD146" s="62" t="e">
        <f t="shared" si="142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43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projet'!$B$17,Paramètres!$A$1:$I$88,7,0))</f>
        <v>0</v>
      </c>
      <c r="GJ146" s="17">
        <f>IF(ISNA(VLOOKUP(A146,'Données projet'!$A$243:$I$263,6,0)),0%,VLOOKUP(A146,'Données projet'!$A$243:$I$263,6,0)*VLOOKUP('Données projet'!$B$17,Paramètres!$A$1:$I$88,7,0))</f>
        <v>0</v>
      </c>
      <c r="GK146" s="17">
        <f>IF(ISNA(VLOOKUP(A146,'Données projet'!$A$243:$I$263,7,0)),0%,VLOOKUP(A146,'Données projet'!$A$243:$I$263,7,0))</f>
        <v>0</v>
      </c>
      <c r="GL146" s="23">
        <f>EXP(-LN(2)/35)*GL145+(1-EXP(-LN(2)/35))/(LN(2)/35)*GH146*GI146*VLOOKUP('Données projet'!$B$9,Paramètres!$A$1:$I$88,3,0)*0.475*44/12</f>
        <v>0</v>
      </c>
      <c r="GM146" s="23">
        <f>EXP(-LN(2)/25)*GM145+(1-EXP(-LN(2)/25))/(LN(2)/25)*Calculateur!GH146*Calculateur!GJ146*VLOOKUP('Données projet'!$B$9,Paramètres!$A$1:$I$88,3,0)*0.475*44/12</f>
        <v>0</v>
      </c>
      <c r="GN146" s="23">
        <f>EXP(-LN(2)/2)*GN145+(1-EXP(-LN(2)/2))/(LN(2)/2)*GH146*GK146*VLOOKUP('Données projet'!$B$9,Paramètres!$A$1:$I$88,3,0)*0.475*44/12</f>
        <v>0</v>
      </c>
      <c r="GO146" s="23">
        <f t="shared" si="144"/>
        <v>0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IF(A146&lt;'Données projet'!$A$270,$GR$205^A146,IF(A146='Données projet'!$A$270,'Données projet'!$B$270,GU145+GT146-HC145))</f>
        <v>0</v>
      </c>
      <c r="GV146" s="18" t="e">
        <f>GU146*VLOOKUP('Données projet'!$B$18,Paramètres!$A$1:$I$88,3,0)*VLOOKUP('Données projet'!$B$18,Paramètres!$A$1:$I$88,5,0)</f>
        <v>#N/A</v>
      </c>
      <c r="GW146" s="14" t="e">
        <f t="shared" si="160"/>
        <v>#N/A</v>
      </c>
      <c r="GX146" s="22" t="e">
        <f t="shared" si="145"/>
        <v>#N/A</v>
      </c>
      <c r="GY146" s="62" t="e">
        <f t="shared" si="146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47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projet'!$B$18,Paramètres!$A$1:$I$88,7,0))</f>
        <v>0</v>
      </c>
      <c r="HE146" s="17">
        <f>IF(ISNA(VLOOKUP(A146,'Données projet'!$A$269:$I$289,6,0)),0%,VLOOKUP(A146,'Données projet'!$A$269:$I$289,6,0)*VLOOKUP('Données projet'!$B$18,Paramètres!$A$1:$I$88,7,0))</f>
        <v>0</v>
      </c>
      <c r="HF146" s="17">
        <f>IF(ISNA(VLOOKUP(A146,'Données projet'!$A$269:$I$289,7,0)),0%,VLOOKUP(A146,'Données projet'!$A$269:$I$289,7,0))</f>
        <v>0</v>
      </c>
      <c r="HG146" s="23">
        <f>EXP(-LN(2)/35)*HG145+(1-EXP(-LN(2)/35))/(LN(2)/35)*HC146*HD146*VLOOKUP('Données projet'!$B$9,Paramètres!$A$1:$I$88,3,0)*0.475*44/12</f>
        <v>0</v>
      </c>
      <c r="HH146" s="23">
        <f>EXP(-LN(2)/25)*HH145+(1-EXP(-LN(2)/25))/(LN(2)/25)*Calculateur!HC146*Calculateur!HE146*VLOOKUP('Données projet'!$B$9,Paramètres!$A$1:$I$88,3,0)*0.475*44/12</f>
        <v>0</v>
      </c>
      <c r="HI146" s="23">
        <f>EXP(-LN(2)/2)*HI145+(1-EXP(-LN(2)/2))/(LN(2)/2)*HC146*HF146*VLOOKUP('Données projet'!$B$9,Paramètres!$A$1:$I$88,3,0)*0.475*44/12</f>
        <v>0</v>
      </c>
      <c r="HJ146" s="24">
        <f t="shared" si="148"/>
        <v>0</v>
      </c>
    </row>
    <row r="147" spans="1:218" s="5" customFormat="1" x14ac:dyDescent="0.25">
      <c r="A147" s="11">
        <f t="shared" si="149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7" s="12">
        <f t="shared" si="15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111"/>
        <v>135.66666666666666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1.1341666666666668</v>
      </c>
      <c r="N147" s="14">
        <f>IF(A147&lt;'Données projet'!$A$36,$K$205^A147,IF(A147='Données projet'!$A$36,'Données projet'!$B$36,N146+M147-V146))</f>
        <v>123.4075</v>
      </c>
      <c r="O147" s="14">
        <f>N147*VLOOKUP('Données projet'!$B$9,Paramètres!$A$1:$I$88,3,0)*VLOOKUP('Données projet'!$B$9,Paramètres!$A$1:$I$88,5,0)</f>
        <v>142.16543999999999</v>
      </c>
      <c r="P147" s="14">
        <f t="shared" si="151"/>
        <v>36.792633374400118</v>
      </c>
      <c r="Q147" s="22">
        <f t="shared" si="108"/>
        <v>311.68531112708018</v>
      </c>
      <c r="R147" s="62">
        <f t="shared" si="109"/>
        <v>593.80793925331193</v>
      </c>
      <c r="S147" s="62">
        <f ca="1">AVERAGE(OFFSET($R$3,0,0,'Données projet'!$E$9+1,1))-AVERAGE(OFFSET($H$3,0,0,'Données projet'!$E$9+1,1))</f>
        <v>314.72063458462026</v>
      </c>
      <c r="T147" s="62">
        <f t="shared" si="110"/>
        <v>216.4380325968244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projet'!$B$9,Paramètres!$A$1:$I$88,7,0))</f>
        <v>0</v>
      </c>
      <c r="X147" s="17">
        <f>IF(ISNA(VLOOKUP(A147,'Données projet'!$A$35:$I$55,6,0)),0%,VLOOKUP(A147,'Données projet'!$A$35:$I$55,6,0)*VLOOKUP('Données projet'!$B$9,Paramètres!$A$1:$I$88,7,0))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projet'!$B$9,Paramètres!$A$1:$I$88,3,0)*0.475*44/12</f>
        <v>0</v>
      </c>
      <c r="AA147" s="23">
        <f>EXP(-LN(2)/25)*AA146+(1-EXP(-LN(2)/25))/(LN(2)/25)*Calculateur!V147*Calculateur!X147*VLOOKUP('Données projet'!$B$9,Paramètres!$A$1:$I$88,3,0)*0.475*44/12</f>
        <v>0</v>
      </c>
      <c r="AB147" s="23">
        <f>EXP(-LN(2)/2)*AB146+(1-EXP(-LN(2)/2))/(LN(2)/2)*V147*Y147*VLOOKUP('Données projet'!$B$9,Paramètres!$A$1:$I$88,3,0)*0.475*44/12</f>
        <v>0</v>
      </c>
      <c r="AC147" s="24">
        <f t="shared" si="112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IF(A147&lt;'Données projet'!$A$62,$AF$205^A147,IF(A147='Données projet'!$A$62,'Données projet'!$B$62,AI146+AH147-AQ146))</f>
        <v>1.1368683772161603E-13</v>
      </c>
      <c r="AJ147" s="14">
        <f>AI147*VLOOKUP('Données projet'!$B$10,Paramètres!$A$1:$I$88,3,0)*VLOOKUP('Données projet'!$B$10,Paramètres!$A$1:$I$88,5,0)</f>
        <v>1.1882548278663309E-13</v>
      </c>
      <c r="AK147" s="14">
        <f t="shared" si="152"/>
        <v>1.7496137229198366E-12</v>
      </c>
      <c r="AL147" s="22">
        <f t="shared" si="113"/>
        <v>3.2541982832721012E-12</v>
      </c>
      <c r="AM147" s="62">
        <f t="shared" si="114"/>
        <v>282.12262812623499</v>
      </c>
      <c r="AN147" s="62">
        <f ca="1">AVERAGE(OFFSET($AM$3,0,0,'Données projet'!$E$10+1,1))-AVERAGE(OFFSET($H$3,0,0,'Données projet'!$E$10+1,1))</f>
        <v>458.33072853676879</v>
      </c>
      <c r="AO147" s="62">
        <f t="shared" si="115"/>
        <v>254.1734169352687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projet'!$B$10,Paramètres!$A$1:$I$88,7,0))</f>
        <v>0</v>
      </c>
      <c r="AS147" s="17">
        <f>IF(ISNA(VLOOKUP(A147,'Données projet'!$A$61:$I$81,6,0)),0%,VLOOKUP(A147,'Données projet'!$A$61:$I$81,6,0)*VLOOKUP('Données projet'!$B$10,Paramètres!$A$1:$I$88,7,0))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projet'!$B$9,Paramètres!$A$1:$I$88,3,0)*0.475*44/12</f>
        <v>0</v>
      </c>
      <c r="AV147" s="23">
        <f>EXP(-LN(2)/25)*AV146+(1-EXP(-LN(2)/25))/(LN(2)/25)*Calculateur!AQ147*Calculateur!AS147*VLOOKUP('Données projet'!$B$9,Paramètres!$A$1:$I$88,3,0)*0.475*44/12</f>
        <v>0</v>
      </c>
      <c r="AW147" s="23">
        <f>EXP(-LN(2)/2)*AW146+(1-EXP(-LN(2)/2))/(LN(2)/2)*AQ147*AT147*VLOOKUP('Données projet'!$B$9,Paramètres!$A$1:$I$88,3,0)*0.475*44/12</f>
        <v>0</v>
      </c>
      <c r="AX147" s="23">
        <f t="shared" si="116"/>
        <v>0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IF(A147&lt;'Données projet'!$A$88,$BA$205^A147,IF(A147='Données projet'!$A$88,'Données projet'!$B$88,BD146+BC147-BL146))</f>
        <v>1.1368683772161603E-13</v>
      </c>
      <c r="BE147" s="14">
        <f>BD147*VLOOKUP('Données projet'!$B$11,Paramètres!$A$1:$I$88,3,0)*VLOOKUP('Données projet'!$B$11,Paramètres!$A$1:$I$88,5,0)</f>
        <v>1.1527845344971866E-13</v>
      </c>
      <c r="BF147" s="14">
        <f t="shared" si="153"/>
        <v>1.7033846239409443E-12</v>
      </c>
      <c r="BG147" s="22">
        <f t="shared" si="117"/>
        <v>3.1675048597887374E-12</v>
      </c>
      <c r="BH147" s="62">
        <f t="shared" si="118"/>
        <v>282.12262812623493</v>
      </c>
      <c r="BI147" s="62">
        <f ca="1">AVERAGE(OFFSET($BH$3,0,0,'Données projet'!$E$11+1,1))-AVERAGE(OFFSET($H$3,0,0,'Données projet'!$E$11+1,1))</f>
        <v>447.82618173893104</v>
      </c>
      <c r="BJ147" s="62">
        <f t="shared" si="119"/>
        <v>248.96509970783379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projet'!$B$11,Paramètres!$A$1:$I$88,7,0))</f>
        <v>0</v>
      </c>
      <c r="BN147" s="17">
        <f>IF(ISNA(VLOOKUP(A147,'Données projet'!$A$87:$I$107,6,0)),0%,VLOOKUP(A147,'Données projet'!$A$87:$I$107,6,0)*VLOOKUP('Données projet'!$B$11,Paramètres!$A$1:$I$88,7,0))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projet'!$B$9,Paramètres!$A$1:$I$88,3,0)*0.475*44/12</f>
        <v>0</v>
      </c>
      <c r="BQ147" s="23">
        <f>EXP(-LN(2)/25)*BQ146+(1-EXP(-LN(2)/25))/(LN(2)/25)*Calculateur!BL147*Calculateur!BN147*VLOOKUP('Données projet'!$B$9,Paramètres!$A$1:$I$88,3,0)*0.475*44/12</f>
        <v>0</v>
      </c>
      <c r="BR147" s="23">
        <f>EXP(-LN(2)/2)*BR146+(1-EXP(-LN(2)/2))/(LN(2)/2)*BL147*BO147*VLOOKUP('Données projet'!$B$9,Paramètres!$A$1:$I$88,3,0)*0.475*44/12</f>
        <v>0</v>
      </c>
      <c r="BS147" s="24">
        <f t="shared" si="120"/>
        <v>0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IF(A147&lt;'Données projet'!$A$114,$BV$205^A147,IF(A147='Données projet'!$A$114,'Données projet'!$B$114,BY146+BX147-CG146))</f>
        <v>1.1368683772161603E-13</v>
      </c>
      <c r="BZ147" s="14">
        <f>BY147*VLOOKUP('Données projet'!$B$12,Paramètres!$A$1:$I$88,3,0)*VLOOKUP('Données projet'!$B$12,Paramètres!$A$1:$I$88,5,0)</f>
        <v>1.223725121235475E-13</v>
      </c>
      <c r="CA147" s="14">
        <f t="shared" si="154"/>
        <v>1.7956824466038182E-12</v>
      </c>
      <c r="CB147" s="22">
        <f t="shared" si="121"/>
        <v>3.3406123864501612E-12</v>
      </c>
      <c r="CC147" s="62">
        <f t="shared" si="122"/>
        <v>282.1226281262351</v>
      </c>
      <c r="CD147" s="62">
        <f ca="1">AVERAGE(OFFSET($CC$3,0,0,'Données projet'!$E$12+1,1))-AVERAGE(OFFSET($H$3,0,0,'Données projet'!$E$12+1,1))</f>
        <v>468.82871618425406</v>
      </c>
      <c r="CE147" s="62">
        <f t="shared" si="123"/>
        <v>259.37818128554397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projet'!$B$12,Paramètres!$A$1:$I$88,7,0))</f>
        <v>0</v>
      </c>
      <c r="CI147" s="17">
        <f>IF(ISNA(VLOOKUP(A147,'Données projet'!$A$113:$I$133,6,0)),0%,VLOOKUP(A147,'Données projet'!$A$113:$I$133,6,0)*VLOOKUP('Données projet'!$B$12,Paramètres!$A$1:$I$88,7,0))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projet'!$B$9,Paramètres!$A$1:$I$88,3,0)*0.475*44/12</f>
        <v>0</v>
      </c>
      <c r="CL147" s="23">
        <f>EXP(-LN(2)/25)*CL146+(1-EXP(-LN(2)/25))/(LN(2)/25)*Calculateur!CG147*Calculateur!CI147*VLOOKUP('Données projet'!$B$9,Paramètres!$A$1:$I$88,3,0)*0.475*44/12</f>
        <v>0</v>
      </c>
      <c r="CM147" s="23">
        <f>EXP(-LN(2)/2)*CM146+(1-EXP(-LN(2)/2))/(LN(2)/2)*CG147*CJ147*VLOOKUP('Données projet'!$B$9,Paramètres!$A$1:$I$88,3,0)*0.475*44/12</f>
        <v>0</v>
      </c>
      <c r="CN147" s="24">
        <f t="shared" si="124"/>
        <v>0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IF(A147&lt;'Données projet'!$A$140,$CQ$205^A147,IF(A147='Données projet'!$A$140,'Données projet'!$B$140,CT146+CS147-DB146))</f>
        <v>1.1368683772161603E-13</v>
      </c>
      <c r="CU147" s="18">
        <f>CT147*VLOOKUP('Données projet'!$B$13,Paramètres!$A$1:$I$88,3,0)*VLOOKUP('Données projet'!$B$13,Paramètres!$A$1:$I$88,5,0)</f>
        <v>9.7543306765146564E-14</v>
      </c>
      <c r="CV147" s="14">
        <f t="shared" si="155"/>
        <v>1.4696264278629426E-12</v>
      </c>
      <c r="CW147" s="22">
        <f t="shared" si="125"/>
        <v>2.7294872878105889E-12</v>
      </c>
      <c r="CX147" s="62">
        <f t="shared" si="126"/>
        <v>282.12262812623447</v>
      </c>
      <c r="CY147" s="62">
        <f ca="1">AVERAGE(OFFSET($CX$3,0,0,'Données projet'!$E$13+1,1))-AVERAGE(OFFSET($H$3,0,0,'Données projet'!$E$13+1,1))</f>
        <v>395.19659151668884</v>
      </c>
      <c r="CZ147" s="62">
        <f t="shared" si="127"/>
        <v>222.86563304507339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projet'!$B$13,Paramètres!$A$1:$I$88,7,0))</f>
        <v>0</v>
      </c>
      <c r="DD147" s="17">
        <f>IF(ISNA(VLOOKUP(A147,'Données projet'!$A$139:$I$159,6,0)),0%,VLOOKUP(A147,'Données projet'!$A$139:$I$159,6,0)*VLOOKUP('Données projet'!$B$13,Paramètres!$A$1:$I$88,7,0))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projet'!$B$9,Paramètres!$A$1:$I$88,3,0)*0.475*44/12</f>
        <v>0</v>
      </c>
      <c r="DG147" s="23">
        <f>EXP(-LN(2)/25)*DG146+(1-EXP(-LN(2)/25))/(LN(2)/25)*Calculateur!DB147*Calculateur!DD147*VLOOKUP('Données projet'!$B$9,Paramètres!$A$1:$I$88,3,0)*0.475*44/12</f>
        <v>0</v>
      </c>
      <c r="DH147" s="23">
        <f>EXP(-LN(2)/2)*DH146+(1-EXP(-LN(2)/2))/(LN(2)/2)*DB147*DE147*VLOOKUP('Données projet'!$B$9,Paramètres!$A$1:$I$88,3,0)*0.475*44/12</f>
        <v>0</v>
      </c>
      <c r="DI147" s="24">
        <f t="shared" si="128"/>
        <v>0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IF(A147&lt;'Données projet'!$A$166,$DL$205^A147,IF(A147='Données projet'!$A$166,'Données projet'!$B$166,DO146+DN147-DW146))</f>
        <v>-8.5265128291212022E-14</v>
      </c>
      <c r="DP147" s="18">
        <f>DO147*VLOOKUP('Données projet'!$B$14,Paramètres!$A$1:$I$88,3,0)*VLOOKUP('Données projet'!$B$14,Paramètres!$A$1:$I$88,5,0)</f>
        <v>-4.9880100050359036E-14</v>
      </c>
      <c r="DQ147" s="14" t="e">
        <f t="shared" si="156"/>
        <v>#NUM!</v>
      </c>
      <c r="DR147" s="22" t="e">
        <f t="shared" si="129"/>
        <v>#NUM!</v>
      </c>
      <c r="DS147" s="62" t="e">
        <f t="shared" si="130"/>
        <v>#NUM!</v>
      </c>
      <c r="DT147" s="62">
        <f ca="1">AVERAGE(OFFSET($DS$3,0,0,'Données projet'!$E$14+1,1))-AVERAGE(OFFSET($H$3,0,0,'Données projet'!$E$14+1,1))</f>
        <v>155.18073137151848</v>
      </c>
      <c r="DU147" s="62">
        <f t="shared" si="131"/>
        <v>115.19459155667272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projet'!$B$14,Paramètres!$A$1:$I$88,7,0))</f>
        <v>0</v>
      </c>
      <c r="DY147" s="17">
        <f>IF(ISNA(VLOOKUP(A147,'Données projet'!$A$165:$I$185,6,0)),0%,VLOOKUP(A147,'Données projet'!$A$165:$I$185,6,0)*VLOOKUP('Données projet'!$B$14,Paramètres!$A$1:$I$88,7,0))</f>
        <v>0</v>
      </c>
      <c r="DZ147" s="17">
        <f>IF(ISNA(VLOOKUP(A147,'Données projet'!$A$165:$I$185,7,0)),0%,VLOOKUP(A147,'Données projet'!$A$165:$I$185,7,0))</f>
        <v>0</v>
      </c>
      <c r="EA147" s="23">
        <f>EXP(-LN(2)/35)*EA146+(1-EXP(-LN(2)/35))/(LN(2)/35)*DW147*DX147*VLOOKUP('Données projet'!$B$9,Paramètres!$A$1:$I$88,3,0)*0.475*44/12</f>
        <v>0</v>
      </c>
      <c r="EB147" s="23">
        <f>EXP(-LN(2)/25)*EB146+(1-EXP(-LN(2)/25))/(LN(2)/25)*Calculateur!DW147*Calculateur!DY147*VLOOKUP('Données projet'!$B$9,Paramètres!$A$1:$I$88,3,0)*0.475*44/12</f>
        <v>0</v>
      </c>
      <c r="EC147" s="23">
        <f>EXP(-LN(2)/2)*EC146+(1-EXP(-LN(2)/2))/(LN(2)/2)*DW147*DZ147*VLOOKUP('Données projet'!$B$9,Paramètres!$A$1:$I$88,3,0)*0.475*44/12</f>
        <v>0</v>
      </c>
      <c r="ED147" s="24">
        <f t="shared" si="132"/>
        <v>0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IF(A147&lt;'Données projet'!$A$192,$EG$205^A147,IF(A147='Données projet'!$A$192,'Données projet'!$B$192,EJ146+EI147-ER146))</f>
        <v>-5.6843418860808015E-14</v>
      </c>
      <c r="EK147" s="18">
        <f>EJ147*VLOOKUP('Données projet'!$B$15,Paramètres!$A$1:$I$88,3,0)*VLOOKUP('Données projet'!$B$15,Paramètres!$A$1:$I$88,5,0)</f>
        <v>-2.6602720026858149E-14</v>
      </c>
      <c r="EL147" s="14" t="e">
        <f t="shared" si="157"/>
        <v>#NUM!</v>
      </c>
      <c r="EM147" s="22" t="e">
        <f t="shared" si="133"/>
        <v>#NUM!</v>
      </c>
      <c r="EN147" s="62" t="e">
        <f t="shared" si="134"/>
        <v>#NUM!</v>
      </c>
      <c r="EO147" s="62">
        <f ca="1">AVERAGE(OFFSET($EN$3,0,0,'Données projet'!$E$15+1,1))-AVERAGE(OFFSET($H$3,0,0,'Données projet'!$E$15+1,1))</f>
        <v>238.59014604384171</v>
      </c>
      <c r="EP147" s="62">
        <f t="shared" si="135"/>
        <v>90.841373219575217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projet'!$B$15,Paramètres!$A$1:$I$88,7,0))</f>
        <v>0</v>
      </c>
      <c r="ET147" s="17">
        <f>IF(ISNA(VLOOKUP(A147,'Données projet'!$A$191:$I$211,6,0)),0%,VLOOKUP(A147,'Données projet'!$A$191:$I$211,6,0)*VLOOKUP('Données projet'!$B$15,Paramètres!$A$1:$I$88,7,0))</f>
        <v>0</v>
      </c>
      <c r="EU147" s="17">
        <f>IF(ISNA(VLOOKUP(A147,'Données projet'!$A$191:$I$211,7,0)),0%,VLOOKUP(A147,'Données projet'!$A$191:$I$211,7,0))</f>
        <v>0</v>
      </c>
      <c r="EV147" s="23">
        <f>EXP(-LN(2)/35)*EV146+(1-EXP(-LN(2)/35))/(LN(2)/35)*ER147*ES147*VLOOKUP('Données projet'!$B$9,Paramètres!$A$1:$I$88,3,0)*0.475*44/12</f>
        <v>0</v>
      </c>
      <c r="EW147" s="23">
        <f>EXP(-LN(2)/25)*EW146+(1-EXP(-LN(2)/25))/(LN(2)/25)*Calculateur!ER147*Calculateur!ET147*VLOOKUP('Données projet'!$B$9,Paramètres!$A$1:$I$88,3,0)*0.475*44/12</f>
        <v>0</v>
      </c>
      <c r="EX147" s="23">
        <f>EXP(-LN(2)/2)*EX146+(1-EXP(-LN(2)/2))/(LN(2)/2)*ER147*EU147*VLOOKUP('Données projet'!$B$9,Paramètres!$A$1:$I$88,3,0)*0.475*44/12</f>
        <v>0</v>
      </c>
      <c r="EY147" s="24">
        <f t="shared" si="136"/>
        <v>0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IF(A147&lt;'Données projet'!$A$218,$FB$205^A147,IF(A147='Données projet'!$A$218,'Données projet'!$B$218,FE146+FD147-FM146))</f>
        <v>0</v>
      </c>
      <c r="FF147" s="18" t="e">
        <f>FE147*VLOOKUP('Données projet'!$B$16,Paramètres!$A$1:$I$88,3,0)*VLOOKUP('Données projet'!$B$16,Paramètres!$A$1:$I$88,5,0)</f>
        <v>#N/A</v>
      </c>
      <c r="FG147" s="14" t="e">
        <f t="shared" si="158"/>
        <v>#N/A</v>
      </c>
      <c r="FH147" s="22" t="e">
        <f t="shared" si="137"/>
        <v>#N/A</v>
      </c>
      <c r="FI147" s="62" t="e">
        <f t="shared" si="138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39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projet'!$B$16,Paramètres!$A$1:$I$88,7,0))</f>
        <v>0</v>
      </c>
      <c r="FO147" s="17">
        <f>IF(ISNA(VLOOKUP(A147,'Données projet'!$A$217:$I$237,6,0)),0%,VLOOKUP(A147,'Données projet'!$A$217:$I$237,6,0)*VLOOKUP('Données projet'!$B$16,Paramètres!$A$1:$I$88,7,0))</f>
        <v>0</v>
      </c>
      <c r="FP147" s="17">
        <f>IF(ISNA(VLOOKUP(A147,'Données projet'!$A$217:$I$237,7,0)),0%,VLOOKUP(A147,'Données projet'!$A$217:$I$237,7,0))</f>
        <v>0</v>
      </c>
      <c r="FQ147" s="23">
        <f>EXP(-LN(2)/35)*FQ146+(1-EXP(-LN(2)/35))/(LN(2)/35)*FM147*FN147*VLOOKUP('Données projet'!$B$9,Paramètres!$A$1:$I$88,3,0)*0.475*44/12</f>
        <v>0</v>
      </c>
      <c r="FR147" s="23">
        <f>EXP(-LN(2)/25)*FR146+(1-EXP(-LN(2)/25))/(LN(2)/25)*Calculateur!FM147*Calculateur!FO147*VLOOKUP('Données projet'!$B$9,Paramètres!$A$1:$I$88,3,0)*0.475*44/12</f>
        <v>0</v>
      </c>
      <c r="FS147" s="23">
        <f>EXP(-LN(2)/2)*FS146+(1-EXP(-LN(2)/2))/(LN(2)/2)*FM147*FP147*VLOOKUP('Données projet'!$B$9,Paramètres!$A$1:$I$88,3,0)*0.475*44/12</f>
        <v>0</v>
      </c>
      <c r="FT147" s="24">
        <f t="shared" si="140"/>
        <v>0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IF(A147&lt;'Données projet'!$A$244,$FW$205^A147,IF(A147='Données projet'!$A$244,'Données projet'!$B$244,FZ146+FY147-GH146))</f>
        <v>0</v>
      </c>
      <c r="GA147" s="18" t="e">
        <f>FZ147*VLOOKUP('Données projet'!$B$17,Paramètres!$A$1:$I$88,3,0)*VLOOKUP('Données projet'!$B$17,Paramètres!$A$1:$I$88,5,0)</f>
        <v>#N/A</v>
      </c>
      <c r="GB147" s="14" t="e">
        <f t="shared" si="159"/>
        <v>#N/A</v>
      </c>
      <c r="GC147" s="22" t="e">
        <f t="shared" si="141"/>
        <v>#N/A</v>
      </c>
      <c r="GD147" s="62" t="e">
        <f t="shared" si="142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43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projet'!$B$17,Paramètres!$A$1:$I$88,7,0))</f>
        <v>0</v>
      </c>
      <c r="GJ147" s="17">
        <f>IF(ISNA(VLOOKUP(A147,'Données projet'!$A$243:$I$263,6,0)),0%,VLOOKUP(A147,'Données projet'!$A$243:$I$263,6,0)*VLOOKUP('Données projet'!$B$17,Paramètres!$A$1:$I$88,7,0))</f>
        <v>0</v>
      </c>
      <c r="GK147" s="17">
        <f>IF(ISNA(VLOOKUP(A147,'Données projet'!$A$243:$I$263,7,0)),0%,VLOOKUP(A147,'Données projet'!$A$243:$I$263,7,0))</f>
        <v>0</v>
      </c>
      <c r="GL147" s="23">
        <f>EXP(-LN(2)/35)*GL146+(1-EXP(-LN(2)/35))/(LN(2)/35)*GH147*GI147*VLOOKUP('Données projet'!$B$9,Paramètres!$A$1:$I$88,3,0)*0.475*44/12</f>
        <v>0</v>
      </c>
      <c r="GM147" s="23">
        <f>EXP(-LN(2)/25)*GM146+(1-EXP(-LN(2)/25))/(LN(2)/25)*Calculateur!GH147*Calculateur!GJ147*VLOOKUP('Données projet'!$B$9,Paramètres!$A$1:$I$88,3,0)*0.475*44/12</f>
        <v>0</v>
      </c>
      <c r="GN147" s="23">
        <f>EXP(-LN(2)/2)*GN146+(1-EXP(-LN(2)/2))/(LN(2)/2)*GH147*GK147*VLOOKUP('Données projet'!$B$9,Paramètres!$A$1:$I$88,3,0)*0.475*44/12</f>
        <v>0</v>
      </c>
      <c r="GO147" s="23">
        <f t="shared" si="144"/>
        <v>0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IF(A147&lt;'Données projet'!$A$270,$GR$205^A147,IF(A147='Données projet'!$A$270,'Données projet'!$B$270,GU146+GT147-HC146))</f>
        <v>0</v>
      </c>
      <c r="GV147" s="18" t="e">
        <f>GU147*VLOOKUP('Données projet'!$B$18,Paramètres!$A$1:$I$88,3,0)*VLOOKUP('Données projet'!$B$18,Paramètres!$A$1:$I$88,5,0)</f>
        <v>#N/A</v>
      </c>
      <c r="GW147" s="14" t="e">
        <f t="shared" si="160"/>
        <v>#N/A</v>
      </c>
      <c r="GX147" s="22" t="e">
        <f t="shared" si="145"/>
        <v>#N/A</v>
      </c>
      <c r="GY147" s="62" t="e">
        <f t="shared" si="146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47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projet'!$B$18,Paramètres!$A$1:$I$88,7,0))</f>
        <v>0</v>
      </c>
      <c r="HE147" s="17">
        <f>IF(ISNA(VLOOKUP(A147,'Données projet'!$A$269:$I$289,6,0)),0%,VLOOKUP(A147,'Données projet'!$A$269:$I$289,6,0)*VLOOKUP('Données projet'!$B$18,Paramètres!$A$1:$I$88,7,0))</f>
        <v>0</v>
      </c>
      <c r="HF147" s="17">
        <f>IF(ISNA(VLOOKUP(A147,'Données projet'!$A$269:$I$289,7,0)),0%,VLOOKUP(A147,'Données projet'!$A$269:$I$289,7,0))</f>
        <v>0</v>
      </c>
      <c r="HG147" s="23">
        <f>EXP(-LN(2)/35)*HG146+(1-EXP(-LN(2)/35))/(LN(2)/35)*HC147*HD147*VLOOKUP('Données projet'!$B$9,Paramètres!$A$1:$I$88,3,0)*0.475*44/12</f>
        <v>0</v>
      </c>
      <c r="HH147" s="23">
        <f>EXP(-LN(2)/25)*HH146+(1-EXP(-LN(2)/25))/(LN(2)/25)*Calculateur!HC147*Calculateur!HE147*VLOOKUP('Données projet'!$B$9,Paramètres!$A$1:$I$88,3,0)*0.475*44/12</f>
        <v>0</v>
      </c>
      <c r="HI147" s="23">
        <f>EXP(-LN(2)/2)*HI146+(1-EXP(-LN(2)/2))/(LN(2)/2)*HC147*HF147*VLOOKUP('Données projet'!$B$9,Paramètres!$A$1:$I$88,3,0)*0.475*44/12</f>
        <v>0</v>
      </c>
      <c r="HJ147" s="24">
        <f t="shared" si="148"/>
        <v>0</v>
      </c>
    </row>
    <row r="148" spans="1:218" s="5" customFormat="1" x14ac:dyDescent="0.25">
      <c r="A148" s="11">
        <f t="shared" si="149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8" s="12">
        <f t="shared" si="15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111"/>
        <v>135.66666666666666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1.1341666666666668</v>
      </c>
      <c r="N148" s="14">
        <f>IF(A148&lt;'Données projet'!$A$36,$K$205^A148,IF(A148='Données projet'!$A$36,'Données projet'!$B$36,N147+M148-V147))</f>
        <v>124.54166666666667</v>
      </c>
      <c r="O148" s="14">
        <f>N148*VLOOKUP('Données projet'!$B$9,Paramètres!$A$1:$I$88,3,0)*VLOOKUP('Données projet'!$B$9,Paramètres!$A$1:$I$88,5,0)</f>
        <v>143.47200000000001</v>
      </c>
      <c r="P148" s="14">
        <f t="shared" si="151"/>
        <v>37.091254368743478</v>
      </c>
      <c r="Q148" s="22">
        <f t="shared" si="108"/>
        <v>314.4810013588949</v>
      </c>
      <c r="R148" s="62">
        <f t="shared" si="109"/>
        <v>596.79811015708788</v>
      </c>
      <c r="S148" s="62">
        <f ca="1">AVERAGE(OFFSET($R$3,0,0,'Données projet'!$E$9+1,1))-AVERAGE(OFFSET($H$3,0,0,'Données projet'!$E$9+1,1))</f>
        <v>314.72063458462026</v>
      </c>
      <c r="T148" s="62">
        <f t="shared" si="110"/>
        <v>216.4380325968244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projet'!$B$9,Paramètres!$A$1:$I$88,7,0))</f>
        <v>0</v>
      </c>
      <c r="X148" s="17">
        <f>IF(ISNA(VLOOKUP(A148,'Données projet'!$A$35:$I$55,6,0)),0%,VLOOKUP(A148,'Données projet'!$A$35:$I$55,6,0)*VLOOKUP('Données projet'!$B$9,Paramètres!$A$1:$I$88,7,0))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projet'!$B$9,Paramètres!$A$1:$I$88,3,0)*0.475*44/12</f>
        <v>0</v>
      </c>
      <c r="AA148" s="23">
        <f>EXP(-LN(2)/25)*AA147+(1-EXP(-LN(2)/25))/(LN(2)/25)*Calculateur!V148*Calculateur!X148*VLOOKUP('Données projet'!$B$9,Paramètres!$A$1:$I$88,3,0)*0.475*44/12</f>
        <v>0</v>
      </c>
      <c r="AB148" s="23">
        <f>EXP(-LN(2)/2)*AB147+(1-EXP(-LN(2)/2))/(LN(2)/2)*V148*Y148*VLOOKUP('Données projet'!$B$9,Paramètres!$A$1:$I$88,3,0)*0.475*44/12</f>
        <v>0</v>
      </c>
      <c r="AC148" s="24">
        <f t="shared" si="112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IF(A148&lt;'Données projet'!$A$62,$AF$205^A148,IF(A148='Données projet'!$A$62,'Données projet'!$B$62,AI147+AH148-AQ147))</f>
        <v>1.1368683772161603E-13</v>
      </c>
      <c r="AJ148" s="14">
        <f>AI148*VLOOKUP('Données projet'!$B$10,Paramètres!$A$1:$I$88,3,0)*VLOOKUP('Données projet'!$B$10,Paramètres!$A$1:$I$88,5,0)</f>
        <v>1.1882548278663309E-13</v>
      </c>
      <c r="AK148" s="14">
        <f t="shared" si="152"/>
        <v>1.7496137229198366E-12</v>
      </c>
      <c r="AL148" s="22">
        <f t="shared" si="113"/>
        <v>3.2541982832721012E-12</v>
      </c>
      <c r="AM148" s="62">
        <f t="shared" si="114"/>
        <v>282.31710879819622</v>
      </c>
      <c r="AN148" s="62">
        <f ca="1">AVERAGE(OFFSET($AM$3,0,0,'Données projet'!$E$10+1,1))-AVERAGE(OFFSET($H$3,0,0,'Données projet'!$E$10+1,1))</f>
        <v>458.33072853676879</v>
      </c>
      <c r="AO148" s="62">
        <f t="shared" si="115"/>
        <v>254.1734169352687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projet'!$B$10,Paramètres!$A$1:$I$88,7,0))</f>
        <v>0</v>
      </c>
      <c r="AS148" s="17">
        <f>IF(ISNA(VLOOKUP(A148,'Données projet'!$A$61:$I$81,6,0)),0%,VLOOKUP(A148,'Données projet'!$A$61:$I$81,6,0)*VLOOKUP('Données projet'!$B$10,Paramètres!$A$1:$I$88,7,0))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projet'!$B$9,Paramètres!$A$1:$I$88,3,0)*0.475*44/12</f>
        <v>0</v>
      </c>
      <c r="AV148" s="23">
        <f>EXP(-LN(2)/25)*AV147+(1-EXP(-LN(2)/25))/(LN(2)/25)*Calculateur!AQ148*Calculateur!AS148*VLOOKUP('Données projet'!$B$9,Paramètres!$A$1:$I$88,3,0)*0.475*44/12</f>
        <v>0</v>
      </c>
      <c r="AW148" s="23">
        <f>EXP(-LN(2)/2)*AW147+(1-EXP(-LN(2)/2))/(LN(2)/2)*AQ148*AT148*VLOOKUP('Données projet'!$B$9,Paramètres!$A$1:$I$88,3,0)*0.475*44/12</f>
        <v>0</v>
      </c>
      <c r="AX148" s="23">
        <f t="shared" si="116"/>
        <v>0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IF(A148&lt;'Données projet'!$A$88,$BA$205^A148,IF(A148='Données projet'!$A$88,'Données projet'!$B$88,BD147+BC148-BL147))</f>
        <v>1.1368683772161603E-13</v>
      </c>
      <c r="BE148" s="14">
        <f>BD148*VLOOKUP('Données projet'!$B$11,Paramètres!$A$1:$I$88,3,0)*VLOOKUP('Données projet'!$B$11,Paramètres!$A$1:$I$88,5,0)</f>
        <v>1.1527845344971866E-13</v>
      </c>
      <c r="BF148" s="14">
        <f t="shared" si="153"/>
        <v>1.7033846239409443E-12</v>
      </c>
      <c r="BG148" s="22">
        <f t="shared" si="117"/>
        <v>3.1675048597887374E-12</v>
      </c>
      <c r="BH148" s="62">
        <f t="shared" si="118"/>
        <v>282.31710879819616</v>
      </c>
      <c r="BI148" s="62">
        <f ca="1">AVERAGE(OFFSET($BH$3,0,0,'Données projet'!$E$11+1,1))-AVERAGE(OFFSET($H$3,0,0,'Données projet'!$E$11+1,1))</f>
        <v>447.82618173893104</v>
      </c>
      <c r="BJ148" s="62">
        <f t="shared" si="119"/>
        <v>248.96509970783379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projet'!$B$11,Paramètres!$A$1:$I$88,7,0))</f>
        <v>0</v>
      </c>
      <c r="BN148" s="17">
        <f>IF(ISNA(VLOOKUP(A148,'Données projet'!$A$87:$I$107,6,0)),0%,VLOOKUP(A148,'Données projet'!$A$87:$I$107,6,0)*VLOOKUP('Données projet'!$B$11,Paramètres!$A$1:$I$88,7,0))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projet'!$B$9,Paramètres!$A$1:$I$88,3,0)*0.475*44/12</f>
        <v>0</v>
      </c>
      <c r="BQ148" s="23">
        <f>EXP(-LN(2)/25)*BQ147+(1-EXP(-LN(2)/25))/(LN(2)/25)*Calculateur!BL148*Calculateur!BN148*VLOOKUP('Données projet'!$B$9,Paramètres!$A$1:$I$88,3,0)*0.475*44/12</f>
        <v>0</v>
      </c>
      <c r="BR148" s="23">
        <f>EXP(-LN(2)/2)*BR147+(1-EXP(-LN(2)/2))/(LN(2)/2)*BL148*BO148*VLOOKUP('Données projet'!$B$9,Paramètres!$A$1:$I$88,3,0)*0.475*44/12</f>
        <v>0</v>
      </c>
      <c r="BS148" s="24">
        <f t="shared" si="120"/>
        <v>0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IF(A148&lt;'Données projet'!$A$114,$BV$205^A148,IF(A148='Données projet'!$A$114,'Données projet'!$B$114,BY147+BX148-CG147))</f>
        <v>1.1368683772161603E-13</v>
      </c>
      <c r="BZ148" s="14">
        <f>BY148*VLOOKUP('Données projet'!$B$12,Paramètres!$A$1:$I$88,3,0)*VLOOKUP('Données projet'!$B$12,Paramètres!$A$1:$I$88,5,0)</f>
        <v>1.223725121235475E-13</v>
      </c>
      <c r="CA148" s="14">
        <f t="shared" si="154"/>
        <v>1.7956824466038182E-12</v>
      </c>
      <c r="CB148" s="22">
        <f t="shared" si="121"/>
        <v>3.3406123864501612E-12</v>
      </c>
      <c r="CC148" s="62">
        <f t="shared" si="122"/>
        <v>282.31710879819633</v>
      </c>
      <c r="CD148" s="62">
        <f ca="1">AVERAGE(OFFSET($CC$3,0,0,'Données projet'!$E$12+1,1))-AVERAGE(OFFSET($H$3,0,0,'Données projet'!$E$12+1,1))</f>
        <v>468.82871618425406</v>
      </c>
      <c r="CE148" s="62">
        <f t="shared" si="123"/>
        <v>259.37818128554397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projet'!$B$12,Paramètres!$A$1:$I$88,7,0))</f>
        <v>0</v>
      </c>
      <c r="CI148" s="17">
        <f>IF(ISNA(VLOOKUP(A148,'Données projet'!$A$113:$I$133,6,0)),0%,VLOOKUP(A148,'Données projet'!$A$113:$I$133,6,0)*VLOOKUP('Données projet'!$B$12,Paramètres!$A$1:$I$88,7,0))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projet'!$B$9,Paramètres!$A$1:$I$88,3,0)*0.475*44/12</f>
        <v>0</v>
      </c>
      <c r="CL148" s="23">
        <f>EXP(-LN(2)/25)*CL147+(1-EXP(-LN(2)/25))/(LN(2)/25)*Calculateur!CG148*Calculateur!CI148*VLOOKUP('Données projet'!$B$9,Paramètres!$A$1:$I$88,3,0)*0.475*44/12</f>
        <v>0</v>
      </c>
      <c r="CM148" s="23">
        <f>EXP(-LN(2)/2)*CM147+(1-EXP(-LN(2)/2))/(LN(2)/2)*CG148*CJ148*VLOOKUP('Données projet'!$B$9,Paramètres!$A$1:$I$88,3,0)*0.475*44/12</f>
        <v>0</v>
      </c>
      <c r="CN148" s="24">
        <f t="shared" si="124"/>
        <v>0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IF(A148&lt;'Données projet'!$A$140,$CQ$205^A148,IF(A148='Données projet'!$A$140,'Données projet'!$B$140,CT147+CS148-DB147))</f>
        <v>1.1368683772161603E-13</v>
      </c>
      <c r="CU148" s="18">
        <f>CT148*VLOOKUP('Données projet'!$B$13,Paramètres!$A$1:$I$88,3,0)*VLOOKUP('Données projet'!$B$13,Paramètres!$A$1:$I$88,5,0)</f>
        <v>9.7543306765146564E-14</v>
      </c>
      <c r="CV148" s="14">
        <f t="shared" si="155"/>
        <v>1.4696264278629426E-12</v>
      </c>
      <c r="CW148" s="22">
        <f t="shared" si="125"/>
        <v>2.7294872878105889E-12</v>
      </c>
      <c r="CX148" s="62">
        <f t="shared" si="126"/>
        <v>282.3171087981957</v>
      </c>
      <c r="CY148" s="62">
        <f ca="1">AVERAGE(OFFSET($CX$3,0,0,'Données projet'!$E$13+1,1))-AVERAGE(OFFSET($H$3,0,0,'Données projet'!$E$13+1,1))</f>
        <v>395.19659151668884</v>
      </c>
      <c r="CZ148" s="62">
        <f t="shared" si="127"/>
        <v>222.86563304507339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projet'!$B$13,Paramètres!$A$1:$I$88,7,0))</f>
        <v>0</v>
      </c>
      <c r="DD148" s="17">
        <f>IF(ISNA(VLOOKUP(A148,'Données projet'!$A$139:$I$159,6,0)),0%,VLOOKUP(A148,'Données projet'!$A$139:$I$159,6,0)*VLOOKUP('Données projet'!$B$13,Paramètres!$A$1:$I$88,7,0))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projet'!$B$9,Paramètres!$A$1:$I$88,3,0)*0.475*44/12</f>
        <v>0</v>
      </c>
      <c r="DG148" s="23">
        <f>EXP(-LN(2)/25)*DG147+(1-EXP(-LN(2)/25))/(LN(2)/25)*Calculateur!DB148*Calculateur!DD148*VLOOKUP('Données projet'!$B$9,Paramètres!$A$1:$I$88,3,0)*0.475*44/12</f>
        <v>0</v>
      </c>
      <c r="DH148" s="23">
        <f>EXP(-LN(2)/2)*DH147+(1-EXP(-LN(2)/2))/(LN(2)/2)*DB148*DE148*VLOOKUP('Données projet'!$B$9,Paramètres!$A$1:$I$88,3,0)*0.475*44/12</f>
        <v>0</v>
      </c>
      <c r="DI148" s="24">
        <f t="shared" si="128"/>
        <v>0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IF(A148&lt;'Données projet'!$A$166,$DL$205^A148,IF(A148='Données projet'!$A$166,'Données projet'!$B$166,DO147+DN148-DW147))</f>
        <v>-8.5265128291212022E-14</v>
      </c>
      <c r="DP148" s="18">
        <f>DO148*VLOOKUP('Données projet'!$B$14,Paramètres!$A$1:$I$88,3,0)*VLOOKUP('Données projet'!$B$14,Paramètres!$A$1:$I$88,5,0)</f>
        <v>-4.9880100050359036E-14</v>
      </c>
      <c r="DQ148" s="14" t="e">
        <f t="shared" si="156"/>
        <v>#NUM!</v>
      </c>
      <c r="DR148" s="22" t="e">
        <f t="shared" si="129"/>
        <v>#NUM!</v>
      </c>
      <c r="DS148" s="62" t="e">
        <f t="shared" si="130"/>
        <v>#NUM!</v>
      </c>
      <c r="DT148" s="62">
        <f ca="1">AVERAGE(OFFSET($DS$3,0,0,'Données projet'!$E$14+1,1))-AVERAGE(OFFSET($H$3,0,0,'Données projet'!$E$14+1,1))</f>
        <v>155.18073137151848</v>
      </c>
      <c r="DU148" s="62">
        <f t="shared" si="131"/>
        <v>115.19459155667272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projet'!$B$14,Paramètres!$A$1:$I$88,7,0))</f>
        <v>0</v>
      </c>
      <c r="DY148" s="17">
        <f>IF(ISNA(VLOOKUP(A148,'Données projet'!$A$165:$I$185,6,0)),0%,VLOOKUP(A148,'Données projet'!$A$165:$I$185,6,0)*VLOOKUP('Données projet'!$B$14,Paramètres!$A$1:$I$88,7,0))</f>
        <v>0</v>
      </c>
      <c r="DZ148" s="17">
        <f>IF(ISNA(VLOOKUP(A148,'Données projet'!$A$165:$I$185,7,0)),0%,VLOOKUP(A148,'Données projet'!$A$165:$I$185,7,0))</f>
        <v>0</v>
      </c>
      <c r="EA148" s="23">
        <f>EXP(-LN(2)/35)*EA147+(1-EXP(-LN(2)/35))/(LN(2)/35)*DW148*DX148*VLOOKUP('Données projet'!$B$9,Paramètres!$A$1:$I$88,3,0)*0.475*44/12</f>
        <v>0</v>
      </c>
      <c r="EB148" s="23">
        <f>EXP(-LN(2)/25)*EB147+(1-EXP(-LN(2)/25))/(LN(2)/25)*Calculateur!DW148*Calculateur!DY148*VLOOKUP('Données projet'!$B$9,Paramètres!$A$1:$I$88,3,0)*0.475*44/12</f>
        <v>0</v>
      </c>
      <c r="EC148" s="23">
        <f>EXP(-LN(2)/2)*EC147+(1-EXP(-LN(2)/2))/(LN(2)/2)*DW148*DZ148*VLOOKUP('Données projet'!$B$9,Paramètres!$A$1:$I$88,3,0)*0.475*44/12</f>
        <v>0</v>
      </c>
      <c r="ED148" s="24">
        <f t="shared" si="132"/>
        <v>0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IF(A148&lt;'Données projet'!$A$192,$EG$205^A148,IF(A148='Données projet'!$A$192,'Données projet'!$B$192,EJ147+EI148-ER147))</f>
        <v>-5.6843418860808015E-14</v>
      </c>
      <c r="EK148" s="18">
        <f>EJ148*VLOOKUP('Données projet'!$B$15,Paramètres!$A$1:$I$88,3,0)*VLOOKUP('Données projet'!$B$15,Paramètres!$A$1:$I$88,5,0)</f>
        <v>-2.6602720026858149E-14</v>
      </c>
      <c r="EL148" s="14" t="e">
        <f t="shared" si="157"/>
        <v>#NUM!</v>
      </c>
      <c r="EM148" s="22" t="e">
        <f t="shared" si="133"/>
        <v>#NUM!</v>
      </c>
      <c r="EN148" s="62" t="e">
        <f t="shared" si="134"/>
        <v>#NUM!</v>
      </c>
      <c r="EO148" s="62">
        <f ca="1">AVERAGE(OFFSET($EN$3,0,0,'Données projet'!$E$15+1,1))-AVERAGE(OFFSET($H$3,0,0,'Données projet'!$E$15+1,1))</f>
        <v>238.59014604384171</v>
      </c>
      <c r="EP148" s="62">
        <f t="shared" si="135"/>
        <v>90.841373219575217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projet'!$B$15,Paramètres!$A$1:$I$88,7,0))</f>
        <v>0</v>
      </c>
      <c r="ET148" s="17">
        <f>IF(ISNA(VLOOKUP(A148,'Données projet'!$A$191:$I$211,6,0)),0%,VLOOKUP(A148,'Données projet'!$A$191:$I$211,6,0)*VLOOKUP('Données projet'!$B$15,Paramètres!$A$1:$I$88,7,0))</f>
        <v>0</v>
      </c>
      <c r="EU148" s="17">
        <f>IF(ISNA(VLOOKUP(A148,'Données projet'!$A$191:$I$211,7,0)),0%,VLOOKUP(A148,'Données projet'!$A$191:$I$211,7,0))</f>
        <v>0</v>
      </c>
      <c r="EV148" s="23">
        <f>EXP(-LN(2)/35)*EV147+(1-EXP(-LN(2)/35))/(LN(2)/35)*ER148*ES148*VLOOKUP('Données projet'!$B$9,Paramètres!$A$1:$I$88,3,0)*0.475*44/12</f>
        <v>0</v>
      </c>
      <c r="EW148" s="23">
        <f>EXP(-LN(2)/25)*EW147+(1-EXP(-LN(2)/25))/(LN(2)/25)*Calculateur!ER148*Calculateur!ET148*VLOOKUP('Données projet'!$B$9,Paramètres!$A$1:$I$88,3,0)*0.475*44/12</f>
        <v>0</v>
      </c>
      <c r="EX148" s="23">
        <f>EXP(-LN(2)/2)*EX147+(1-EXP(-LN(2)/2))/(LN(2)/2)*ER148*EU148*VLOOKUP('Données projet'!$B$9,Paramètres!$A$1:$I$88,3,0)*0.475*44/12</f>
        <v>0</v>
      </c>
      <c r="EY148" s="24">
        <f t="shared" si="136"/>
        <v>0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IF(A148&lt;'Données projet'!$A$218,$FB$205^A148,IF(A148='Données projet'!$A$218,'Données projet'!$B$218,FE147+FD148-FM147))</f>
        <v>0</v>
      </c>
      <c r="FF148" s="18" t="e">
        <f>FE148*VLOOKUP('Données projet'!$B$16,Paramètres!$A$1:$I$88,3,0)*VLOOKUP('Données projet'!$B$16,Paramètres!$A$1:$I$88,5,0)</f>
        <v>#N/A</v>
      </c>
      <c r="FG148" s="14" t="e">
        <f t="shared" si="158"/>
        <v>#N/A</v>
      </c>
      <c r="FH148" s="22" t="e">
        <f t="shared" si="137"/>
        <v>#N/A</v>
      </c>
      <c r="FI148" s="62" t="e">
        <f t="shared" si="138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39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projet'!$B$16,Paramètres!$A$1:$I$88,7,0))</f>
        <v>0</v>
      </c>
      <c r="FO148" s="17">
        <f>IF(ISNA(VLOOKUP(A148,'Données projet'!$A$217:$I$237,6,0)),0%,VLOOKUP(A148,'Données projet'!$A$217:$I$237,6,0)*VLOOKUP('Données projet'!$B$16,Paramètres!$A$1:$I$88,7,0))</f>
        <v>0</v>
      </c>
      <c r="FP148" s="17">
        <f>IF(ISNA(VLOOKUP(A148,'Données projet'!$A$217:$I$237,7,0)),0%,VLOOKUP(A148,'Données projet'!$A$217:$I$237,7,0))</f>
        <v>0</v>
      </c>
      <c r="FQ148" s="23">
        <f>EXP(-LN(2)/35)*FQ147+(1-EXP(-LN(2)/35))/(LN(2)/35)*FM148*FN148*VLOOKUP('Données projet'!$B$9,Paramètres!$A$1:$I$88,3,0)*0.475*44/12</f>
        <v>0</v>
      </c>
      <c r="FR148" s="23">
        <f>EXP(-LN(2)/25)*FR147+(1-EXP(-LN(2)/25))/(LN(2)/25)*Calculateur!FM148*Calculateur!FO148*VLOOKUP('Données projet'!$B$9,Paramètres!$A$1:$I$88,3,0)*0.475*44/12</f>
        <v>0</v>
      </c>
      <c r="FS148" s="23">
        <f>EXP(-LN(2)/2)*FS147+(1-EXP(-LN(2)/2))/(LN(2)/2)*FM148*FP148*VLOOKUP('Données projet'!$B$9,Paramètres!$A$1:$I$88,3,0)*0.475*44/12</f>
        <v>0</v>
      </c>
      <c r="FT148" s="24">
        <f t="shared" si="140"/>
        <v>0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IF(A148&lt;'Données projet'!$A$244,$FW$205^A148,IF(A148='Données projet'!$A$244,'Données projet'!$B$244,FZ147+FY148-GH147))</f>
        <v>0</v>
      </c>
      <c r="GA148" s="18" t="e">
        <f>FZ148*VLOOKUP('Données projet'!$B$17,Paramètres!$A$1:$I$88,3,0)*VLOOKUP('Données projet'!$B$17,Paramètres!$A$1:$I$88,5,0)</f>
        <v>#N/A</v>
      </c>
      <c r="GB148" s="14" t="e">
        <f t="shared" si="159"/>
        <v>#N/A</v>
      </c>
      <c r="GC148" s="22" t="e">
        <f t="shared" si="141"/>
        <v>#N/A</v>
      </c>
      <c r="GD148" s="62" t="e">
        <f t="shared" si="142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43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projet'!$B$17,Paramètres!$A$1:$I$88,7,0))</f>
        <v>0</v>
      </c>
      <c r="GJ148" s="17">
        <f>IF(ISNA(VLOOKUP(A148,'Données projet'!$A$243:$I$263,6,0)),0%,VLOOKUP(A148,'Données projet'!$A$243:$I$263,6,0)*VLOOKUP('Données projet'!$B$17,Paramètres!$A$1:$I$88,7,0))</f>
        <v>0</v>
      </c>
      <c r="GK148" s="17">
        <f>IF(ISNA(VLOOKUP(A148,'Données projet'!$A$243:$I$263,7,0)),0%,VLOOKUP(A148,'Données projet'!$A$243:$I$263,7,0))</f>
        <v>0</v>
      </c>
      <c r="GL148" s="23">
        <f>EXP(-LN(2)/35)*GL147+(1-EXP(-LN(2)/35))/(LN(2)/35)*GH148*GI148*VLOOKUP('Données projet'!$B$9,Paramètres!$A$1:$I$88,3,0)*0.475*44/12</f>
        <v>0</v>
      </c>
      <c r="GM148" s="23">
        <f>EXP(-LN(2)/25)*GM147+(1-EXP(-LN(2)/25))/(LN(2)/25)*Calculateur!GH148*Calculateur!GJ148*VLOOKUP('Données projet'!$B$9,Paramètres!$A$1:$I$88,3,0)*0.475*44/12</f>
        <v>0</v>
      </c>
      <c r="GN148" s="23">
        <f>EXP(-LN(2)/2)*GN147+(1-EXP(-LN(2)/2))/(LN(2)/2)*GH148*GK148*VLOOKUP('Données projet'!$B$9,Paramètres!$A$1:$I$88,3,0)*0.475*44/12</f>
        <v>0</v>
      </c>
      <c r="GO148" s="23">
        <f t="shared" si="144"/>
        <v>0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IF(A148&lt;'Données projet'!$A$270,$GR$205^A148,IF(A148='Données projet'!$A$270,'Données projet'!$B$270,GU147+GT148-HC147))</f>
        <v>0</v>
      </c>
      <c r="GV148" s="18" t="e">
        <f>GU148*VLOOKUP('Données projet'!$B$18,Paramètres!$A$1:$I$88,3,0)*VLOOKUP('Données projet'!$B$18,Paramètres!$A$1:$I$88,5,0)</f>
        <v>#N/A</v>
      </c>
      <c r="GW148" s="14" t="e">
        <f t="shared" si="160"/>
        <v>#N/A</v>
      </c>
      <c r="GX148" s="22" t="e">
        <f t="shared" si="145"/>
        <v>#N/A</v>
      </c>
      <c r="GY148" s="62" t="e">
        <f t="shared" si="146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47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projet'!$B$18,Paramètres!$A$1:$I$88,7,0))</f>
        <v>0</v>
      </c>
      <c r="HE148" s="17">
        <f>IF(ISNA(VLOOKUP(A148,'Données projet'!$A$269:$I$289,6,0)),0%,VLOOKUP(A148,'Données projet'!$A$269:$I$289,6,0)*VLOOKUP('Données projet'!$B$18,Paramètres!$A$1:$I$88,7,0))</f>
        <v>0</v>
      </c>
      <c r="HF148" s="17">
        <f>IF(ISNA(VLOOKUP(A148,'Données projet'!$A$269:$I$289,7,0)),0%,VLOOKUP(A148,'Données projet'!$A$269:$I$289,7,0))</f>
        <v>0</v>
      </c>
      <c r="HG148" s="23">
        <f>EXP(-LN(2)/35)*HG147+(1-EXP(-LN(2)/35))/(LN(2)/35)*HC148*HD148*VLOOKUP('Données projet'!$B$9,Paramètres!$A$1:$I$88,3,0)*0.475*44/12</f>
        <v>0</v>
      </c>
      <c r="HH148" s="23">
        <f>EXP(-LN(2)/25)*HH147+(1-EXP(-LN(2)/25))/(LN(2)/25)*Calculateur!HC148*Calculateur!HE148*VLOOKUP('Données projet'!$B$9,Paramètres!$A$1:$I$88,3,0)*0.475*44/12</f>
        <v>0</v>
      </c>
      <c r="HI148" s="23">
        <f>EXP(-LN(2)/2)*HI147+(1-EXP(-LN(2)/2))/(LN(2)/2)*HC148*HF148*VLOOKUP('Données projet'!$B$9,Paramètres!$A$1:$I$88,3,0)*0.475*44/12</f>
        <v>0</v>
      </c>
      <c r="HJ148" s="24">
        <f t="shared" si="148"/>
        <v>0</v>
      </c>
    </row>
    <row r="149" spans="1:218" s="5" customFormat="1" x14ac:dyDescent="0.25">
      <c r="A149" s="11">
        <f t="shared" si="149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49" s="12">
        <f t="shared" si="15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111"/>
        <v>135.66666666666666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1.1341666666666668</v>
      </c>
      <c r="N149" s="14">
        <f>IF(A149&lt;'Données projet'!$A$36,$K$205^A149,IF(A149='Données projet'!$A$36,'Données projet'!$B$36,N148+M149-V148))</f>
        <v>125.67583333333334</v>
      </c>
      <c r="O149" s="14">
        <f>N149*VLOOKUP('Données projet'!$B$9,Paramètres!$A$1:$I$88,3,0)*VLOOKUP('Données projet'!$B$9,Paramètres!$A$1:$I$88,5,0)</f>
        <v>144.77856</v>
      </c>
      <c r="P149" s="14">
        <f t="shared" si="151"/>
        <v>37.389558981127166</v>
      </c>
      <c r="Q149" s="22">
        <f t="shared" si="108"/>
        <v>317.2761405587965</v>
      </c>
      <c r="R149" s="62">
        <f t="shared" si="109"/>
        <v>599.78435622408574</v>
      </c>
      <c r="S149" s="62">
        <f ca="1">AVERAGE(OFFSET($R$3,0,0,'Données projet'!$E$9+1,1))-AVERAGE(OFFSET($H$3,0,0,'Données projet'!$E$9+1,1))</f>
        <v>314.72063458462026</v>
      </c>
      <c r="T149" s="62">
        <f t="shared" si="110"/>
        <v>216.4380325968244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projet'!$B$9,Paramètres!$A$1:$I$88,7,0))</f>
        <v>0</v>
      </c>
      <c r="X149" s="17">
        <f>IF(ISNA(VLOOKUP(A149,'Données projet'!$A$35:$I$55,6,0)),0%,VLOOKUP(A149,'Données projet'!$A$35:$I$55,6,0)*VLOOKUP('Données projet'!$B$9,Paramètres!$A$1:$I$88,7,0))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projet'!$B$9,Paramètres!$A$1:$I$88,3,0)*0.475*44/12</f>
        <v>0</v>
      </c>
      <c r="AA149" s="23">
        <f>EXP(-LN(2)/25)*AA148+(1-EXP(-LN(2)/25))/(LN(2)/25)*Calculateur!V149*Calculateur!X149*VLOOKUP('Données projet'!$B$9,Paramètres!$A$1:$I$88,3,0)*0.475*44/12</f>
        <v>0</v>
      </c>
      <c r="AB149" s="23">
        <f>EXP(-LN(2)/2)*AB148+(1-EXP(-LN(2)/2))/(LN(2)/2)*V149*Y149*VLOOKUP('Données projet'!$B$9,Paramètres!$A$1:$I$88,3,0)*0.475*44/12</f>
        <v>0</v>
      </c>
      <c r="AC149" s="24">
        <f t="shared" si="112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IF(A149&lt;'Données projet'!$A$62,$AF$205^A149,IF(A149='Données projet'!$A$62,'Données projet'!$B$62,AI148+AH149-AQ148))</f>
        <v>1.1368683772161603E-13</v>
      </c>
      <c r="AJ149" s="14">
        <f>AI149*VLOOKUP('Données projet'!$B$10,Paramètres!$A$1:$I$88,3,0)*VLOOKUP('Données projet'!$B$10,Paramètres!$A$1:$I$88,5,0)</f>
        <v>1.1882548278663309E-13</v>
      </c>
      <c r="AK149" s="14">
        <f t="shared" si="152"/>
        <v>1.7496137229198366E-12</v>
      </c>
      <c r="AL149" s="22">
        <f t="shared" si="113"/>
        <v>3.2541982832721012E-12</v>
      </c>
      <c r="AM149" s="62">
        <f t="shared" si="114"/>
        <v>282.50821566529248</v>
      </c>
      <c r="AN149" s="62">
        <f ca="1">AVERAGE(OFFSET($AM$3,0,0,'Données projet'!$E$10+1,1))-AVERAGE(OFFSET($H$3,0,0,'Données projet'!$E$10+1,1))</f>
        <v>458.33072853676879</v>
      </c>
      <c r="AO149" s="62">
        <f t="shared" si="115"/>
        <v>254.1734169352687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projet'!$B$10,Paramètres!$A$1:$I$88,7,0))</f>
        <v>0</v>
      </c>
      <c r="AS149" s="17">
        <f>IF(ISNA(VLOOKUP(A149,'Données projet'!$A$61:$I$81,6,0)),0%,VLOOKUP(A149,'Données projet'!$A$61:$I$81,6,0)*VLOOKUP('Données projet'!$B$10,Paramètres!$A$1:$I$88,7,0))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projet'!$B$9,Paramètres!$A$1:$I$88,3,0)*0.475*44/12</f>
        <v>0</v>
      </c>
      <c r="AV149" s="23">
        <f>EXP(-LN(2)/25)*AV148+(1-EXP(-LN(2)/25))/(LN(2)/25)*Calculateur!AQ149*Calculateur!AS149*VLOOKUP('Données projet'!$B$9,Paramètres!$A$1:$I$88,3,0)*0.475*44/12</f>
        <v>0</v>
      </c>
      <c r="AW149" s="23">
        <f>EXP(-LN(2)/2)*AW148+(1-EXP(-LN(2)/2))/(LN(2)/2)*AQ149*AT149*VLOOKUP('Données projet'!$B$9,Paramètres!$A$1:$I$88,3,0)*0.475*44/12</f>
        <v>0</v>
      </c>
      <c r="AX149" s="23">
        <f t="shared" si="116"/>
        <v>0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IF(A149&lt;'Données projet'!$A$88,$BA$205^A149,IF(A149='Données projet'!$A$88,'Données projet'!$B$88,BD148+BC149-BL148))</f>
        <v>1.1368683772161603E-13</v>
      </c>
      <c r="BE149" s="14">
        <f>BD149*VLOOKUP('Données projet'!$B$11,Paramètres!$A$1:$I$88,3,0)*VLOOKUP('Données projet'!$B$11,Paramètres!$A$1:$I$88,5,0)</f>
        <v>1.1527845344971866E-13</v>
      </c>
      <c r="BF149" s="14">
        <f t="shared" si="153"/>
        <v>1.7033846239409443E-12</v>
      </c>
      <c r="BG149" s="22">
        <f t="shared" si="117"/>
        <v>3.1675048597887374E-12</v>
      </c>
      <c r="BH149" s="62">
        <f t="shared" si="118"/>
        <v>282.50821566529243</v>
      </c>
      <c r="BI149" s="62">
        <f ca="1">AVERAGE(OFFSET($BH$3,0,0,'Données projet'!$E$11+1,1))-AVERAGE(OFFSET($H$3,0,0,'Données projet'!$E$11+1,1))</f>
        <v>447.82618173893104</v>
      </c>
      <c r="BJ149" s="62">
        <f t="shared" si="119"/>
        <v>248.96509970783379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projet'!$B$11,Paramètres!$A$1:$I$88,7,0))</f>
        <v>0</v>
      </c>
      <c r="BN149" s="17">
        <f>IF(ISNA(VLOOKUP(A149,'Données projet'!$A$87:$I$107,6,0)),0%,VLOOKUP(A149,'Données projet'!$A$87:$I$107,6,0)*VLOOKUP('Données projet'!$B$11,Paramètres!$A$1:$I$88,7,0))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projet'!$B$9,Paramètres!$A$1:$I$88,3,0)*0.475*44/12</f>
        <v>0</v>
      </c>
      <c r="BQ149" s="23">
        <f>EXP(-LN(2)/25)*BQ148+(1-EXP(-LN(2)/25))/(LN(2)/25)*Calculateur!BL149*Calculateur!BN149*VLOOKUP('Données projet'!$B$9,Paramètres!$A$1:$I$88,3,0)*0.475*44/12</f>
        <v>0</v>
      </c>
      <c r="BR149" s="23">
        <f>EXP(-LN(2)/2)*BR148+(1-EXP(-LN(2)/2))/(LN(2)/2)*BL149*BO149*VLOOKUP('Données projet'!$B$9,Paramètres!$A$1:$I$88,3,0)*0.475*44/12</f>
        <v>0</v>
      </c>
      <c r="BS149" s="24">
        <f t="shared" si="120"/>
        <v>0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IF(A149&lt;'Données projet'!$A$114,$BV$205^A149,IF(A149='Données projet'!$A$114,'Données projet'!$B$114,BY148+BX149-CG148))</f>
        <v>1.1368683772161603E-13</v>
      </c>
      <c r="BZ149" s="14">
        <f>BY149*VLOOKUP('Données projet'!$B$12,Paramètres!$A$1:$I$88,3,0)*VLOOKUP('Données projet'!$B$12,Paramètres!$A$1:$I$88,5,0)</f>
        <v>1.223725121235475E-13</v>
      </c>
      <c r="CA149" s="14">
        <f t="shared" si="154"/>
        <v>1.7956824466038182E-12</v>
      </c>
      <c r="CB149" s="22">
        <f t="shared" si="121"/>
        <v>3.3406123864501612E-12</v>
      </c>
      <c r="CC149" s="62">
        <f t="shared" si="122"/>
        <v>282.5082156652926</v>
      </c>
      <c r="CD149" s="62">
        <f ca="1">AVERAGE(OFFSET($CC$3,0,0,'Données projet'!$E$12+1,1))-AVERAGE(OFFSET($H$3,0,0,'Données projet'!$E$12+1,1))</f>
        <v>468.82871618425406</v>
      </c>
      <c r="CE149" s="62">
        <f t="shared" si="123"/>
        <v>259.37818128554397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projet'!$B$12,Paramètres!$A$1:$I$88,7,0))</f>
        <v>0</v>
      </c>
      <c r="CI149" s="17">
        <f>IF(ISNA(VLOOKUP(A149,'Données projet'!$A$113:$I$133,6,0)),0%,VLOOKUP(A149,'Données projet'!$A$113:$I$133,6,0)*VLOOKUP('Données projet'!$B$12,Paramètres!$A$1:$I$88,7,0))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projet'!$B$9,Paramètres!$A$1:$I$88,3,0)*0.475*44/12</f>
        <v>0</v>
      </c>
      <c r="CL149" s="23">
        <f>EXP(-LN(2)/25)*CL148+(1-EXP(-LN(2)/25))/(LN(2)/25)*Calculateur!CG149*Calculateur!CI149*VLOOKUP('Données projet'!$B$9,Paramètres!$A$1:$I$88,3,0)*0.475*44/12</f>
        <v>0</v>
      </c>
      <c r="CM149" s="23">
        <f>EXP(-LN(2)/2)*CM148+(1-EXP(-LN(2)/2))/(LN(2)/2)*CG149*CJ149*VLOOKUP('Données projet'!$B$9,Paramètres!$A$1:$I$88,3,0)*0.475*44/12</f>
        <v>0</v>
      </c>
      <c r="CN149" s="24">
        <f t="shared" si="124"/>
        <v>0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IF(A149&lt;'Données projet'!$A$140,$CQ$205^A149,IF(A149='Données projet'!$A$140,'Données projet'!$B$140,CT148+CS149-DB148))</f>
        <v>1.1368683772161603E-13</v>
      </c>
      <c r="CU149" s="18">
        <f>CT149*VLOOKUP('Données projet'!$B$13,Paramètres!$A$1:$I$88,3,0)*VLOOKUP('Données projet'!$B$13,Paramètres!$A$1:$I$88,5,0)</f>
        <v>9.7543306765146564E-14</v>
      </c>
      <c r="CV149" s="14">
        <f t="shared" si="155"/>
        <v>1.4696264278629426E-12</v>
      </c>
      <c r="CW149" s="22">
        <f t="shared" si="125"/>
        <v>2.7294872878105889E-12</v>
      </c>
      <c r="CX149" s="62">
        <f t="shared" si="126"/>
        <v>282.50821566529197</v>
      </c>
      <c r="CY149" s="62">
        <f ca="1">AVERAGE(OFFSET($CX$3,0,0,'Données projet'!$E$13+1,1))-AVERAGE(OFFSET($H$3,0,0,'Données projet'!$E$13+1,1))</f>
        <v>395.19659151668884</v>
      </c>
      <c r="CZ149" s="62">
        <f t="shared" si="127"/>
        <v>222.86563304507339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projet'!$B$13,Paramètres!$A$1:$I$88,7,0))</f>
        <v>0</v>
      </c>
      <c r="DD149" s="17">
        <f>IF(ISNA(VLOOKUP(A149,'Données projet'!$A$139:$I$159,6,0)),0%,VLOOKUP(A149,'Données projet'!$A$139:$I$159,6,0)*VLOOKUP('Données projet'!$B$13,Paramètres!$A$1:$I$88,7,0))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projet'!$B$9,Paramètres!$A$1:$I$88,3,0)*0.475*44/12</f>
        <v>0</v>
      </c>
      <c r="DG149" s="23">
        <f>EXP(-LN(2)/25)*DG148+(1-EXP(-LN(2)/25))/(LN(2)/25)*Calculateur!DB149*Calculateur!DD149*VLOOKUP('Données projet'!$B$9,Paramètres!$A$1:$I$88,3,0)*0.475*44/12</f>
        <v>0</v>
      </c>
      <c r="DH149" s="23">
        <f>EXP(-LN(2)/2)*DH148+(1-EXP(-LN(2)/2))/(LN(2)/2)*DB149*DE149*VLOOKUP('Données projet'!$B$9,Paramètres!$A$1:$I$88,3,0)*0.475*44/12</f>
        <v>0</v>
      </c>
      <c r="DI149" s="24">
        <f t="shared" si="128"/>
        <v>0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IF(A149&lt;'Données projet'!$A$166,$DL$205^A149,IF(A149='Données projet'!$A$166,'Données projet'!$B$166,DO148+DN149-DW148))</f>
        <v>-8.5265128291212022E-14</v>
      </c>
      <c r="DP149" s="18">
        <f>DO149*VLOOKUP('Données projet'!$B$14,Paramètres!$A$1:$I$88,3,0)*VLOOKUP('Données projet'!$B$14,Paramètres!$A$1:$I$88,5,0)</f>
        <v>-4.9880100050359036E-14</v>
      </c>
      <c r="DQ149" s="14" t="e">
        <f t="shared" si="156"/>
        <v>#NUM!</v>
      </c>
      <c r="DR149" s="22" t="e">
        <f t="shared" si="129"/>
        <v>#NUM!</v>
      </c>
      <c r="DS149" s="62" t="e">
        <f t="shared" si="130"/>
        <v>#NUM!</v>
      </c>
      <c r="DT149" s="62">
        <f ca="1">AVERAGE(OFFSET($DS$3,0,0,'Données projet'!$E$14+1,1))-AVERAGE(OFFSET($H$3,0,0,'Données projet'!$E$14+1,1))</f>
        <v>155.18073137151848</v>
      </c>
      <c r="DU149" s="62">
        <f t="shared" si="131"/>
        <v>115.19459155667272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projet'!$B$14,Paramètres!$A$1:$I$88,7,0))</f>
        <v>0</v>
      </c>
      <c r="DY149" s="17">
        <f>IF(ISNA(VLOOKUP(A149,'Données projet'!$A$165:$I$185,6,0)),0%,VLOOKUP(A149,'Données projet'!$A$165:$I$185,6,0)*VLOOKUP('Données projet'!$B$14,Paramètres!$A$1:$I$88,7,0))</f>
        <v>0</v>
      </c>
      <c r="DZ149" s="17">
        <f>IF(ISNA(VLOOKUP(A149,'Données projet'!$A$165:$I$185,7,0)),0%,VLOOKUP(A149,'Données projet'!$A$165:$I$185,7,0))</f>
        <v>0</v>
      </c>
      <c r="EA149" s="23">
        <f>EXP(-LN(2)/35)*EA148+(1-EXP(-LN(2)/35))/(LN(2)/35)*DW149*DX149*VLOOKUP('Données projet'!$B$9,Paramètres!$A$1:$I$88,3,0)*0.475*44/12</f>
        <v>0</v>
      </c>
      <c r="EB149" s="23">
        <f>EXP(-LN(2)/25)*EB148+(1-EXP(-LN(2)/25))/(LN(2)/25)*Calculateur!DW149*Calculateur!DY149*VLOOKUP('Données projet'!$B$9,Paramètres!$A$1:$I$88,3,0)*0.475*44/12</f>
        <v>0</v>
      </c>
      <c r="EC149" s="23">
        <f>EXP(-LN(2)/2)*EC148+(1-EXP(-LN(2)/2))/(LN(2)/2)*DW149*DZ149*VLOOKUP('Données projet'!$B$9,Paramètres!$A$1:$I$88,3,0)*0.475*44/12</f>
        <v>0</v>
      </c>
      <c r="ED149" s="24">
        <f t="shared" si="132"/>
        <v>0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IF(A149&lt;'Données projet'!$A$192,$EG$205^A149,IF(A149='Données projet'!$A$192,'Données projet'!$B$192,EJ148+EI149-ER148))</f>
        <v>-5.6843418860808015E-14</v>
      </c>
      <c r="EK149" s="18">
        <f>EJ149*VLOOKUP('Données projet'!$B$15,Paramètres!$A$1:$I$88,3,0)*VLOOKUP('Données projet'!$B$15,Paramètres!$A$1:$I$88,5,0)</f>
        <v>-2.6602720026858149E-14</v>
      </c>
      <c r="EL149" s="14" t="e">
        <f t="shared" si="157"/>
        <v>#NUM!</v>
      </c>
      <c r="EM149" s="22" t="e">
        <f t="shared" si="133"/>
        <v>#NUM!</v>
      </c>
      <c r="EN149" s="62" t="e">
        <f t="shared" si="134"/>
        <v>#NUM!</v>
      </c>
      <c r="EO149" s="62">
        <f ca="1">AVERAGE(OFFSET($EN$3,0,0,'Données projet'!$E$15+1,1))-AVERAGE(OFFSET($H$3,0,0,'Données projet'!$E$15+1,1))</f>
        <v>238.59014604384171</v>
      </c>
      <c r="EP149" s="62">
        <f t="shared" si="135"/>
        <v>90.841373219575217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projet'!$B$15,Paramètres!$A$1:$I$88,7,0))</f>
        <v>0</v>
      </c>
      <c r="ET149" s="17">
        <f>IF(ISNA(VLOOKUP(A149,'Données projet'!$A$191:$I$211,6,0)),0%,VLOOKUP(A149,'Données projet'!$A$191:$I$211,6,0)*VLOOKUP('Données projet'!$B$15,Paramètres!$A$1:$I$88,7,0))</f>
        <v>0</v>
      </c>
      <c r="EU149" s="17">
        <f>IF(ISNA(VLOOKUP(A149,'Données projet'!$A$191:$I$211,7,0)),0%,VLOOKUP(A149,'Données projet'!$A$191:$I$211,7,0))</f>
        <v>0</v>
      </c>
      <c r="EV149" s="23">
        <f>EXP(-LN(2)/35)*EV148+(1-EXP(-LN(2)/35))/(LN(2)/35)*ER149*ES149*VLOOKUP('Données projet'!$B$9,Paramètres!$A$1:$I$88,3,0)*0.475*44/12</f>
        <v>0</v>
      </c>
      <c r="EW149" s="23">
        <f>EXP(-LN(2)/25)*EW148+(1-EXP(-LN(2)/25))/(LN(2)/25)*Calculateur!ER149*Calculateur!ET149*VLOOKUP('Données projet'!$B$9,Paramètres!$A$1:$I$88,3,0)*0.475*44/12</f>
        <v>0</v>
      </c>
      <c r="EX149" s="23">
        <f>EXP(-LN(2)/2)*EX148+(1-EXP(-LN(2)/2))/(LN(2)/2)*ER149*EU149*VLOOKUP('Données projet'!$B$9,Paramètres!$A$1:$I$88,3,0)*0.475*44/12</f>
        <v>0</v>
      </c>
      <c r="EY149" s="24">
        <f t="shared" si="136"/>
        <v>0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IF(A149&lt;'Données projet'!$A$218,$FB$205^A149,IF(A149='Données projet'!$A$218,'Données projet'!$B$218,FE148+FD149-FM148))</f>
        <v>0</v>
      </c>
      <c r="FF149" s="18" t="e">
        <f>FE149*VLOOKUP('Données projet'!$B$16,Paramètres!$A$1:$I$88,3,0)*VLOOKUP('Données projet'!$B$16,Paramètres!$A$1:$I$88,5,0)</f>
        <v>#N/A</v>
      </c>
      <c r="FG149" s="14" t="e">
        <f t="shared" si="158"/>
        <v>#N/A</v>
      </c>
      <c r="FH149" s="22" t="e">
        <f t="shared" si="137"/>
        <v>#N/A</v>
      </c>
      <c r="FI149" s="62" t="e">
        <f t="shared" si="138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39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projet'!$B$16,Paramètres!$A$1:$I$88,7,0))</f>
        <v>0</v>
      </c>
      <c r="FO149" s="17">
        <f>IF(ISNA(VLOOKUP(A149,'Données projet'!$A$217:$I$237,6,0)),0%,VLOOKUP(A149,'Données projet'!$A$217:$I$237,6,0)*VLOOKUP('Données projet'!$B$16,Paramètres!$A$1:$I$88,7,0))</f>
        <v>0</v>
      </c>
      <c r="FP149" s="17">
        <f>IF(ISNA(VLOOKUP(A149,'Données projet'!$A$217:$I$237,7,0)),0%,VLOOKUP(A149,'Données projet'!$A$217:$I$237,7,0))</f>
        <v>0</v>
      </c>
      <c r="FQ149" s="23">
        <f>EXP(-LN(2)/35)*FQ148+(1-EXP(-LN(2)/35))/(LN(2)/35)*FM149*FN149*VLOOKUP('Données projet'!$B$9,Paramètres!$A$1:$I$88,3,0)*0.475*44/12</f>
        <v>0</v>
      </c>
      <c r="FR149" s="23">
        <f>EXP(-LN(2)/25)*FR148+(1-EXP(-LN(2)/25))/(LN(2)/25)*Calculateur!FM149*Calculateur!FO149*VLOOKUP('Données projet'!$B$9,Paramètres!$A$1:$I$88,3,0)*0.475*44/12</f>
        <v>0</v>
      </c>
      <c r="FS149" s="23">
        <f>EXP(-LN(2)/2)*FS148+(1-EXP(-LN(2)/2))/(LN(2)/2)*FM149*FP149*VLOOKUP('Données projet'!$B$9,Paramètres!$A$1:$I$88,3,0)*0.475*44/12</f>
        <v>0</v>
      </c>
      <c r="FT149" s="24">
        <f t="shared" si="140"/>
        <v>0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IF(A149&lt;'Données projet'!$A$244,$FW$205^A149,IF(A149='Données projet'!$A$244,'Données projet'!$B$244,FZ148+FY149-GH148))</f>
        <v>0</v>
      </c>
      <c r="GA149" s="18" t="e">
        <f>FZ149*VLOOKUP('Données projet'!$B$17,Paramètres!$A$1:$I$88,3,0)*VLOOKUP('Données projet'!$B$17,Paramètres!$A$1:$I$88,5,0)</f>
        <v>#N/A</v>
      </c>
      <c r="GB149" s="14" t="e">
        <f t="shared" si="159"/>
        <v>#N/A</v>
      </c>
      <c r="GC149" s="22" t="e">
        <f t="shared" si="141"/>
        <v>#N/A</v>
      </c>
      <c r="GD149" s="62" t="e">
        <f t="shared" si="142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43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projet'!$B$17,Paramètres!$A$1:$I$88,7,0))</f>
        <v>0</v>
      </c>
      <c r="GJ149" s="17">
        <f>IF(ISNA(VLOOKUP(A149,'Données projet'!$A$243:$I$263,6,0)),0%,VLOOKUP(A149,'Données projet'!$A$243:$I$263,6,0)*VLOOKUP('Données projet'!$B$17,Paramètres!$A$1:$I$88,7,0))</f>
        <v>0</v>
      </c>
      <c r="GK149" s="17">
        <f>IF(ISNA(VLOOKUP(A149,'Données projet'!$A$243:$I$263,7,0)),0%,VLOOKUP(A149,'Données projet'!$A$243:$I$263,7,0))</f>
        <v>0</v>
      </c>
      <c r="GL149" s="23">
        <f>EXP(-LN(2)/35)*GL148+(1-EXP(-LN(2)/35))/(LN(2)/35)*GH149*GI149*VLOOKUP('Données projet'!$B$9,Paramètres!$A$1:$I$88,3,0)*0.475*44/12</f>
        <v>0</v>
      </c>
      <c r="GM149" s="23">
        <f>EXP(-LN(2)/25)*GM148+(1-EXP(-LN(2)/25))/(LN(2)/25)*Calculateur!GH149*Calculateur!GJ149*VLOOKUP('Données projet'!$B$9,Paramètres!$A$1:$I$88,3,0)*0.475*44/12</f>
        <v>0</v>
      </c>
      <c r="GN149" s="23">
        <f>EXP(-LN(2)/2)*GN148+(1-EXP(-LN(2)/2))/(LN(2)/2)*GH149*GK149*VLOOKUP('Données projet'!$B$9,Paramètres!$A$1:$I$88,3,0)*0.475*44/12</f>
        <v>0</v>
      </c>
      <c r="GO149" s="23">
        <f t="shared" si="144"/>
        <v>0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IF(A149&lt;'Données projet'!$A$270,$GR$205^A149,IF(A149='Données projet'!$A$270,'Données projet'!$B$270,GU148+GT149-HC148))</f>
        <v>0</v>
      </c>
      <c r="GV149" s="18" t="e">
        <f>GU149*VLOOKUP('Données projet'!$B$18,Paramètres!$A$1:$I$88,3,0)*VLOOKUP('Données projet'!$B$18,Paramètres!$A$1:$I$88,5,0)</f>
        <v>#N/A</v>
      </c>
      <c r="GW149" s="14" t="e">
        <f t="shared" si="160"/>
        <v>#N/A</v>
      </c>
      <c r="GX149" s="22" t="e">
        <f t="shared" si="145"/>
        <v>#N/A</v>
      </c>
      <c r="GY149" s="62" t="e">
        <f t="shared" si="146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47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projet'!$B$18,Paramètres!$A$1:$I$88,7,0))</f>
        <v>0</v>
      </c>
      <c r="HE149" s="17">
        <f>IF(ISNA(VLOOKUP(A149,'Données projet'!$A$269:$I$289,6,0)),0%,VLOOKUP(A149,'Données projet'!$A$269:$I$289,6,0)*VLOOKUP('Données projet'!$B$18,Paramètres!$A$1:$I$88,7,0))</f>
        <v>0</v>
      </c>
      <c r="HF149" s="17">
        <f>IF(ISNA(VLOOKUP(A149,'Données projet'!$A$269:$I$289,7,0)),0%,VLOOKUP(A149,'Données projet'!$A$269:$I$289,7,0))</f>
        <v>0</v>
      </c>
      <c r="HG149" s="23">
        <f>EXP(-LN(2)/35)*HG148+(1-EXP(-LN(2)/35))/(LN(2)/35)*HC149*HD149*VLOOKUP('Données projet'!$B$9,Paramètres!$A$1:$I$88,3,0)*0.475*44/12</f>
        <v>0</v>
      </c>
      <c r="HH149" s="23">
        <f>EXP(-LN(2)/25)*HH148+(1-EXP(-LN(2)/25))/(LN(2)/25)*Calculateur!HC149*Calculateur!HE149*VLOOKUP('Données projet'!$B$9,Paramètres!$A$1:$I$88,3,0)*0.475*44/12</f>
        <v>0</v>
      </c>
      <c r="HI149" s="23">
        <f>EXP(-LN(2)/2)*HI148+(1-EXP(-LN(2)/2))/(LN(2)/2)*HC149*HF149*VLOOKUP('Données projet'!$B$9,Paramètres!$A$1:$I$88,3,0)*0.475*44/12</f>
        <v>0</v>
      </c>
      <c r="HJ149" s="24">
        <f t="shared" si="148"/>
        <v>0</v>
      </c>
    </row>
    <row r="150" spans="1:218" s="5" customFormat="1" x14ac:dyDescent="0.25">
      <c r="A150" s="11">
        <f t="shared" si="149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0" s="12">
        <f t="shared" si="15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111"/>
        <v>135.66666666666666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1.1341666666666668</v>
      </c>
      <c r="N150" s="14">
        <f>IF(A150&lt;'Données projet'!$A$36,$K$205^A150,IF(A150='Données projet'!$A$36,'Données projet'!$B$36,N149+M150-V149))</f>
        <v>126.81000000000002</v>
      </c>
      <c r="O150" s="14">
        <f>N150*VLOOKUP('Données projet'!$B$9,Paramètres!$A$1:$I$88,3,0)*VLOOKUP('Données projet'!$B$9,Paramètres!$A$1:$I$88,5,0)</f>
        <v>146.08512000000002</v>
      </c>
      <c r="P150" s="14">
        <f t="shared" si="151"/>
        <v>37.687550397511806</v>
      </c>
      <c r="Q150" s="22">
        <f t="shared" si="108"/>
        <v>320.07073427566644</v>
      </c>
      <c r="R150" s="62">
        <f t="shared" si="109"/>
        <v>602.76674153115869</v>
      </c>
      <c r="S150" s="62">
        <f ca="1">AVERAGE(OFFSET($R$3,0,0,'Données projet'!$E$9+1,1))-AVERAGE(OFFSET($H$3,0,0,'Données projet'!$E$9+1,1))</f>
        <v>314.72063458462026</v>
      </c>
      <c r="T150" s="62">
        <f t="shared" si="110"/>
        <v>216.4380325968244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projet'!$B$9,Paramètres!$A$1:$I$88,7,0))</f>
        <v>0</v>
      </c>
      <c r="X150" s="17">
        <f>IF(ISNA(VLOOKUP(A150,'Données projet'!$A$35:$I$55,6,0)),0%,VLOOKUP(A150,'Données projet'!$A$35:$I$55,6,0)*VLOOKUP('Données projet'!$B$9,Paramètres!$A$1:$I$88,7,0))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projet'!$B$9,Paramètres!$A$1:$I$88,3,0)*0.475*44/12</f>
        <v>0</v>
      </c>
      <c r="AA150" s="23">
        <f>EXP(-LN(2)/25)*AA149+(1-EXP(-LN(2)/25))/(LN(2)/25)*Calculateur!V150*Calculateur!X150*VLOOKUP('Données projet'!$B$9,Paramètres!$A$1:$I$88,3,0)*0.475*44/12</f>
        <v>0</v>
      </c>
      <c r="AB150" s="23">
        <f>EXP(-LN(2)/2)*AB149+(1-EXP(-LN(2)/2))/(LN(2)/2)*V150*Y150*VLOOKUP('Données projet'!$B$9,Paramètres!$A$1:$I$88,3,0)*0.475*44/12</f>
        <v>0</v>
      </c>
      <c r="AC150" s="24">
        <f t="shared" si="112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IF(A150&lt;'Données projet'!$A$62,$AF$205^A150,IF(A150='Données projet'!$A$62,'Données projet'!$B$62,AI149+AH150-AQ149))</f>
        <v>1.1368683772161603E-13</v>
      </c>
      <c r="AJ150" s="14">
        <f>AI150*VLOOKUP('Données projet'!$B$10,Paramètres!$A$1:$I$88,3,0)*VLOOKUP('Données projet'!$B$10,Paramètres!$A$1:$I$88,5,0)</f>
        <v>1.1882548278663309E-13</v>
      </c>
      <c r="AK150" s="14">
        <f t="shared" si="152"/>
        <v>1.7496137229198366E-12</v>
      </c>
      <c r="AL150" s="22">
        <f t="shared" si="113"/>
        <v>3.2541982832721012E-12</v>
      </c>
      <c r="AM150" s="62">
        <f t="shared" si="114"/>
        <v>282.69600725549554</v>
      </c>
      <c r="AN150" s="62">
        <f ca="1">AVERAGE(OFFSET($AM$3,0,0,'Données projet'!$E$10+1,1))-AVERAGE(OFFSET($H$3,0,0,'Données projet'!$E$10+1,1))</f>
        <v>458.33072853676879</v>
      </c>
      <c r="AO150" s="62">
        <f t="shared" si="115"/>
        <v>254.1734169352687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projet'!$B$10,Paramètres!$A$1:$I$88,7,0))</f>
        <v>0</v>
      </c>
      <c r="AS150" s="17">
        <f>IF(ISNA(VLOOKUP(A150,'Données projet'!$A$61:$I$81,6,0)),0%,VLOOKUP(A150,'Données projet'!$A$61:$I$81,6,0)*VLOOKUP('Données projet'!$B$10,Paramètres!$A$1:$I$88,7,0))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projet'!$B$9,Paramètres!$A$1:$I$88,3,0)*0.475*44/12</f>
        <v>0</v>
      </c>
      <c r="AV150" s="23">
        <f>EXP(-LN(2)/25)*AV149+(1-EXP(-LN(2)/25))/(LN(2)/25)*Calculateur!AQ150*Calculateur!AS150*VLOOKUP('Données projet'!$B$9,Paramètres!$A$1:$I$88,3,0)*0.475*44/12</f>
        <v>0</v>
      </c>
      <c r="AW150" s="23">
        <f>EXP(-LN(2)/2)*AW149+(1-EXP(-LN(2)/2))/(LN(2)/2)*AQ150*AT150*VLOOKUP('Données projet'!$B$9,Paramètres!$A$1:$I$88,3,0)*0.475*44/12</f>
        <v>0</v>
      </c>
      <c r="AX150" s="23">
        <f t="shared" si="116"/>
        <v>0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IF(A150&lt;'Données projet'!$A$88,$BA$205^A150,IF(A150='Données projet'!$A$88,'Données projet'!$B$88,BD149+BC150-BL149))</f>
        <v>1.1368683772161603E-13</v>
      </c>
      <c r="BE150" s="14">
        <f>BD150*VLOOKUP('Données projet'!$B$11,Paramètres!$A$1:$I$88,3,0)*VLOOKUP('Données projet'!$B$11,Paramètres!$A$1:$I$88,5,0)</f>
        <v>1.1527845344971866E-13</v>
      </c>
      <c r="BF150" s="14">
        <f t="shared" si="153"/>
        <v>1.7033846239409443E-12</v>
      </c>
      <c r="BG150" s="22">
        <f t="shared" si="117"/>
        <v>3.1675048597887374E-12</v>
      </c>
      <c r="BH150" s="62">
        <f t="shared" si="118"/>
        <v>282.69600725549549</v>
      </c>
      <c r="BI150" s="62">
        <f ca="1">AVERAGE(OFFSET($BH$3,0,0,'Données projet'!$E$11+1,1))-AVERAGE(OFFSET($H$3,0,0,'Données projet'!$E$11+1,1))</f>
        <v>447.82618173893104</v>
      </c>
      <c r="BJ150" s="62">
        <f t="shared" si="119"/>
        <v>248.96509970783379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projet'!$B$11,Paramètres!$A$1:$I$88,7,0))</f>
        <v>0</v>
      </c>
      <c r="BN150" s="17">
        <f>IF(ISNA(VLOOKUP(A150,'Données projet'!$A$87:$I$107,6,0)),0%,VLOOKUP(A150,'Données projet'!$A$87:$I$107,6,0)*VLOOKUP('Données projet'!$B$11,Paramètres!$A$1:$I$88,7,0))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projet'!$B$9,Paramètres!$A$1:$I$88,3,0)*0.475*44/12</f>
        <v>0</v>
      </c>
      <c r="BQ150" s="23">
        <f>EXP(-LN(2)/25)*BQ149+(1-EXP(-LN(2)/25))/(LN(2)/25)*Calculateur!BL150*Calculateur!BN150*VLOOKUP('Données projet'!$B$9,Paramètres!$A$1:$I$88,3,0)*0.475*44/12</f>
        <v>0</v>
      </c>
      <c r="BR150" s="23">
        <f>EXP(-LN(2)/2)*BR149+(1-EXP(-LN(2)/2))/(LN(2)/2)*BL150*BO150*VLOOKUP('Données projet'!$B$9,Paramètres!$A$1:$I$88,3,0)*0.475*44/12</f>
        <v>0</v>
      </c>
      <c r="BS150" s="24">
        <f t="shared" si="120"/>
        <v>0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IF(A150&lt;'Données projet'!$A$114,$BV$205^A150,IF(A150='Données projet'!$A$114,'Données projet'!$B$114,BY149+BX150-CG149))</f>
        <v>1.1368683772161603E-13</v>
      </c>
      <c r="BZ150" s="14">
        <f>BY150*VLOOKUP('Données projet'!$B$12,Paramètres!$A$1:$I$88,3,0)*VLOOKUP('Données projet'!$B$12,Paramètres!$A$1:$I$88,5,0)</f>
        <v>1.223725121235475E-13</v>
      </c>
      <c r="CA150" s="14">
        <f t="shared" si="154"/>
        <v>1.7956824466038182E-12</v>
      </c>
      <c r="CB150" s="22">
        <f t="shared" si="121"/>
        <v>3.3406123864501612E-12</v>
      </c>
      <c r="CC150" s="62">
        <f t="shared" si="122"/>
        <v>282.69600725549566</v>
      </c>
      <c r="CD150" s="62">
        <f ca="1">AVERAGE(OFFSET($CC$3,0,0,'Données projet'!$E$12+1,1))-AVERAGE(OFFSET($H$3,0,0,'Données projet'!$E$12+1,1))</f>
        <v>468.82871618425406</v>
      </c>
      <c r="CE150" s="62">
        <f t="shared" si="123"/>
        <v>259.37818128554397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projet'!$B$12,Paramètres!$A$1:$I$88,7,0))</f>
        <v>0</v>
      </c>
      <c r="CI150" s="17">
        <f>IF(ISNA(VLOOKUP(A150,'Données projet'!$A$113:$I$133,6,0)),0%,VLOOKUP(A150,'Données projet'!$A$113:$I$133,6,0)*VLOOKUP('Données projet'!$B$12,Paramètres!$A$1:$I$88,7,0))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projet'!$B$9,Paramètres!$A$1:$I$88,3,0)*0.475*44/12</f>
        <v>0</v>
      </c>
      <c r="CL150" s="23">
        <f>EXP(-LN(2)/25)*CL149+(1-EXP(-LN(2)/25))/(LN(2)/25)*Calculateur!CG150*Calculateur!CI150*VLOOKUP('Données projet'!$B$9,Paramètres!$A$1:$I$88,3,0)*0.475*44/12</f>
        <v>0</v>
      </c>
      <c r="CM150" s="23">
        <f>EXP(-LN(2)/2)*CM149+(1-EXP(-LN(2)/2))/(LN(2)/2)*CG150*CJ150*VLOOKUP('Données projet'!$B$9,Paramètres!$A$1:$I$88,3,0)*0.475*44/12</f>
        <v>0</v>
      </c>
      <c r="CN150" s="24">
        <f t="shared" si="124"/>
        <v>0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IF(A150&lt;'Données projet'!$A$140,$CQ$205^A150,IF(A150='Données projet'!$A$140,'Données projet'!$B$140,CT149+CS150-DB149))</f>
        <v>1.1368683772161603E-13</v>
      </c>
      <c r="CU150" s="18">
        <f>CT150*VLOOKUP('Données projet'!$B$13,Paramètres!$A$1:$I$88,3,0)*VLOOKUP('Données projet'!$B$13,Paramètres!$A$1:$I$88,5,0)</f>
        <v>9.7543306765146564E-14</v>
      </c>
      <c r="CV150" s="14">
        <f t="shared" si="155"/>
        <v>1.4696264278629426E-12</v>
      </c>
      <c r="CW150" s="22">
        <f t="shared" si="125"/>
        <v>2.7294872878105889E-12</v>
      </c>
      <c r="CX150" s="62">
        <f t="shared" si="126"/>
        <v>282.69600725549503</v>
      </c>
      <c r="CY150" s="62">
        <f ca="1">AVERAGE(OFFSET($CX$3,0,0,'Données projet'!$E$13+1,1))-AVERAGE(OFFSET($H$3,0,0,'Données projet'!$E$13+1,1))</f>
        <v>395.19659151668884</v>
      </c>
      <c r="CZ150" s="62">
        <f t="shared" si="127"/>
        <v>222.86563304507339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projet'!$B$13,Paramètres!$A$1:$I$88,7,0))</f>
        <v>0</v>
      </c>
      <c r="DD150" s="17">
        <f>IF(ISNA(VLOOKUP(A150,'Données projet'!$A$139:$I$159,6,0)),0%,VLOOKUP(A150,'Données projet'!$A$139:$I$159,6,0)*VLOOKUP('Données projet'!$B$13,Paramètres!$A$1:$I$88,7,0))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projet'!$B$9,Paramètres!$A$1:$I$88,3,0)*0.475*44/12</f>
        <v>0</v>
      </c>
      <c r="DG150" s="23">
        <f>EXP(-LN(2)/25)*DG149+(1-EXP(-LN(2)/25))/(LN(2)/25)*Calculateur!DB150*Calculateur!DD150*VLOOKUP('Données projet'!$B$9,Paramètres!$A$1:$I$88,3,0)*0.475*44/12</f>
        <v>0</v>
      </c>
      <c r="DH150" s="23">
        <f>EXP(-LN(2)/2)*DH149+(1-EXP(-LN(2)/2))/(LN(2)/2)*DB150*DE150*VLOOKUP('Données projet'!$B$9,Paramètres!$A$1:$I$88,3,0)*0.475*44/12</f>
        <v>0</v>
      </c>
      <c r="DI150" s="24">
        <f t="shared" si="128"/>
        <v>0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IF(A150&lt;'Données projet'!$A$166,$DL$205^A150,IF(A150='Données projet'!$A$166,'Données projet'!$B$166,DO149+DN150-DW149))</f>
        <v>-8.5265128291212022E-14</v>
      </c>
      <c r="DP150" s="18">
        <f>DO150*VLOOKUP('Données projet'!$B$14,Paramètres!$A$1:$I$88,3,0)*VLOOKUP('Données projet'!$B$14,Paramètres!$A$1:$I$88,5,0)</f>
        <v>-4.9880100050359036E-14</v>
      </c>
      <c r="DQ150" s="14" t="e">
        <f t="shared" si="156"/>
        <v>#NUM!</v>
      </c>
      <c r="DR150" s="22" t="e">
        <f t="shared" si="129"/>
        <v>#NUM!</v>
      </c>
      <c r="DS150" s="62" t="e">
        <f t="shared" si="130"/>
        <v>#NUM!</v>
      </c>
      <c r="DT150" s="62">
        <f ca="1">AVERAGE(OFFSET($DS$3,0,0,'Données projet'!$E$14+1,1))-AVERAGE(OFFSET($H$3,0,0,'Données projet'!$E$14+1,1))</f>
        <v>155.18073137151848</v>
      </c>
      <c r="DU150" s="62">
        <f t="shared" si="131"/>
        <v>115.19459155667272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projet'!$B$14,Paramètres!$A$1:$I$88,7,0))</f>
        <v>0</v>
      </c>
      <c r="DY150" s="17">
        <f>IF(ISNA(VLOOKUP(A150,'Données projet'!$A$165:$I$185,6,0)),0%,VLOOKUP(A150,'Données projet'!$A$165:$I$185,6,0)*VLOOKUP('Données projet'!$B$14,Paramètres!$A$1:$I$88,7,0))</f>
        <v>0</v>
      </c>
      <c r="DZ150" s="17">
        <f>IF(ISNA(VLOOKUP(A150,'Données projet'!$A$165:$I$185,7,0)),0%,VLOOKUP(A150,'Données projet'!$A$165:$I$185,7,0))</f>
        <v>0</v>
      </c>
      <c r="EA150" s="23">
        <f>EXP(-LN(2)/35)*EA149+(1-EXP(-LN(2)/35))/(LN(2)/35)*DW150*DX150*VLOOKUP('Données projet'!$B$9,Paramètres!$A$1:$I$88,3,0)*0.475*44/12</f>
        <v>0</v>
      </c>
      <c r="EB150" s="23">
        <f>EXP(-LN(2)/25)*EB149+(1-EXP(-LN(2)/25))/(LN(2)/25)*Calculateur!DW150*Calculateur!DY150*VLOOKUP('Données projet'!$B$9,Paramètres!$A$1:$I$88,3,0)*0.475*44/12</f>
        <v>0</v>
      </c>
      <c r="EC150" s="23">
        <f>EXP(-LN(2)/2)*EC149+(1-EXP(-LN(2)/2))/(LN(2)/2)*DW150*DZ150*VLOOKUP('Données projet'!$B$9,Paramètres!$A$1:$I$88,3,0)*0.475*44/12</f>
        <v>0</v>
      </c>
      <c r="ED150" s="24">
        <f t="shared" si="132"/>
        <v>0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IF(A150&lt;'Données projet'!$A$192,$EG$205^A150,IF(A150='Données projet'!$A$192,'Données projet'!$B$192,EJ149+EI150-ER149))</f>
        <v>-5.6843418860808015E-14</v>
      </c>
      <c r="EK150" s="18">
        <f>EJ150*VLOOKUP('Données projet'!$B$15,Paramètres!$A$1:$I$88,3,0)*VLOOKUP('Données projet'!$B$15,Paramètres!$A$1:$I$88,5,0)</f>
        <v>-2.6602720026858149E-14</v>
      </c>
      <c r="EL150" s="14" t="e">
        <f t="shared" si="157"/>
        <v>#NUM!</v>
      </c>
      <c r="EM150" s="22" t="e">
        <f t="shared" si="133"/>
        <v>#NUM!</v>
      </c>
      <c r="EN150" s="62" t="e">
        <f t="shared" si="134"/>
        <v>#NUM!</v>
      </c>
      <c r="EO150" s="62">
        <f ca="1">AVERAGE(OFFSET($EN$3,0,0,'Données projet'!$E$15+1,1))-AVERAGE(OFFSET($H$3,0,0,'Données projet'!$E$15+1,1))</f>
        <v>238.59014604384171</v>
      </c>
      <c r="EP150" s="62">
        <f t="shared" si="135"/>
        <v>90.841373219575217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projet'!$B$15,Paramètres!$A$1:$I$88,7,0))</f>
        <v>0</v>
      </c>
      <c r="ET150" s="17">
        <f>IF(ISNA(VLOOKUP(A150,'Données projet'!$A$191:$I$211,6,0)),0%,VLOOKUP(A150,'Données projet'!$A$191:$I$211,6,0)*VLOOKUP('Données projet'!$B$15,Paramètres!$A$1:$I$88,7,0))</f>
        <v>0</v>
      </c>
      <c r="EU150" s="17">
        <f>IF(ISNA(VLOOKUP(A150,'Données projet'!$A$191:$I$211,7,0)),0%,VLOOKUP(A150,'Données projet'!$A$191:$I$211,7,0))</f>
        <v>0</v>
      </c>
      <c r="EV150" s="23">
        <f>EXP(-LN(2)/35)*EV149+(1-EXP(-LN(2)/35))/(LN(2)/35)*ER150*ES150*VLOOKUP('Données projet'!$B$9,Paramètres!$A$1:$I$88,3,0)*0.475*44/12</f>
        <v>0</v>
      </c>
      <c r="EW150" s="23">
        <f>EXP(-LN(2)/25)*EW149+(1-EXP(-LN(2)/25))/(LN(2)/25)*Calculateur!ER150*Calculateur!ET150*VLOOKUP('Données projet'!$B$9,Paramètres!$A$1:$I$88,3,0)*0.475*44/12</f>
        <v>0</v>
      </c>
      <c r="EX150" s="23">
        <f>EXP(-LN(2)/2)*EX149+(1-EXP(-LN(2)/2))/(LN(2)/2)*ER150*EU150*VLOOKUP('Données projet'!$B$9,Paramètres!$A$1:$I$88,3,0)*0.475*44/12</f>
        <v>0</v>
      </c>
      <c r="EY150" s="24">
        <f t="shared" si="136"/>
        <v>0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IF(A150&lt;'Données projet'!$A$218,$FB$205^A150,IF(A150='Données projet'!$A$218,'Données projet'!$B$218,FE149+FD150-FM149))</f>
        <v>0</v>
      </c>
      <c r="FF150" s="18" t="e">
        <f>FE150*VLOOKUP('Données projet'!$B$16,Paramètres!$A$1:$I$88,3,0)*VLOOKUP('Données projet'!$B$16,Paramètres!$A$1:$I$88,5,0)</f>
        <v>#N/A</v>
      </c>
      <c r="FG150" s="14" t="e">
        <f t="shared" si="158"/>
        <v>#N/A</v>
      </c>
      <c r="FH150" s="22" t="e">
        <f t="shared" si="137"/>
        <v>#N/A</v>
      </c>
      <c r="FI150" s="62" t="e">
        <f t="shared" si="138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39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projet'!$B$16,Paramètres!$A$1:$I$88,7,0))</f>
        <v>0</v>
      </c>
      <c r="FO150" s="17">
        <f>IF(ISNA(VLOOKUP(A150,'Données projet'!$A$217:$I$237,6,0)),0%,VLOOKUP(A150,'Données projet'!$A$217:$I$237,6,0)*VLOOKUP('Données projet'!$B$16,Paramètres!$A$1:$I$88,7,0))</f>
        <v>0</v>
      </c>
      <c r="FP150" s="17">
        <f>IF(ISNA(VLOOKUP(A150,'Données projet'!$A$217:$I$237,7,0)),0%,VLOOKUP(A150,'Données projet'!$A$217:$I$237,7,0))</f>
        <v>0</v>
      </c>
      <c r="FQ150" s="23">
        <f>EXP(-LN(2)/35)*FQ149+(1-EXP(-LN(2)/35))/(LN(2)/35)*FM150*FN150*VLOOKUP('Données projet'!$B$9,Paramètres!$A$1:$I$88,3,0)*0.475*44/12</f>
        <v>0</v>
      </c>
      <c r="FR150" s="23">
        <f>EXP(-LN(2)/25)*FR149+(1-EXP(-LN(2)/25))/(LN(2)/25)*Calculateur!FM150*Calculateur!FO150*VLOOKUP('Données projet'!$B$9,Paramètres!$A$1:$I$88,3,0)*0.475*44/12</f>
        <v>0</v>
      </c>
      <c r="FS150" s="23">
        <f>EXP(-LN(2)/2)*FS149+(1-EXP(-LN(2)/2))/(LN(2)/2)*FM150*FP150*VLOOKUP('Données projet'!$B$9,Paramètres!$A$1:$I$88,3,0)*0.475*44/12</f>
        <v>0</v>
      </c>
      <c r="FT150" s="24">
        <f t="shared" si="140"/>
        <v>0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IF(A150&lt;'Données projet'!$A$244,$FW$205^A150,IF(A150='Données projet'!$A$244,'Données projet'!$B$244,FZ149+FY150-GH149))</f>
        <v>0</v>
      </c>
      <c r="GA150" s="18" t="e">
        <f>FZ150*VLOOKUP('Données projet'!$B$17,Paramètres!$A$1:$I$88,3,0)*VLOOKUP('Données projet'!$B$17,Paramètres!$A$1:$I$88,5,0)</f>
        <v>#N/A</v>
      </c>
      <c r="GB150" s="14" t="e">
        <f t="shared" si="159"/>
        <v>#N/A</v>
      </c>
      <c r="GC150" s="22" t="e">
        <f t="shared" si="141"/>
        <v>#N/A</v>
      </c>
      <c r="GD150" s="62" t="e">
        <f t="shared" si="142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43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projet'!$B$17,Paramètres!$A$1:$I$88,7,0))</f>
        <v>0</v>
      </c>
      <c r="GJ150" s="17">
        <f>IF(ISNA(VLOOKUP(A150,'Données projet'!$A$243:$I$263,6,0)),0%,VLOOKUP(A150,'Données projet'!$A$243:$I$263,6,0)*VLOOKUP('Données projet'!$B$17,Paramètres!$A$1:$I$88,7,0))</f>
        <v>0</v>
      </c>
      <c r="GK150" s="17">
        <f>IF(ISNA(VLOOKUP(A150,'Données projet'!$A$243:$I$263,7,0)),0%,VLOOKUP(A150,'Données projet'!$A$243:$I$263,7,0))</f>
        <v>0</v>
      </c>
      <c r="GL150" s="23">
        <f>EXP(-LN(2)/35)*GL149+(1-EXP(-LN(2)/35))/(LN(2)/35)*GH150*GI150*VLOOKUP('Données projet'!$B$9,Paramètres!$A$1:$I$88,3,0)*0.475*44/12</f>
        <v>0</v>
      </c>
      <c r="GM150" s="23">
        <f>EXP(-LN(2)/25)*GM149+(1-EXP(-LN(2)/25))/(LN(2)/25)*Calculateur!GH150*Calculateur!GJ150*VLOOKUP('Données projet'!$B$9,Paramètres!$A$1:$I$88,3,0)*0.475*44/12</f>
        <v>0</v>
      </c>
      <c r="GN150" s="23">
        <f>EXP(-LN(2)/2)*GN149+(1-EXP(-LN(2)/2))/(LN(2)/2)*GH150*GK150*VLOOKUP('Données projet'!$B$9,Paramètres!$A$1:$I$88,3,0)*0.475*44/12</f>
        <v>0</v>
      </c>
      <c r="GO150" s="23">
        <f t="shared" si="144"/>
        <v>0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IF(A150&lt;'Données projet'!$A$270,$GR$205^A150,IF(A150='Données projet'!$A$270,'Données projet'!$B$270,GU149+GT150-HC149))</f>
        <v>0</v>
      </c>
      <c r="GV150" s="18" t="e">
        <f>GU150*VLOOKUP('Données projet'!$B$18,Paramètres!$A$1:$I$88,3,0)*VLOOKUP('Données projet'!$B$18,Paramètres!$A$1:$I$88,5,0)</f>
        <v>#N/A</v>
      </c>
      <c r="GW150" s="14" t="e">
        <f t="shared" si="160"/>
        <v>#N/A</v>
      </c>
      <c r="GX150" s="22" t="e">
        <f t="shared" si="145"/>
        <v>#N/A</v>
      </c>
      <c r="GY150" s="62" t="e">
        <f t="shared" si="146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47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projet'!$B$18,Paramètres!$A$1:$I$88,7,0))</f>
        <v>0</v>
      </c>
      <c r="HE150" s="17">
        <f>IF(ISNA(VLOOKUP(A150,'Données projet'!$A$269:$I$289,6,0)),0%,VLOOKUP(A150,'Données projet'!$A$269:$I$289,6,0)*VLOOKUP('Données projet'!$B$18,Paramètres!$A$1:$I$88,7,0))</f>
        <v>0</v>
      </c>
      <c r="HF150" s="17">
        <f>IF(ISNA(VLOOKUP(A150,'Données projet'!$A$269:$I$289,7,0)),0%,VLOOKUP(A150,'Données projet'!$A$269:$I$289,7,0))</f>
        <v>0</v>
      </c>
      <c r="HG150" s="23">
        <f>EXP(-LN(2)/35)*HG149+(1-EXP(-LN(2)/35))/(LN(2)/35)*HC150*HD150*VLOOKUP('Données projet'!$B$9,Paramètres!$A$1:$I$88,3,0)*0.475*44/12</f>
        <v>0</v>
      </c>
      <c r="HH150" s="23">
        <f>EXP(-LN(2)/25)*HH149+(1-EXP(-LN(2)/25))/(LN(2)/25)*Calculateur!HC150*Calculateur!HE150*VLOOKUP('Données projet'!$B$9,Paramètres!$A$1:$I$88,3,0)*0.475*44/12</f>
        <v>0</v>
      </c>
      <c r="HI150" s="23">
        <f>EXP(-LN(2)/2)*HI149+(1-EXP(-LN(2)/2))/(LN(2)/2)*HC150*HF150*VLOOKUP('Données projet'!$B$9,Paramètres!$A$1:$I$88,3,0)*0.475*44/12</f>
        <v>0</v>
      </c>
      <c r="HJ150" s="24">
        <f t="shared" si="148"/>
        <v>0</v>
      </c>
    </row>
    <row r="151" spans="1:218" s="5" customFormat="1" x14ac:dyDescent="0.25">
      <c r="A151" s="11">
        <f t="shared" si="149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1" s="12">
        <f t="shared" si="15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111"/>
        <v>135.66666666666666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1.1341666666666668</v>
      </c>
      <c r="N151" s="14">
        <f>IF(A151&lt;'Données projet'!$A$36,$K$205^A151,IF(A151='Données projet'!$A$36,'Données projet'!$B$36,N150+M151-V150))</f>
        <v>127.94416666666669</v>
      </c>
      <c r="O151" s="14">
        <f>N151*VLOOKUP('Données projet'!$B$9,Paramètres!$A$1:$I$88,3,0)*VLOOKUP('Données projet'!$B$9,Paramètres!$A$1:$I$88,5,0)</f>
        <v>147.39168000000001</v>
      </c>
      <c r="P151" s="14">
        <f t="shared" si="151"/>
        <v>37.985231743580776</v>
      </c>
      <c r="Q151" s="22">
        <f t="shared" si="108"/>
        <v>322.86478795340321</v>
      </c>
      <c r="R151" s="62">
        <f t="shared" si="109"/>
        <v>605.7453290348476</v>
      </c>
      <c r="S151" s="62">
        <f ca="1">AVERAGE(OFFSET($R$3,0,0,'Données projet'!$E$9+1,1))-AVERAGE(OFFSET($H$3,0,0,'Données projet'!$E$9+1,1))</f>
        <v>314.72063458462026</v>
      </c>
      <c r="T151" s="62">
        <f t="shared" si="110"/>
        <v>216.4380325968244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projet'!$B$9,Paramètres!$A$1:$I$88,7,0))</f>
        <v>0</v>
      </c>
      <c r="X151" s="17">
        <f>IF(ISNA(VLOOKUP(A151,'Données projet'!$A$35:$I$55,6,0)),0%,VLOOKUP(A151,'Données projet'!$A$35:$I$55,6,0)*VLOOKUP('Données projet'!$B$9,Paramètres!$A$1:$I$88,7,0))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projet'!$B$9,Paramètres!$A$1:$I$88,3,0)*0.475*44/12</f>
        <v>0</v>
      </c>
      <c r="AA151" s="23">
        <f>EXP(-LN(2)/25)*AA150+(1-EXP(-LN(2)/25))/(LN(2)/25)*Calculateur!V151*Calculateur!X151*VLOOKUP('Données projet'!$B$9,Paramètres!$A$1:$I$88,3,0)*0.475*44/12</f>
        <v>0</v>
      </c>
      <c r="AB151" s="23">
        <f>EXP(-LN(2)/2)*AB150+(1-EXP(-LN(2)/2))/(LN(2)/2)*V151*Y151*VLOOKUP('Données projet'!$B$9,Paramètres!$A$1:$I$88,3,0)*0.475*44/12</f>
        <v>0</v>
      </c>
      <c r="AC151" s="24">
        <f t="shared" si="112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IF(A151&lt;'Données projet'!$A$62,$AF$205^A151,IF(A151='Données projet'!$A$62,'Données projet'!$B$62,AI150+AH151-AQ150))</f>
        <v>1.1368683772161603E-13</v>
      </c>
      <c r="AJ151" s="14">
        <f>AI151*VLOOKUP('Données projet'!$B$10,Paramètres!$A$1:$I$88,3,0)*VLOOKUP('Données projet'!$B$10,Paramètres!$A$1:$I$88,5,0)</f>
        <v>1.1882548278663309E-13</v>
      </c>
      <c r="AK151" s="14">
        <f t="shared" si="152"/>
        <v>1.7496137229198366E-12</v>
      </c>
      <c r="AL151" s="22">
        <f t="shared" si="113"/>
        <v>3.2541982832721012E-12</v>
      </c>
      <c r="AM151" s="62">
        <f t="shared" si="114"/>
        <v>282.88054108144769</v>
      </c>
      <c r="AN151" s="62">
        <f ca="1">AVERAGE(OFFSET($AM$3,0,0,'Données projet'!$E$10+1,1))-AVERAGE(OFFSET($H$3,0,0,'Données projet'!$E$10+1,1))</f>
        <v>458.33072853676879</v>
      </c>
      <c r="AO151" s="62">
        <f t="shared" si="115"/>
        <v>254.1734169352687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projet'!$B$10,Paramètres!$A$1:$I$88,7,0))</f>
        <v>0</v>
      </c>
      <c r="AS151" s="17">
        <f>IF(ISNA(VLOOKUP(A151,'Données projet'!$A$61:$I$81,6,0)),0%,VLOOKUP(A151,'Données projet'!$A$61:$I$81,6,0)*VLOOKUP('Données projet'!$B$10,Paramètres!$A$1:$I$88,7,0))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projet'!$B$9,Paramètres!$A$1:$I$88,3,0)*0.475*44/12</f>
        <v>0</v>
      </c>
      <c r="AV151" s="23">
        <f>EXP(-LN(2)/25)*AV150+(1-EXP(-LN(2)/25))/(LN(2)/25)*Calculateur!AQ151*Calculateur!AS151*VLOOKUP('Données projet'!$B$9,Paramètres!$A$1:$I$88,3,0)*0.475*44/12</f>
        <v>0</v>
      </c>
      <c r="AW151" s="23">
        <f>EXP(-LN(2)/2)*AW150+(1-EXP(-LN(2)/2))/(LN(2)/2)*AQ151*AT151*VLOOKUP('Données projet'!$B$9,Paramètres!$A$1:$I$88,3,0)*0.475*44/12</f>
        <v>0</v>
      </c>
      <c r="AX151" s="23">
        <f t="shared" si="116"/>
        <v>0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IF(A151&lt;'Données projet'!$A$88,$BA$205^A151,IF(A151='Données projet'!$A$88,'Données projet'!$B$88,BD150+BC151-BL150))</f>
        <v>1.1368683772161603E-13</v>
      </c>
      <c r="BE151" s="14">
        <f>BD151*VLOOKUP('Données projet'!$B$11,Paramètres!$A$1:$I$88,3,0)*VLOOKUP('Données projet'!$B$11,Paramètres!$A$1:$I$88,5,0)</f>
        <v>1.1527845344971866E-13</v>
      </c>
      <c r="BF151" s="14">
        <f t="shared" si="153"/>
        <v>1.7033846239409443E-12</v>
      </c>
      <c r="BG151" s="22">
        <f t="shared" si="117"/>
        <v>3.1675048597887374E-12</v>
      </c>
      <c r="BH151" s="62">
        <f t="shared" si="118"/>
        <v>282.88054108144763</v>
      </c>
      <c r="BI151" s="62">
        <f ca="1">AVERAGE(OFFSET($BH$3,0,0,'Données projet'!$E$11+1,1))-AVERAGE(OFFSET($H$3,0,0,'Données projet'!$E$11+1,1))</f>
        <v>447.82618173893104</v>
      </c>
      <c r="BJ151" s="62">
        <f t="shared" si="119"/>
        <v>248.96509970783379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projet'!$B$11,Paramètres!$A$1:$I$88,7,0))</f>
        <v>0</v>
      </c>
      <c r="BN151" s="17">
        <f>IF(ISNA(VLOOKUP(A151,'Données projet'!$A$87:$I$107,6,0)),0%,VLOOKUP(A151,'Données projet'!$A$87:$I$107,6,0)*VLOOKUP('Données projet'!$B$11,Paramètres!$A$1:$I$88,7,0))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projet'!$B$9,Paramètres!$A$1:$I$88,3,0)*0.475*44/12</f>
        <v>0</v>
      </c>
      <c r="BQ151" s="23">
        <f>EXP(-LN(2)/25)*BQ150+(1-EXP(-LN(2)/25))/(LN(2)/25)*Calculateur!BL151*Calculateur!BN151*VLOOKUP('Données projet'!$B$9,Paramètres!$A$1:$I$88,3,0)*0.475*44/12</f>
        <v>0</v>
      </c>
      <c r="BR151" s="23">
        <f>EXP(-LN(2)/2)*BR150+(1-EXP(-LN(2)/2))/(LN(2)/2)*BL151*BO151*VLOOKUP('Données projet'!$B$9,Paramètres!$A$1:$I$88,3,0)*0.475*44/12</f>
        <v>0</v>
      </c>
      <c r="BS151" s="24">
        <f t="shared" si="120"/>
        <v>0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IF(A151&lt;'Données projet'!$A$114,$BV$205^A151,IF(A151='Données projet'!$A$114,'Données projet'!$B$114,BY150+BX151-CG150))</f>
        <v>1.1368683772161603E-13</v>
      </c>
      <c r="BZ151" s="14">
        <f>BY151*VLOOKUP('Données projet'!$B$12,Paramètres!$A$1:$I$88,3,0)*VLOOKUP('Données projet'!$B$12,Paramètres!$A$1:$I$88,5,0)</f>
        <v>1.223725121235475E-13</v>
      </c>
      <c r="CA151" s="14">
        <f t="shared" si="154"/>
        <v>1.7956824466038182E-12</v>
      </c>
      <c r="CB151" s="22">
        <f t="shared" si="121"/>
        <v>3.3406123864501612E-12</v>
      </c>
      <c r="CC151" s="62">
        <f t="shared" si="122"/>
        <v>282.8805410814478</v>
      </c>
      <c r="CD151" s="62">
        <f ca="1">AVERAGE(OFFSET($CC$3,0,0,'Données projet'!$E$12+1,1))-AVERAGE(OFFSET($H$3,0,0,'Données projet'!$E$12+1,1))</f>
        <v>468.82871618425406</v>
      </c>
      <c r="CE151" s="62">
        <f t="shared" si="123"/>
        <v>259.37818128554397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projet'!$B$12,Paramètres!$A$1:$I$88,7,0))</f>
        <v>0</v>
      </c>
      <c r="CI151" s="17">
        <f>IF(ISNA(VLOOKUP(A151,'Données projet'!$A$113:$I$133,6,0)),0%,VLOOKUP(A151,'Données projet'!$A$113:$I$133,6,0)*VLOOKUP('Données projet'!$B$12,Paramètres!$A$1:$I$88,7,0))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projet'!$B$9,Paramètres!$A$1:$I$88,3,0)*0.475*44/12</f>
        <v>0</v>
      </c>
      <c r="CL151" s="23">
        <f>EXP(-LN(2)/25)*CL150+(1-EXP(-LN(2)/25))/(LN(2)/25)*Calculateur!CG151*Calculateur!CI151*VLOOKUP('Données projet'!$B$9,Paramètres!$A$1:$I$88,3,0)*0.475*44/12</f>
        <v>0</v>
      </c>
      <c r="CM151" s="23">
        <f>EXP(-LN(2)/2)*CM150+(1-EXP(-LN(2)/2))/(LN(2)/2)*CG151*CJ151*VLOOKUP('Données projet'!$B$9,Paramètres!$A$1:$I$88,3,0)*0.475*44/12</f>
        <v>0</v>
      </c>
      <c r="CN151" s="24">
        <f t="shared" si="124"/>
        <v>0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IF(A151&lt;'Données projet'!$A$140,$CQ$205^A151,IF(A151='Données projet'!$A$140,'Données projet'!$B$140,CT150+CS151-DB150))</f>
        <v>1.1368683772161603E-13</v>
      </c>
      <c r="CU151" s="18">
        <f>CT151*VLOOKUP('Données projet'!$B$13,Paramètres!$A$1:$I$88,3,0)*VLOOKUP('Données projet'!$B$13,Paramètres!$A$1:$I$88,5,0)</f>
        <v>9.7543306765146564E-14</v>
      </c>
      <c r="CV151" s="14">
        <f t="shared" si="155"/>
        <v>1.4696264278629426E-12</v>
      </c>
      <c r="CW151" s="22">
        <f t="shared" si="125"/>
        <v>2.7294872878105889E-12</v>
      </c>
      <c r="CX151" s="62">
        <f t="shared" si="126"/>
        <v>282.88054108144718</v>
      </c>
      <c r="CY151" s="62">
        <f ca="1">AVERAGE(OFFSET($CX$3,0,0,'Données projet'!$E$13+1,1))-AVERAGE(OFFSET($H$3,0,0,'Données projet'!$E$13+1,1))</f>
        <v>395.19659151668884</v>
      </c>
      <c r="CZ151" s="62">
        <f t="shared" si="127"/>
        <v>222.86563304507339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projet'!$B$13,Paramètres!$A$1:$I$88,7,0))</f>
        <v>0</v>
      </c>
      <c r="DD151" s="17">
        <f>IF(ISNA(VLOOKUP(A151,'Données projet'!$A$139:$I$159,6,0)),0%,VLOOKUP(A151,'Données projet'!$A$139:$I$159,6,0)*VLOOKUP('Données projet'!$B$13,Paramètres!$A$1:$I$88,7,0))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projet'!$B$9,Paramètres!$A$1:$I$88,3,0)*0.475*44/12</f>
        <v>0</v>
      </c>
      <c r="DG151" s="23">
        <f>EXP(-LN(2)/25)*DG150+(1-EXP(-LN(2)/25))/(LN(2)/25)*Calculateur!DB151*Calculateur!DD151*VLOOKUP('Données projet'!$B$9,Paramètres!$A$1:$I$88,3,0)*0.475*44/12</f>
        <v>0</v>
      </c>
      <c r="DH151" s="23">
        <f>EXP(-LN(2)/2)*DH150+(1-EXP(-LN(2)/2))/(LN(2)/2)*DB151*DE151*VLOOKUP('Données projet'!$B$9,Paramètres!$A$1:$I$88,3,0)*0.475*44/12</f>
        <v>0</v>
      </c>
      <c r="DI151" s="24">
        <f t="shared" si="128"/>
        <v>0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IF(A151&lt;'Données projet'!$A$166,$DL$205^A151,IF(A151='Données projet'!$A$166,'Données projet'!$B$166,DO150+DN151-DW150))</f>
        <v>-8.5265128291212022E-14</v>
      </c>
      <c r="DP151" s="18">
        <f>DO151*VLOOKUP('Données projet'!$B$14,Paramètres!$A$1:$I$88,3,0)*VLOOKUP('Données projet'!$B$14,Paramètres!$A$1:$I$88,5,0)</f>
        <v>-4.9880100050359036E-14</v>
      </c>
      <c r="DQ151" s="14" t="e">
        <f t="shared" si="156"/>
        <v>#NUM!</v>
      </c>
      <c r="DR151" s="22" t="e">
        <f t="shared" si="129"/>
        <v>#NUM!</v>
      </c>
      <c r="DS151" s="62" t="e">
        <f t="shared" si="130"/>
        <v>#NUM!</v>
      </c>
      <c r="DT151" s="62">
        <f ca="1">AVERAGE(OFFSET($DS$3,0,0,'Données projet'!$E$14+1,1))-AVERAGE(OFFSET($H$3,0,0,'Données projet'!$E$14+1,1))</f>
        <v>155.18073137151848</v>
      </c>
      <c r="DU151" s="62">
        <f t="shared" si="131"/>
        <v>115.19459155667272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projet'!$B$14,Paramètres!$A$1:$I$88,7,0))</f>
        <v>0</v>
      </c>
      <c r="DY151" s="17">
        <f>IF(ISNA(VLOOKUP(A151,'Données projet'!$A$165:$I$185,6,0)),0%,VLOOKUP(A151,'Données projet'!$A$165:$I$185,6,0)*VLOOKUP('Données projet'!$B$14,Paramètres!$A$1:$I$88,7,0))</f>
        <v>0</v>
      </c>
      <c r="DZ151" s="17">
        <f>IF(ISNA(VLOOKUP(A151,'Données projet'!$A$165:$I$185,7,0)),0%,VLOOKUP(A151,'Données projet'!$A$165:$I$185,7,0))</f>
        <v>0</v>
      </c>
      <c r="EA151" s="23">
        <f>EXP(-LN(2)/35)*EA150+(1-EXP(-LN(2)/35))/(LN(2)/35)*DW151*DX151*VLOOKUP('Données projet'!$B$9,Paramètres!$A$1:$I$88,3,0)*0.475*44/12</f>
        <v>0</v>
      </c>
      <c r="EB151" s="23">
        <f>EXP(-LN(2)/25)*EB150+(1-EXP(-LN(2)/25))/(LN(2)/25)*Calculateur!DW151*Calculateur!DY151*VLOOKUP('Données projet'!$B$9,Paramètres!$A$1:$I$88,3,0)*0.475*44/12</f>
        <v>0</v>
      </c>
      <c r="EC151" s="23">
        <f>EXP(-LN(2)/2)*EC150+(1-EXP(-LN(2)/2))/(LN(2)/2)*DW151*DZ151*VLOOKUP('Données projet'!$B$9,Paramètres!$A$1:$I$88,3,0)*0.475*44/12</f>
        <v>0</v>
      </c>
      <c r="ED151" s="24">
        <f t="shared" si="132"/>
        <v>0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IF(A151&lt;'Données projet'!$A$192,$EG$205^A151,IF(A151='Données projet'!$A$192,'Données projet'!$B$192,EJ150+EI151-ER150))</f>
        <v>-5.6843418860808015E-14</v>
      </c>
      <c r="EK151" s="18">
        <f>EJ151*VLOOKUP('Données projet'!$B$15,Paramètres!$A$1:$I$88,3,0)*VLOOKUP('Données projet'!$B$15,Paramètres!$A$1:$I$88,5,0)</f>
        <v>-2.6602720026858149E-14</v>
      </c>
      <c r="EL151" s="14" t="e">
        <f t="shared" si="157"/>
        <v>#NUM!</v>
      </c>
      <c r="EM151" s="22" t="e">
        <f t="shared" si="133"/>
        <v>#NUM!</v>
      </c>
      <c r="EN151" s="62" t="e">
        <f t="shared" si="134"/>
        <v>#NUM!</v>
      </c>
      <c r="EO151" s="62">
        <f ca="1">AVERAGE(OFFSET($EN$3,0,0,'Données projet'!$E$15+1,1))-AVERAGE(OFFSET($H$3,0,0,'Données projet'!$E$15+1,1))</f>
        <v>238.59014604384171</v>
      </c>
      <c r="EP151" s="62">
        <f t="shared" si="135"/>
        <v>90.841373219575217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projet'!$B$15,Paramètres!$A$1:$I$88,7,0))</f>
        <v>0</v>
      </c>
      <c r="ET151" s="17">
        <f>IF(ISNA(VLOOKUP(A151,'Données projet'!$A$191:$I$211,6,0)),0%,VLOOKUP(A151,'Données projet'!$A$191:$I$211,6,0)*VLOOKUP('Données projet'!$B$15,Paramètres!$A$1:$I$88,7,0))</f>
        <v>0</v>
      </c>
      <c r="EU151" s="17">
        <f>IF(ISNA(VLOOKUP(A151,'Données projet'!$A$191:$I$211,7,0)),0%,VLOOKUP(A151,'Données projet'!$A$191:$I$211,7,0))</f>
        <v>0</v>
      </c>
      <c r="EV151" s="23">
        <f>EXP(-LN(2)/35)*EV150+(1-EXP(-LN(2)/35))/(LN(2)/35)*ER151*ES151*VLOOKUP('Données projet'!$B$9,Paramètres!$A$1:$I$88,3,0)*0.475*44/12</f>
        <v>0</v>
      </c>
      <c r="EW151" s="23">
        <f>EXP(-LN(2)/25)*EW150+(1-EXP(-LN(2)/25))/(LN(2)/25)*Calculateur!ER151*Calculateur!ET151*VLOOKUP('Données projet'!$B$9,Paramètres!$A$1:$I$88,3,0)*0.475*44/12</f>
        <v>0</v>
      </c>
      <c r="EX151" s="23">
        <f>EXP(-LN(2)/2)*EX150+(1-EXP(-LN(2)/2))/(LN(2)/2)*ER151*EU151*VLOOKUP('Données projet'!$B$9,Paramètres!$A$1:$I$88,3,0)*0.475*44/12</f>
        <v>0</v>
      </c>
      <c r="EY151" s="24">
        <f t="shared" si="136"/>
        <v>0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IF(A151&lt;'Données projet'!$A$218,$FB$205^A151,IF(A151='Données projet'!$A$218,'Données projet'!$B$218,FE150+FD151-FM150))</f>
        <v>0</v>
      </c>
      <c r="FF151" s="18" t="e">
        <f>FE151*VLOOKUP('Données projet'!$B$16,Paramètres!$A$1:$I$88,3,0)*VLOOKUP('Données projet'!$B$16,Paramètres!$A$1:$I$88,5,0)</f>
        <v>#N/A</v>
      </c>
      <c r="FG151" s="14" t="e">
        <f t="shared" si="158"/>
        <v>#N/A</v>
      </c>
      <c r="FH151" s="22" t="e">
        <f t="shared" si="137"/>
        <v>#N/A</v>
      </c>
      <c r="FI151" s="62" t="e">
        <f t="shared" si="138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39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projet'!$B$16,Paramètres!$A$1:$I$88,7,0))</f>
        <v>0</v>
      </c>
      <c r="FO151" s="17">
        <f>IF(ISNA(VLOOKUP(A151,'Données projet'!$A$217:$I$237,6,0)),0%,VLOOKUP(A151,'Données projet'!$A$217:$I$237,6,0)*VLOOKUP('Données projet'!$B$16,Paramètres!$A$1:$I$88,7,0))</f>
        <v>0</v>
      </c>
      <c r="FP151" s="17">
        <f>IF(ISNA(VLOOKUP(A151,'Données projet'!$A$217:$I$237,7,0)),0%,VLOOKUP(A151,'Données projet'!$A$217:$I$237,7,0))</f>
        <v>0</v>
      </c>
      <c r="FQ151" s="23">
        <f>EXP(-LN(2)/35)*FQ150+(1-EXP(-LN(2)/35))/(LN(2)/35)*FM151*FN151*VLOOKUP('Données projet'!$B$9,Paramètres!$A$1:$I$88,3,0)*0.475*44/12</f>
        <v>0</v>
      </c>
      <c r="FR151" s="23">
        <f>EXP(-LN(2)/25)*FR150+(1-EXP(-LN(2)/25))/(LN(2)/25)*Calculateur!FM151*Calculateur!FO151*VLOOKUP('Données projet'!$B$9,Paramètres!$A$1:$I$88,3,0)*0.475*44/12</f>
        <v>0</v>
      </c>
      <c r="FS151" s="23">
        <f>EXP(-LN(2)/2)*FS150+(1-EXP(-LN(2)/2))/(LN(2)/2)*FM151*FP151*VLOOKUP('Données projet'!$B$9,Paramètres!$A$1:$I$88,3,0)*0.475*44/12</f>
        <v>0</v>
      </c>
      <c r="FT151" s="24">
        <f t="shared" si="140"/>
        <v>0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IF(A151&lt;'Données projet'!$A$244,$FW$205^A151,IF(A151='Données projet'!$A$244,'Données projet'!$B$244,FZ150+FY151-GH150))</f>
        <v>0</v>
      </c>
      <c r="GA151" s="18" t="e">
        <f>FZ151*VLOOKUP('Données projet'!$B$17,Paramètres!$A$1:$I$88,3,0)*VLOOKUP('Données projet'!$B$17,Paramètres!$A$1:$I$88,5,0)</f>
        <v>#N/A</v>
      </c>
      <c r="GB151" s="14" t="e">
        <f t="shared" si="159"/>
        <v>#N/A</v>
      </c>
      <c r="GC151" s="22" t="e">
        <f t="shared" si="141"/>
        <v>#N/A</v>
      </c>
      <c r="GD151" s="62" t="e">
        <f t="shared" si="142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43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projet'!$B$17,Paramètres!$A$1:$I$88,7,0))</f>
        <v>0</v>
      </c>
      <c r="GJ151" s="17">
        <f>IF(ISNA(VLOOKUP(A151,'Données projet'!$A$243:$I$263,6,0)),0%,VLOOKUP(A151,'Données projet'!$A$243:$I$263,6,0)*VLOOKUP('Données projet'!$B$17,Paramètres!$A$1:$I$88,7,0))</f>
        <v>0</v>
      </c>
      <c r="GK151" s="17">
        <f>IF(ISNA(VLOOKUP(A151,'Données projet'!$A$243:$I$263,7,0)),0%,VLOOKUP(A151,'Données projet'!$A$243:$I$263,7,0))</f>
        <v>0</v>
      </c>
      <c r="GL151" s="23">
        <f>EXP(-LN(2)/35)*GL150+(1-EXP(-LN(2)/35))/(LN(2)/35)*GH151*GI151*VLOOKUP('Données projet'!$B$9,Paramètres!$A$1:$I$88,3,0)*0.475*44/12</f>
        <v>0</v>
      </c>
      <c r="GM151" s="23">
        <f>EXP(-LN(2)/25)*GM150+(1-EXP(-LN(2)/25))/(LN(2)/25)*Calculateur!GH151*Calculateur!GJ151*VLOOKUP('Données projet'!$B$9,Paramètres!$A$1:$I$88,3,0)*0.475*44/12</f>
        <v>0</v>
      </c>
      <c r="GN151" s="23">
        <f>EXP(-LN(2)/2)*GN150+(1-EXP(-LN(2)/2))/(LN(2)/2)*GH151*GK151*VLOOKUP('Données projet'!$B$9,Paramètres!$A$1:$I$88,3,0)*0.475*44/12</f>
        <v>0</v>
      </c>
      <c r="GO151" s="23">
        <f t="shared" si="144"/>
        <v>0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IF(A151&lt;'Données projet'!$A$270,$GR$205^A151,IF(A151='Données projet'!$A$270,'Données projet'!$B$270,GU150+GT151-HC150))</f>
        <v>0</v>
      </c>
      <c r="GV151" s="18" t="e">
        <f>GU151*VLOOKUP('Données projet'!$B$18,Paramètres!$A$1:$I$88,3,0)*VLOOKUP('Données projet'!$B$18,Paramètres!$A$1:$I$88,5,0)</f>
        <v>#N/A</v>
      </c>
      <c r="GW151" s="14" t="e">
        <f t="shared" si="160"/>
        <v>#N/A</v>
      </c>
      <c r="GX151" s="22" t="e">
        <f t="shared" si="145"/>
        <v>#N/A</v>
      </c>
      <c r="GY151" s="62" t="e">
        <f t="shared" si="146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47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projet'!$B$18,Paramètres!$A$1:$I$88,7,0))</f>
        <v>0</v>
      </c>
      <c r="HE151" s="17">
        <f>IF(ISNA(VLOOKUP(A151,'Données projet'!$A$269:$I$289,6,0)),0%,VLOOKUP(A151,'Données projet'!$A$269:$I$289,6,0)*VLOOKUP('Données projet'!$B$18,Paramètres!$A$1:$I$88,7,0))</f>
        <v>0</v>
      </c>
      <c r="HF151" s="17">
        <f>IF(ISNA(VLOOKUP(A151,'Données projet'!$A$269:$I$289,7,0)),0%,VLOOKUP(A151,'Données projet'!$A$269:$I$289,7,0))</f>
        <v>0</v>
      </c>
      <c r="HG151" s="23">
        <f>EXP(-LN(2)/35)*HG150+(1-EXP(-LN(2)/35))/(LN(2)/35)*HC151*HD151*VLOOKUP('Données projet'!$B$9,Paramètres!$A$1:$I$88,3,0)*0.475*44/12</f>
        <v>0</v>
      </c>
      <c r="HH151" s="23">
        <f>EXP(-LN(2)/25)*HH150+(1-EXP(-LN(2)/25))/(LN(2)/25)*Calculateur!HC151*Calculateur!HE151*VLOOKUP('Données projet'!$B$9,Paramètres!$A$1:$I$88,3,0)*0.475*44/12</f>
        <v>0</v>
      </c>
      <c r="HI151" s="23">
        <f>EXP(-LN(2)/2)*HI150+(1-EXP(-LN(2)/2))/(LN(2)/2)*HC151*HF151*VLOOKUP('Données projet'!$B$9,Paramètres!$A$1:$I$88,3,0)*0.475*44/12</f>
        <v>0</v>
      </c>
      <c r="HJ151" s="24">
        <f t="shared" si="148"/>
        <v>0</v>
      </c>
    </row>
    <row r="152" spans="1:218" s="5" customFormat="1" x14ac:dyDescent="0.25">
      <c r="A152" s="11">
        <f t="shared" si="149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2" s="12">
        <f t="shared" si="15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111"/>
        <v>135.66666666666666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1.1341666666666668</v>
      </c>
      <c r="N152" s="14">
        <f>IF(A152&lt;'Données projet'!$A$36,$K$205^A152,IF(A152='Données projet'!$A$36,'Données projet'!$B$36,N151+M152-V151))</f>
        <v>129.07833333333335</v>
      </c>
      <c r="O152" s="14">
        <f>N152*VLOOKUP('Données projet'!$B$9,Paramètres!$A$1:$I$88,3,0)*VLOOKUP('Données projet'!$B$9,Paramètres!$A$1:$I$88,5,0)</f>
        <v>148.69824</v>
      </c>
      <c r="P152" s="14">
        <f t="shared" si="151"/>
        <v>38.282606086404904</v>
      </c>
      <c r="Q152" s="22">
        <f t="shared" si="108"/>
        <v>325.65830693382185</v>
      </c>
      <c r="R152" s="62">
        <f t="shared" si="109"/>
        <v>608.72018059189395</v>
      </c>
      <c r="S152" s="62">
        <f ca="1">AVERAGE(OFFSET($R$3,0,0,'Données projet'!$E$9+1,1))-AVERAGE(OFFSET($H$3,0,0,'Données projet'!$E$9+1,1))</f>
        <v>314.72063458462026</v>
      </c>
      <c r="T152" s="62">
        <f t="shared" si="110"/>
        <v>216.4380325968244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projet'!$B$9,Paramètres!$A$1:$I$88,7,0))</f>
        <v>0</v>
      </c>
      <c r="X152" s="17">
        <f>IF(ISNA(VLOOKUP(A152,'Données projet'!$A$35:$I$55,6,0)),0%,VLOOKUP(A152,'Données projet'!$A$35:$I$55,6,0)*VLOOKUP('Données projet'!$B$9,Paramètres!$A$1:$I$88,7,0))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projet'!$B$9,Paramètres!$A$1:$I$88,3,0)*0.475*44/12</f>
        <v>0</v>
      </c>
      <c r="AA152" s="23">
        <f>EXP(-LN(2)/25)*AA151+(1-EXP(-LN(2)/25))/(LN(2)/25)*Calculateur!V152*Calculateur!X152*VLOOKUP('Données projet'!$B$9,Paramètres!$A$1:$I$88,3,0)*0.475*44/12</f>
        <v>0</v>
      </c>
      <c r="AB152" s="23">
        <f>EXP(-LN(2)/2)*AB151+(1-EXP(-LN(2)/2))/(LN(2)/2)*V152*Y152*VLOOKUP('Données projet'!$B$9,Paramètres!$A$1:$I$88,3,0)*0.475*44/12</f>
        <v>0</v>
      </c>
      <c r="AC152" s="24">
        <f t="shared" si="112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IF(A152&lt;'Données projet'!$A$62,$AF$205^A152,IF(A152='Données projet'!$A$62,'Données projet'!$B$62,AI151+AH152-AQ151))</f>
        <v>1.1368683772161603E-13</v>
      </c>
      <c r="AJ152" s="14">
        <f>AI152*VLOOKUP('Données projet'!$B$10,Paramètres!$A$1:$I$88,3,0)*VLOOKUP('Données projet'!$B$10,Paramètres!$A$1:$I$88,5,0)</f>
        <v>1.1882548278663309E-13</v>
      </c>
      <c r="AK152" s="14">
        <f t="shared" si="152"/>
        <v>1.7496137229198366E-12</v>
      </c>
      <c r="AL152" s="22">
        <f t="shared" si="113"/>
        <v>3.2541982832721012E-12</v>
      </c>
      <c r="AM152" s="62">
        <f t="shared" si="114"/>
        <v>283.0618736580754</v>
      </c>
      <c r="AN152" s="62">
        <f ca="1">AVERAGE(OFFSET($AM$3,0,0,'Données projet'!$E$10+1,1))-AVERAGE(OFFSET($H$3,0,0,'Données projet'!$E$10+1,1))</f>
        <v>458.33072853676879</v>
      </c>
      <c r="AO152" s="62">
        <f t="shared" si="115"/>
        <v>254.1734169352687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projet'!$B$10,Paramètres!$A$1:$I$88,7,0))</f>
        <v>0</v>
      </c>
      <c r="AS152" s="17">
        <f>IF(ISNA(VLOOKUP(A152,'Données projet'!$A$61:$I$81,6,0)),0%,VLOOKUP(A152,'Données projet'!$A$61:$I$81,6,0)*VLOOKUP('Données projet'!$B$10,Paramètres!$A$1:$I$88,7,0))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projet'!$B$9,Paramètres!$A$1:$I$88,3,0)*0.475*44/12</f>
        <v>0</v>
      </c>
      <c r="AV152" s="23">
        <f>EXP(-LN(2)/25)*AV151+(1-EXP(-LN(2)/25))/(LN(2)/25)*Calculateur!AQ152*Calculateur!AS152*VLOOKUP('Données projet'!$B$9,Paramètres!$A$1:$I$88,3,0)*0.475*44/12</f>
        <v>0</v>
      </c>
      <c r="AW152" s="23">
        <f>EXP(-LN(2)/2)*AW151+(1-EXP(-LN(2)/2))/(LN(2)/2)*AQ152*AT152*VLOOKUP('Données projet'!$B$9,Paramètres!$A$1:$I$88,3,0)*0.475*44/12</f>
        <v>0</v>
      </c>
      <c r="AX152" s="23">
        <f t="shared" si="116"/>
        <v>0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IF(A152&lt;'Données projet'!$A$88,$BA$205^A152,IF(A152='Données projet'!$A$88,'Données projet'!$B$88,BD151+BC152-BL151))</f>
        <v>1.1368683772161603E-13</v>
      </c>
      <c r="BE152" s="14">
        <f>BD152*VLOOKUP('Données projet'!$B$11,Paramètres!$A$1:$I$88,3,0)*VLOOKUP('Données projet'!$B$11,Paramètres!$A$1:$I$88,5,0)</f>
        <v>1.1527845344971866E-13</v>
      </c>
      <c r="BF152" s="14">
        <f t="shared" si="153"/>
        <v>1.7033846239409443E-12</v>
      </c>
      <c r="BG152" s="22">
        <f t="shared" si="117"/>
        <v>3.1675048597887374E-12</v>
      </c>
      <c r="BH152" s="62">
        <f t="shared" si="118"/>
        <v>283.06187365807534</v>
      </c>
      <c r="BI152" s="62">
        <f ca="1">AVERAGE(OFFSET($BH$3,0,0,'Données projet'!$E$11+1,1))-AVERAGE(OFFSET($H$3,0,0,'Données projet'!$E$11+1,1))</f>
        <v>447.82618173893104</v>
      </c>
      <c r="BJ152" s="62">
        <f t="shared" si="119"/>
        <v>248.96509970783379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projet'!$B$11,Paramètres!$A$1:$I$88,7,0))</f>
        <v>0</v>
      </c>
      <c r="BN152" s="17">
        <f>IF(ISNA(VLOOKUP(A152,'Données projet'!$A$87:$I$107,6,0)),0%,VLOOKUP(A152,'Données projet'!$A$87:$I$107,6,0)*VLOOKUP('Données projet'!$B$11,Paramètres!$A$1:$I$88,7,0))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projet'!$B$9,Paramètres!$A$1:$I$88,3,0)*0.475*44/12</f>
        <v>0</v>
      </c>
      <c r="BQ152" s="23">
        <f>EXP(-LN(2)/25)*BQ151+(1-EXP(-LN(2)/25))/(LN(2)/25)*Calculateur!BL152*Calculateur!BN152*VLOOKUP('Données projet'!$B$9,Paramètres!$A$1:$I$88,3,0)*0.475*44/12</f>
        <v>0</v>
      </c>
      <c r="BR152" s="23">
        <f>EXP(-LN(2)/2)*BR151+(1-EXP(-LN(2)/2))/(LN(2)/2)*BL152*BO152*VLOOKUP('Données projet'!$B$9,Paramètres!$A$1:$I$88,3,0)*0.475*44/12</f>
        <v>0</v>
      </c>
      <c r="BS152" s="24">
        <f t="shared" si="120"/>
        <v>0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IF(A152&lt;'Données projet'!$A$114,$BV$205^A152,IF(A152='Données projet'!$A$114,'Données projet'!$B$114,BY151+BX152-CG151))</f>
        <v>1.1368683772161603E-13</v>
      </c>
      <c r="BZ152" s="14">
        <f>BY152*VLOOKUP('Données projet'!$B$12,Paramètres!$A$1:$I$88,3,0)*VLOOKUP('Données projet'!$B$12,Paramètres!$A$1:$I$88,5,0)</f>
        <v>1.223725121235475E-13</v>
      </c>
      <c r="CA152" s="14">
        <f t="shared" si="154"/>
        <v>1.7956824466038182E-12</v>
      </c>
      <c r="CB152" s="22">
        <f t="shared" si="121"/>
        <v>3.3406123864501612E-12</v>
      </c>
      <c r="CC152" s="62">
        <f t="shared" si="122"/>
        <v>283.06187365807551</v>
      </c>
      <c r="CD152" s="62">
        <f ca="1">AVERAGE(OFFSET($CC$3,0,0,'Données projet'!$E$12+1,1))-AVERAGE(OFFSET($H$3,0,0,'Données projet'!$E$12+1,1))</f>
        <v>468.82871618425406</v>
      </c>
      <c r="CE152" s="62">
        <f t="shared" si="123"/>
        <v>259.37818128554397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projet'!$B$12,Paramètres!$A$1:$I$88,7,0))</f>
        <v>0</v>
      </c>
      <c r="CI152" s="17">
        <f>IF(ISNA(VLOOKUP(A152,'Données projet'!$A$113:$I$133,6,0)),0%,VLOOKUP(A152,'Données projet'!$A$113:$I$133,6,0)*VLOOKUP('Données projet'!$B$12,Paramètres!$A$1:$I$88,7,0))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projet'!$B$9,Paramètres!$A$1:$I$88,3,0)*0.475*44/12</f>
        <v>0</v>
      </c>
      <c r="CL152" s="23">
        <f>EXP(-LN(2)/25)*CL151+(1-EXP(-LN(2)/25))/(LN(2)/25)*Calculateur!CG152*Calculateur!CI152*VLOOKUP('Données projet'!$B$9,Paramètres!$A$1:$I$88,3,0)*0.475*44/12</f>
        <v>0</v>
      </c>
      <c r="CM152" s="23">
        <f>EXP(-LN(2)/2)*CM151+(1-EXP(-LN(2)/2))/(LN(2)/2)*CG152*CJ152*VLOOKUP('Données projet'!$B$9,Paramètres!$A$1:$I$88,3,0)*0.475*44/12</f>
        <v>0</v>
      </c>
      <c r="CN152" s="24">
        <f t="shared" si="124"/>
        <v>0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IF(A152&lt;'Données projet'!$A$140,$CQ$205^A152,IF(A152='Données projet'!$A$140,'Données projet'!$B$140,CT151+CS152-DB151))</f>
        <v>1.1368683772161603E-13</v>
      </c>
      <c r="CU152" s="18">
        <f>CT152*VLOOKUP('Données projet'!$B$13,Paramètres!$A$1:$I$88,3,0)*VLOOKUP('Données projet'!$B$13,Paramètres!$A$1:$I$88,5,0)</f>
        <v>9.7543306765146564E-14</v>
      </c>
      <c r="CV152" s="14">
        <f t="shared" si="155"/>
        <v>1.4696264278629426E-12</v>
      </c>
      <c r="CW152" s="22">
        <f t="shared" si="125"/>
        <v>2.7294872878105889E-12</v>
      </c>
      <c r="CX152" s="62">
        <f t="shared" si="126"/>
        <v>283.06187365807489</v>
      </c>
      <c r="CY152" s="62">
        <f ca="1">AVERAGE(OFFSET($CX$3,0,0,'Données projet'!$E$13+1,1))-AVERAGE(OFFSET($H$3,0,0,'Données projet'!$E$13+1,1))</f>
        <v>395.19659151668884</v>
      </c>
      <c r="CZ152" s="62">
        <f t="shared" si="127"/>
        <v>222.86563304507339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projet'!$B$13,Paramètres!$A$1:$I$88,7,0))</f>
        <v>0</v>
      </c>
      <c r="DD152" s="17">
        <f>IF(ISNA(VLOOKUP(A152,'Données projet'!$A$139:$I$159,6,0)),0%,VLOOKUP(A152,'Données projet'!$A$139:$I$159,6,0)*VLOOKUP('Données projet'!$B$13,Paramètres!$A$1:$I$88,7,0))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projet'!$B$9,Paramètres!$A$1:$I$88,3,0)*0.475*44/12</f>
        <v>0</v>
      </c>
      <c r="DG152" s="23">
        <f>EXP(-LN(2)/25)*DG151+(1-EXP(-LN(2)/25))/(LN(2)/25)*Calculateur!DB152*Calculateur!DD152*VLOOKUP('Données projet'!$B$9,Paramètres!$A$1:$I$88,3,0)*0.475*44/12</f>
        <v>0</v>
      </c>
      <c r="DH152" s="23">
        <f>EXP(-LN(2)/2)*DH151+(1-EXP(-LN(2)/2))/(LN(2)/2)*DB152*DE152*VLOOKUP('Données projet'!$B$9,Paramètres!$A$1:$I$88,3,0)*0.475*44/12</f>
        <v>0</v>
      </c>
      <c r="DI152" s="24">
        <f t="shared" si="128"/>
        <v>0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IF(A152&lt;'Données projet'!$A$166,$DL$205^A152,IF(A152='Données projet'!$A$166,'Données projet'!$B$166,DO151+DN152-DW151))</f>
        <v>-8.5265128291212022E-14</v>
      </c>
      <c r="DP152" s="18">
        <f>DO152*VLOOKUP('Données projet'!$B$14,Paramètres!$A$1:$I$88,3,0)*VLOOKUP('Données projet'!$B$14,Paramètres!$A$1:$I$88,5,0)</f>
        <v>-4.9880100050359036E-14</v>
      </c>
      <c r="DQ152" s="14" t="e">
        <f t="shared" si="156"/>
        <v>#NUM!</v>
      </c>
      <c r="DR152" s="22" t="e">
        <f t="shared" si="129"/>
        <v>#NUM!</v>
      </c>
      <c r="DS152" s="62" t="e">
        <f t="shared" si="130"/>
        <v>#NUM!</v>
      </c>
      <c r="DT152" s="62">
        <f ca="1">AVERAGE(OFFSET($DS$3,0,0,'Données projet'!$E$14+1,1))-AVERAGE(OFFSET($H$3,0,0,'Données projet'!$E$14+1,1))</f>
        <v>155.18073137151848</v>
      </c>
      <c r="DU152" s="62">
        <f t="shared" si="131"/>
        <v>115.19459155667272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projet'!$B$14,Paramètres!$A$1:$I$88,7,0))</f>
        <v>0</v>
      </c>
      <c r="DY152" s="17">
        <f>IF(ISNA(VLOOKUP(A152,'Données projet'!$A$165:$I$185,6,0)),0%,VLOOKUP(A152,'Données projet'!$A$165:$I$185,6,0)*VLOOKUP('Données projet'!$B$14,Paramètres!$A$1:$I$88,7,0))</f>
        <v>0</v>
      </c>
      <c r="DZ152" s="17">
        <f>IF(ISNA(VLOOKUP(A152,'Données projet'!$A$165:$I$185,7,0)),0%,VLOOKUP(A152,'Données projet'!$A$165:$I$185,7,0))</f>
        <v>0</v>
      </c>
      <c r="EA152" s="23">
        <f>EXP(-LN(2)/35)*EA151+(1-EXP(-LN(2)/35))/(LN(2)/35)*DW152*DX152*VLOOKUP('Données projet'!$B$9,Paramètres!$A$1:$I$88,3,0)*0.475*44/12</f>
        <v>0</v>
      </c>
      <c r="EB152" s="23">
        <f>EXP(-LN(2)/25)*EB151+(1-EXP(-LN(2)/25))/(LN(2)/25)*Calculateur!DW152*Calculateur!DY152*VLOOKUP('Données projet'!$B$9,Paramètres!$A$1:$I$88,3,0)*0.475*44/12</f>
        <v>0</v>
      </c>
      <c r="EC152" s="23">
        <f>EXP(-LN(2)/2)*EC151+(1-EXP(-LN(2)/2))/(LN(2)/2)*DW152*DZ152*VLOOKUP('Données projet'!$B$9,Paramètres!$A$1:$I$88,3,0)*0.475*44/12</f>
        <v>0</v>
      </c>
      <c r="ED152" s="24">
        <f t="shared" si="132"/>
        <v>0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IF(A152&lt;'Données projet'!$A$192,$EG$205^A152,IF(A152='Données projet'!$A$192,'Données projet'!$B$192,EJ151+EI152-ER151))</f>
        <v>-5.6843418860808015E-14</v>
      </c>
      <c r="EK152" s="18">
        <f>EJ152*VLOOKUP('Données projet'!$B$15,Paramètres!$A$1:$I$88,3,0)*VLOOKUP('Données projet'!$B$15,Paramètres!$A$1:$I$88,5,0)</f>
        <v>-2.6602720026858149E-14</v>
      </c>
      <c r="EL152" s="14" t="e">
        <f t="shared" si="157"/>
        <v>#NUM!</v>
      </c>
      <c r="EM152" s="22" t="e">
        <f t="shared" si="133"/>
        <v>#NUM!</v>
      </c>
      <c r="EN152" s="62" t="e">
        <f t="shared" si="134"/>
        <v>#NUM!</v>
      </c>
      <c r="EO152" s="62">
        <f ca="1">AVERAGE(OFFSET($EN$3,0,0,'Données projet'!$E$15+1,1))-AVERAGE(OFFSET($H$3,0,0,'Données projet'!$E$15+1,1))</f>
        <v>238.59014604384171</v>
      </c>
      <c r="EP152" s="62">
        <f t="shared" si="135"/>
        <v>90.841373219575217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projet'!$B$15,Paramètres!$A$1:$I$88,7,0))</f>
        <v>0</v>
      </c>
      <c r="ET152" s="17">
        <f>IF(ISNA(VLOOKUP(A152,'Données projet'!$A$191:$I$211,6,0)),0%,VLOOKUP(A152,'Données projet'!$A$191:$I$211,6,0)*VLOOKUP('Données projet'!$B$15,Paramètres!$A$1:$I$88,7,0))</f>
        <v>0</v>
      </c>
      <c r="EU152" s="17">
        <f>IF(ISNA(VLOOKUP(A152,'Données projet'!$A$191:$I$211,7,0)),0%,VLOOKUP(A152,'Données projet'!$A$191:$I$211,7,0))</f>
        <v>0</v>
      </c>
      <c r="EV152" s="23">
        <f>EXP(-LN(2)/35)*EV151+(1-EXP(-LN(2)/35))/(LN(2)/35)*ER152*ES152*VLOOKUP('Données projet'!$B$9,Paramètres!$A$1:$I$88,3,0)*0.475*44/12</f>
        <v>0</v>
      </c>
      <c r="EW152" s="23">
        <f>EXP(-LN(2)/25)*EW151+(1-EXP(-LN(2)/25))/(LN(2)/25)*Calculateur!ER152*Calculateur!ET152*VLOOKUP('Données projet'!$B$9,Paramètres!$A$1:$I$88,3,0)*0.475*44/12</f>
        <v>0</v>
      </c>
      <c r="EX152" s="23">
        <f>EXP(-LN(2)/2)*EX151+(1-EXP(-LN(2)/2))/(LN(2)/2)*ER152*EU152*VLOOKUP('Données projet'!$B$9,Paramètres!$A$1:$I$88,3,0)*0.475*44/12</f>
        <v>0</v>
      </c>
      <c r="EY152" s="24">
        <f t="shared" si="136"/>
        <v>0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IF(A152&lt;'Données projet'!$A$218,$FB$205^A152,IF(A152='Données projet'!$A$218,'Données projet'!$B$218,FE151+FD152-FM151))</f>
        <v>0</v>
      </c>
      <c r="FF152" s="18" t="e">
        <f>FE152*VLOOKUP('Données projet'!$B$16,Paramètres!$A$1:$I$88,3,0)*VLOOKUP('Données projet'!$B$16,Paramètres!$A$1:$I$88,5,0)</f>
        <v>#N/A</v>
      </c>
      <c r="FG152" s="14" t="e">
        <f t="shared" si="158"/>
        <v>#N/A</v>
      </c>
      <c r="FH152" s="22" t="e">
        <f t="shared" si="137"/>
        <v>#N/A</v>
      </c>
      <c r="FI152" s="62" t="e">
        <f t="shared" si="138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39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projet'!$B$16,Paramètres!$A$1:$I$88,7,0))</f>
        <v>0</v>
      </c>
      <c r="FO152" s="17">
        <f>IF(ISNA(VLOOKUP(A152,'Données projet'!$A$217:$I$237,6,0)),0%,VLOOKUP(A152,'Données projet'!$A$217:$I$237,6,0)*VLOOKUP('Données projet'!$B$16,Paramètres!$A$1:$I$88,7,0))</f>
        <v>0</v>
      </c>
      <c r="FP152" s="17">
        <f>IF(ISNA(VLOOKUP(A152,'Données projet'!$A$217:$I$237,7,0)),0%,VLOOKUP(A152,'Données projet'!$A$217:$I$237,7,0))</f>
        <v>0</v>
      </c>
      <c r="FQ152" s="23">
        <f>EXP(-LN(2)/35)*FQ151+(1-EXP(-LN(2)/35))/(LN(2)/35)*FM152*FN152*VLOOKUP('Données projet'!$B$9,Paramètres!$A$1:$I$88,3,0)*0.475*44/12</f>
        <v>0</v>
      </c>
      <c r="FR152" s="23">
        <f>EXP(-LN(2)/25)*FR151+(1-EXP(-LN(2)/25))/(LN(2)/25)*Calculateur!FM152*Calculateur!FO152*VLOOKUP('Données projet'!$B$9,Paramètres!$A$1:$I$88,3,0)*0.475*44/12</f>
        <v>0</v>
      </c>
      <c r="FS152" s="23">
        <f>EXP(-LN(2)/2)*FS151+(1-EXP(-LN(2)/2))/(LN(2)/2)*FM152*FP152*VLOOKUP('Données projet'!$B$9,Paramètres!$A$1:$I$88,3,0)*0.475*44/12</f>
        <v>0</v>
      </c>
      <c r="FT152" s="24">
        <f t="shared" si="140"/>
        <v>0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IF(A152&lt;'Données projet'!$A$244,$FW$205^A152,IF(A152='Données projet'!$A$244,'Données projet'!$B$244,FZ151+FY152-GH151))</f>
        <v>0</v>
      </c>
      <c r="GA152" s="18" t="e">
        <f>FZ152*VLOOKUP('Données projet'!$B$17,Paramètres!$A$1:$I$88,3,0)*VLOOKUP('Données projet'!$B$17,Paramètres!$A$1:$I$88,5,0)</f>
        <v>#N/A</v>
      </c>
      <c r="GB152" s="14" t="e">
        <f t="shared" si="159"/>
        <v>#N/A</v>
      </c>
      <c r="GC152" s="22" t="e">
        <f t="shared" si="141"/>
        <v>#N/A</v>
      </c>
      <c r="GD152" s="62" t="e">
        <f t="shared" si="142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43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projet'!$B$17,Paramètres!$A$1:$I$88,7,0))</f>
        <v>0</v>
      </c>
      <c r="GJ152" s="17">
        <f>IF(ISNA(VLOOKUP(A152,'Données projet'!$A$243:$I$263,6,0)),0%,VLOOKUP(A152,'Données projet'!$A$243:$I$263,6,0)*VLOOKUP('Données projet'!$B$17,Paramètres!$A$1:$I$88,7,0))</f>
        <v>0</v>
      </c>
      <c r="GK152" s="17">
        <f>IF(ISNA(VLOOKUP(A152,'Données projet'!$A$243:$I$263,7,0)),0%,VLOOKUP(A152,'Données projet'!$A$243:$I$263,7,0))</f>
        <v>0</v>
      </c>
      <c r="GL152" s="23">
        <f>EXP(-LN(2)/35)*GL151+(1-EXP(-LN(2)/35))/(LN(2)/35)*GH152*GI152*VLOOKUP('Données projet'!$B$9,Paramètres!$A$1:$I$88,3,0)*0.475*44/12</f>
        <v>0</v>
      </c>
      <c r="GM152" s="23">
        <f>EXP(-LN(2)/25)*GM151+(1-EXP(-LN(2)/25))/(LN(2)/25)*Calculateur!GH152*Calculateur!GJ152*VLOOKUP('Données projet'!$B$9,Paramètres!$A$1:$I$88,3,0)*0.475*44/12</f>
        <v>0</v>
      </c>
      <c r="GN152" s="23">
        <f>EXP(-LN(2)/2)*GN151+(1-EXP(-LN(2)/2))/(LN(2)/2)*GH152*GK152*VLOOKUP('Données projet'!$B$9,Paramètres!$A$1:$I$88,3,0)*0.475*44/12</f>
        <v>0</v>
      </c>
      <c r="GO152" s="23">
        <f t="shared" si="144"/>
        <v>0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IF(A152&lt;'Données projet'!$A$270,$GR$205^A152,IF(A152='Données projet'!$A$270,'Données projet'!$B$270,GU151+GT152-HC151))</f>
        <v>0</v>
      </c>
      <c r="GV152" s="18" t="e">
        <f>GU152*VLOOKUP('Données projet'!$B$18,Paramètres!$A$1:$I$88,3,0)*VLOOKUP('Données projet'!$B$18,Paramètres!$A$1:$I$88,5,0)</f>
        <v>#N/A</v>
      </c>
      <c r="GW152" s="14" t="e">
        <f t="shared" si="160"/>
        <v>#N/A</v>
      </c>
      <c r="GX152" s="22" t="e">
        <f t="shared" si="145"/>
        <v>#N/A</v>
      </c>
      <c r="GY152" s="62" t="e">
        <f t="shared" si="146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47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projet'!$B$18,Paramètres!$A$1:$I$88,7,0))</f>
        <v>0</v>
      </c>
      <c r="HE152" s="17">
        <f>IF(ISNA(VLOOKUP(A152,'Données projet'!$A$269:$I$289,6,0)),0%,VLOOKUP(A152,'Données projet'!$A$269:$I$289,6,0)*VLOOKUP('Données projet'!$B$18,Paramètres!$A$1:$I$88,7,0))</f>
        <v>0</v>
      </c>
      <c r="HF152" s="17">
        <f>IF(ISNA(VLOOKUP(A152,'Données projet'!$A$269:$I$289,7,0)),0%,VLOOKUP(A152,'Données projet'!$A$269:$I$289,7,0))</f>
        <v>0</v>
      </c>
      <c r="HG152" s="23">
        <f>EXP(-LN(2)/35)*HG151+(1-EXP(-LN(2)/35))/(LN(2)/35)*HC152*HD152*VLOOKUP('Données projet'!$B$9,Paramètres!$A$1:$I$88,3,0)*0.475*44/12</f>
        <v>0</v>
      </c>
      <c r="HH152" s="23">
        <f>EXP(-LN(2)/25)*HH151+(1-EXP(-LN(2)/25))/(LN(2)/25)*Calculateur!HC152*Calculateur!HE152*VLOOKUP('Données projet'!$B$9,Paramètres!$A$1:$I$88,3,0)*0.475*44/12</f>
        <v>0</v>
      </c>
      <c r="HI152" s="23">
        <f>EXP(-LN(2)/2)*HI151+(1-EXP(-LN(2)/2))/(LN(2)/2)*HC152*HF152*VLOOKUP('Données projet'!$B$9,Paramètres!$A$1:$I$88,3,0)*0.475*44/12</f>
        <v>0</v>
      </c>
      <c r="HJ152" s="24">
        <f t="shared" si="148"/>
        <v>0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3" s="12">
        <f t="shared" si="15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111"/>
        <v>135.66666666666666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>
        <f>VLOOKUP(A153,'Données projet'!$A$35:$I$55,2,0)</f>
        <v>130.21250000000001</v>
      </c>
      <c r="L153" s="13">
        <f>VLOOKUP(A153,'Données projet'!$A$35:$I$55,9,0)</f>
        <v>1.1341666666666668</v>
      </c>
      <c r="M153" s="13">
        <f t="array" ref="M153">INDEX(L:L,MIN(IF(ISNUMBER(L153:L349),ROW(L153:L349),"")))</f>
        <v>1.1341666666666668</v>
      </c>
      <c r="N153" s="14">
        <f>IF(A153&lt;'Données projet'!$A$36,$K$205^A153,IF(A153='Données projet'!$A$36,'Données projet'!$B$36,N152+M153-V152))</f>
        <v>130.21250000000001</v>
      </c>
      <c r="O153" s="14">
        <f>N153*VLOOKUP('Données projet'!$B$9,Paramètres!$A$1:$I$88,3,0)*VLOOKUP('Données projet'!$B$9,Paramètres!$A$1:$I$88,5,0)</f>
        <v>150.00479999999999</v>
      </c>
      <c r="P153" s="14">
        <f t="shared" si="151"/>
        <v>38.579676436046306</v>
      </c>
      <c r="Q153" s="22">
        <f t="shared" si="108"/>
        <v>328.45129645944729</v>
      </c>
      <c r="R153" s="62">
        <f t="shared" si="109"/>
        <v>611.69135697934166</v>
      </c>
      <c r="S153" s="62">
        <f ca="1">AVERAGE(OFFSET($R$3,0,0,'Données projet'!$E$9+1,1))-AVERAGE(OFFSET($H$3,0,0,'Données projet'!$E$9+1,1))</f>
        <v>314.72063458462026</v>
      </c>
      <c r="T153" s="62">
        <f t="shared" si="110"/>
        <v>216.4380325968244</v>
      </c>
      <c r="U153" s="16">
        <f>IF(ISNA(VLOOKUP(A153,'Données projet'!$A$35:$I$55,3,0)),0,VLOOKUP(A153,'Données projet'!$A$35:$I$55,3,0))</f>
        <v>13</v>
      </c>
      <c r="V153" s="16">
        <f>IF(ISNA(VLOOKUP(A153,'Données projet'!$A$35:$I$55,4,0)),0,VLOOKUP(A153,'Données projet'!$A$35:$I$55,4,0))</f>
        <v>130.21250000000001</v>
      </c>
      <c r="W153" s="17">
        <f>IF(ISNA(VLOOKUP(A153,'Données projet'!$A$35:$I$55,5,0)),0%,VLOOKUP(A153,'Données projet'!$A$35:$I$55,5,0)*VLOOKUP('Données projet'!$B$9,Paramètres!$A$1:$I$88,7,0))</f>
        <v>0</v>
      </c>
      <c r="X153" s="17">
        <f>IF(ISNA(VLOOKUP(A153,'Données projet'!$A$35:$I$55,6,0)),0%,VLOOKUP(A153,'Données projet'!$A$35:$I$55,6,0)*VLOOKUP('Données projet'!$B$9,Paramètres!$A$1:$I$88,7,0))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projet'!$B$9,Paramètres!$A$1:$I$88,3,0)*0.475*44/12</f>
        <v>0</v>
      </c>
      <c r="AA153" s="23">
        <f>EXP(-LN(2)/25)*AA152+(1-EXP(-LN(2)/25))/(LN(2)/25)*Calculateur!V153*Calculateur!X153*VLOOKUP('Données projet'!$B$9,Paramètres!$A$1:$I$88,3,0)*0.475*44/12</f>
        <v>0</v>
      </c>
      <c r="AB153" s="23">
        <f>EXP(-LN(2)/2)*AB152+(1-EXP(-LN(2)/2))/(LN(2)/2)*V153*Y153*VLOOKUP('Données projet'!$B$9,Paramètres!$A$1:$I$88,3,0)*0.475*44/12</f>
        <v>0</v>
      </c>
      <c r="AC153" s="24">
        <f t="shared" si="112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IF(A153&lt;'Données projet'!$A$62,$AF$205^A153,IF(A153='Données projet'!$A$62,'Données projet'!$B$62,AI152+AH153-AQ152))</f>
        <v>1.1368683772161603E-13</v>
      </c>
      <c r="AJ153" s="14">
        <f>AI153*VLOOKUP('Données projet'!$B$10,Paramètres!$A$1:$I$88,3,0)*VLOOKUP('Données projet'!$B$10,Paramètres!$A$1:$I$88,5,0)</f>
        <v>1.1882548278663309E-13</v>
      </c>
      <c r="AK153" s="14">
        <f t="shared" si="152"/>
        <v>1.7496137229198366E-12</v>
      </c>
      <c r="AL153" s="22">
        <f t="shared" si="113"/>
        <v>3.2541982832721012E-12</v>
      </c>
      <c r="AM153" s="62">
        <f t="shared" si="114"/>
        <v>283.24006051989755</v>
      </c>
      <c r="AN153" s="62">
        <f ca="1">AVERAGE(OFFSET($AM$3,0,0,'Données projet'!$E$10+1,1))-AVERAGE(OFFSET($H$3,0,0,'Données projet'!$E$10+1,1))</f>
        <v>458.33072853676879</v>
      </c>
      <c r="AO153" s="62">
        <f t="shared" si="115"/>
        <v>254.1734169352687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projet'!$B$10,Paramètres!$A$1:$I$88,7,0))</f>
        <v>0</v>
      </c>
      <c r="AS153" s="17">
        <f>IF(ISNA(VLOOKUP(A153,'Données projet'!$A$61:$I$81,6,0)),0%,VLOOKUP(A153,'Données projet'!$A$61:$I$81,6,0)*VLOOKUP('Données projet'!$B$10,Paramètres!$A$1:$I$88,7,0))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projet'!$B$9,Paramètres!$A$1:$I$88,3,0)*0.475*44/12</f>
        <v>0</v>
      </c>
      <c r="AV153" s="23">
        <f>EXP(-LN(2)/25)*AV152+(1-EXP(-LN(2)/25))/(LN(2)/25)*Calculateur!AQ153*Calculateur!AS153*VLOOKUP('Données projet'!$B$9,Paramètres!$A$1:$I$88,3,0)*0.475*44/12</f>
        <v>0</v>
      </c>
      <c r="AW153" s="23">
        <f>EXP(-LN(2)/2)*AW152+(1-EXP(-LN(2)/2))/(LN(2)/2)*AQ153*AT153*VLOOKUP('Données projet'!$B$9,Paramètres!$A$1:$I$88,3,0)*0.475*44/12</f>
        <v>0</v>
      </c>
      <c r="AX153" s="23">
        <f t="shared" si="116"/>
        <v>0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IF(A153&lt;'Données projet'!$A$88,$BA$205^A153,IF(A153='Données projet'!$A$88,'Données projet'!$B$88,BD152+BC153-BL152))</f>
        <v>1.1368683772161603E-13</v>
      </c>
      <c r="BE153" s="14">
        <f>BD153*VLOOKUP('Données projet'!$B$11,Paramètres!$A$1:$I$88,3,0)*VLOOKUP('Données projet'!$B$11,Paramètres!$A$1:$I$88,5,0)</f>
        <v>1.1527845344971866E-13</v>
      </c>
      <c r="BF153" s="14">
        <f t="shared" si="153"/>
        <v>1.7033846239409443E-12</v>
      </c>
      <c r="BG153" s="22">
        <f t="shared" si="117"/>
        <v>3.1675048597887374E-12</v>
      </c>
      <c r="BH153" s="62">
        <f t="shared" si="118"/>
        <v>283.2400605198975</v>
      </c>
      <c r="BI153" s="62">
        <f ca="1">AVERAGE(OFFSET($BH$3,0,0,'Données projet'!$E$11+1,1))-AVERAGE(OFFSET($H$3,0,0,'Données projet'!$E$11+1,1))</f>
        <v>447.82618173893104</v>
      </c>
      <c r="BJ153" s="62">
        <f t="shared" si="119"/>
        <v>248.96509970783379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projet'!$B$11,Paramètres!$A$1:$I$88,7,0))</f>
        <v>0</v>
      </c>
      <c r="BN153" s="17">
        <f>IF(ISNA(VLOOKUP(A153,'Données projet'!$A$87:$I$107,6,0)),0%,VLOOKUP(A153,'Données projet'!$A$87:$I$107,6,0)*VLOOKUP('Données projet'!$B$11,Paramètres!$A$1:$I$88,7,0))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projet'!$B$9,Paramètres!$A$1:$I$88,3,0)*0.475*44/12</f>
        <v>0</v>
      </c>
      <c r="BQ153" s="23">
        <f>EXP(-LN(2)/25)*BQ152+(1-EXP(-LN(2)/25))/(LN(2)/25)*Calculateur!BL153*Calculateur!BN153*VLOOKUP('Données projet'!$B$9,Paramètres!$A$1:$I$88,3,0)*0.475*44/12</f>
        <v>0</v>
      </c>
      <c r="BR153" s="23">
        <f>EXP(-LN(2)/2)*BR152+(1-EXP(-LN(2)/2))/(LN(2)/2)*BL153*BO153*VLOOKUP('Données projet'!$B$9,Paramètres!$A$1:$I$88,3,0)*0.475*44/12</f>
        <v>0</v>
      </c>
      <c r="BS153" s="24">
        <f t="shared" si="120"/>
        <v>0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IF(A153&lt;'Données projet'!$A$114,$BV$205^A153,IF(A153='Données projet'!$A$114,'Données projet'!$B$114,BY152+BX153-CG152))</f>
        <v>1.1368683772161603E-13</v>
      </c>
      <c r="BZ153" s="14">
        <f>BY153*VLOOKUP('Données projet'!$B$12,Paramètres!$A$1:$I$88,3,0)*VLOOKUP('Données projet'!$B$12,Paramètres!$A$1:$I$88,5,0)</f>
        <v>1.223725121235475E-13</v>
      </c>
      <c r="CA153" s="14">
        <f t="shared" si="154"/>
        <v>1.7956824466038182E-12</v>
      </c>
      <c r="CB153" s="22">
        <f t="shared" si="121"/>
        <v>3.3406123864501612E-12</v>
      </c>
      <c r="CC153" s="62">
        <f t="shared" si="122"/>
        <v>283.24006051989767</v>
      </c>
      <c r="CD153" s="62">
        <f ca="1">AVERAGE(OFFSET($CC$3,0,0,'Données projet'!$E$12+1,1))-AVERAGE(OFFSET($H$3,0,0,'Données projet'!$E$12+1,1))</f>
        <v>468.82871618425406</v>
      </c>
      <c r="CE153" s="62">
        <f t="shared" si="123"/>
        <v>259.37818128554397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projet'!$B$12,Paramètres!$A$1:$I$88,7,0))</f>
        <v>0</v>
      </c>
      <c r="CI153" s="17">
        <f>IF(ISNA(VLOOKUP(A153,'Données projet'!$A$113:$I$133,6,0)),0%,VLOOKUP(A153,'Données projet'!$A$113:$I$133,6,0)*VLOOKUP('Données projet'!$B$12,Paramètres!$A$1:$I$88,7,0))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projet'!$B$9,Paramètres!$A$1:$I$88,3,0)*0.475*44/12</f>
        <v>0</v>
      </c>
      <c r="CL153" s="23">
        <f>EXP(-LN(2)/25)*CL152+(1-EXP(-LN(2)/25))/(LN(2)/25)*Calculateur!CG153*Calculateur!CI153*VLOOKUP('Données projet'!$B$9,Paramètres!$A$1:$I$88,3,0)*0.475*44/12</f>
        <v>0</v>
      </c>
      <c r="CM153" s="23">
        <f>EXP(-LN(2)/2)*CM152+(1-EXP(-LN(2)/2))/(LN(2)/2)*CG153*CJ153*VLOOKUP('Données projet'!$B$9,Paramètres!$A$1:$I$88,3,0)*0.475*44/12</f>
        <v>0</v>
      </c>
      <c r="CN153" s="24">
        <f t="shared" si="124"/>
        <v>0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IF(A153&lt;'Données projet'!$A$140,$CQ$205^A153,IF(A153='Données projet'!$A$140,'Données projet'!$B$140,CT152+CS153-DB152))</f>
        <v>1.1368683772161603E-13</v>
      </c>
      <c r="CU153" s="18">
        <f>CT153*VLOOKUP('Données projet'!$B$13,Paramètres!$A$1:$I$88,3,0)*VLOOKUP('Données projet'!$B$13,Paramètres!$A$1:$I$88,5,0)</f>
        <v>9.7543306765146564E-14</v>
      </c>
      <c r="CV153" s="14">
        <f t="shared" si="155"/>
        <v>1.4696264278629426E-12</v>
      </c>
      <c r="CW153" s="22">
        <f t="shared" si="125"/>
        <v>2.7294872878105889E-12</v>
      </c>
      <c r="CX153" s="62">
        <f t="shared" si="126"/>
        <v>283.24006051989704</v>
      </c>
      <c r="CY153" s="62">
        <f ca="1">AVERAGE(OFFSET($CX$3,0,0,'Données projet'!$E$13+1,1))-AVERAGE(OFFSET($H$3,0,0,'Données projet'!$E$13+1,1))</f>
        <v>395.19659151668884</v>
      </c>
      <c r="CZ153" s="62">
        <f t="shared" si="127"/>
        <v>222.86563304507339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projet'!$B$13,Paramètres!$A$1:$I$88,7,0))</f>
        <v>0</v>
      </c>
      <c r="DD153" s="17">
        <f>IF(ISNA(VLOOKUP(A153,'Données projet'!$A$139:$I$159,6,0)),0%,VLOOKUP(A153,'Données projet'!$A$139:$I$159,6,0)*VLOOKUP('Données projet'!$B$13,Paramètres!$A$1:$I$88,7,0))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projet'!$B$9,Paramètres!$A$1:$I$88,3,0)*0.475*44/12</f>
        <v>0</v>
      </c>
      <c r="DG153" s="23">
        <f>EXP(-LN(2)/25)*DG152+(1-EXP(-LN(2)/25))/(LN(2)/25)*Calculateur!DB153*Calculateur!DD153*VLOOKUP('Données projet'!$B$9,Paramètres!$A$1:$I$88,3,0)*0.475*44/12</f>
        <v>0</v>
      </c>
      <c r="DH153" s="23">
        <f>EXP(-LN(2)/2)*DH152+(1-EXP(-LN(2)/2))/(LN(2)/2)*DB153*DE153*VLOOKUP('Données projet'!$B$9,Paramètres!$A$1:$I$88,3,0)*0.475*44/12</f>
        <v>0</v>
      </c>
      <c r="DI153" s="24">
        <f t="shared" si="128"/>
        <v>0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IF(A153&lt;'Données projet'!$A$166,$DL$205^A153,IF(A153='Données projet'!$A$166,'Données projet'!$B$166,DO152+DN153-DW152))</f>
        <v>-8.5265128291212022E-14</v>
      </c>
      <c r="DP153" s="18">
        <f>DO153*VLOOKUP('Données projet'!$B$14,Paramètres!$A$1:$I$88,3,0)*VLOOKUP('Données projet'!$B$14,Paramètres!$A$1:$I$88,5,0)</f>
        <v>-4.9880100050359036E-14</v>
      </c>
      <c r="DQ153" s="14" t="e">
        <f t="shared" si="156"/>
        <v>#NUM!</v>
      </c>
      <c r="DR153" s="22" t="e">
        <f t="shared" si="129"/>
        <v>#NUM!</v>
      </c>
      <c r="DS153" s="62" t="e">
        <f t="shared" si="130"/>
        <v>#NUM!</v>
      </c>
      <c r="DT153" s="62">
        <f ca="1">AVERAGE(OFFSET($DS$3,0,0,'Données projet'!$E$14+1,1))-AVERAGE(OFFSET($H$3,0,0,'Données projet'!$E$14+1,1))</f>
        <v>155.18073137151848</v>
      </c>
      <c r="DU153" s="62">
        <f t="shared" si="131"/>
        <v>115.19459155667272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projet'!$B$14,Paramètres!$A$1:$I$88,7,0))</f>
        <v>0</v>
      </c>
      <c r="DY153" s="17">
        <f>IF(ISNA(VLOOKUP(A153,'Données projet'!$A$165:$I$185,6,0)),0%,VLOOKUP(A153,'Données projet'!$A$165:$I$185,6,0)*VLOOKUP('Données projet'!$B$14,Paramètres!$A$1:$I$88,7,0))</f>
        <v>0</v>
      </c>
      <c r="DZ153" s="17">
        <f>IF(ISNA(VLOOKUP(A153,'Données projet'!$A$165:$I$185,7,0)),0%,VLOOKUP(A153,'Données projet'!$A$165:$I$185,7,0))</f>
        <v>0</v>
      </c>
      <c r="EA153" s="23">
        <f>EXP(-LN(2)/35)*EA152+(1-EXP(-LN(2)/35))/(LN(2)/35)*DW153*DX153*VLOOKUP('Données projet'!$B$9,Paramètres!$A$1:$I$88,3,0)*0.475*44/12</f>
        <v>0</v>
      </c>
      <c r="EB153" s="23">
        <f>EXP(-LN(2)/25)*EB152+(1-EXP(-LN(2)/25))/(LN(2)/25)*Calculateur!DW153*Calculateur!DY153*VLOOKUP('Données projet'!$B$9,Paramètres!$A$1:$I$88,3,0)*0.475*44/12</f>
        <v>0</v>
      </c>
      <c r="EC153" s="23">
        <f>EXP(-LN(2)/2)*EC152+(1-EXP(-LN(2)/2))/(LN(2)/2)*DW153*DZ153*VLOOKUP('Données projet'!$B$9,Paramètres!$A$1:$I$88,3,0)*0.475*44/12</f>
        <v>0</v>
      </c>
      <c r="ED153" s="24">
        <f t="shared" si="132"/>
        <v>0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IF(A153&lt;'Données projet'!$A$192,$EG$205^A153,IF(A153='Données projet'!$A$192,'Données projet'!$B$192,EJ152+EI153-ER152))</f>
        <v>-5.6843418860808015E-14</v>
      </c>
      <c r="EK153" s="18">
        <f>EJ153*VLOOKUP('Données projet'!$B$15,Paramètres!$A$1:$I$88,3,0)*VLOOKUP('Données projet'!$B$15,Paramètres!$A$1:$I$88,5,0)</f>
        <v>-2.6602720026858149E-14</v>
      </c>
      <c r="EL153" s="14" t="e">
        <f t="shared" si="157"/>
        <v>#NUM!</v>
      </c>
      <c r="EM153" s="22" t="e">
        <f t="shared" si="133"/>
        <v>#NUM!</v>
      </c>
      <c r="EN153" s="62" t="e">
        <f t="shared" si="134"/>
        <v>#NUM!</v>
      </c>
      <c r="EO153" s="62">
        <f ca="1">AVERAGE(OFFSET($EN$3,0,0,'Données projet'!$E$15+1,1))-AVERAGE(OFFSET($H$3,0,0,'Données projet'!$E$15+1,1))</f>
        <v>238.59014604384171</v>
      </c>
      <c r="EP153" s="62">
        <f t="shared" si="135"/>
        <v>90.841373219575217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projet'!$B$15,Paramètres!$A$1:$I$88,7,0))</f>
        <v>0</v>
      </c>
      <c r="ET153" s="17">
        <f>IF(ISNA(VLOOKUP(A153,'Données projet'!$A$191:$I$211,6,0)),0%,VLOOKUP(A153,'Données projet'!$A$191:$I$211,6,0)*VLOOKUP('Données projet'!$B$15,Paramètres!$A$1:$I$88,7,0))</f>
        <v>0</v>
      </c>
      <c r="EU153" s="17">
        <f>IF(ISNA(VLOOKUP(A153,'Données projet'!$A$191:$I$211,7,0)),0%,VLOOKUP(A153,'Données projet'!$A$191:$I$211,7,0))</f>
        <v>0</v>
      </c>
      <c r="EV153" s="23">
        <f>EXP(-LN(2)/35)*EV152+(1-EXP(-LN(2)/35))/(LN(2)/35)*ER153*ES153*VLOOKUP('Données projet'!$B$9,Paramètres!$A$1:$I$88,3,0)*0.475*44/12</f>
        <v>0</v>
      </c>
      <c r="EW153" s="23">
        <f>EXP(-LN(2)/25)*EW152+(1-EXP(-LN(2)/25))/(LN(2)/25)*Calculateur!ER153*Calculateur!ET153*VLOOKUP('Données projet'!$B$9,Paramètres!$A$1:$I$88,3,0)*0.475*44/12</f>
        <v>0</v>
      </c>
      <c r="EX153" s="23">
        <f>EXP(-LN(2)/2)*EX152+(1-EXP(-LN(2)/2))/(LN(2)/2)*ER153*EU153*VLOOKUP('Données projet'!$B$9,Paramètres!$A$1:$I$88,3,0)*0.475*44/12</f>
        <v>0</v>
      </c>
      <c r="EY153" s="24">
        <f t="shared" si="136"/>
        <v>0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IF(A153&lt;'Données projet'!$A$218,$FB$205^A153,IF(A153='Données projet'!$A$218,'Données projet'!$B$218,FE152+FD153-FM152))</f>
        <v>0</v>
      </c>
      <c r="FF153" s="18" t="e">
        <f>FE153*VLOOKUP('Données projet'!$B$16,Paramètres!$A$1:$I$88,3,0)*VLOOKUP('Données projet'!$B$16,Paramètres!$A$1:$I$88,5,0)</f>
        <v>#N/A</v>
      </c>
      <c r="FG153" s="14" t="e">
        <f t="shared" si="158"/>
        <v>#N/A</v>
      </c>
      <c r="FH153" s="22" t="e">
        <f t="shared" si="137"/>
        <v>#N/A</v>
      </c>
      <c r="FI153" s="62" t="e">
        <f t="shared" si="138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39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projet'!$B$16,Paramètres!$A$1:$I$88,7,0))</f>
        <v>0</v>
      </c>
      <c r="FO153" s="17">
        <f>IF(ISNA(VLOOKUP(A153,'Données projet'!$A$217:$I$237,6,0)),0%,VLOOKUP(A153,'Données projet'!$A$217:$I$237,6,0)*VLOOKUP('Données projet'!$B$16,Paramètres!$A$1:$I$88,7,0))</f>
        <v>0</v>
      </c>
      <c r="FP153" s="17">
        <f>IF(ISNA(VLOOKUP(A153,'Données projet'!$A$217:$I$237,7,0)),0%,VLOOKUP(A153,'Données projet'!$A$217:$I$237,7,0))</f>
        <v>0</v>
      </c>
      <c r="FQ153" s="23">
        <f>EXP(-LN(2)/35)*FQ152+(1-EXP(-LN(2)/35))/(LN(2)/35)*FM153*FN153*VLOOKUP('Données projet'!$B$9,Paramètres!$A$1:$I$88,3,0)*0.475*44/12</f>
        <v>0</v>
      </c>
      <c r="FR153" s="23">
        <f>EXP(-LN(2)/25)*FR152+(1-EXP(-LN(2)/25))/(LN(2)/25)*Calculateur!FM153*Calculateur!FO153*VLOOKUP('Données projet'!$B$9,Paramètres!$A$1:$I$88,3,0)*0.475*44/12</f>
        <v>0</v>
      </c>
      <c r="FS153" s="23">
        <f>EXP(-LN(2)/2)*FS152+(1-EXP(-LN(2)/2))/(LN(2)/2)*FM153*FP153*VLOOKUP('Données projet'!$B$9,Paramètres!$A$1:$I$88,3,0)*0.475*44/12</f>
        <v>0</v>
      </c>
      <c r="FT153" s="24">
        <f t="shared" si="140"/>
        <v>0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IF(A153&lt;'Données projet'!$A$244,$FW$205^A153,IF(A153='Données projet'!$A$244,'Données projet'!$B$244,FZ152+FY153-GH152))</f>
        <v>0</v>
      </c>
      <c r="GA153" s="18" t="e">
        <f>FZ153*VLOOKUP('Données projet'!$B$17,Paramètres!$A$1:$I$88,3,0)*VLOOKUP('Données projet'!$B$17,Paramètres!$A$1:$I$88,5,0)</f>
        <v>#N/A</v>
      </c>
      <c r="GB153" s="14" t="e">
        <f t="shared" si="159"/>
        <v>#N/A</v>
      </c>
      <c r="GC153" s="22" t="e">
        <f t="shared" si="141"/>
        <v>#N/A</v>
      </c>
      <c r="GD153" s="62" t="e">
        <f t="shared" si="142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43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projet'!$B$17,Paramètres!$A$1:$I$88,7,0))</f>
        <v>0</v>
      </c>
      <c r="GJ153" s="17">
        <f>IF(ISNA(VLOOKUP(A153,'Données projet'!$A$243:$I$263,6,0)),0%,VLOOKUP(A153,'Données projet'!$A$243:$I$263,6,0)*VLOOKUP('Données projet'!$B$17,Paramètres!$A$1:$I$88,7,0))</f>
        <v>0</v>
      </c>
      <c r="GK153" s="17">
        <f>IF(ISNA(VLOOKUP(A153,'Données projet'!$A$243:$I$263,7,0)),0%,VLOOKUP(A153,'Données projet'!$A$243:$I$263,7,0))</f>
        <v>0</v>
      </c>
      <c r="GL153" s="23">
        <f>EXP(-LN(2)/35)*GL152+(1-EXP(-LN(2)/35))/(LN(2)/35)*GH153*GI153*VLOOKUP('Données projet'!$B$9,Paramètres!$A$1:$I$88,3,0)*0.475*44/12</f>
        <v>0</v>
      </c>
      <c r="GM153" s="23">
        <f>EXP(-LN(2)/25)*GM152+(1-EXP(-LN(2)/25))/(LN(2)/25)*Calculateur!GH153*Calculateur!GJ153*VLOOKUP('Données projet'!$B$9,Paramètres!$A$1:$I$88,3,0)*0.475*44/12</f>
        <v>0</v>
      </c>
      <c r="GN153" s="23">
        <f>EXP(-LN(2)/2)*GN152+(1-EXP(-LN(2)/2))/(LN(2)/2)*GH153*GK153*VLOOKUP('Données projet'!$B$9,Paramètres!$A$1:$I$88,3,0)*0.475*44/12</f>
        <v>0</v>
      </c>
      <c r="GO153" s="23">
        <f t="shared" si="144"/>
        <v>0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IF(A153&lt;'Données projet'!$A$270,$GR$205^A153,IF(A153='Données projet'!$A$270,'Données projet'!$B$270,GU152+GT153-HC152))</f>
        <v>0</v>
      </c>
      <c r="GV153" s="18" t="e">
        <f>GU153*VLOOKUP('Données projet'!$B$18,Paramètres!$A$1:$I$88,3,0)*VLOOKUP('Données projet'!$B$18,Paramètres!$A$1:$I$88,5,0)</f>
        <v>#N/A</v>
      </c>
      <c r="GW153" s="14" t="e">
        <f t="shared" si="160"/>
        <v>#N/A</v>
      </c>
      <c r="GX153" s="22" t="e">
        <f t="shared" si="145"/>
        <v>#N/A</v>
      </c>
      <c r="GY153" s="62" t="e">
        <f t="shared" si="146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47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projet'!$B$18,Paramètres!$A$1:$I$88,7,0))</f>
        <v>0</v>
      </c>
      <c r="HE153" s="17">
        <f>IF(ISNA(VLOOKUP(A153,'Données projet'!$A$269:$I$289,6,0)),0%,VLOOKUP(A153,'Données projet'!$A$269:$I$289,6,0)*VLOOKUP('Données projet'!$B$18,Paramètres!$A$1:$I$88,7,0))</f>
        <v>0</v>
      </c>
      <c r="HF153" s="17">
        <f>IF(ISNA(VLOOKUP(A153,'Données projet'!$A$269:$I$289,7,0)),0%,VLOOKUP(A153,'Données projet'!$A$269:$I$289,7,0))</f>
        <v>0</v>
      </c>
      <c r="HG153" s="23">
        <f>EXP(-LN(2)/35)*HG152+(1-EXP(-LN(2)/35))/(LN(2)/35)*HC153*HD153*VLOOKUP('Données projet'!$B$9,Paramètres!$A$1:$I$88,3,0)*0.475*44/12</f>
        <v>0</v>
      </c>
      <c r="HH153" s="23">
        <f>EXP(-LN(2)/25)*HH152+(1-EXP(-LN(2)/25))/(LN(2)/25)*Calculateur!HC153*Calculateur!HE153*VLOOKUP('Données projet'!$B$9,Paramètres!$A$1:$I$88,3,0)*0.475*44/12</f>
        <v>0</v>
      </c>
      <c r="HI153" s="23">
        <f>EXP(-LN(2)/2)*HI152+(1-EXP(-LN(2)/2))/(LN(2)/2)*HC153*HF153*VLOOKUP('Données projet'!$B$9,Paramètres!$A$1:$I$88,3,0)*0.475*44/12</f>
        <v>0</v>
      </c>
      <c r="HJ153" s="24">
        <f t="shared" si="148"/>
        <v>0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4" s="12">
        <f t="shared" si="15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111"/>
        <v>135.66666666666666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IF(A154&lt;'Données projet'!$A$36,$K$205^A154,IF(A154='Données projet'!$A$36,'Données projet'!$B$36,N153+M154-V153))</f>
        <v>0</v>
      </c>
      <c r="O154" s="14">
        <f>N154*VLOOKUP('Données projet'!$B$9,Paramètres!$A$1:$I$88,3,0)*VLOOKUP('Données projet'!$B$9,Paramètres!$A$1:$I$88,5,0)</f>
        <v>0</v>
      </c>
      <c r="P154" s="14" t="e">
        <f t="shared" si="15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314.72063458462026</v>
      </c>
      <c r="T154" s="62">
        <f t="shared" si="110"/>
        <v>216.4380325968244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projet'!$B$9,Paramètres!$A$1:$I$88,7,0))</f>
        <v>0</v>
      </c>
      <c r="X154" s="17">
        <f>IF(ISNA(VLOOKUP(A154,'Données projet'!$A$35:$I$55,6,0)),0%,VLOOKUP(A154,'Données projet'!$A$35:$I$55,6,0)*VLOOKUP('Données projet'!$B$9,Paramètres!$A$1:$I$88,7,0))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projet'!$B$9,Paramètres!$A$1:$I$88,3,0)*0.475*44/12</f>
        <v>0</v>
      </c>
      <c r="AA154" s="23">
        <f>EXP(-LN(2)/25)*AA153+(1-EXP(-LN(2)/25))/(LN(2)/25)*Calculateur!V154*Calculateur!X154*VLOOKUP('Données projet'!$B$9,Paramètres!$A$1:$I$88,3,0)*0.475*44/12</f>
        <v>0</v>
      </c>
      <c r="AB154" s="23">
        <f>EXP(-LN(2)/2)*AB153+(1-EXP(-LN(2)/2))/(LN(2)/2)*V154*Y154*VLOOKUP('Données projet'!$B$9,Paramètres!$A$1:$I$88,3,0)*0.475*44/12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IF(A154&lt;'Données projet'!$A$62,$AF$205^A154,IF(A154='Données projet'!$A$62,'Données projet'!$B$62,AI153+AH154-AQ153))</f>
        <v>1.1368683772161603E-13</v>
      </c>
      <c r="AJ154" s="14">
        <f>AI154*VLOOKUP('Données projet'!$B$10,Paramètres!$A$1:$I$88,3,0)*VLOOKUP('Données projet'!$B$10,Paramètres!$A$1:$I$88,5,0)</f>
        <v>1.1882548278663309E-13</v>
      </c>
      <c r="AK154" s="14">
        <f t="shared" ref="AK154:AK203" si="164">EXP(-1.0587+0.8836*LN(AJ154)+0.284)</f>
        <v>1.7496137229198366E-12</v>
      </c>
      <c r="AL154" s="22">
        <f t="shared" ref="AL154:AL203" si="165">(AJ154+AK154)*0.475*44/12</f>
        <v>3.2541982832721012E-12</v>
      </c>
      <c r="AM154" s="62">
        <f t="shared" si="114"/>
        <v>283.41515623803321</v>
      </c>
      <c r="AN154" s="62">
        <f ca="1">AVERAGE(OFFSET($AM$3,0,0,'Données projet'!$E$10+1,1))-AVERAGE(OFFSET($H$3,0,0,'Données projet'!$E$10+1,1))</f>
        <v>458.33072853676879</v>
      </c>
      <c r="AO154" s="62">
        <f t="shared" si="115"/>
        <v>254.1734169352687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projet'!$B$10,Paramètres!$A$1:$I$88,7,0))</f>
        <v>0</v>
      </c>
      <c r="AS154" s="17">
        <f>IF(ISNA(VLOOKUP(A154,'Données projet'!$A$61:$I$81,6,0)),0%,VLOOKUP(A154,'Données projet'!$A$61:$I$81,6,0)*VLOOKUP('Données projet'!$B$10,Paramètres!$A$1:$I$88,7,0))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projet'!$B$9,Paramètres!$A$1:$I$88,3,0)*0.475*44/12</f>
        <v>0</v>
      </c>
      <c r="AV154" s="23">
        <f>EXP(-LN(2)/25)*AV153+(1-EXP(-LN(2)/25))/(LN(2)/25)*Calculateur!AQ154*Calculateur!AS154*VLOOKUP('Données projet'!$B$9,Paramètres!$A$1:$I$88,3,0)*0.475*44/12</f>
        <v>0</v>
      </c>
      <c r="AW154" s="23">
        <f>EXP(-LN(2)/2)*AW153+(1-EXP(-LN(2)/2))/(LN(2)/2)*AQ154*AT154*VLOOKUP('Données projet'!$B$9,Paramètres!$A$1:$I$88,3,0)*0.475*44/12</f>
        <v>0</v>
      </c>
      <c r="AX154" s="23">
        <f t="shared" ref="AX154:AX203" si="166">SUM(AU154:AW154)</f>
        <v>0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IF(A154&lt;'Données projet'!$A$88,$BA$205^A154,IF(A154='Données projet'!$A$88,'Données projet'!$B$88,BD153+BC154-BL153))</f>
        <v>1.1368683772161603E-13</v>
      </c>
      <c r="BE154" s="14">
        <f>BD154*VLOOKUP('Données projet'!$B$11,Paramètres!$A$1:$I$88,3,0)*VLOOKUP('Données projet'!$B$11,Paramètres!$A$1:$I$88,5,0)</f>
        <v>1.1527845344971866E-13</v>
      </c>
      <c r="BF154" s="14">
        <f t="shared" ref="BF154:BF203" si="167">EXP(-1.0587+0.8836*LN(BE154)+0.284)</f>
        <v>1.7033846239409443E-12</v>
      </c>
      <c r="BG154" s="22">
        <f t="shared" ref="BG154:BG203" si="168">(BE154+BF154)*0.475*44/12</f>
        <v>3.1675048597887374E-12</v>
      </c>
      <c r="BH154" s="62">
        <f t="shared" si="118"/>
        <v>283.41515623803315</v>
      </c>
      <c r="BI154" s="62">
        <f ca="1">AVERAGE(OFFSET($BH$3,0,0,'Données projet'!$E$11+1,1))-AVERAGE(OFFSET($H$3,0,0,'Données projet'!$E$11+1,1))</f>
        <v>447.82618173893104</v>
      </c>
      <c r="BJ154" s="62">
        <f t="shared" si="119"/>
        <v>248.96509970783379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projet'!$B$11,Paramètres!$A$1:$I$88,7,0))</f>
        <v>0</v>
      </c>
      <c r="BN154" s="17">
        <f>IF(ISNA(VLOOKUP(A154,'Données projet'!$A$87:$I$107,6,0)),0%,VLOOKUP(A154,'Données projet'!$A$87:$I$107,6,0)*VLOOKUP('Données projet'!$B$11,Paramètres!$A$1:$I$88,7,0))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projet'!$B$9,Paramètres!$A$1:$I$88,3,0)*0.475*44/12</f>
        <v>0</v>
      </c>
      <c r="BQ154" s="23">
        <f>EXP(-LN(2)/25)*BQ153+(1-EXP(-LN(2)/25))/(LN(2)/25)*Calculateur!BL154*Calculateur!BN154*VLOOKUP('Données projet'!$B$9,Paramètres!$A$1:$I$88,3,0)*0.475*44/12</f>
        <v>0</v>
      </c>
      <c r="BR154" s="23">
        <f>EXP(-LN(2)/2)*BR153+(1-EXP(-LN(2)/2))/(LN(2)/2)*BL154*BO154*VLOOKUP('Données projet'!$B$9,Paramètres!$A$1:$I$88,3,0)*0.475*44/12</f>
        <v>0</v>
      </c>
      <c r="BS154" s="24">
        <f t="shared" ref="BS154:BS203" si="169">SUM(BP154:BR154)</f>
        <v>0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IF(A154&lt;'Données projet'!$A$114,$BV$205^A154,IF(A154='Données projet'!$A$114,'Données projet'!$B$114,BY153+BX154-CG153))</f>
        <v>1.1368683772161603E-13</v>
      </c>
      <c r="BZ154" s="14">
        <f>BY154*VLOOKUP('Données projet'!$B$12,Paramètres!$A$1:$I$88,3,0)*VLOOKUP('Données projet'!$B$12,Paramètres!$A$1:$I$88,5,0)</f>
        <v>1.223725121235475E-13</v>
      </c>
      <c r="CA154" s="14">
        <f t="shared" ref="CA154:CA203" si="170">EXP(-1.0587+0.8836*LN(BZ154)+0.284)</f>
        <v>1.7956824466038182E-12</v>
      </c>
      <c r="CB154" s="22">
        <f t="shared" ref="CB154:CB203" si="171">(BZ154+CA154)*0.475*44/12</f>
        <v>3.3406123864501612E-12</v>
      </c>
      <c r="CC154" s="62">
        <f t="shared" si="122"/>
        <v>283.41515623803332</v>
      </c>
      <c r="CD154" s="62">
        <f ca="1">AVERAGE(OFFSET($CC$3,0,0,'Données projet'!$E$12+1,1))-AVERAGE(OFFSET($H$3,0,0,'Données projet'!$E$12+1,1))</f>
        <v>468.82871618425406</v>
      </c>
      <c r="CE154" s="62">
        <f t="shared" si="123"/>
        <v>259.37818128554397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projet'!$B$12,Paramètres!$A$1:$I$88,7,0))</f>
        <v>0</v>
      </c>
      <c r="CI154" s="17">
        <f>IF(ISNA(VLOOKUP(A154,'Données projet'!$A$113:$I$133,6,0)),0%,VLOOKUP(A154,'Données projet'!$A$113:$I$133,6,0)*VLOOKUP('Données projet'!$B$12,Paramètres!$A$1:$I$88,7,0))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projet'!$B$9,Paramètres!$A$1:$I$88,3,0)*0.475*44/12</f>
        <v>0</v>
      </c>
      <c r="CL154" s="23">
        <f>EXP(-LN(2)/25)*CL153+(1-EXP(-LN(2)/25))/(LN(2)/25)*Calculateur!CG154*Calculateur!CI154*VLOOKUP('Données projet'!$B$9,Paramètres!$A$1:$I$88,3,0)*0.475*44/12</f>
        <v>0</v>
      </c>
      <c r="CM154" s="23">
        <f>EXP(-LN(2)/2)*CM153+(1-EXP(-LN(2)/2))/(LN(2)/2)*CG154*CJ154*VLOOKUP('Données projet'!$B$9,Paramètres!$A$1:$I$88,3,0)*0.475*44/12</f>
        <v>0</v>
      </c>
      <c r="CN154" s="24">
        <f t="shared" ref="CN154:CN203" si="172">SUM(CK154:CM154)</f>
        <v>0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IF(A154&lt;'Données projet'!$A$140,$CQ$205^A154,IF(A154='Données projet'!$A$140,'Données projet'!$B$140,CT153+CS154-DB153))</f>
        <v>1.1368683772161603E-13</v>
      </c>
      <c r="CU154" s="18">
        <f>CT154*VLOOKUP('Données projet'!$B$13,Paramètres!$A$1:$I$88,3,0)*VLOOKUP('Données projet'!$B$13,Paramètres!$A$1:$I$88,5,0)</f>
        <v>9.7543306765146564E-14</v>
      </c>
      <c r="CV154" s="14">
        <f t="shared" ref="CV154:CV203" si="173">EXP(-1.0587+0.8836*LN(CU154)+0.284)</f>
        <v>1.4696264278629426E-12</v>
      </c>
      <c r="CW154" s="22">
        <f t="shared" ref="CW154:CW203" si="174">(CU154+CV154)*0.475*44/12</f>
        <v>2.7294872878105889E-12</v>
      </c>
      <c r="CX154" s="62">
        <f t="shared" si="126"/>
        <v>283.41515623803269</v>
      </c>
      <c r="CY154" s="62">
        <f ca="1">AVERAGE(OFFSET($CX$3,0,0,'Données projet'!$E$13+1,1))-AVERAGE(OFFSET($H$3,0,0,'Données projet'!$E$13+1,1))</f>
        <v>395.19659151668884</v>
      </c>
      <c r="CZ154" s="62">
        <f t="shared" si="127"/>
        <v>222.86563304507339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projet'!$B$13,Paramètres!$A$1:$I$88,7,0))</f>
        <v>0</v>
      </c>
      <c r="DD154" s="17">
        <f>IF(ISNA(VLOOKUP(A154,'Données projet'!$A$139:$I$159,6,0)),0%,VLOOKUP(A154,'Données projet'!$A$139:$I$159,6,0)*VLOOKUP('Données projet'!$B$13,Paramètres!$A$1:$I$88,7,0))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projet'!$B$9,Paramètres!$A$1:$I$88,3,0)*0.475*44/12</f>
        <v>0</v>
      </c>
      <c r="DG154" s="23">
        <f>EXP(-LN(2)/25)*DG153+(1-EXP(-LN(2)/25))/(LN(2)/25)*Calculateur!DB154*Calculateur!DD154*VLOOKUP('Données projet'!$B$9,Paramètres!$A$1:$I$88,3,0)*0.475*44/12</f>
        <v>0</v>
      </c>
      <c r="DH154" s="23">
        <f>EXP(-LN(2)/2)*DH153+(1-EXP(-LN(2)/2))/(LN(2)/2)*DB154*DE154*VLOOKUP('Données projet'!$B$9,Paramètres!$A$1:$I$88,3,0)*0.475*44/12</f>
        <v>0</v>
      </c>
      <c r="DI154" s="24">
        <f t="shared" ref="DI154:DI203" si="175">SUM(DF154:DH154)</f>
        <v>0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IF(A154&lt;'Données projet'!$A$166,$DL$205^A154,IF(A154='Données projet'!$A$166,'Données projet'!$B$166,DO153+DN154-DW153))</f>
        <v>-8.5265128291212022E-14</v>
      </c>
      <c r="DP154" s="18">
        <f>DO154*VLOOKUP('Données projet'!$B$14,Paramètres!$A$1:$I$88,3,0)*VLOOKUP('Données projet'!$B$14,Paramètres!$A$1:$I$88,5,0)</f>
        <v>-4.9880100050359036E-14</v>
      </c>
      <c r="DQ154" s="14" t="e">
        <f t="shared" ref="DQ154:DQ203" si="176">EXP(-1.0587+0.8836*LN(DP154)+0.284)</f>
        <v>#NUM!</v>
      </c>
      <c r="DR154" s="22" t="e">
        <f t="shared" ref="DR154:DR203" si="177">(DP154+DQ154)*0.475*44/12</f>
        <v>#NUM!</v>
      </c>
      <c r="DS154" s="62" t="e">
        <f t="shared" si="130"/>
        <v>#NUM!</v>
      </c>
      <c r="DT154" s="62">
        <f ca="1">AVERAGE(OFFSET($DS$3,0,0,'Données projet'!$E$14+1,1))-AVERAGE(OFFSET($H$3,0,0,'Données projet'!$E$14+1,1))</f>
        <v>155.18073137151848</v>
      </c>
      <c r="DU154" s="62">
        <f t="shared" si="131"/>
        <v>115.19459155667272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projet'!$B$14,Paramètres!$A$1:$I$88,7,0))</f>
        <v>0</v>
      </c>
      <c r="DY154" s="17">
        <f>IF(ISNA(VLOOKUP(A154,'Données projet'!$A$165:$I$185,6,0)),0%,VLOOKUP(A154,'Données projet'!$A$165:$I$185,6,0)*VLOOKUP('Données projet'!$B$14,Paramètres!$A$1:$I$88,7,0))</f>
        <v>0</v>
      </c>
      <c r="DZ154" s="17">
        <f>IF(ISNA(VLOOKUP(A154,'Données projet'!$A$165:$I$185,7,0)),0%,VLOOKUP(A154,'Données projet'!$A$165:$I$185,7,0))</f>
        <v>0</v>
      </c>
      <c r="EA154" s="23">
        <f>EXP(-LN(2)/35)*EA153+(1-EXP(-LN(2)/35))/(LN(2)/35)*DW154*DX154*VLOOKUP('Données projet'!$B$9,Paramètres!$A$1:$I$88,3,0)*0.475*44/12</f>
        <v>0</v>
      </c>
      <c r="EB154" s="23">
        <f>EXP(-LN(2)/25)*EB153+(1-EXP(-LN(2)/25))/(LN(2)/25)*Calculateur!DW154*Calculateur!DY154*VLOOKUP('Données projet'!$B$9,Paramètres!$A$1:$I$88,3,0)*0.475*44/12</f>
        <v>0</v>
      </c>
      <c r="EC154" s="23">
        <f>EXP(-LN(2)/2)*EC153+(1-EXP(-LN(2)/2))/(LN(2)/2)*DW154*DZ154*VLOOKUP('Données projet'!$B$9,Paramètres!$A$1:$I$88,3,0)*0.475*44/12</f>
        <v>0</v>
      </c>
      <c r="ED154" s="24">
        <f t="shared" ref="ED154:ED203" si="178">SUM(EA154:EC154)</f>
        <v>0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IF(A154&lt;'Données projet'!$A$192,$EG$205^A154,IF(A154='Données projet'!$A$192,'Données projet'!$B$192,EJ153+EI154-ER153))</f>
        <v>-5.6843418860808015E-14</v>
      </c>
      <c r="EK154" s="18">
        <f>EJ154*VLOOKUP('Données projet'!$B$15,Paramètres!$A$1:$I$88,3,0)*VLOOKUP('Données projet'!$B$15,Paramètres!$A$1:$I$88,5,0)</f>
        <v>-2.6602720026858149E-14</v>
      </c>
      <c r="EL154" s="14" t="e">
        <f t="shared" ref="EL154:EL203" si="179">EXP(-1.0587+0.8836*LN(EK154)+0.284)</f>
        <v>#NUM!</v>
      </c>
      <c r="EM154" s="22" t="e">
        <f t="shared" ref="EM154:EM203" si="180">(EK154+EL154)*0.475*44/12</f>
        <v>#NUM!</v>
      </c>
      <c r="EN154" s="62" t="e">
        <f t="shared" si="134"/>
        <v>#NUM!</v>
      </c>
      <c r="EO154" s="62">
        <f ca="1">AVERAGE(OFFSET($EN$3,0,0,'Données projet'!$E$15+1,1))-AVERAGE(OFFSET($H$3,0,0,'Données projet'!$E$15+1,1))</f>
        <v>238.59014604384171</v>
      </c>
      <c r="EP154" s="62">
        <f t="shared" si="135"/>
        <v>90.841373219575217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projet'!$B$15,Paramètres!$A$1:$I$88,7,0))</f>
        <v>0</v>
      </c>
      <c r="ET154" s="17">
        <f>IF(ISNA(VLOOKUP(A154,'Données projet'!$A$191:$I$211,6,0)),0%,VLOOKUP(A154,'Données projet'!$A$191:$I$211,6,0)*VLOOKUP('Données projet'!$B$15,Paramètres!$A$1:$I$88,7,0))</f>
        <v>0</v>
      </c>
      <c r="EU154" s="17">
        <f>IF(ISNA(VLOOKUP(A154,'Données projet'!$A$191:$I$211,7,0)),0%,VLOOKUP(A154,'Données projet'!$A$191:$I$211,7,0))</f>
        <v>0</v>
      </c>
      <c r="EV154" s="23">
        <f>EXP(-LN(2)/35)*EV153+(1-EXP(-LN(2)/35))/(LN(2)/35)*ER154*ES154*VLOOKUP('Données projet'!$B$9,Paramètres!$A$1:$I$88,3,0)*0.475*44/12</f>
        <v>0</v>
      </c>
      <c r="EW154" s="23">
        <f>EXP(-LN(2)/25)*EW153+(1-EXP(-LN(2)/25))/(LN(2)/25)*Calculateur!ER154*Calculateur!ET154*VLOOKUP('Données projet'!$B$9,Paramètres!$A$1:$I$88,3,0)*0.475*44/12</f>
        <v>0</v>
      </c>
      <c r="EX154" s="23">
        <f>EXP(-LN(2)/2)*EX153+(1-EXP(-LN(2)/2))/(LN(2)/2)*ER154*EU154*VLOOKUP('Données projet'!$B$9,Paramètres!$A$1:$I$88,3,0)*0.475*44/12</f>
        <v>0</v>
      </c>
      <c r="EY154" s="24">
        <f t="shared" ref="EY154:EY203" si="181">SUM(EV154:EX154)</f>
        <v>0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IF(A154&lt;'Données projet'!$A$218,$FB$205^A154,IF(A154='Données projet'!$A$218,'Données projet'!$B$218,FE153+FD154-FM153))</f>
        <v>0</v>
      </c>
      <c r="FF154" s="18" t="e">
        <f>FE154*VLOOKUP('Données projet'!$B$16,Paramètres!$A$1:$I$88,3,0)*VLOOKUP('Données projet'!$B$16,Paramètres!$A$1:$I$88,5,0)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8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39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projet'!$B$16,Paramètres!$A$1:$I$88,7,0))</f>
        <v>0</v>
      </c>
      <c r="FO154" s="17">
        <f>IF(ISNA(VLOOKUP(A154,'Données projet'!$A$217:$I$237,6,0)),0%,VLOOKUP(A154,'Données projet'!$A$217:$I$237,6,0)*VLOOKUP('Données projet'!$B$16,Paramètres!$A$1:$I$88,7,0))</f>
        <v>0</v>
      </c>
      <c r="FP154" s="17">
        <f>IF(ISNA(VLOOKUP(A154,'Données projet'!$A$217:$I$237,7,0)),0%,VLOOKUP(A154,'Données projet'!$A$217:$I$237,7,0))</f>
        <v>0</v>
      </c>
      <c r="FQ154" s="23">
        <f>EXP(-LN(2)/35)*FQ153+(1-EXP(-LN(2)/35))/(LN(2)/35)*FM154*FN154*VLOOKUP('Données projet'!$B$9,Paramètres!$A$1:$I$88,3,0)*0.475*44/12</f>
        <v>0</v>
      </c>
      <c r="FR154" s="23">
        <f>EXP(-LN(2)/25)*FR153+(1-EXP(-LN(2)/25))/(LN(2)/25)*Calculateur!FM154*Calculateur!FO154*VLOOKUP('Données projet'!$B$9,Paramètres!$A$1:$I$88,3,0)*0.475*44/12</f>
        <v>0</v>
      </c>
      <c r="FS154" s="23">
        <f>EXP(-LN(2)/2)*FS153+(1-EXP(-LN(2)/2))/(LN(2)/2)*FM154*FP154*VLOOKUP('Données projet'!$B$9,Paramètres!$A$1:$I$88,3,0)*0.475*44/12</f>
        <v>0</v>
      </c>
      <c r="FT154" s="24">
        <f t="shared" ref="FT154:FT203" si="184">SUM(FQ154:FS154)</f>
        <v>0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IF(A154&lt;'Données projet'!$A$244,$FW$205^A154,IF(A154='Données projet'!$A$244,'Données projet'!$B$244,FZ153+FY154-GH153))</f>
        <v>0</v>
      </c>
      <c r="GA154" s="18" t="e">
        <f>FZ154*VLOOKUP('Données projet'!$B$17,Paramètres!$A$1:$I$88,3,0)*VLOOKUP('Données projet'!$B$17,Paramètres!$A$1:$I$88,5,0)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42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43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projet'!$B$17,Paramètres!$A$1:$I$88,7,0))</f>
        <v>0</v>
      </c>
      <c r="GJ154" s="17">
        <f>IF(ISNA(VLOOKUP(A154,'Données projet'!$A$243:$I$263,6,0)),0%,VLOOKUP(A154,'Données projet'!$A$243:$I$263,6,0)*VLOOKUP('Données projet'!$B$17,Paramètres!$A$1:$I$88,7,0))</f>
        <v>0</v>
      </c>
      <c r="GK154" s="17">
        <f>IF(ISNA(VLOOKUP(A154,'Données projet'!$A$243:$I$263,7,0)),0%,VLOOKUP(A154,'Données projet'!$A$243:$I$263,7,0))</f>
        <v>0</v>
      </c>
      <c r="GL154" s="23">
        <f>EXP(-LN(2)/35)*GL153+(1-EXP(-LN(2)/35))/(LN(2)/35)*GH154*GI154*VLOOKUP('Données projet'!$B$9,Paramètres!$A$1:$I$88,3,0)*0.475*44/12</f>
        <v>0</v>
      </c>
      <c r="GM154" s="23">
        <f>EXP(-LN(2)/25)*GM153+(1-EXP(-LN(2)/25))/(LN(2)/25)*Calculateur!GH154*Calculateur!GJ154*VLOOKUP('Données projet'!$B$9,Paramètres!$A$1:$I$88,3,0)*0.475*44/12</f>
        <v>0</v>
      </c>
      <c r="GN154" s="23">
        <f>EXP(-LN(2)/2)*GN153+(1-EXP(-LN(2)/2))/(LN(2)/2)*GH154*GK154*VLOOKUP('Données projet'!$B$9,Paramètres!$A$1:$I$88,3,0)*0.475*44/12</f>
        <v>0</v>
      </c>
      <c r="GO154" s="23">
        <f t="shared" ref="GO154:GO203" si="187">SUM(GL154:GN154)</f>
        <v>0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IF(A154&lt;'Données projet'!$A$270,$GR$205^A154,IF(A154='Données projet'!$A$270,'Données projet'!$B$270,GU153+GT154-HC153))</f>
        <v>0</v>
      </c>
      <c r="GV154" s="18" t="e">
        <f>GU154*VLOOKUP('Données projet'!$B$18,Paramètres!$A$1:$I$88,3,0)*VLOOKUP('Données projet'!$B$18,Paramètres!$A$1:$I$88,5,0)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46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47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projet'!$B$18,Paramètres!$A$1:$I$88,7,0))</f>
        <v>0</v>
      </c>
      <c r="HE154" s="17">
        <f>IF(ISNA(VLOOKUP(A154,'Données projet'!$A$269:$I$289,6,0)),0%,VLOOKUP(A154,'Données projet'!$A$269:$I$289,6,0)*VLOOKUP('Données projet'!$B$18,Paramètres!$A$1:$I$88,7,0))</f>
        <v>0</v>
      </c>
      <c r="HF154" s="17">
        <f>IF(ISNA(VLOOKUP(A154,'Données projet'!$A$269:$I$289,7,0)),0%,VLOOKUP(A154,'Données projet'!$A$269:$I$289,7,0))</f>
        <v>0</v>
      </c>
      <c r="HG154" s="23">
        <f>EXP(-LN(2)/35)*HG153+(1-EXP(-LN(2)/35))/(LN(2)/35)*HC154*HD154*VLOOKUP('Données projet'!$B$9,Paramètres!$A$1:$I$88,3,0)*0.475*44/12</f>
        <v>0</v>
      </c>
      <c r="HH154" s="23">
        <f>EXP(-LN(2)/25)*HH153+(1-EXP(-LN(2)/25))/(LN(2)/25)*Calculateur!HC154*Calculateur!HE154*VLOOKUP('Données projet'!$B$9,Paramètres!$A$1:$I$88,3,0)*0.475*44/12</f>
        <v>0</v>
      </c>
      <c r="HI154" s="23">
        <f>EXP(-LN(2)/2)*HI153+(1-EXP(-LN(2)/2))/(LN(2)/2)*HC154*HF154*VLOOKUP('Données projet'!$B$9,Paramètres!$A$1:$I$88,3,0)*0.475*44/12</f>
        <v>0</v>
      </c>
      <c r="HJ154" s="24">
        <f t="shared" ref="HJ154:HJ203" si="190">SUM(HG154:HI154)</f>
        <v>0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5" s="12">
        <f t="shared" si="15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111"/>
        <v>135.66666666666666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IF(A155&lt;'Données projet'!$A$36,$K$205^A155,IF(A155='Données projet'!$A$36,'Données projet'!$B$36,N154+M155-V154))</f>
        <v>0</v>
      </c>
      <c r="O155" s="14">
        <f>N155*VLOOKUP('Données projet'!$B$9,Paramètres!$A$1:$I$88,3,0)*VLOOKUP('Données projet'!$B$9,Paramètres!$A$1:$I$88,5,0)</f>
        <v>0</v>
      </c>
      <c r="P155" s="14" t="e">
        <f t="shared" si="15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314.72063458462026</v>
      </c>
      <c r="T155" s="62">
        <f t="shared" si="110"/>
        <v>216.4380325968244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projet'!$B$9,Paramètres!$A$1:$I$88,7,0))</f>
        <v>0</v>
      </c>
      <c r="X155" s="17">
        <f>IF(ISNA(VLOOKUP(A155,'Données projet'!$A$35:$I$55,6,0)),0%,VLOOKUP(A155,'Données projet'!$A$35:$I$55,6,0)*VLOOKUP('Données projet'!$B$9,Paramètres!$A$1:$I$88,7,0))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projet'!$B$9,Paramètres!$A$1:$I$88,3,0)*0.475*44/12</f>
        <v>0</v>
      </c>
      <c r="AA155" s="23">
        <f>EXP(-LN(2)/25)*AA154+(1-EXP(-LN(2)/25))/(LN(2)/25)*Calculateur!V155*Calculateur!X155*VLOOKUP('Données projet'!$B$9,Paramètres!$A$1:$I$88,3,0)*0.475*44/12</f>
        <v>0</v>
      </c>
      <c r="AB155" s="23">
        <f>EXP(-LN(2)/2)*AB154+(1-EXP(-LN(2)/2))/(LN(2)/2)*V155*Y155*VLOOKUP('Données projet'!$B$9,Paramètres!$A$1:$I$88,3,0)*0.475*44/12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IF(A155&lt;'Données projet'!$A$62,$AF$205^A155,IF(A155='Données projet'!$A$62,'Données projet'!$B$62,AI154+AH155-AQ154))</f>
        <v>1.1368683772161603E-13</v>
      </c>
      <c r="AJ155" s="14">
        <f>AI155*VLOOKUP('Données projet'!$B$10,Paramètres!$A$1:$I$88,3,0)*VLOOKUP('Données projet'!$B$10,Paramètres!$A$1:$I$88,5,0)</f>
        <v>1.1882548278663309E-13</v>
      </c>
      <c r="AK155" s="14">
        <f t="shared" si="164"/>
        <v>1.7496137229198366E-12</v>
      </c>
      <c r="AL155" s="22">
        <f t="shared" si="165"/>
        <v>3.2541982832721012E-12</v>
      </c>
      <c r="AM155" s="62">
        <f t="shared" si="114"/>
        <v>283.58721443691462</v>
      </c>
      <c r="AN155" s="62">
        <f ca="1">AVERAGE(OFFSET($AM$3,0,0,'Données projet'!$E$10+1,1))-AVERAGE(OFFSET($H$3,0,0,'Données projet'!$E$10+1,1))</f>
        <v>458.33072853676879</v>
      </c>
      <c r="AO155" s="62">
        <f t="shared" si="115"/>
        <v>254.1734169352687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projet'!$B$10,Paramètres!$A$1:$I$88,7,0))</f>
        <v>0</v>
      </c>
      <c r="AS155" s="17">
        <f>IF(ISNA(VLOOKUP(A155,'Données projet'!$A$61:$I$81,6,0)),0%,VLOOKUP(A155,'Données projet'!$A$61:$I$81,6,0)*VLOOKUP('Données projet'!$B$10,Paramètres!$A$1:$I$88,7,0))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projet'!$B$9,Paramètres!$A$1:$I$88,3,0)*0.475*44/12</f>
        <v>0</v>
      </c>
      <c r="AV155" s="23">
        <f>EXP(-LN(2)/25)*AV154+(1-EXP(-LN(2)/25))/(LN(2)/25)*Calculateur!AQ155*Calculateur!AS155*VLOOKUP('Données projet'!$B$9,Paramètres!$A$1:$I$88,3,0)*0.475*44/12</f>
        <v>0</v>
      </c>
      <c r="AW155" s="23">
        <f>EXP(-LN(2)/2)*AW154+(1-EXP(-LN(2)/2))/(LN(2)/2)*AQ155*AT155*VLOOKUP('Données projet'!$B$9,Paramètres!$A$1:$I$88,3,0)*0.475*44/12</f>
        <v>0</v>
      </c>
      <c r="AX155" s="23">
        <f t="shared" si="166"/>
        <v>0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IF(A155&lt;'Données projet'!$A$88,$BA$205^A155,IF(A155='Données projet'!$A$88,'Données projet'!$B$88,BD154+BC155-BL154))</f>
        <v>1.1368683772161603E-13</v>
      </c>
      <c r="BE155" s="14">
        <f>BD155*VLOOKUP('Données projet'!$B$11,Paramètres!$A$1:$I$88,3,0)*VLOOKUP('Données projet'!$B$11,Paramètres!$A$1:$I$88,5,0)</f>
        <v>1.1527845344971866E-13</v>
      </c>
      <c r="BF155" s="14">
        <f t="shared" si="167"/>
        <v>1.7033846239409443E-12</v>
      </c>
      <c r="BG155" s="22">
        <f t="shared" si="168"/>
        <v>3.1675048597887374E-12</v>
      </c>
      <c r="BH155" s="62">
        <f t="shared" si="118"/>
        <v>283.58721443691456</v>
      </c>
      <c r="BI155" s="62">
        <f ca="1">AVERAGE(OFFSET($BH$3,0,0,'Données projet'!$E$11+1,1))-AVERAGE(OFFSET($H$3,0,0,'Données projet'!$E$11+1,1))</f>
        <v>447.82618173893104</v>
      </c>
      <c r="BJ155" s="62">
        <f t="shared" si="119"/>
        <v>248.96509970783379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projet'!$B$11,Paramètres!$A$1:$I$88,7,0))</f>
        <v>0</v>
      </c>
      <c r="BN155" s="17">
        <f>IF(ISNA(VLOOKUP(A155,'Données projet'!$A$87:$I$107,6,0)),0%,VLOOKUP(A155,'Données projet'!$A$87:$I$107,6,0)*VLOOKUP('Données projet'!$B$11,Paramètres!$A$1:$I$88,7,0))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projet'!$B$9,Paramètres!$A$1:$I$88,3,0)*0.475*44/12</f>
        <v>0</v>
      </c>
      <c r="BQ155" s="23">
        <f>EXP(-LN(2)/25)*BQ154+(1-EXP(-LN(2)/25))/(LN(2)/25)*Calculateur!BL155*Calculateur!BN155*VLOOKUP('Données projet'!$B$9,Paramètres!$A$1:$I$88,3,0)*0.475*44/12</f>
        <v>0</v>
      </c>
      <c r="BR155" s="23">
        <f>EXP(-LN(2)/2)*BR154+(1-EXP(-LN(2)/2))/(LN(2)/2)*BL155*BO155*VLOOKUP('Données projet'!$B$9,Paramètres!$A$1:$I$88,3,0)*0.475*44/12</f>
        <v>0</v>
      </c>
      <c r="BS155" s="24">
        <f t="shared" si="169"/>
        <v>0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IF(A155&lt;'Données projet'!$A$114,$BV$205^A155,IF(A155='Données projet'!$A$114,'Données projet'!$B$114,BY154+BX155-CG154))</f>
        <v>1.1368683772161603E-13</v>
      </c>
      <c r="BZ155" s="14">
        <f>BY155*VLOOKUP('Données projet'!$B$12,Paramètres!$A$1:$I$88,3,0)*VLOOKUP('Données projet'!$B$12,Paramètres!$A$1:$I$88,5,0)</f>
        <v>1.223725121235475E-13</v>
      </c>
      <c r="CA155" s="14">
        <f t="shared" si="170"/>
        <v>1.7956824466038182E-12</v>
      </c>
      <c r="CB155" s="22">
        <f t="shared" si="171"/>
        <v>3.3406123864501612E-12</v>
      </c>
      <c r="CC155" s="62">
        <f t="shared" si="122"/>
        <v>283.58721443691473</v>
      </c>
      <c r="CD155" s="62">
        <f ca="1">AVERAGE(OFFSET($CC$3,0,0,'Données projet'!$E$12+1,1))-AVERAGE(OFFSET($H$3,0,0,'Données projet'!$E$12+1,1))</f>
        <v>468.82871618425406</v>
      </c>
      <c r="CE155" s="62">
        <f t="shared" si="123"/>
        <v>259.37818128554397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projet'!$B$12,Paramètres!$A$1:$I$88,7,0))</f>
        <v>0</v>
      </c>
      <c r="CI155" s="17">
        <f>IF(ISNA(VLOOKUP(A155,'Données projet'!$A$113:$I$133,6,0)),0%,VLOOKUP(A155,'Données projet'!$A$113:$I$133,6,0)*VLOOKUP('Données projet'!$B$12,Paramètres!$A$1:$I$88,7,0))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projet'!$B$9,Paramètres!$A$1:$I$88,3,0)*0.475*44/12</f>
        <v>0</v>
      </c>
      <c r="CL155" s="23">
        <f>EXP(-LN(2)/25)*CL154+(1-EXP(-LN(2)/25))/(LN(2)/25)*Calculateur!CG155*Calculateur!CI155*VLOOKUP('Données projet'!$B$9,Paramètres!$A$1:$I$88,3,0)*0.475*44/12</f>
        <v>0</v>
      </c>
      <c r="CM155" s="23">
        <f>EXP(-LN(2)/2)*CM154+(1-EXP(-LN(2)/2))/(LN(2)/2)*CG155*CJ155*VLOOKUP('Données projet'!$B$9,Paramètres!$A$1:$I$88,3,0)*0.475*44/12</f>
        <v>0</v>
      </c>
      <c r="CN155" s="24">
        <f t="shared" si="172"/>
        <v>0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IF(A155&lt;'Données projet'!$A$140,$CQ$205^A155,IF(A155='Données projet'!$A$140,'Données projet'!$B$140,CT154+CS155-DB154))</f>
        <v>1.1368683772161603E-13</v>
      </c>
      <c r="CU155" s="18">
        <f>CT155*VLOOKUP('Données projet'!$B$13,Paramètres!$A$1:$I$88,3,0)*VLOOKUP('Données projet'!$B$13,Paramètres!$A$1:$I$88,5,0)</f>
        <v>9.7543306765146564E-14</v>
      </c>
      <c r="CV155" s="14">
        <f t="shared" si="173"/>
        <v>1.4696264278629426E-12</v>
      </c>
      <c r="CW155" s="22">
        <f t="shared" si="174"/>
        <v>2.7294872878105889E-12</v>
      </c>
      <c r="CX155" s="62">
        <f t="shared" si="126"/>
        <v>283.58721443691411</v>
      </c>
      <c r="CY155" s="62">
        <f ca="1">AVERAGE(OFFSET($CX$3,0,0,'Données projet'!$E$13+1,1))-AVERAGE(OFFSET($H$3,0,0,'Données projet'!$E$13+1,1))</f>
        <v>395.19659151668884</v>
      </c>
      <c r="CZ155" s="62">
        <f t="shared" si="127"/>
        <v>222.86563304507339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projet'!$B$13,Paramètres!$A$1:$I$88,7,0))</f>
        <v>0</v>
      </c>
      <c r="DD155" s="17">
        <f>IF(ISNA(VLOOKUP(A155,'Données projet'!$A$139:$I$159,6,0)),0%,VLOOKUP(A155,'Données projet'!$A$139:$I$159,6,0)*VLOOKUP('Données projet'!$B$13,Paramètres!$A$1:$I$88,7,0))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projet'!$B$9,Paramètres!$A$1:$I$88,3,0)*0.475*44/12</f>
        <v>0</v>
      </c>
      <c r="DG155" s="23">
        <f>EXP(-LN(2)/25)*DG154+(1-EXP(-LN(2)/25))/(LN(2)/25)*Calculateur!DB155*Calculateur!DD155*VLOOKUP('Données projet'!$B$9,Paramètres!$A$1:$I$88,3,0)*0.475*44/12</f>
        <v>0</v>
      </c>
      <c r="DH155" s="23">
        <f>EXP(-LN(2)/2)*DH154+(1-EXP(-LN(2)/2))/(LN(2)/2)*DB155*DE155*VLOOKUP('Données projet'!$B$9,Paramètres!$A$1:$I$88,3,0)*0.475*44/12</f>
        <v>0</v>
      </c>
      <c r="DI155" s="24">
        <f t="shared" si="175"/>
        <v>0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IF(A155&lt;'Données projet'!$A$166,$DL$205^A155,IF(A155='Données projet'!$A$166,'Données projet'!$B$166,DO154+DN155-DW154))</f>
        <v>-8.5265128291212022E-14</v>
      </c>
      <c r="DP155" s="18">
        <f>DO155*VLOOKUP('Données projet'!$B$14,Paramètres!$A$1:$I$88,3,0)*VLOOKUP('Données projet'!$B$14,Paramètres!$A$1:$I$88,5,0)</f>
        <v>-4.9880100050359036E-14</v>
      </c>
      <c r="DQ155" s="14" t="e">
        <f t="shared" si="176"/>
        <v>#NUM!</v>
      </c>
      <c r="DR155" s="22" t="e">
        <f t="shared" si="177"/>
        <v>#NUM!</v>
      </c>
      <c r="DS155" s="62" t="e">
        <f t="shared" si="130"/>
        <v>#NUM!</v>
      </c>
      <c r="DT155" s="62">
        <f ca="1">AVERAGE(OFFSET($DS$3,0,0,'Données projet'!$E$14+1,1))-AVERAGE(OFFSET($H$3,0,0,'Données projet'!$E$14+1,1))</f>
        <v>155.18073137151848</v>
      </c>
      <c r="DU155" s="62">
        <f t="shared" si="131"/>
        <v>115.19459155667272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projet'!$B$14,Paramètres!$A$1:$I$88,7,0))</f>
        <v>0</v>
      </c>
      <c r="DY155" s="17">
        <f>IF(ISNA(VLOOKUP(A155,'Données projet'!$A$165:$I$185,6,0)),0%,VLOOKUP(A155,'Données projet'!$A$165:$I$185,6,0)*VLOOKUP('Données projet'!$B$14,Paramètres!$A$1:$I$88,7,0))</f>
        <v>0</v>
      </c>
      <c r="DZ155" s="17">
        <f>IF(ISNA(VLOOKUP(A155,'Données projet'!$A$165:$I$185,7,0)),0%,VLOOKUP(A155,'Données projet'!$A$165:$I$185,7,0))</f>
        <v>0</v>
      </c>
      <c r="EA155" s="23">
        <f>EXP(-LN(2)/35)*EA154+(1-EXP(-LN(2)/35))/(LN(2)/35)*DW155*DX155*VLOOKUP('Données projet'!$B$9,Paramètres!$A$1:$I$88,3,0)*0.475*44/12</f>
        <v>0</v>
      </c>
      <c r="EB155" s="23">
        <f>EXP(-LN(2)/25)*EB154+(1-EXP(-LN(2)/25))/(LN(2)/25)*Calculateur!DW155*Calculateur!DY155*VLOOKUP('Données projet'!$B$9,Paramètres!$A$1:$I$88,3,0)*0.475*44/12</f>
        <v>0</v>
      </c>
      <c r="EC155" s="23">
        <f>EXP(-LN(2)/2)*EC154+(1-EXP(-LN(2)/2))/(LN(2)/2)*DW155*DZ155*VLOOKUP('Données projet'!$B$9,Paramètres!$A$1:$I$88,3,0)*0.475*44/12</f>
        <v>0</v>
      </c>
      <c r="ED155" s="24">
        <f t="shared" si="178"/>
        <v>0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IF(A155&lt;'Données projet'!$A$192,$EG$205^A155,IF(A155='Données projet'!$A$192,'Données projet'!$B$192,EJ154+EI155-ER154))</f>
        <v>-5.6843418860808015E-14</v>
      </c>
      <c r="EK155" s="18">
        <f>EJ155*VLOOKUP('Données projet'!$B$15,Paramètres!$A$1:$I$88,3,0)*VLOOKUP('Données projet'!$B$15,Paramètres!$A$1:$I$88,5,0)</f>
        <v>-2.6602720026858149E-14</v>
      </c>
      <c r="EL155" s="14" t="e">
        <f t="shared" si="179"/>
        <v>#NUM!</v>
      </c>
      <c r="EM155" s="22" t="e">
        <f t="shared" si="180"/>
        <v>#NUM!</v>
      </c>
      <c r="EN155" s="62" t="e">
        <f t="shared" si="134"/>
        <v>#NUM!</v>
      </c>
      <c r="EO155" s="62">
        <f ca="1">AVERAGE(OFFSET($EN$3,0,0,'Données projet'!$E$15+1,1))-AVERAGE(OFFSET($H$3,0,0,'Données projet'!$E$15+1,1))</f>
        <v>238.59014604384171</v>
      </c>
      <c r="EP155" s="62">
        <f t="shared" si="135"/>
        <v>90.841373219575217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projet'!$B$15,Paramètres!$A$1:$I$88,7,0))</f>
        <v>0</v>
      </c>
      <c r="ET155" s="17">
        <f>IF(ISNA(VLOOKUP(A155,'Données projet'!$A$191:$I$211,6,0)),0%,VLOOKUP(A155,'Données projet'!$A$191:$I$211,6,0)*VLOOKUP('Données projet'!$B$15,Paramètres!$A$1:$I$88,7,0))</f>
        <v>0</v>
      </c>
      <c r="EU155" s="17">
        <f>IF(ISNA(VLOOKUP(A155,'Données projet'!$A$191:$I$211,7,0)),0%,VLOOKUP(A155,'Données projet'!$A$191:$I$211,7,0))</f>
        <v>0</v>
      </c>
      <c r="EV155" s="23">
        <f>EXP(-LN(2)/35)*EV154+(1-EXP(-LN(2)/35))/(LN(2)/35)*ER155*ES155*VLOOKUP('Données projet'!$B$9,Paramètres!$A$1:$I$88,3,0)*0.475*44/12</f>
        <v>0</v>
      </c>
      <c r="EW155" s="23">
        <f>EXP(-LN(2)/25)*EW154+(1-EXP(-LN(2)/25))/(LN(2)/25)*Calculateur!ER155*Calculateur!ET155*VLOOKUP('Données projet'!$B$9,Paramètres!$A$1:$I$88,3,0)*0.475*44/12</f>
        <v>0</v>
      </c>
      <c r="EX155" s="23">
        <f>EXP(-LN(2)/2)*EX154+(1-EXP(-LN(2)/2))/(LN(2)/2)*ER155*EU155*VLOOKUP('Données projet'!$B$9,Paramètres!$A$1:$I$88,3,0)*0.475*44/12</f>
        <v>0</v>
      </c>
      <c r="EY155" s="24">
        <f t="shared" si="181"/>
        <v>0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IF(A155&lt;'Données projet'!$A$218,$FB$205^A155,IF(A155='Données projet'!$A$218,'Données projet'!$B$218,FE154+FD155-FM154))</f>
        <v>0</v>
      </c>
      <c r="FF155" s="18" t="e">
        <f>FE155*VLOOKUP('Données projet'!$B$16,Paramètres!$A$1:$I$88,3,0)*VLOOKUP('Données projet'!$B$16,Paramètres!$A$1:$I$88,5,0)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8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39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projet'!$B$16,Paramètres!$A$1:$I$88,7,0))</f>
        <v>0</v>
      </c>
      <c r="FO155" s="17">
        <f>IF(ISNA(VLOOKUP(A155,'Données projet'!$A$217:$I$237,6,0)),0%,VLOOKUP(A155,'Données projet'!$A$217:$I$237,6,0)*VLOOKUP('Données projet'!$B$16,Paramètres!$A$1:$I$88,7,0))</f>
        <v>0</v>
      </c>
      <c r="FP155" s="17">
        <f>IF(ISNA(VLOOKUP(A155,'Données projet'!$A$217:$I$237,7,0)),0%,VLOOKUP(A155,'Données projet'!$A$217:$I$237,7,0))</f>
        <v>0</v>
      </c>
      <c r="FQ155" s="23">
        <f>EXP(-LN(2)/35)*FQ154+(1-EXP(-LN(2)/35))/(LN(2)/35)*FM155*FN155*VLOOKUP('Données projet'!$B$9,Paramètres!$A$1:$I$88,3,0)*0.475*44/12</f>
        <v>0</v>
      </c>
      <c r="FR155" s="23">
        <f>EXP(-LN(2)/25)*FR154+(1-EXP(-LN(2)/25))/(LN(2)/25)*Calculateur!FM155*Calculateur!FO155*VLOOKUP('Données projet'!$B$9,Paramètres!$A$1:$I$88,3,0)*0.475*44/12</f>
        <v>0</v>
      </c>
      <c r="FS155" s="23">
        <f>EXP(-LN(2)/2)*FS154+(1-EXP(-LN(2)/2))/(LN(2)/2)*FM155*FP155*VLOOKUP('Données projet'!$B$9,Paramètres!$A$1:$I$88,3,0)*0.475*44/12</f>
        <v>0</v>
      </c>
      <c r="FT155" s="24">
        <f t="shared" si="184"/>
        <v>0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IF(A155&lt;'Données projet'!$A$244,$FW$205^A155,IF(A155='Données projet'!$A$244,'Données projet'!$B$244,FZ154+FY155-GH154))</f>
        <v>0</v>
      </c>
      <c r="GA155" s="18" t="e">
        <f>FZ155*VLOOKUP('Données projet'!$B$17,Paramètres!$A$1:$I$88,3,0)*VLOOKUP('Données projet'!$B$17,Paramètres!$A$1:$I$88,5,0)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42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43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projet'!$B$17,Paramètres!$A$1:$I$88,7,0))</f>
        <v>0</v>
      </c>
      <c r="GJ155" s="17">
        <f>IF(ISNA(VLOOKUP(A155,'Données projet'!$A$243:$I$263,6,0)),0%,VLOOKUP(A155,'Données projet'!$A$243:$I$263,6,0)*VLOOKUP('Données projet'!$B$17,Paramètres!$A$1:$I$88,7,0))</f>
        <v>0</v>
      </c>
      <c r="GK155" s="17">
        <f>IF(ISNA(VLOOKUP(A155,'Données projet'!$A$243:$I$263,7,0)),0%,VLOOKUP(A155,'Données projet'!$A$243:$I$263,7,0))</f>
        <v>0</v>
      </c>
      <c r="GL155" s="23">
        <f>EXP(-LN(2)/35)*GL154+(1-EXP(-LN(2)/35))/(LN(2)/35)*GH155*GI155*VLOOKUP('Données projet'!$B$9,Paramètres!$A$1:$I$88,3,0)*0.475*44/12</f>
        <v>0</v>
      </c>
      <c r="GM155" s="23">
        <f>EXP(-LN(2)/25)*GM154+(1-EXP(-LN(2)/25))/(LN(2)/25)*Calculateur!GH155*Calculateur!GJ155*VLOOKUP('Données projet'!$B$9,Paramètres!$A$1:$I$88,3,0)*0.475*44/12</f>
        <v>0</v>
      </c>
      <c r="GN155" s="23">
        <f>EXP(-LN(2)/2)*GN154+(1-EXP(-LN(2)/2))/(LN(2)/2)*GH155*GK155*VLOOKUP('Données projet'!$B$9,Paramètres!$A$1:$I$88,3,0)*0.475*44/12</f>
        <v>0</v>
      </c>
      <c r="GO155" s="23">
        <f t="shared" si="187"/>
        <v>0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IF(A155&lt;'Données projet'!$A$270,$GR$205^A155,IF(A155='Données projet'!$A$270,'Données projet'!$B$270,GU154+GT155-HC154))</f>
        <v>0</v>
      </c>
      <c r="GV155" s="18" t="e">
        <f>GU155*VLOOKUP('Données projet'!$B$18,Paramètres!$A$1:$I$88,3,0)*VLOOKUP('Données projet'!$B$18,Paramètres!$A$1:$I$88,5,0)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46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47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projet'!$B$18,Paramètres!$A$1:$I$88,7,0))</f>
        <v>0</v>
      </c>
      <c r="HE155" s="17">
        <f>IF(ISNA(VLOOKUP(A155,'Données projet'!$A$269:$I$289,6,0)),0%,VLOOKUP(A155,'Données projet'!$A$269:$I$289,6,0)*VLOOKUP('Données projet'!$B$18,Paramètres!$A$1:$I$88,7,0))</f>
        <v>0</v>
      </c>
      <c r="HF155" s="17">
        <f>IF(ISNA(VLOOKUP(A155,'Données projet'!$A$269:$I$289,7,0)),0%,VLOOKUP(A155,'Données projet'!$A$269:$I$289,7,0))</f>
        <v>0</v>
      </c>
      <c r="HG155" s="23">
        <f>EXP(-LN(2)/35)*HG154+(1-EXP(-LN(2)/35))/(LN(2)/35)*HC155*HD155*VLOOKUP('Données projet'!$B$9,Paramètres!$A$1:$I$88,3,0)*0.475*44/12</f>
        <v>0</v>
      </c>
      <c r="HH155" s="23">
        <f>EXP(-LN(2)/25)*HH154+(1-EXP(-LN(2)/25))/(LN(2)/25)*Calculateur!HC155*Calculateur!HE155*VLOOKUP('Données projet'!$B$9,Paramètres!$A$1:$I$88,3,0)*0.475*44/12</f>
        <v>0</v>
      </c>
      <c r="HI155" s="23">
        <f>EXP(-LN(2)/2)*HI154+(1-EXP(-LN(2)/2))/(LN(2)/2)*HC155*HF155*VLOOKUP('Données projet'!$B$9,Paramètres!$A$1:$I$88,3,0)*0.475*44/12</f>
        <v>0</v>
      </c>
      <c r="HJ155" s="24">
        <f t="shared" si="190"/>
        <v>0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6" s="12">
        <f t="shared" si="15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111"/>
        <v>135.66666666666666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IF(A156&lt;'Données projet'!$A$36,$K$205^A156,IF(A156='Données projet'!$A$36,'Données projet'!$B$36,N155+M156-V155))</f>
        <v>0</v>
      </c>
      <c r="O156" s="14">
        <f>N156*VLOOKUP('Données projet'!$B$9,Paramètres!$A$1:$I$88,3,0)*VLOOKUP('Données projet'!$B$9,Paramètres!$A$1:$I$88,5,0)</f>
        <v>0</v>
      </c>
      <c r="P156" s="14" t="e">
        <f t="shared" si="15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314.72063458462026</v>
      </c>
      <c r="T156" s="62">
        <f t="shared" si="110"/>
        <v>216.4380325968244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projet'!$B$9,Paramètres!$A$1:$I$88,7,0))</f>
        <v>0</v>
      </c>
      <c r="X156" s="17">
        <f>IF(ISNA(VLOOKUP(A156,'Données projet'!$A$35:$I$55,6,0)),0%,VLOOKUP(A156,'Données projet'!$A$35:$I$55,6,0)*VLOOKUP('Données projet'!$B$9,Paramètres!$A$1:$I$88,7,0))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projet'!$B$9,Paramètres!$A$1:$I$88,3,0)*0.475*44/12</f>
        <v>0</v>
      </c>
      <c r="AA156" s="23">
        <f>EXP(-LN(2)/25)*AA155+(1-EXP(-LN(2)/25))/(LN(2)/25)*Calculateur!V156*Calculateur!X156*VLOOKUP('Données projet'!$B$9,Paramètres!$A$1:$I$88,3,0)*0.475*44/12</f>
        <v>0</v>
      </c>
      <c r="AB156" s="23">
        <f>EXP(-LN(2)/2)*AB155+(1-EXP(-LN(2)/2))/(LN(2)/2)*V156*Y156*VLOOKUP('Données projet'!$B$9,Paramètres!$A$1:$I$88,3,0)*0.475*44/12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IF(A156&lt;'Données projet'!$A$62,$AF$205^A156,IF(A156='Données projet'!$A$62,'Données projet'!$B$62,AI155+AH156-AQ155))</f>
        <v>1.1368683772161603E-13</v>
      </c>
      <c r="AJ156" s="14">
        <f>AI156*VLOOKUP('Données projet'!$B$10,Paramètres!$A$1:$I$88,3,0)*VLOOKUP('Données projet'!$B$10,Paramètres!$A$1:$I$88,5,0)</f>
        <v>1.1882548278663309E-13</v>
      </c>
      <c r="AK156" s="14">
        <f t="shared" si="164"/>
        <v>1.7496137229198366E-12</v>
      </c>
      <c r="AL156" s="22">
        <f t="shared" si="165"/>
        <v>3.2541982832721012E-12</v>
      </c>
      <c r="AM156" s="62">
        <f t="shared" si="114"/>
        <v>283.75628781070986</v>
      </c>
      <c r="AN156" s="62">
        <f ca="1">AVERAGE(OFFSET($AM$3,0,0,'Données projet'!$E$10+1,1))-AVERAGE(OFFSET($H$3,0,0,'Données projet'!$E$10+1,1))</f>
        <v>458.33072853676879</v>
      </c>
      <c r="AO156" s="62">
        <f t="shared" si="115"/>
        <v>254.1734169352687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projet'!$B$10,Paramètres!$A$1:$I$88,7,0))</f>
        <v>0</v>
      </c>
      <c r="AS156" s="17">
        <f>IF(ISNA(VLOOKUP(A156,'Données projet'!$A$61:$I$81,6,0)),0%,VLOOKUP(A156,'Données projet'!$A$61:$I$81,6,0)*VLOOKUP('Données projet'!$B$10,Paramètres!$A$1:$I$88,7,0))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projet'!$B$9,Paramètres!$A$1:$I$88,3,0)*0.475*44/12</f>
        <v>0</v>
      </c>
      <c r="AV156" s="23">
        <f>EXP(-LN(2)/25)*AV155+(1-EXP(-LN(2)/25))/(LN(2)/25)*Calculateur!AQ156*Calculateur!AS156*VLOOKUP('Données projet'!$B$9,Paramètres!$A$1:$I$88,3,0)*0.475*44/12</f>
        <v>0</v>
      </c>
      <c r="AW156" s="23">
        <f>EXP(-LN(2)/2)*AW155+(1-EXP(-LN(2)/2))/(LN(2)/2)*AQ156*AT156*VLOOKUP('Données projet'!$B$9,Paramètres!$A$1:$I$88,3,0)*0.475*44/12</f>
        <v>0</v>
      </c>
      <c r="AX156" s="23">
        <f t="shared" si="166"/>
        <v>0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IF(A156&lt;'Données projet'!$A$88,$BA$205^A156,IF(A156='Données projet'!$A$88,'Données projet'!$B$88,BD155+BC156-BL155))</f>
        <v>1.1368683772161603E-13</v>
      </c>
      <c r="BE156" s="14">
        <f>BD156*VLOOKUP('Données projet'!$B$11,Paramètres!$A$1:$I$88,3,0)*VLOOKUP('Données projet'!$B$11,Paramètres!$A$1:$I$88,5,0)</f>
        <v>1.1527845344971866E-13</v>
      </c>
      <c r="BF156" s="14">
        <f t="shared" si="167"/>
        <v>1.7033846239409443E-12</v>
      </c>
      <c r="BG156" s="22">
        <f t="shared" si="168"/>
        <v>3.1675048597887374E-12</v>
      </c>
      <c r="BH156" s="62">
        <f t="shared" si="118"/>
        <v>283.75628781070981</v>
      </c>
      <c r="BI156" s="62">
        <f ca="1">AVERAGE(OFFSET($BH$3,0,0,'Données projet'!$E$11+1,1))-AVERAGE(OFFSET($H$3,0,0,'Données projet'!$E$11+1,1))</f>
        <v>447.82618173893104</v>
      </c>
      <c r="BJ156" s="62">
        <f t="shared" si="119"/>
        <v>248.96509970783379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projet'!$B$11,Paramètres!$A$1:$I$88,7,0))</f>
        <v>0</v>
      </c>
      <c r="BN156" s="17">
        <f>IF(ISNA(VLOOKUP(A156,'Données projet'!$A$87:$I$107,6,0)),0%,VLOOKUP(A156,'Données projet'!$A$87:$I$107,6,0)*VLOOKUP('Données projet'!$B$11,Paramètres!$A$1:$I$88,7,0))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projet'!$B$9,Paramètres!$A$1:$I$88,3,0)*0.475*44/12</f>
        <v>0</v>
      </c>
      <c r="BQ156" s="23">
        <f>EXP(-LN(2)/25)*BQ155+(1-EXP(-LN(2)/25))/(LN(2)/25)*Calculateur!BL156*Calculateur!BN156*VLOOKUP('Données projet'!$B$9,Paramètres!$A$1:$I$88,3,0)*0.475*44/12</f>
        <v>0</v>
      </c>
      <c r="BR156" s="23">
        <f>EXP(-LN(2)/2)*BR155+(1-EXP(-LN(2)/2))/(LN(2)/2)*BL156*BO156*VLOOKUP('Données projet'!$B$9,Paramètres!$A$1:$I$88,3,0)*0.475*44/12</f>
        <v>0</v>
      </c>
      <c r="BS156" s="24">
        <f t="shared" si="169"/>
        <v>0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IF(A156&lt;'Données projet'!$A$114,$BV$205^A156,IF(A156='Données projet'!$A$114,'Données projet'!$B$114,BY155+BX156-CG155))</f>
        <v>1.1368683772161603E-13</v>
      </c>
      <c r="BZ156" s="14">
        <f>BY156*VLOOKUP('Données projet'!$B$12,Paramètres!$A$1:$I$88,3,0)*VLOOKUP('Données projet'!$B$12,Paramètres!$A$1:$I$88,5,0)</f>
        <v>1.223725121235475E-13</v>
      </c>
      <c r="CA156" s="14">
        <f t="shared" si="170"/>
        <v>1.7956824466038182E-12</v>
      </c>
      <c r="CB156" s="22">
        <f t="shared" si="171"/>
        <v>3.3406123864501612E-12</v>
      </c>
      <c r="CC156" s="62">
        <f t="shared" si="122"/>
        <v>283.75628781070998</v>
      </c>
      <c r="CD156" s="62">
        <f ca="1">AVERAGE(OFFSET($CC$3,0,0,'Données projet'!$E$12+1,1))-AVERAGE(OFFSET($H$3,0,0,'Données projet'!$E$12+1,1))</f>
        <v>468.82871618425406</v>
      </c>
      <c r="CE156" s="62">
        <f t="shared" si="123"/>
        <v>259.37818128554397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projet'!$B$12,Paramètres!$A$1:$I$88,7,0))</f>
        <v>0</v>
      </c>
      <c r="CI156" s="17">
        <f>IF(ISNA(VLOOKUP(A156,'Données projet'!$A$113:$I$133,6,0)),0%,VLOOKUP(A156,'Données projet'!$A$113:$I$133,6,0)*VLOOKUP('Données projet'!$B$12,Paramètres!$A$1:$I$88,7,0))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projet'!$B$9,Paramètres!$A$1:$I$88,3,0)*0.475*44/12</f>
        <v>0</v>
      </c>
      <c r="CL156" s="23">
        <f>EXP(-LN(2)/25)*CL155+(1-EXP(-LN(2)/25))/(LN(2)/25)*Calculateur!CG156*Calculateur!CI156*VLOOKUP('Données projet'!$B$9,Paramètres!$A$1:$I$88,3,0)*0.475*44/12</f>
        <v>0</v>
      </c>
      <c r="CM156" s="23">
        <f>EXP(-LN(2)/2)*CM155+(1-EXP(-LN(2)/2))/(LN(2)/2)*CG156*CJ156*VLOOKUP('Données projet'!$B$9,Paramètres!$A$1:$I$88,3,0)*0.475*44/12</f>
        <v>0</v>
      </c>
      <c r="CN156" s="24">
        <f t="shared" si="172"/>
        <v>0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IF(A156&lt;'Données projet'!$A$140,$CQ$205^A156,IF(A156='Données projet'!$A$140,'Données projet'!$B$140,CT155+CS156-DB155))</f>
        <v>1.1368683772161603E-13</v>
      </c>
      <c r="CU156" s="18">
        <f>CT156*VLOOKUP('Données projet'!$B$13,Paramètres!$A$1:$I$88,3,0)*VLOOKUP('Données projet'!$B$13,Paramètres!$A$1:$I$88,5,0)</f>
        <v>9.7543306765146564E-14</v>
      </c>
      <c r="CV156" s="14">
        <f t="shared" si="173"/>
        <v>1.4696264278629426E-12</v>
      </c>
      <c r="CW156" s="22">
        <f t="shared" si="174"/>
        <v>2.7294872878105889E-12</v>
      </c>
      <c r="CX156" s="62">
        <f t="shared" si="126"/>
        <v>283.75628781070935</v>
      </c>
      <c r="CY156" s="62">
        <f ca="1">AVERAGE(OFFSET($CX$3,0,0,'Données projet'!$E$13+1,1))-AVERAGE(OFFSET($H$3,0,0,'Données projet'!$E$13+1,1))</f>
        <v>395.19659151668884</v>
      </c>
      <c r="CZ156" s="62">
        <f t="shared" si="127"/>
        <v>222.86563304507339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projet'!$B$13,Paramètres!$A$1:$I$88,7,0))</f>
        <v>0</v>
      </c>
      <c r="DD156" s="17">
        <f>IF(ISNA(VLOOKUP(A156,'Données projet'!$A$139:$I$159,6,0)),0%,VLOOKUP(A156,'Données projet'!$A$139:$I$159,6,0)*VLOOKUP('Données projet'!$B$13,Paramètres!$A$1:$I$88,7,0))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projet'!$B$9,Paramètres!$A$1:$I$88,3,0)*0.475*44/12</f>
        <v>0</v>
      </c>
      <c r="DG156" s="23">
        <f>EXP(-LN(2)/25)*DG155+(1-EXP(-LN(2)/25))/(LN(2)/25)*Calculateur!DB156*Calculateur!DD156*VLOOKUP('Données projet'!$B$9,Paramètres!$A$1:$I$88,3,0)*0.475*44/12</f>
        <v>0</v>
      </c>
      <c r="DH156" s="23">
        <f>EXP(-LN(2)/2)*DH155+(1-EXP(-LN(2)/2))/(LN(2)/2)*DB156*DE156*VLOOKUP('Données projet'!$B$9,Paramètres!$A$1:$I$88,3,0)*0.475*44/12</f>
        <v>0</v>
      </c>
      <c r="DI156" s="24">
        <f t="shared" si="175"/>
        <v>0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IF(A156&lt;'Données projet'!$A$166,$DL$205^A156,IF(A156='Données projet'!$A$166,'Données projet'!$B$166,DO155+DN156-DW155))</f>
        <v>-8.5265128291212022E-14</v>
      </c>
      <c r="DP156" s="18">
        <f>DO156*VLOOKUP('Données projet'!$B$14,Paramètres!$A$1:$I$88,3,0)*VLOOKUP('Données projet'!$B$14,Paramètres!$A$1:$I$88,5,0)</f>
        <v>-4.9880100050359036E-14</v>
      </c>
      <c r="DQ156" s="14" t="e">
        <f t="shared" si="176"/>
        <v>#NUM!</v>
      </c>
      <c r="DR156" s="22" t="e">
        <f t="shared" si="177"/>
        <v>#NUM!</v>
      </c>
      <c r="DS156" s="62" t="e">
        <f t="shared" si="130"/>
        <v>#NUM!</v>
      </c>
      <c r="DT156" s="62">
        <f ca="1">AVERAGE(OFFSET($DS$3,0,0,'Données projet'!$E$14+1,1))-AVERAGE(OFFSET($H$3,0,0,'Données projet'!$E$14+1,1))</f>
        <v>155.18073137151848</v>
      </c>
      <c r="DU156" s="62">
        <f t="shared" si="131"/>
        <v>115.19459155667272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projet'!$B$14,Paramètres!$A$1:$I$88,7,0))</f>
        <v>0</v>
      </c>
      <c r="DY156" s="17">
        <f>IF(ISNA(VLOOKUP(A156,'Données projet'!$A$165:$I$185,6,0)),0%,VLOOKUP(A156,'Données projet'!$A$165:$I$185,6,0)*VLOOKUP('Données projet'!$B$14,Paramètres!$A$1:$I$88,7,0))</f>
        <v>0</v>
      </c>
      <c r="DZ156" s="17">
        <f>IF(ISNA(VLOOKUP(A156,'Données projet'!$A$165:$I$185,7,0)),0%,VLOOKUP(A156,'Données projet'!$A$165:$I$185,7,0))</f>
        <v>0</v>
      </c>
      <c r="EA156" s="23">
        <f>EXP(-LN(2)/35)*EA155+(1-EXP(-LN(2)/35))/(LN(2)/35)*DW156*DX156*VLOOKUP('Données projet'!$B$9,Paramètres!$A$1:$I$88,3,0)*0.475*44/12</f>
        <v>0</v>
      </c>
      <c r="EB156" s="23">
        <f>EXP(-LN(2)/25)*EB155+(1-EXP(-LN(2)/25))/(LN(2)/25)*Calculateur!DW156*Calculateur!DY156*VLOOKUP('Données projet'!$B$9,Paramètres!$A$1:$I$88,3,0)*0.475*44/12</f>
        <v>0</v>
      </c>
      <c r="EC156" s="23">
        <f>EXP(-LN(2)/2)*EC155+(1-EXP(-LN(2)/2))/(LN(2)/2)*DW156*DZ156*VLOOKUP('Données projet'!$B$9,Paramètres!$A$1:$I$88,3,0)*0.475*44/12</f>
        <v>0</v>
      </c>
      <c r="ED156" s="24">
        <f t="shared" si="178"/>
        <v>0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IF(A156&lt;'Données projet'!$A$192,$EG$205^A156,IF(A156='Données projet'!$A$192,'Données projet'!$B$192,EJ155+EI156-ER155))</f>
        <v>-5.6843418860808015E-14</v>
      </c>
      <c r="EK156" s="18">
        <f>EJ156*VLOOKUP('Données projet'!$B$15,Paramètres!$A$1:$I$88,3,0)*VLOOKUP('Données projet'!$B$15,Paramètres!$A$1:$I$88,5,0)</f>
        <v>-2.6602720026858149E-14</v>
      </c>
      <c r="EL156" s="14" t="e">
        <f t="shared" si="179"/>
        <v>#NUM!</v>
      </c>
      <c r="EM156" s="22" t="e">
        <f t="shared" si="180"/>
        <v>#NUM!</v>
      </c>
      <c r="EN156" s="62" t="e">
        <f t="shared" si="134"/>
        <v>#NUM!</v>
      </c>
      <c r="EO156" s="62">
        <f ca="1">AVERAGE(OFFSET($EN$3,0,0,'Données projet'!$E$15+1,1))-AVERAGE(OFFSET($H$3,0,0,'Données projet'!$E$15+1,1))</f>
        <v>238.59014604384171</v>
      </c>
      <c r="EP156" s="62">
        <f t="shared" si="135"/>
        <v>90.841373219575217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projet'!$B$15,Paramètres!$A$1:$I$88,7,0))</f>
        <v>0</v>
      </c>
      <c r="ET156" s="17">
        <f>IF(ISNA(VLOOKUP(A156,'Données projet'!$A$191:$I$211,6,0)),0%,VLOOKUP(A156,'Données projet'!$A$191:$I$211,6,0)*VLOOKUP('Données projet'!$B$15,Paramètres!$A$1:$I$88,7,0))</f>
        <v>0</v>
      </c>
      <c r="EU156" s="17">
        <f>IF(ISNA(VLOOKUP(A156,'Données projet'!$A$191:$I$211,7,0)),0%,VLOOKUP(A156,'Données projet'!$A$191:$I$211,7,0))</f>
        <v>0</v>
      </c>
      <c r="EV156" s="23">
        <f>EXP(-LN(2)/35)*EV155+(1-EXP(-LN(2)/35))/(LN(2)/35)*ER156*ES156*VLOOKUP('Données projet'!$B$9,Paramètres!$A$1:$I$88,3,0)*0.475*44/12</f>
        <v>0</v>
      </c>
      <c r="EW156" s="23">
        <f>EXP(-LN(2)/25)*EW155+(1-EXP(-LN(2)/25))/(LN(2)/25)*Calculateur!ER156*Calculateur!ET156*VLOOKUP('Données projet'!$B$9,Paramètres!$A$1:$I$88,3,0)*0.475*44/12</f>
        <v>0</v>
      </c>
      <c r="EX156" s="23">
        <f>EXP(-LN(2)/2)*EX155+(1-EXP(-LN(2)/2))/(LN(2)/2)*ER156*EU156*VLOOKUP('Données projet'!$B$9,Paramètres!$A$1:$I$88,3,0)*0.475*44/12</f>
        <v>0</v>
      </c>
      <c r="EY156" s="24">
        <f t="shared" si="181"/>
        <v>0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IF(A156&lt;'Données projet'!$A$218,$FB$205^A156,IF(A156='Données projet'!$A$218,'Données projet'!$B$218,FE155+FD156-FM155))</f>
        <v>0</v>
      </c>
      <c r="FF156" s="18" t="e">
        <f>FE156*VLOOKUP('Données projet'!$B$16,Paramètres!$A$1:$I$88,3,0)*VLOOKUP('Données projet'!$B$16,Paramètres!$A$1:$I$88,5,0)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8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39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projet'!$B$16,Paramètres!$A$1:$I$88,7,0))</f>
        <v>0</v>
      </c>
      <c r="FO156" s="17">
        <f>IF(ISNA(VLOOKUP(A156,'Données projet'!$A$217:$I$237,6,0)),0%,VLOOKUP(A156,'Données projet'!$A$217:$I$237,6,0)*VLOOKUP('Données projet'!$B$16,Paramètres!$A$1:$I$88,7,0))</f>
        <v>0</v>
      </c>
      <c r="FP156" s="17">
        <f>IF(ISNA(VLOOKUP(A156,'Données projet'!$A$217:$I$237,7,0)),0%,VLOOKUP(A156,'Données projet'!$A$217:$I$237,7,0))</f>
        <v>0</v>
      </c>
      <c r="FQ156" s="23">
        <f>EXP(-LN(2)/35)*FQ155+(1-EXP(-LN(2)/35))/(LN(2)/35)*FM156*FN156*VLOOKUP('Données projet'!$B$9,Paramètres!$A$1:$I$88,3,0)*0.475*44/12</f>
        <v>0</v>
      </c>
      <c r="FR156" s="23">
        <f>EXP(-LN(2)/25)*FR155+(1-EXP(-LN(2)/25))/(LN(2)/25)*Calculateur!FM156*Calculateur!FO156*VLOOKUP('Données projet'!$B$9,Paramètres!$A$1:$I$88,3,0)*0.475*44/12</f>
        <v>0</v>
      </c>
      <c r="FS156" s="23">
        <f>EXP(-LN(2)/2)*FS155+(1-EXP(-LN(2)/2))/(LN(2)/2)*FM156*FP156*VLOOKUP('Données projet'!$B$9,Paramètres!$A$1:$I$88,3,0)*0.475*44/12</f>
        <v>0</v>
      </c>
      <c r="FT156" s="24">
        <f t="shared" si="184"/>
        <v>0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IF(A156&lt;'Données projet'!$A$244,$FW$205^A156,IF(A156='Données projet'!$A$244,'Données projet'!$B$244,FZ155+FY156-GH155))</f>
        <v>0</v>
      </c>
      <c r="GA156" s="18" t="e">
        <f>FZ156*VLOOKUP('Données projet'!$B$17,Paramètres!$A$1:$I$88,3,0)*VLOOKUP('Données projet'!$B$17,Paramètres!$A$1:$I$88,5,0)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42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43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projet'!$B$17,Paramètres!$A$1:$I$88,7,0))</f>
        <v>0</v>
      </c>
      <c r="GJ156" s="17">
        <f>IF(ISNA(VLOOKUP(A156,'Données projet'!$A$243:$I$263,6,0)),0%,VLOOKUP(A156,'Données projet'!$A$243:$I$263,6,0)*VLOOKUP('Données projet'!$B$17,Paramètres!$A$1:$I$88,7,0))</f>
        <v>0</v>
      </c>
      <c r="GK156" s="17">
        <f>IF(ISNA(VLOOKUP(A156,'Données projet'!$A$243:$I$263,7,0)),0%,VLOOKUP(A156,'Données projet'!$A$243:$I$263,7,0))</f>
        <v>0</v>
      </c>
      <c r="GL156" s="23">
        <f>EXP(-LN(2)/35)*GL155+(1-EXP(-LN(2)/35))/(LN(2)/35)*GH156*GI156*VLOOKUP('Données projet'!$B$9,Paramètres!$A$1:$I$88,3,0)*0.475*44/12</f>
        <v>0</v>
      </c>
      <c r="GM156" s="23">
        <f>EXP(-LN(2)/25)*GM155+(1-EXP(-LN(2)/25))/(LN(2)/25)*Calculateur!GH156*Calculateur!GJ156*VLOOKUP('Données projet'!$B$9,Paramètres!$A$1:$I$88,3,0)*0.475*44/12</f>
        <v>0</v>
      </c>
      <c r="GN156" s="23">
        <f>EXP(-LN(2)/2)*GN155+(1-EXP(-LN(2)/2))/(LN(2)/2)*GH156*GK156*VLOOKUP('Données projet'!$B$9,Paramètres!$A$1:$I$88,3,0)*0.475*44/12</f>
        <v>0</v>
      </c>
      <c r="GO156" s="23">
        <f t="shared" si="187"/>
        <v>0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IF(A156&lt;'Données projet'!$A$270,$GR$205^A156,IF(A156='Données projet'!$A$270,'Données projet'!$B$270,GU155+GT156-HC155))</f>
        <v>0</v>
      </c>
      <c r="GV156" s="18" t="e">
        <f>GU156*VLOOKUP('Données projet'!$B$18,Paramètres!$A$1:$I$88,3,0)*VLOOKUP('Données projet'!$B$18,Paramètres!$A$1:$I$88,5,0)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46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47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projet'!$B$18,Paramètres!$A$1:$I$88,7,0))</f>
        <v>0</v>
      </c>
      <c r="HE156" s="17">
        <f>IF(ISNA(VLOOKUP(A156,'Données projet'!$A$269:$I$289,6,0)),0%,VLOOKUP(A156,'Données projet'!$A$269:$I$289,6,0)*VLOOKUP('Données projet'!$B$18,Paramètres!$A$1:$I$88,7,0))</f>
        <v>0</v>
      </c>
      <c r="HF156" s="17">
        <f>IF(ISNA(VLOOKUP(A156,'Données projet'!$A$269:$I$289,7,0)),0%,VLOOKUP(A156,'Données projet'!$A$269:$I$289,7,0))</f>
        <v>0</v>
      </c>
      <c r="HG156" s="23">
        <f>EXP(-LN(2)/35)*HG155+(1-EXP(-LN(2)/35))/(LN(2)/35)*HC156*HD156*VLOOKUP('Données projet'!$B$9,Paramètres!$A$1:$I$88,3,0)*0.475*44/12</f>
        <v>0</v>
      </c>
      <c r="HH156" s="23">
        <f>EXP(-LN(2)/25)*HH155+(1-EXP(-LN(2)/25))/(LN(2)/25)*Calculateur!HC156*Calculateur!HE156*VLOOKUP('Données projet'!$B$9,Paramètres!$A$1:$I$88,3,0)*0.475*44/12</f>
        <v>0</v>
      </c>
      <c r="HI156" s="23">
        <f>EXP(-LN(2)/2)*HI155+(1-EXP(-LN(2)/2))/(LN(2)/2)*HC156*HF156*VLOOKUP('Données projet'!$B$9,Paramètres!$A$1:$I$88,3,0)*0.475*44/12</f>
        <v>0</v>
      </c>
      <c r="HJ156" s="24">
        <f t="shared" si="190"/>
        <v>0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7" s="12">
        <f t="shared" si="15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111"/>
        <v>135.66666666666666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IF(A157&lt;'Données projet'!$A$36,$K$205^A157,IF(A157='Données projet'!$A$36,'Données projet'!$B$36,N156+M157-V156))</f>
        <v>0</v>
      </c>
      <c r="O157" s="14">
        <f>N157*VLOOKUP('Données projet'!$B$9,Paramètres!$A$1:$I$88,3,0)*VLOOKUP('Données projet'!$B$9,Paramètres!$A$1:$I$88,5,0)</f>
        <v>0</v>
      </c>
      <c r="P157" s="14" t="e">
        <f t="shared" si="15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314.72063458462026</v>
      </c>
      <c r="T157" s="62">
        <f t="shared" si="110"/>
        <v>216.4380325968244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projet'!$B$9,Paramètres!$A$1:$I$88,7,0))</f>
        <v>0</v>
      </c>
      <c r="X157" s="17">
        <f>IF(ISNA(VLOOKUP(A157,'Données projet'!$A$35:$I$55,6,0)),0%,VLOOKUP(A157,'Données projet'!$A$35:$I$55,6,0)*VLOOKUP('Données projet'!$B$9,Paramètres!$A$1:$I$88,7,0))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projet'!$B$9,Paramètres!$A$1:$I$88,3,0)*0.475*44/12</f>
        <v>0</v>
      </c>
      <c r="AA157" s="23">
        <f>EXP(-LN(2)/25)*AA156+(1-EXP(-LN(2)/25))/(LN(2)/25)*Calculateur!V157*Calculateur!X157*VLOOKUP('Données projet'!$B$9,Paramètres!$A$1:$I$88,3,0)*0.475*44/12</f>
        <v>0</v>
      </c>
      <c r="AB157" s="23">
        <f>EXP(-LN(2)/2)*AB156+(1-EXP(-LN(2)/2))/(LN(2)/2)*V157*Y157*VLOOKUP('Données projet'!$B$9,Paramètres!$A$1:$I$88,3,0)*0.475*44/12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IF(A157&lt;'Données projet'!$A$62,$AF$205^A157,IF(A157='Données projet'!$A$62,'Données projet'!$B$62,AI156+AH157-AQ156))</f>
        <v>1.1368683772161603E-13</v>
      </c>
      <c r="AJ157" s="14">
        <f>AI157*VLOOKUP('Données projet'!$B$10,Paramètres!$A$1:$I$88,3,0)*VLOOKUP('Données projet'!$B$10,Paramètres!$A$1:$I$88,5,0)</f>
        <v>1.1882548278663309E-13</v>
      </c>
      <c r="AK157" s="14">
        <f t="shared" si="164"/>
        <v>1.7496137229198366E-12</v>
      </c>
      <c r="AL157" s="22">
        <f t="shared" si="165"/>
        <v>3.2541982832721012E-12</v>
      </c>
      <c r="AM157" s="62">
        <f t="shared" si="114"/>
        <v>283.92242813946132</v>
      </c>
      <c r="AN157" s="62">
        <f ca="1">AVERAGE(OFFSET($AM$3,0,0,'Données projet'!$E$10+1,1))-AVERAGE(OFFSET($H$3,0,0,'Données projet'!$E$10+1,1))</f>
        <v>458.33072853676879</v>
      </c>
      <c r="AO157" s="62">
        <f t="shared" si="115"/>
        <v>254.1734169352687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projet'!$B$10,Paramètres!$A$1:$I$88,7,0))</f>
        <v>0</v>
      </c>
      <c r="AS157" s="17">
        <f>IF(ISNA(VLOOKUP(A157,'Données projet'!$A$61:$I$81,6,0)),0%,VLOOKUP(A157,'Données projet'!$A$61:$I$81,6,0)*VLOOKUP('Données projet'!$B$10,Paramètres!$A$1:$I$88,7,0))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projet'!$B$9,Paramètres!$A$1:$I$88,3,0)*0.475*44/12</f>
        <v>0</v>
      </c>
      <c r="AV157" s="23">
        <f>EXP(-LN(2)/25)*AV156+(1-EXP(-LN(2)/25))/(LN(2)/25)*Calculateur!AQ157*Calculateur!AS157*VLOOKUP('Données projet'!$B$9,Paramètres!$A$1:$I$88,3,0)*0.475*44/12</f>
        <v>0</v>
      </c>
      <c r="AW157" s="23">
        <f>EXP(-LN(2)/2)*AW156+(1-EXP(-LN(2)/2))/(LN(2)/2)*AQ157*AT157*VLOOKUP('Données projet'!$B$9,Paramètres!$A$1:$I$88,3,0)*0.475*44/12</f>
        <v>0</v>
      </c>
      <c r="AX157" s="23">
        <f t="shared" si="166"/>
        <v>0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IF(A157&lt;'Données projet'!$A$88,$BA$205^A157,IF(A157='Données projet'!$A$88,'Données projet'!$B$88,BD156+BC157-BL156))</f>
        <v>1.1368683772161603E-13</v>
      </c>
      <c r="BE157" s="14">
        <f>BD157*VLOOKUP('Données projet'!$B$11,Paramètres!$A$1:$I$88,3,0)*VLOOKUP('Données projet'!$B$11,Paramètres!$A$1:$I$88,5,0)</f>
        <v>1.1527845344971866E-13</v>
      </c>
      <c r="BF157" s="14">
        <f t="shared" si="167"/>
        <v>1.7033846239409443E-12</v>
      </c>
      <c r="BG157" s="22">
        <f t="shared" si="168"/>
        <v>3.1675048597887374E-12</v>
      </c>
      <c r="BH157" s="62">
        <f t="shared" si="118"/>
        <v>283.92242813946126</v>
      </c>
      <c r="BI157" s="62">
        <f ca="1">AVERAGE(OFFSET($BH$3,0,0,'Données projet'!$E$11+1,1))-AVERAGE(OFFSET($H$3,0,0,'Données projet'!$E$11+1,1))</f>
        <v>447.82618173893104</v>
      </c>
      <c r="BJ157" s="62">
        <f t="shared" si="119"/>
        <v>248.96509970783379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projet'!$B$11,Paramètres!$A$1:$I$88,7,0))</f>
        <v>0</v>
      </c>
      <c r="BN157" s="17">
        <f>IF(ISNA(VLOOKUP(A157,'Données projet'!$A$87:$I$107,6,0)),0%,VLOOKUP(A157,'Données projet'!$A$87:$I$107,6,0)*VLOOKUP('Données projet'!$B$11,Paramètres!$A$1:$I$88,7,0))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projet'!$B$9,Paramètres!$A$1:$I$88,3,0)*0.475*44/12</f>
        <v>0</v>
      </c>
      <c r="BQ157" s="23">
        <f>EXP(-LN(2)/25)*BQ156+(1-EXP(-LN(2)/25))/(LN(2)/25)*Calculateur!BL157*Calculateur!BN157*VLOOKUP('Données projet'!$B$9,Paramètres!$A$1:$I$88,3,0)*0.475*44/12</f>
        <v>0</v>
      </c>
      <c r="BR157" s="23">
        <f>EXP(-LN(2)/2)*BR156+(1-EXP(-LN(2)/2))/(LN(2)/2)*BL157*BO157*VLOOKUP('Données projet'!$B$9,Paramètres!$A$1:$I$88,3,0)*0.475*44/12</f>
        <v>0</v>
      </c>
      <c r="BS157" s="24">
        <f t="shared" si="169"/>
        <v>0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IF(A157&lt;'Données projet'!$A$114,$BV$205^A157,IF(A157='Données projet'!$A$114,'Données projet'!$B$114,BY156+BX157-CG156))</f>
        <v>1.1368683772161603E-13</v>
      </c>
      <c r="BZ157" s="14">
        <f>BY157*VLOOKUP('Données projet'!$B$12,Paramètres!$A$1:$I$88,3,0)*VLOOKUP('Données projet'!$B$12,Paramètres!$A$1:$I$88,5,0)</f>
        <v>1.223725121235475E-13</v>
      </c>
      <c r="CA157" s="14">
        <f t="shared" si="170"/>
        <v>1.7956824466038182E-12</v>
      </c>
      <c r="CB157" s="22">
        <f t="shared" si="171"/>
        <v>3.3406123864501612E-12</v>
      </c>
      <c r="CC157" s="62">
        <f t="shared" si="122"/>
        <v>283.92242813946143</v>
      </c>
      <c r="CD157" s="62">
        <f ca="1">AVERAGE(OFFSET($CC$3,0,0,'Données projet'!$E$12+1,1))-AVERAGE(OFFSET($H$3,0,0,'Données projet'!$E$12+1,1))</f>
        <v>468.82871618425406</v>
      </c>
      <c r="CE157" s="62">
        <f t="shared" si="123"/>
        <v>259.37818128554397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projet'!$B$12,Paramètres!$A$1:$I$88,7,0))</f>
        <v>0</v>
      </c>
      <c r="CI157" s="17">
        <f>IF(ISNA(VLOOKUP(A157,'Données projet'!$A$113:$I$133,6,0)),0%,VLOOKUP(A157,'Données projet'!$A$113:$I$133,6,0)*VLOOKUP('Données projet'!$B$12,Paramètres!$A$1:$I$88,7,0))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projet'!$B$9,Paramètres!$A$1:$I$88,3,0)*0.475*44/12</f>
        <v>0</v>
      </c>
      <c r="CL157" s="23">
        <f>EXP(-LN(2)/25)*CL156+(1-EXP(-LN(2)/25))/(LN(2)/25)*Calculateur!CG157*Calculateur!CI157*VLOOKUP('Données projet'!$B$9,Paramètres!$A$1:$I$88,3,0)*0.475*44/12</f>
        <v>0</v>
      </c>
      <c r="CM157" s="23">
        <f>EXP(-LN(2)/2)*CM156+(1-EXP(-LN(2)/2))/(LN(2)/2)*CG157*CJ157*VLOOKUP('Données projet'!$B$9,Paramètres!$A$1:$I$88,3,0)*0.475*44/12</f>
        <v>0</v>
      </c>
      <c r="CN157" s="24">
        <f t="shared" si="172"/>
        <v>0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IF(A157&lt;'Données projet'!$A$140,$CQ$205^A157,IF(A157='Données projet'!$A$140,'Données projet'!$B$140,CT156+CS157-DB156))</f>
        <v>1.1368683772161603E-13</v>
      </c>
      <c r="CU157" s="18">
        <f>CT157*VLOOKUP('Données projet'!$B$13,Paramètres!$A$1:$I$88,3,0)*VLOOKUP('Données projet'!$B$13,Paramètres!$A$1:$I$88,5,0)</f>
        <v>9.7543306765146564E-14</v>
      </c>
      <c r="CV157" s="14">
        <f t="shared" si="173"/>
        <v>1.4696264278629426E-12</v>
      </c>
      <c r="CW157" s="22">
        <f t="shared" si="174"/>
        <v>2.7294872878105889E-12</v>
      </c>
      <c r="CX157" s="62">
        <f t="shared" si="126"/>
        <v>283.92242813946081</v>
      </c>
      <c r="CY157" s="62">
        <f ca="1">AVERAGE(OFFSET($CX$3,0,0,'Données projet'!$E$13+1,1))-AVERAGE(OFFSET($H$3,0,0,'Données projet'!$E$13+1,1))</f>
        <v>395.19659151668884</v>
      </c>
      <c r="CZ157" s="62">
        <f t="shared" si="127"/>
        <v>222.86563304507339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projet'!$B$13,Paramètres!$A$1:$I$88,7,0))</f>
        <v>0</v>
      </c>
      <c r="DD157" s="17">
        <f>IF(ISNA(VLOOKUP(A157,'Données projet'!$A$139:$I$159,6,0)),0%,VLOOKUP(A157,'Données projet'!$A$139:$I$159,6,0)*VLOOKUP('Données projet'!$B$13,Paramètres!$A$1:$I$88,7,0))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projet'!$B$9,Paramètres!$A$1:$I$88,3,0)*0.475*44/12</f>
        <v>0</v>
      </c>
      <c r="DG157" s="23">
        <f>EXP(-LN(2)/25)*DG156+(1-EXP(-LN(2)/25))/(LN(2)/25)*Calculateur!DB157*Calculateur!DD157*VLOOKUP('Données projet'!$B$9,Paramètres!$A$1:$I$88,3,0)*0.475*44/12</f>
        <v>0</v>
      </c>
      <c r="DH157" s="23">
        <f>EXP(-LN(2)/2)*DH156+(1-EXP(-LN(2)/2))/(LN(2)/2)*DB157*DE157*VLOOKUP('Données projet'!$B$9,Paramètres!$A$1:$I$88,3,0)*0.475*44/12</f>
        <v>0</v>
      </c>
      <c r="DI157" s="24">
        <f t="shared" si="175"/>
        <v>0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IF(A157&lt;'Données projet'!$A$166,$DL$205^A157,IF(A157='Données projet'!$A$166,'Données projet'!$B$166,DO156+DN157-DW156))</f>
        <v>-8.5265128291212022E-14</v>
      </c>
      <c r="DP157" s="18">
        <f>DO157*VLOOKUP('Données projet'!$B$14,Paramètres!$A$1:$I$88,3,0)*VLOOKUP('Données projet'!$B$14,Paramètres!$A$1:$I$88,5,0)</f>
        <v>-4.9880100050359036E-14</v>
      </c>
      <c r="DQ157" s="14" t="e">
        <f t="shared" si="176"/>
        <v>#NUM!</v>
      </c>
      <c r="DR157" s="22" t="e">
        <f t="shared" si="177"/>
        <v>#NUM!</v>
      </c>
      <c r="DS157" s="62" t="e">
        <f t="shared" si="130"/>
        <v>#NUM!</v>
      </c>
      <c r="DT157" s="62">
        <f ca="1">AVERAGE(OFFSET($DS$3,0,0,'Données projet'!$E$14+1,1))-AVERAGE(OFFSET($H$3,0,0,'Données projet'!$E$14+1,1))</f>
        <v>155.18073137151848</v>
      </c>
      <c r="DU157" s="62">
        <f t="shared" si="131"/>
        <v>115.19459155667272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projet'!$B$14,Paramètres!$A$1:$I$88,7,0))</f>
        <v>0</v>
      </c>
      <c r="DY157" s="17">
        <f>IF(ISNA(VLOOKUP(A157,'Données projet'!$A$165:$I$185,6,0)),0%,VLOOKUP(A157,'Données projet'!$A$165:$I$185,6,0)*VLOOKUP('Données projet'!$B$14,Paramètres!$A$1:$I$88,7,0))</f>
        <v>0</v>
      </c>
      <c r="DZ157" s="17">
        <f>IF(ISNA(VLOOKUP(A157,'Données projet'!$A$165:$I$185,7,0)),0%,VLOOKUP(A157,'Données projet'!$A$165:$I$185,7,0))</f>
        <v>0</v>
      </c>
      <c r="EA157" s="23">
        <f>EXP(-LN(2)/35)*EA156+(1-EXP(-LN(2)/35))/(LN(2)/35)*DW157*DX157*VLOOKUP('Données projet'!$B$9,Paramètres!$A$1:$I$88,3,0)*0.475*44/12</f>
        <v>0</v>
      </c>
      <c r="EB157" s="23">
        <f>EXP(-LN(2)/25)*EB156+(1-EXP(-LN(2)/25))/(LN(2)/25)*Calculateur!DW157*Calculateur!DY157*VLOOKUP('Données projet'!$B$9,Paramètres!$A$1:$I$88,3,0)*0.475*44/12</f>
        <v>0</v>
      </c>
      <c r="EC157" s="23">
        <f>EXP(-LN(2)/2)*EC156+(1-EXP(-LN(2)/2))/(LN(2)/2)*DW157*DZ157*VLOOKUP('Données projet'!$B$9,Paramètres!$A$1:$I$88,3,0)*0.475*44/12</f>
        <v>0</v>
      </c>
      <c r="ED157" s="24">
        <f t="shared" si="178"/>
        <v>0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IF(A157&lt;'Données projet'!$A$192,$EG$205^A157,IF(A157='Données projet'!$A$192,'Données projet'!$B$192,EJ156+EI157-ER156))</f>
        <v>-5.6843418860808015E-14</v>
      </c>
      <c r="EK157" s="18">
        <f>EJ157*VLOOKUP('Données projet'!$B$15,Paramètres!$A$1:$I$88,3,0)*VLOOKUP('Données projet'!$B$15,Paramètres!$A$1:$I$88,5,0)</f>
        <v>-2.6602720026858149E-14</v>
      </c>
      <c r="EL157" s="14" t="e">
        <f t="shared" si="179"/>
        <v>#NUM!</v>
      </c>
      <c r="EM157" s="22" t="e">
        <f t="shared" si="180"/>
        <v>#NUM!</v>
      </c>
      <c r="EN157" s="62" t="e">
        <f t="shared" si="134"/>
        <v>#NUM!</v>
      </c>
      <c r="EO157" s="62">
        <f ca="1">AVERAGE(OFFSET($EN$3,0,0,'Données projet'!$E$15+1,1))-AVERAGE(OFFSET($H$3,0,0,'Données projet'!$E$15+1,1))</f>
        <v>238.59014604384171</v>
      </c>
      <c r="EP157" s="62">
        <f t="shared" si="135"/>
        <v>90.841373219575217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projet'!$B$15,Paramètres!$A$1:$I$88,7,0))</f>
        <v>0</v>
      </c>
      <c r="ET157" s="17">
        <f>IF(ISNA(VLOOKUP(A157,'Données projet'!$A$191:$I$211,6,0)),0%,VLOOKUP(A157,'Données projet'!$A$191:$I$211,6,0)*VLOOKUP('Données projet'!$B$15,Paramètres!$A$1:$I$88,7,0))</f>
        <v>0</v>
      </c>
      <c r="EU157" s="17">
        <f>IF(ISNA(VLOOKUP(A157,'Données projet'!$A$191:$I$211,7,0)),0%,VLOOKUP(A157,'Données projet'!$A$191:$I$211,7,0))</f>
        <v>0</v>
      </c>
      <c r="EV157" s="23">
        <f>EXP(-LN(2)/35)*EV156+(1-EXP(-LN(2)/35))/(LN(2)/35)*ER157*ES157*VLOOKUP('Données projet'!$B$9,Paramètres!$A$1:$I$88,3,0)*0.475*44/12</f>
        <v>0</v>
      </c>
      <c r="EW157" s="23">
        <f>EXP(-LN(2)/25)*EW156+(1-EXP(-LN(2)/25))/(LN(2)/25)*Calculateur!ER157*Calculateur!ET157*VLOOKUP('Données projet'!$B$9,Paramètres!$A$1:$I$88,3,0)*0.475*44/12</f>
        <v>0</v>
      </c>
      <c r="EX157" s="23">
        <f>EXP(-LN(2)/2)*EX156+(1-EXP(-LN(2)/2))/(LN(2)/2)*ER157*EU157*VLOOKUP('Données projet'!$B$9,Paramètres!$A$1:$I$88,3,0)*0.475*44/12</f>
        <v>0</v>
      </c>
      <c r="EY157" s="24">
        <f t="shared" si="181"/>
        <v>0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IF(A157&lt;'Données projet'!$A$218,$FB$205^A157,IF(A157='Données projet'!$A$218,'Données projet'!$B$218,FE156+FD157-FM156))</f>
        <v>0</v>
      </c>
      <c r="FF157" s="18" t="e">
        <f>FE157*VLOOKUP('Données projet'!$B$16,Paramètres!$A$1:$I$88,3,0)*VLOOKUP('Données projet'!$B$16,Paramètres!$A$1:$I$88,5,0)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8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39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projet'!$B$16,Paramètres!$A$1:$I$88,7,0))</f>
        <v>0</v>
      </c>
      <c r="FO157" s="17">
        <f>IF(ISNA(VLOOKUP(A157,'Données projet'!$A$217:$I$237,6,0)),0%,VLOOKUP(A157,'Données projet'!$A$217:$I$237,6,0)*VLOOKUP('Données projet'!$B$16,Paramètres!$A$1:$I$88,7,0))</f>
        <v>0</v>
      </c>
      <c r="FP157" s="17">
        <f>IF(ISNA(VLOOKUP(A157,'Données projet'!$A$217:$I$237,7,0)),0%,VLOOKUP(A157,'Données projet'!$A$217:$I$237,7,0))</f>
        <v>0</v>
      </c>
      <c r="FQ157" s="23">
        <f>EXP(-LN(2)/35)*FQ156+(1-EXP(-LN(2)/35))/(LN(2)/35)*FM157*FN157*VLOOKUP('Données projet'!$B$9,Paramètres!$A$1:$I$88,3,0)*0.475*44/12</f>
        <v>0</v>
      </c>
      <c r="FR157" s="23">
        <f>EXP(-LN(2)/25)*FR156+(1-EXP(-LN(2)/25))/(LN(2)/25)*Calculateur!FM157*Calculateur!FO157*VLOOKUP('Données projet'!$B$9,Paramètres!$A$1:$I$88,3,0)*0.475*44/12</f>
        <v>0</v>
      </c>
      <c r="FS157" s="23">
        <f>EXP(-LN(2)/2)*FS156+(1-EXP(-LN(2)/2))/(LN(2)/2)*FM157*FP157*VLOOKUP('Données projet'!$B$9,Paramètres!$A$1:$I$88,3,0)*0.475*44/12</f>
        <v>0</v>
      </c>
      <c r="FT157" s="24">
        <f t="shared" si="184"/>
        <v>0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IF(A157&lt;'Données projet'!$A$244,$FW$205^A157,IF(A157='Données projet'!$A$244,'Données projet'!$B$244,FZ156+FY157-GH156))</f>
        <v>0</v>
      </c>
      <c r="GA157" s="18" t="e">
        <f>FZ157*VLOOKUP('Données projet'!$B$17,Paramètres!$A$1:$I$88,3,0)*VLOOKUP('Données projet'!$B$17,Paramètres!$A$1:$I$88,5,0)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42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43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projet'!$B$17,Paramètres!$A$1:$I$88,7,0))</f>
        <v>0</v>
      </c>
      <c r="GJ157" s="17">
        <f>IF(ISNA(VLOOKUP(A157,'Données projet'!$A$243:$I$263,6,0)),0%,VLOOKUP(A157,'Données projet'!$A$243:$I$263,6,0)*VLOOKUP('Données projet'!$B$17,Paramètres!$A$1:$I$88,7,0))</f>
        <v>0</v>
      </c>
      <c r="GK157" s="17">
        <f>IF(ISNA(VLOOKUP(A157,'Données projet'!$A$243:$I$263,7,0)),0%,VLOOKUP(A157,'Données projet'!$A$243:$I$263,7,0))</f>
        <v>0</v>
      </c>
      <c r="GL157" s="23">
        <f>EXP(-LN(2)/35)*GL156+(1-EXP(-LN(2)/35))/(LN(2)/35)*GH157*GI157*VLOOKUP('Données projet'!$B$9,Paramètres!$A$1:$I$88,3,0)*0.475*44/12</f>
        <v>0</v>
      </c>
      <c r="GM157" s="23">
        <f>EXP(-LN(2)/25)*GM156+(1-EXP(-LN(2)/25))/(LN(2)/25)*Calculateur!GH157*Calculateur!GJ157*VLOOKUP('Données projet'!$B$9,Paramètres!$A$1:$I$88,3,0)*0.475*44/12</f>
        <v>0</v>
      </c>
      <c r="GN157" s="23">
        <f>EXP(-LN(2)/2)*GN156+(1-EXP(-LN(2)/2))/(LN(2)/2)*GH157*GK157*VLOOKUP('Données projet'!$B$9,Paramètres!$A$1:$I$88,3,0)*0.475*44/12</f>
        <v>0</v>
      </c>
      <c r="GO157" s="23">
        <f t="shared" si="187"/>
        <v>0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IF(A157&lt;'Données projet'!$A$270,$GR$205^A157,IF(A157='Données projet'!$A$270,'Données projet'!$B$270,GU156+GT157-HC156))</f>
        <v>0</v>
      </c>
      <c r="GV157" s="18" t="e">
        <f>GU157*VLOOKUP('Données projet'!$B$18,Paramètres!$A$1:$I$88,3,0)*VLOOKUP('Données projet'!$B$18,Paramètres!$A$1:$I$88,5,0)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46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47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projet'!$B$18,Paramètres!$A$1:$I$88,7,0))</f>
        <v>0</v>
      </c>
      <c r="HE157" s="17">
        <f>IF(ISNA(VLOOKUP(A157,'Données projet'!$A$269:$I$289,6,0)),0%,VLOOKUP(A157,'Données projet'!$A$269:$I$289,6,0)*VLOOKUP('Données projet'!$B$18,Paramètres!$A$1:$I$88,7,0))</f>
        <v>0</v>
      </c>
      <c r="HF157" s="17">
        <f>IF(ISNA(VLOOKUP(A157,'Données projet'!$A$269:$I$289,7,0)),0%,VLOOKUP(A157,'Données projet'!$A$269:$I$289,7,0))</f>
        <v>0</v>
      </c>
      <c r="HG157" s="23">
        <f>EXP(-LN(2)/35)*HG156+(1-EXP(-LN(2)/35))/(LN(2)/35)*HC157*HD157*VLOOKUP('Données projet'!$B$9,Paramètres!$A$1:$I$88,3,0)*0.475*44/12</f>
        <v>0</v>
      </c>
      <c r="HH157" s="23">
        <f>EXP(-LN(2)/25)*HH156+(1-EXP(-LN(2)/25))/(LN(2)/25)*Calculateur!HC157*Calculateur!HE157*VLOOKUP('Données projet'!$B$9,Paramètres!$A$1:$I$88,3,0)*0.475*44/12</f>
        <v>0</v>
      </c>
      <c r="HI157" s="23">
        <f>EXP(-LN(2)/2)*HI156+(1-EXP(-LN(2)/2))/(LN(2)/2)*HC157*HF157*VLOOKUP('Données projet'!$B$9,Paramètres!$A$1:$I$88,3,0)*0.475*44/12</f>
        <v>0</v>
      </c>
      <c r="HJ157" s="24">
        <f t="shared" si="190"/>
        <v>0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8" s="12">
        <f t="shared" si="15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111"/>
        <v>135.66666666666666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IF(A158&lt;'Données projet'!$A$36,$K$205^A158,IF(A158='Données projet'!$A$36,'Données projet'!$B$36,N157+M158-V157))</f>
        <v>0</v>
      </c>
      <c r="O158" s="14">
        <f>N158*VLOOKUP('Données projet'!$B$9,Paramètres!$A$1:$I$88,3,0)*VLOOKUP('Données projet'!$B$9,Paramètres!$A$1:$I$88,5,0)</f>
        <v>0</v>
      </c>
      <c r="P158" s="14" t="e">
        <f t="shared" si="15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314.72063458462026</v>
      </c>
      <c r="T158" s="62">
        <f t="shared" si="110"/>
        <v>216.4380325968244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projet'!$B$9,Paramètres!$A$1:$I$88,7,0))</f>
        <v>0</v>
      </c>
      <c r="X158" s="17">
        <f>IF(ISNA(VLOOKUP(A158,'Données projet'!$A$35:$I$55,6,0)),0%,VLOOKUP(A158,'Données projet'!$A$35:$I$55,6,0)*VLOOKUP('Données projet'!$B$9,Paramètres!$A$1:$I$88,7,0))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projet'!$B$9,Paramètres!$A$1:$I$88,3,0)*0.475*44/12</f>
        <v>0</v>
      </c>
      <c r="AA158" s="23">
        <f>EXP(-LN(2)/25)*AA157+(1-EXP(-LN(2)/25))/(LN(2)/25)*Calculateur!V158*Calculateur!X158*VLOOKUP('Données projet'!$B$9,Paramètres!$A$1:$I$88,3,0)*0.475*44/12</f>
        <v>0</v>
      </c>
      <c r="AB158" s="23">
        <f>EXP(-LN(2)/2)*AB157+(1-EXP(-LN(2)/2))/(LN(2)/2)*V158*Y158*VLOOKUP('Données projet'!$B$9,Paramètres!$A$1:$I$88,3,0)*0.475*44/12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IF(A158&lt;'Données projet'!$A$62,$AF$205^A158,IF(A158='Données projet'!$A$62,'Données projet'!$B$62,AI157+AH158-AQ157))</f>
        <v>1.1368683772161603E-13</v>
      </c>
      <c r="AJ158" s="14">
        <f>AI158*VLOOKUP('Données projet'!$B$10,Paramètres!$A$1:$I$88,3,0)*VLOOKUP('Données projet'!$B$10,Paramètres!$A$1:$I$88,5,0)</f>
        <v>1.1882548278663309E-13</v>
      </c>
      <c r="AK158" s="14">
        <f t="shared" si="164"/>
        <v>1.7496137229198366E-12</v>
      </c>
      <c r="AL158" s="22">
        <f t="shared" si="165"/>
        <v>3.2541982832721012E-12</v>
      </c>
      <c r="AM158" s="62">
        <f t="shared" si="114"/>
        <v>284.08568630494301</v>
      </c>
      <c r="AN158" s="62">
        <f ca="1">AVERAGE(OFFSET($AM$3,0,0,'Données projet'!$E$10+1,1))-AVERAGE(OFFSET($H$3,0,0,'Données projet'!$E$10+1,1))</f>
        <v>458.33072853676879</v>
      </c>
      <c r="AO158" s="62">
        <f t="shared" si="115"/>
        <v>254.1734169352687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projet'!$B$10,Paramètres!$A$1:$I$88,7,0))</f>
        <v>0</v>
      </c>
      <c r="AS158" s="17">
        <f>IF(ISNA(VLOOKUP(A158,'Données projet'!$A$61:$I$81,6,0)),0%,VLOOKUP(A158,'Données projet'!$A$61:$I$81,6,0)*VLOOKUP('Données projet'!$B$10,Paramètres!$A$1:$I$88,7,0))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projet'!$B$9,Paramètres!$A$1:$I$88,3,0)*0.475*44/12</f>
        <v>0</v>
      </c>
      <c r="AV158" s="23">
        <f>EXP(-LN(2)/25)*AV157+(1-EXP(-LN(2)/25))/(LN(2)/25)*Calculateur!AQ158*Calculateur!AS158*VLOOKUP('Données projet'!$B$9,Paramètres!$A$1:$I$88,3,0)*0.475*44/12</f>
        <v>0</v>
      </c>
      <c r="AW158" s="23">
        <f>EXP(-LN(2)/2)*AW157+(1-EXP(-LN(2)/2))/(LN(2)/2)*AQ158*AT158*VLOOKUP('Données projet'!$B$9,Paramètres!$A$1:$I$88,3,0)*0.475*44/12</f>
        <v>0</v>
      </c>
      <c r="AX158" s="23">
        <f t="shared" si="166"/>
        <v>0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IF(A158&lt;'Données projet'!$A$88,$BA$205^A158,IF(A158='Données projet'!$A$88,'Données projet'!$B$88,BD157+BC158-BL157))</f>
        <v>1.1368683772161603E-13</v>
      </c>
      <c r="BE158" s="14">
        <f>BD158*VLOOKUP('Données projet'!$B$11,Paramètres!$A$1:$I$88,3,0)*VLOOKUP('Données projet'!$B$11,Paramètres!$A$1:$I$88,5,0)</f>
        <v>1.1527845344971866E-13</v>
      </c>
      <c r="BF158" s="14">
        <f t="shared" si="167"/>
        <v>1.7033846239409443E-12</v>
      </c>
      <c r="BG158" s="22">
        <f t="shared" si="168"/>
        <v>3.1675048597887374E-12</v>
      </c>
      <c r="BH158" s="62">
        <f t="shared" si="118"/>
        <v>284.08568630494295</v>
      </c>
      <c r="BI158" s="62">
        <f ca="1">AVERAGE(OFFSET($BH$3,0,0,'Données projet'!$E$11+1,1))-AVERAGE(OFFSET($H$3,0,0,'Données projet'!$E$11+1,1))</f>
        <v>447.82618173893104</v>
      </c>
      <c r="BJ158" s="62">
        <f t="shared" si="119"/>
        <v>248.96509970783379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projet'!$B$11,Paramètres!$A$1:$I$88,7,0))</f>
        <v>0</v>
      </c>
      <c r="BN158" s="17">
        <f>IF(ISNA(VLOOKUP(A158,'Données projet'!$A$87:$I$107,6,0)),0%,VLOOKUP(A158,'Données projet'!$A$87:$I$107,6,0)*VLOOKUP('Données projet'!$B$11,Paramètres!$A$1:$I$88,7,0))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projet'!$B$9,Paramètres!$A$1:$I$88,3,0)*0.475*44/12</f>
        <v>0</v>
      </c>
      <c r="BQ158" s="23">
        <f>EXP(-LN(2)/25)*BQ157+(1-EXP(-LN(2)/25))/(LN(2)/25)*Calculateur!BL158*Calculateur!BN158*VLOOKUP('Données projet'!$B$9,Paramètres!$A$1:$I$88,3,0)*0.475*44/12</f>
        <v>0</v>
      </c>
      <c r="BR158" s="23">
        <f>EXP(-LN(2)/2)*BR157+(1-EXP(-LN(2)/2))/(LN(2)/2)*BL158*BO158*VLOOKUP('Données projet'!$B$9,Paramètres!$A$1:$I$88,3,0)*0.475*44/12</f>
        <v>0</v>
      </c>
      <c r="BS158" s="24">
        <f t="shared" si="169"/>
        <v>0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IF(A158&lt;'Données projet'!$A$114,$BV$205^A158,IF(A158='Données projet'!$A$114,'Données projet'!$B$114,BY157+BX158-CG157))</f>
        <v>1.1368683772161603E-13</v>
      </c>
      <c r="BZ158" s="14">
        <f>BY158*VLOOKUP('Données projet'!$B$12,Paramètres!$A$1:$I$88,3,0)*VLOOKUP('Données projet'!$B$12,Paramètres!$A$1:$I$88,5,0)</f>
        <v>1.223725121235475E-13</v>
      </c>
      <c r="CA158" s="14">
        <f t="shared" si="170"/>
        <v>1.7956824466038182E-12</v>
      </c>
      <c r="CB158" s="22">
        <f t="shared" si="171"/>
        <v>3.3406123864501612E-12</v>
      </c>
      <c r="CC158" s="62">
        <f t="shared" si="122"/>
        <v>284.08568630494312</v>
      </c>
      <c r="CD158" s="62">
        <f ca="1">AVERAGE(OFFSET($CC$3,0,0,'Données projet'!$E$12+1,1))-AVERAGE(OFFSET($H$3,0,0,'Données projet'!$E$12+1,1))</f>
        <v>468.82871618425406</v>
      </c>
      <c r="CE158" s="62">
        <f t="shared" si="123"/>
        <v>259.37818128554397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projet'!$B$12,Paramètres!$A$1:$I$88,7,0))</f>
        <v>0</v>
      </c>
      <c r="CI158" s="17">
        <f>IF(ISNA(VLOOKUP(A158,'Données projet'!$A$113:$I$133,6,0)),0%,VLOOKUP(A158,'Données projet'!$A$113:$I$133,6,0)*VLOOKUP('Données projet'!$B$12,Paramètres!$A$1:$I$88,7,0))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projet'!$B$9,Paramètres!$A$1:$I$88,3,0)*0.475*44/12</f>
        <v>0</v>
      </c>
      <c r="CL158" s="23">
        <f>EXP(-LN(2)/25)*CL157+(1-EXP(-LN(2)/25))/(LN(2)/25)*Calculateur!CG158*Calculateur!CI158*VLOOKUP('Données projet'!$B$9,Paramètres!$A$1:$I$88,3,0)*0.475*44/12</f>
        <v>0</v>
      </c>
      <c r="CM158" s="23">
        <f>EXP(-LN(2)/2)*CM157+(1-EXP(-LN(2)/2))/(LN(2)/2)*CG158*CJ158*VLOOKUP('Données projet'!$B$9,Paramètres!$A$1:$I$88,3,0)*0.475*44/12</f>
        <v>0</v>
      </c>
      <c r="CN158" s="24">
        <f t="shared" si="172"/>
        <v>0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IF(A158&lt;'Données projet'!$A$140,$CQ$205^A158,IF(A158='Données projet'!$A$140,'Données projet'!$B$140,CT157+CS158-DB157))</f>
        <v>1.1368683772161603E-13</v>
      </c>
      <c r="CU158" s="18">
        <f>CT158*VLOOKUP('Données projet'!$B$13,Paramètres!$A$1:$I$88,3,0)*VLOOKUP('Données projet'!$B$13,Paramètres!$A$1:$I$88,5,0)</f>
        <v>9.7543306765146564E-14</v>
      </c>
      <c r="CV158" s="14">
        <f t="shared" si="173"/>
        <v>1.4696264278629426E-12</v>
      </c>
      <c r="CW158" s="22">
        <f t="shared" si="174"/>
        <v>2.7294872878105889E-12</v>
      </c>
      <c r="CX158" s="62">
        <f t="shared" si="126"/>
        <v>284.0856863049425</v>
      </c>
      <c r="CY158" s="62">
        <f ca="1">AVERAGE(OFFSET($CX$3,0,0,'Données projet'!$E$13+1,1))-AVERAGE(OFFSET($H$3,0,0,'Données projet'!$E$13+1,1))</f>
        <v>395.19659151668884</v>
      </c>
      <c r="CZ158" s="62">
        <f t="shared" si="127"/>
        <v>222.86563304507339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projet'!$B$13,Paramètres!$A$1:$I$88,7,0))</f>
        <v>0</v>
      </c>
      <c r="DD158" s="17">
        <f>IF(ISNA(VLOOKUP(A158,'Données projet'!$A$139:$I$159,6,0)),0%,VLOOKUP(A158,'Données projet'!$A$139:$I$159,6,0)*VLOOKUP('Données projet'!$B$13,Paramètres!$A$1:$I$88,7,0))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projet'!$B$9,Paramètres!$A$1:$I$88,3,0)*0.475*44/12</f>
        <v>0</v>
      </c>
      <c r="DG158" s="23">
        <f>EXP(-LN(2)/25)*DG157+(1-EXP(-LN(2)/25))/(LN(2)/25)*Calculateur!DB158*Calculateur!DD158*VLOOKUP('Données projet'!$B$9,Paramètres!$A$1:$I$88,3,0)*0.475*44/12</f>
        <v>0</v>
      </c>
      <c r="DH158" s="23">
        <f>EXP(-LN(2)/2)*DH157+(1-EXP(-LN(2)/2))/(LN(2)/2)*DB158*DE158*VLOOKUP('Données projet'!$B$9,Paramètres!$A$1:$I$88,3,0)*0.475*44/12</f>
        <v>0</v>
      </c>
      <c r="DI158" s="24">
        <f t="shared" si="175"/>
        <v>0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IF(A158&lt;'Données projet'!$A$166,$DL$205^A158,IF(A158='Données projet'!$A$166,'Données projet'!$B$166,DO157+DN158-DW157))</f>
        <v>-8.5265128291212022E-14</v>
      </c>
      <c r="DP158" s="18">
        <f>DO158*VLOOKUP('Données projet'!$B$14,Paramètres!$A$1:$I$88,3,0)*VLOOKUP('Données projet'!$B$14,Paramètres!$A$1:$I$88,5,0)</f>
        <v>-4.9880100050359036E-14</v>
      </c>
      <c r="DQ158" s="14" t="e">
        <f t="shared" si="176"/>
        <v>#NUM!</v>
      </c>
      <c r="DR158" s="22" t="e">
        <f t="shared" si="177"/>
        <v>#NUM!</v>
      </c>
      <c r="DS158" s="62" t="e">
        <f t="shared" si="130"/>
        <v>#NUM!</v>
      </c>
      <c r="DT158" s="62">
        <f ca="1">AVERAGE(OFFSET($DS$3,0,0,'Données projet'!$E$14+1,1))-AVERAGE(OFFSET($H$3,0,0,'Données projet'!$E$14+1,1))</f>
        <v>155.18073137151848</v>
      </c>
      <c r="DU158" s="62">
        <f t="shared" si="131"/>
        <v>115.19459155667272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projet'!$B$14,Paramètres!$A$1:$I$88,7,0))</f>
        <v>0</v>
      </c>
      <c r="DY158" s="17">
        <f>IF(ISNA(VLOOKUP(A158,'Données projet'!$A$165:$I$185,6,0)),0%,VLOOKUP(A158,'Données projet'!$A$165:$I$185,6,0)*VLOOKUP('Données projet'!$B$14,Paramètres!$A$1:$I$88,7,0))</f>
        <v>0</v>
      </c>
      <c r="DZ158" s="17">
        <f>IF(ISNA(VLOOKUP(A158,'Données projet'!$A$165:$I$185,7,0)),0%,VLOOKUP(A158,'Données projet'!$A$165:$I$185,7,0))</f>
        <v>0</v>
      </c>
      <c r="EA158" s="23">
        <f>EXP(-LN(2)/35)*EA157+(1-EXP(-LN(2)/35))/(LN(2)/35)*DW158*DX158*VLOOKUP('Données projet'!$B$9,Paramètres!$A$1:$I$88,3,0)*0.475*44/12</f>
        <v>0</v>
      </c>
      <c r="EB158" s="23">
        <f>EXP(-LN(2)/25)*EB157+(1-EXP(-LN(2)/25))/(LN(2)/25)*Calculateur!DW158*Calculateur!DY158*VLOOKUP('Données projet'!$B$9,Paramètres!$A$1:$I$88,3,0)*0.475*44/12</f>
        <v>0</v>
      </c>
      <c r="EC158" s="23">
        <f>EXP(-LN(2)/2)*EC157+(1-EXP(-LN(2)/2))/(LN(2)/2)*DW158*DZ158*VLOOKUP('Données projet'!$B$9,Paramètres!$A$1:$I$88,3,0)*0.475*44/12</f>
        <v>0</v>
      </c>
      <c r="ED158" s="24">
        <f t="shared" si="178"/>
        <v>0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IF(A158&lt;'Données projet'!$A$192,$EG$205^A158,IF(A158='Données projet'!$A$192,'Données projet'!$B$192,EJ157+EI158-ER157))</f>
        <v>-5.6843418860808015E-14</v>
      </c>
      <c r="EK158" s="18">
        <f>EJ158*VLOOKUP('Données projet'!$B$15,Paramètres!$A$1:$I$88,3,0)*VLOOKUP('Données projet'!$B$15,Paramètres!$A$1:$I$88,5,0)</f>
        <v>-2.6602720026858149E-14</v>
      </c>
      <c r="EL158" s="14" t="e">
        <f t="shared" si="179"/>
        <v>#NUM!</v>
      </c>
      <c r="EM158" s="22" t="e">
        <f t="shared" si="180"/>
        <v>#NUM!</v>
      </c>
      <c r="EN158" s="62" t="e">
        <f t="shared" si="134"/>
        <v>#NUM!</v>
      </c>
      <c r="EO158" s="62">
        <f ca="1">AVERAGE(OFFSET($EN$3,0,0,'Données projet'!$E$15+1,1))-AVERAGE(OFFSET($H$3,0,0,'Données projet'!$E$15+1,1))</f>
        <v>238.59014604384171</v>
      </c>
      <c r="EP158" s="62">
        <f t="shared" si="135"/>
        <v>90.841373219575217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projet'!$B$15,Paramètres!$A$1:$I$88,7,0))</f>
        <v>0</v>
      </c>
      <c r="ET158" s="17">
        <f>IF(ISNA(VLOOKUP(A158,'Données projet'!$A$191:$I$211,6,0)),0%,VLOOKUP(A158,'Données projet'!$A$191:$I$211,6,0)*VLOOKUP('Données projet'!$B$15,Paramètres!$A$1:$I$88,7,0))</f>
        <v>0</v>
      </c>
      <c r="EU158" s="17">
        <f>IF(ISNA(VLOOKUP(A158,'Données projet'!$A$191:$I$211,7,0)),0%,VLOOKUP(A158,'Données projet'!$A$191:$I$211,7,0))</f>
        <v>0</v>
      </c>
      <c r="EV158" s="23">
        <f>EXP(-LN(2)/35)*EV157+(1-EXP(-LN(2)/35))/(LN(2)/35)*ER158*ES158*VLOOKUP('Données projet'!$B$9,Paramètres!$A$1:$I$88,3,0)*0.475*44/12</f>
        <v>0</v>
      </c>
      <c r="EW158" s="23">
        <f>EXP(-LN(2)/25)*EW157+(1-EXP(-LN(2)/25))/(LN(2)/25)*Calculateur!ER158*Calculateur!ET158*VLOOKUP('Données projet'!$B$9,Paramètres!$A$1:$I$88,3,0)*0.475*44/12</f>
        <v>0</v>
      </c>
      <c r="EX158" s="23">
        <f>EXP(-LN(2)/2)*EX157+(1-EXP(-LN(2)/2))/(LN(2)/2)*ER158*EU158*VLOOKUP('Données projet'!$B$9,Paramètres!$A$1:$I$88,3,0)*0.475*44/12</f>
        <v>0</v>
      </c>
      <c r="EY158" s="24">
        <f t="shared" si="181"/>
        <v>0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IF(A158&lt;'Données projet'!$A$218,$FB$205^A158,IF(A158='Données projet'!$A$218,'Données projet'!$B$218,FE157+FD158-FM157))</f>
        <v>0</v>
      </c>
      <c r="FF158" s="18" t="e">
        <f>FE158*VLOOKUP('Données projet'!$B$16,Paramètres!$A$1:$I$88,3,0)*VLOOKUP('Données projet'!$B$16,Paramètres!$A$1:$I$88,5,0)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8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39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projet'!$B$16,Paramètres!$A$1:$I$88,7,0))</f>
        <v>0</v>
      </c>
      <c r="FO158" s="17">
        <f>IF(ISNA(VLOOKUP(A158,'Données projet'!$A$217:$I$237,6,0)),0%,VLOOKUP(A158,'Données projet'!$A$217:$I$237,6,0)*VLOOKUP('Données projet'!$B$16,Paramètres!$A$1:$I$88,7,0))</f>
        <v>0</v>
      </c>
      <c r="FP158" s="17">
        <f>IF(ISNA(VLOOKUP(A158,'Données projet'!$A$217:$I$237,7,0)),0%,VLOOKUP(A158,'Données projet'!$A$217:$I$237,7,0))</f>
        <v>0</v>
      </c>
      <c r="FQ158" s="23">
        <f>EXP(-LN(2)/35)*FQ157+(1-EXP(-LN(2)/35))/(LN(2)/35)*FM158*FN158*VLOOKUP('Données projet'!$B$9,Paramètres!$A$1:$I$88,3,0)*0.475*44/12</f>
        <v>0</v>
      </c>
      <c r="FR158" s="23">
        <f>EXP(-LN(2)/25)*FR157+(1-EXP(-LN(2)/25))/(LN(2)/25)*Calculateur!FM158*Calculateur!FO158*VLOOKUP('Données projet'!$B$9,Paramètres!$A$1:$I$88,3,0)*0.475*44/12</f>
        <v>0</v>
      </c>
      <c r="FS158" s="23">
        <f>EXP(-LN(2)/2)*FS157+(1-EXP(-LN(2)/2))/(LN(2)/2)*FM158*FP158*VLOOKUP('Données projet'!$B$9,Paramètres!$A$1:$I$88,3,0)*0.475*44/12</f>
        <v>0</v>
      </c>
      <c r="FT158" s="24">
        <f t="shared" si="184"/>
        <v>0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IF(A158&lt;'Données projet'!$A$244,$FW$205^A158,IF(A158='Données projet'!$A$244,'Données projet'!$B$244,FZ157+FY158-GH157))</f>
        <v>0</v>
      </c>
      <c r="GA158" s="18" t="e">
        <f>FZ158*VLOOKUP('Données projet'!$B$17,Paramètres!$A$1:$I$88,3,0)*VLOOKUP('Données projet'!$B$17,Paramètres!$A$1:$I$88,5,0)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42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43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projet'!$B$17,Paramètres!$A$1:$I$88,7,0))</f>
        <v>0</v>
      </c>
      <c r="GJ158" s="17">
        <f>IF(ISNA(VLOOKUP(A158,'Données projet'!$A$243:$I$263,6,0)),0%,VLOOKUP(A158,'Données projet'!$A$243:$I$263,6,0)*VLOOKUP('Données projet'!$B$17,Paramètres!$A$1:$I$88,7,0))</f>
        <v>0</v>
      </c>
      <c r="GK158" s="17">
        <f>IF(ISNA(VLOOKUP(A158,'Données projet'!$A$243:$I$263,7,0)),0%,VLOOKUP(A158,'Données projet'!$A$243:$I$263,7,0))</f>
        <v>0</v>
      </c>
      <c r="GL158" s="23">
        <f>EXP(-LN(2)/35)*GL157+(1-EXP(-LN(2)/35))/(LN(2)/35)*GH158*GI158*VLOOKUP('Données projet'!$B$9,Paramètres!$A$1:$I$88,3,0)*0.475*44/12</f>
        <v>0</v>
      </c>
      <c r="GM158" s="23">
        <f>EXP(-LN(2)/25)*GM157+(1-EXP(-LN(2)/25))/(LN(2)/25)*Calculateur!GH158*Calculateur!GJ158*VLOOKUP('Données projet'!$B$9,Paramètres!$A$1:$I$88,3,0)*0.475*44/12</f>
        <v>0</v>
      </c>
      <c r="GN158" s="23">
        <f>EXP(-LN(2)/2)*GN157+(1-EXP(-LN(2)/2))/(LN(2)/2)*GH158*GK158*VLOOKUP('Données projet'!$B$9,Paramètres!$A$1:$I$88,3,0)*0.475*44/12</f>
        <v>0</v>
      </c>
      <c r="GO158" s="23">
        <f t="shared" si="187"/>
        <v>0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IF(A158&lt;'Données projet'!$A$270,$GR$205^A158,IF(A158='Données projet'!$A$270,'Données projet'!$B$270,GU157+GT158-HC157))</f>
        <v>0</v>
      </c>
      <c r="GV158" s="18" t="e">
        <f>GU158*VLOOKUP('Données projet'!$B$18,Paramètres!$A$1:$I$88,3,0)*VLOOKUP('Données projet'!$B$18,Paramètres!$A$1:$I$88,5,0)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46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47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projet'!$B$18,Paramètres!$A$1:$I$88,7,0))</f>
        <v>0</v>
      </c>
      <c r="HE158" s="17">
        <f>IF(ISNA(VLOOKUP(A158,'Données projet'!$A$269:$I$289,6,0)),0%,VLOOKUP(A158,'Données projet'!$A$269:$I$289,6,0)*VLOOKUP('Données projet'!$B$18,Paramètres!$A$1:$I$88,7,0))</f>
        <v>0</v>
      </c>
      <c r="HF158" s="17">
        <f>IF(ISNA(VLOOKUP(A158,'Données projet'!$A$269:$I$289,7,0)),0%,VLOOKUP(A158,'Données projet'!$A$269:$I$289,7,0))</f>
        <v>0</v>
      </c>
      <c r="HG158" s="23">
        <f>EXP(-LN(2)/35)*HG157+(1-EXP(-LN(2)/35))/(LN(2)/35)*HC158*HD158*VLOOKUP('Données projet'!$B$9,Paramètres!$A$1:$I$88,3,0)*0.475*44/12</f>
        <v>0</v>
      </c>
      <c r="HH158" s="23">
        <f>EXP(-LN(2)/25)*HH157+(1-EXP(-LN(2)/25))/(LN(2)/25)*Calculateur!HC158*Calculateur!HE158*VLOOKUP('Données projet'!$B$9,Paramètres!$A$1:$I$88,3,0)*0.475*44/12</f>
        <v>0</v>
      </c>
      <c r="HI158" s="23">
        <f>EXP(-LN(2)/2)*HI157+(1-EXP(-LN(2)/2))/(LN(2)/2)*HC158*HF158*VLOOKUP('Données projet'!$B$9,Paramètres!$A$1:$I$88,3,0)*0.475*44/12</f>
        <v>0</v>
      </c>
      <c r="HJ158" s="24">
        <f t="shared" si="190"/>
        <v>0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59" s="12">
        <f t="shared" si="15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111"/>
        <v>135.66666666666666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IF(A159&lt;'Données projet'!$A$36,$K$205^A159,IF(A159='Données projet'!$A$36,'Données projet'!$B$36,N158+M159-V158))</f>
        <v>0</v>
      </c>
      <c r="O159" s="14">
        <f>N159*VLOOKUP('Données projet'!$B$9,Paramètres!$A$1:$I$88,3,0)*VLOOKUP('Données projet'!$B$9,Paramètres!$A$1:$I$88,5,0)</f>
        <v>0</v>
      </c>
      <c r="P159" s="14" t="e">
        <f t="shared" si="15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314.72063458462026</v>
      </c>
      <c r="T159" s="62">
        <f t="shared" si="110"/>
        <v>216.4380325968244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projet'!$B$9,Paramètres!$A$1:$I$88,7,0))</f>
        <v>0</v>
      </c>
      <c r="X159" s="17">
        <f>IF(ISNA(VLOOKUP(A159,'Données projet'!$A$35:$I$55,6,0)),0%,VLOOKUP(A159,'Données projet'!$A$35:$I$55,6,0)*VLOOKUP('Données projet'!$B$9,Paramètres!$A$1:$I$88,7,0))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projet'!$B$9,Paramètres!$A$1:$I$88,3,0)*0.475*44/12</f>
        <v>0</v>
      </c>
      <c r="AA159" s="23">
        <f>EXP(-LN(2)/25)*AA158+(1-EXP(-LN(2)/25))/(LN(2)/25)*Calculateur!V159*Calculateur!X159*VLOOKUP('Données projet'!$B$9,Paramètres!$A$1:$I$88,3,0)*0.475*44/12</f>
        <v>0</v>
      </c>
      <c r="AB159" s="23">
        <f>EXP(-LN(2)/2)*AB158+(1-EXP(-LN(2)/2))/(LN(2)/2)*V159*Y159*VLOOKUP('Données projet'!$B$9,Paramètres!$A$1:$I$88,3,0)*0.475*44/12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IF(A159&lt;'Données projet'!$A$62,$AF$205^A159,IF(A159='Données projet'!$A$62,'Données projet'!$B$62,AI158+AH159-AQ158))</f>
        <v>1.1368683772161603E-13</v>
      </c>
      <c r="AJ159" s="14">
        <f>AI159*VLOOKUP('Données projet'!$B$10,Paramètres!$A$1:$I$88,3,0)*VLOOKUP('Données projet'!$B$10,Paramètres!$A$1:$I$88,5,0)</f>
        <v>1.1882548278663309E-13</v>
      </c>
      <c r="AK159" s="14">
        <f t="shared" si="164"/>
        <v>1.7496137229198366E-12</v>
      </c>
      <c r="AL159" s="22">
        <f t="shared" si="165"/>
        <v>3.2541982832721012E-12</v>
      </c>
      <c r="AM159" s="62">
        <f t="shared" si="114"/>
        <v>284.24611230624419</v>
      </c>
      <c r="AN159" s="62">
        <f ca="1">AVERAGE(OFFSET($AM$3,0,0,'Données projet'!$E$10+1,1))-AVERAGE(OFFSET($H$3,0,0,'Données projet'!$E$10+1,1))</f>
        <v>458.33072853676879</v>
      </c>
      <c r="AO159" s="62">
        <f t="shared" si="115"/>
        <v>254.1734169352687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projet'!$B$10,Paramètres!$A$1:$I$88,7,0))</f>
        <v>0</v>
      </c>
      <c r="AS159" s="17">
        <f>IF(ISNA(VLOOKUP(A159,'Données projet'!$A$61:$I$81,6,0)),0%,VLOOKUP(A159,'Données projet'!$A$61:$I$81,6,0)*VLOOKUP('Données projet'!$B$10,Paramètres!$A$1:$I$88,7,0))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projet'!$B$9,Paramètres!$A$1:$I$88,3,0)*0.475*44/12</f>
        <v>0</v>
      </c>
      <c r="AV159" s="23">
        <f>EXP(-LN(2)/25)*AV158+(1-EXP(-LN(2)/25))/(LN(2)/25)*Calculateur!AQ159*Calculateur!AS159*VLOOKUP('Données projet'!$B$9,Paramètres!$A$1:$I$88,3,0)*0.475*44/12</f>
        <v>0</v>
      </c>
      <c r="AW159" s="23">
        <f>EXP(-LN(2)/2)*AW158+(1-EXP(-LN(2)/2))/(LN(2)/2)*AQ159*AT159*VLOOKUP('Données projet'!$B$9,Paramètres!$A$1:$I$88,3,0)*0.475*44/12</f>
        <v>0</v>
      </c>
      <c r="AX159" s="23">
        <f t="shared" si="166"/>
        <v>0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IF(A159&lt;'Données projet'!$A$88,$BA$205^A159,IF(A159='Données projet'!$A$88,'Données projet'!$B$88,BD158+BC159-BL158))</f>
        <v>1.1368683772161603E-13</v>
      </c>
      <c r="BE159" s="14">
        <f>BD159*VLOOKUP('Données projet'!$B$11,Paramètres!$A$1:$I$88,3,0)*VLOOKUP('Données projet'!$B$11,Paramètres!$A$1:$I$88,5,0)</f>
        <v>1.1527845344971866E-13</v>
      </c>
      <c r="BF159" s="14">
        <f t="shared" si="167"/>
        <v>1.7033846239409443E-12</v>
      </c>
      <c r="BG159" s="22">
        <f t="shared" si="168"/>
        <v>3.1675048597887374E-12</v>
      </c>
      <c r="BH159" s="62">
        <f t="shared" si="118"/>
        <v>284.24611230624413</v>
      </c>
      <c r="BI159" s="62">
        <f ca="1">AVERAGE(OFFSET($BH$3,0,0,'Données projet'!$E$11+1,1))-AVERAGE(OFFSET($H$3,0,0,'Données projet'!$E$11+1,1))</f>
        <v>447.82618173893104</v>
      </c>
      <c r="BJ159" s="62">
        <f t="shared" si="119"/>
        <v>248.96509970783379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projet'!$B$11,Paramètres!$A$1:$I$88,7,0))</f>
        <v>0</v>
      </c>
      <c r="BN159" s="17">
        <f>IF(ISNA(VLOOKUP(A159,'Données projet'!$A$87:$I$107,6,0)),0%,VLOOKUP(A159,'Données projet'!$A$87:$I$107,6,0)*VLOOKUP('Données projet'!$B$11,Paramètres!$A$1:$I$88,7,0))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projet'!$B$9,Paramètres!$A$1:$I$88,3,0)*0.475*44/12</f>
        <v>0</v>
      </c>
      <c r="BQ159" s="23">
        <f>EXP(-LN(2)/25)*BQ158+(1-EXP(-LN(2)/25))/(LN(2)/25)*Calculateur!BL159*Calculateur!BN159*VLOOKUP('Données projet'!$B$9,Paramètres!$A$1:$I$88,3,0)*0.475*44/12</f>
        <v>0</v>
      </c>
      <c r="BR159" s="23">
        <f>EXP(-LN(2)/2)*BR158+(1-EXP(-LN(2)/2))/(LN(2)/2)*BL159*BO159*VLOOKUP('Données projet'!$B$9,Paramètres!$A$1:$I$88,3,0)*0.475*44/12</f>
        <v>0</v>
      </c>
      <c r="BS159" s="24">
        <f t="shared" si="169"/>
        <v>0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IF(A159&lt;'Données projet'!$A$114,$BV$205^A159,IF(A159='Données projet'!$A$114,'Données projet'!$B$114,BY158+BX159-CG158))</f>
        <v>1.1368683772161603E-13</v>
      </c>
      <c r="BZ159" s="14">
        <f>BY159*VLOOKUP('Données projet'!$B$12,Paramètres!$A$1:$I$88,3,0)*VLOOKUP('Données projet'!$B$12,Paramètres!$A$1:$I$88,5,0)</f>
        <v>1.223725121235475E-13</v>
      </c>
      <c r="CA159" s="14">
        <f t="shared" si="170"/>
        <v>1.7956824466038182E-12</v>
      </c>
      <c r="CB159" s="22">
        <f t="shared" si="171"/>
        <v>3.3406123864501612E-12</v>
      </c>
      <c r="CC159" s="62">
        <f t="shared" si="122"/>
        <v>284.2461123062443</v>
      </c>
      <c r="CD159" s="62">
        <f ca="1">AVERAGE(OFFSET($CC$3,0,0,'Données projet'!$E$12+1,1))-AVERAGE(OFFSET($H$3,0,0,'Données projet'!$E$12+1,1))</f>
        <v>468.82871618425406</v>
      </c>
      <c r="CE159" s="62">
        <f t="shared" si="123"/>
        <v>259.37818128554397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projet'!$B$12,Paramètres!$A$1:$I$88,7,0))</f>
        <v>0</v>
      </c>
      <c r="CI159" s="17">
        <f>IF(ISNA(VLOOKUP(A159,'Données projet'!$A$113:$I$133,6,0)),0%,VLOOKUP(A159,'Données projet'!$A$113:$I$133,6,0)*VLOOKUP('Données projet'!$B$12,Paramètres!$A$1:$I$88,7,0))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projet'!$B$9,Paramètres!$A$1:$I$88,3,0)*0.475*44/12</f>
        <v>0</v>
      </c>
      <c r="CL159" s="23">
        <f>EXP(-LN(2)/25)*CL158+(1-EXP(-LN(2)/25))/(LN(2)/25)*Calculateur!CG159*Calculateur!CI159*VLOOKUP('Données projet'!$B$9,Paramètres!$A$1:$I$88,3,0)*0.475*44/12</f>
        <v>0</v>
      </c>
      <c r="CM159" s="23">
        <f>EXP(-LN(2)/2)*CM158+(1-EXP(-LN(2)/2))/(LN(2)/2)*CG159*CJ159*VLOOKUP('Données projet'!$B$9,Paramètres!$A$1:$I$88,3,0)*0.475*44/12</f>
        <v>0</v>
      </c>
      <c r="CN159" s="24">
        <f t="shared" si="172"/>
        <v>0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IF(A159&lt;'Données projet'!$A$140,$CQ$205^A159,IF(A159='Données projet'!$A$140,'Données projet'!$B$140,CT158+CS159-DB158))</f>
        <v>1.1368683772161603E-13</v>
      </c>
      <c r="CU159" s="18">
        <f>CT159*VLOOKUP('Données projet'!$B$13,Paramètres!$A$1:$I$88,3,0)*VLOOKUP('Données projet'!$B$13,Paramètres!$A$1:$I$88,5,0)</f>
        <v>9.7543306765146564E-14</v>
      </c>
      <c r="CV159" s="14">
        <f t="shared" si="173"/>
        <v>1.4696264278629426E-12</v>
      </c>
      <c r="CW159" s="22">
        <f t="shared" si="174"/>
        <v>2.7294872878105889E-12</v>
      </c>
      <c r="CX159" s="62">
        <f t="shared" si="126"/>
        <v>284.24611230624367</v>
      </c>
      <c r="CY159" s="62">
        <f ca="1">AVERAGE(OFFSET($CX$3,0,0,'Données projet'!$E$13+1,1))-AVERAGE(OFFSET($H$3,0,0,'Données projet'!$E$13+1,1))</f>
        <v>395.19659151668884</v>
      </c>
      <c r="CZ159" s="62">
        <f t="shared" si="127"/>
        <v>222.86563304507339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projet'!$B$13,Paramètres!$A$1:$I$88,7,0))</f>
        <v>0</v>
      </c>
      <c r="DD159" s="17">
        <f>IF(ISNA(VLOOKUP(A159,'Données projet'!$A$139:$I$159,6,0)),0%,VLOOKUP(A159,'Données projet'!$A$139:$I$159,6,0)*VLOOKUP('Données projet'!$B$13,Paramètres!$A$1:$I$88,7,0))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projet'!$B$9,Paramètres!$A$1:$I$88,3,0)*0.475*44/12</f>
        <v>0</v>
      </c>
      <c r="DG159" s="23">
        <f>EXP(-LN(2)/25)*DG158+(1-EXP(-LN(2)/25))/(LN(2)/25)*Calculateur!DB159*Calculateur!DD159*VLOOKUP('Données projet'!$B$9,Paramètres!$A$1:$I$88,3,0)*0.475*44/12</f>
        <v>0</v>
      </c>
      <c r="DH159" s="23">
        <f>EXP(-LN(2)/2)*DH158+(1-EXP(-LN(2)/2))/(LN(2)/2)*DB159*DE159*VLOOKUP('Données projet'!$B$9,Paramètres!$A$1:$I$88,3,0)*0.475*44/12</f>
        <v>0</v>
      </c>
      <c r="DI159" s="24">
        <f t="shared" si="175"/>
        <v>0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IF(A159&lt;'Données projet'!$A$166,$DL$205^A159,IF(A159='Données projet'!$A$166,'Données projet'!$B$166,DO158+DN159-DW158))</f>
        <v>-8.5265128291212022E-14</v>
      </c>
      <c r="DP159" s="18">
        <f>DO159*VLOOKUP('Données projet'!$B$14,Paramètres!$A$1:$I$88,3,0)*VLOOKUP('Données projet'!$B$14,Paramètres!$A$1:$I$88,5,0)</f>
        <v>-4.9880100050359036E-14</v>
      </c>
      <c r="DQ159" s="14" t="e">
        <f t="shared" si="176"/>
        <v>#NUM!</v>
      </c>
      <c r="DR159" s="22" t="e">
        <f t="shared" si="177"/>
        <v>#NUM!</v>
      </c>
      <c r="DS159" s="62" t="e">
        <f t="shared" si="130"/>
        <v>#NUM!</v>
      </c>
      <c r="DT159" s="62">
        <f ca="1">AVERAGE(OFFSET($DS$3,0,0,'Données projet'!$E$14+1,1))-AVERAGE(OFFSET($H$3,0,0,'Données projet'!$E$14+1,1))</f>
        <v>155.18073137151848</v>
      </c>
      <c r="DU159" s="62">
        <f t="shared" si="131"/>
        <v>115.19459155667272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projet'!$B$14,Paramètres!$A$1:$I$88,7,0))</f>
        <v>0</v>
      </c>
      <c r="DY159" s="17">
        <f>IF(ISNA(VLOOKUP(A159,'Données projet'!$A$165:$I$185,6,0)),0%,VLOOKUP(A159,'Données projet'!$A$165:$I$185,6,0)*VLOOKUP('Données projet'!$B$14,Paramètres!$A$1:$I$88,7,0))</f>
        <v>0</v>
      </c>
      <c r="DZ159" s="17">
        <f>IF(ISNA(VLOOKUP(A159,'Données projet'!$A$165:$I$185,7,0)),0%,VLOOKUP(A159,'Données projet'!$A$165:$I$185,7,0))</f>
        <v>0</v>
      </c>
      <c r="EA159" s="23">
        <f>EXP(-LN(2)/35)*EA158+(1-EXP(-LN(2)/35))/(LN(2)/35)*DW159*DX159*VLOOKUP('Données projet'!$B$9,Paramètres!$A$1:$I$88,3,0)*0.475*44/12</f>
        <v>0</v>
      </c>
      <c r="EB159" s="23">
        <f>EXP(-LN(2)/25)*EB158+(1-EXP(-LN(2)/25))/(LN(2)/25)*Calculateur!DW159*Calculateur!DY159*VLOOKUP('Données projet'!$B$9,Paramètres!$A$1:$I$88,3,0)*0.475*44/12</f>
        <v>0</v>
      </c>
      <c r="EC159" s="23">
        <f>EXP(-LN(2)/2)*EC158+(1-EXP(-LN(2)/2))/(LN(2)/2)*DW159*DZ159*VLOOKUP('Données projet'!$B$9,Paramètres!$A$1:$I$88,3,0)*0.475*44/12</f>
        <v>0</v>
      </c>
      <c r="ED159" s="24">
        <f t="shared" si="178"/>
        <v>0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IF(A159&lt;'Données projet'!$A$192,$EG$205^A159,IF(A159='Données projet'!$A$192,'Données projet'!$B$192,EJ158+EI159-ER158))</f>
        <v>-5.6843418860808015E-14</v>
      </c>
      <c r="EK159" s="18">
        <f>EJ159*VLOOKUP('Données projet'!$B$15,Paramètres!$A$1:$I$88,3,0)*VLOOKUP('Données projet'!$B$15,Paramètres!$A$1:$I$88,5,0)</f>
        <v>-2.6602720026858149E-14</v>
      </c>
      <c r="EL159" s="14" t="e">
        <f t="shared" si="179"/>
        <v>#NUM!</v>
      </c>
      <c r="EM159" s="22" t="e">
        <f t="shared" si="180"/>
        <v>#NUM!</v>
      </c>
      <c r="EN159" s="62" t="e">
        <f t="shared" si="134"/>
        <v>#NUM!</v>
      </c>
      <c r="EO159" s="62">
        <f ca="1">AVERAGE(OFFSET($EN$3,0,0,'Données projet'!$E$15+1,1))-AVERAGE(OFFSET($H$3,0,0,'Données projet'!$E$15+1,1))</f>
        <v>238.59014604384171</v>
      </c>
      <c r="EP159" s="62">
        <f t="shared" si="135"/>
        <v>90.841373219575217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projet'!$B$15,Paramètres!$A$1:$I$88,7,0))</f>
        <v>0</v>
      </c>
      <c r="ET159" s="17">
        <f>IF(ISNA(VLOOKUP(A159,'Données projet'!$A$191:$I$211,6,0)),0%,VLOOKUP(A159,'Données projet'!$A$191:$I$211,6,0)*VLOOKUP('Données projet'!$B$15,Paramètres!$A$1:$I$88,7,0))</f>
        <v>0</v>
      </c>
      <c r="EU159" s="17">
        <f>IF(ISNA(VLOOKUP(A159,'Données projet'!$A$191:$I$211,7,0)),0%,VLOOKUP(A159,'Données projet'!$A$191:$I$211,7,0))</f>
        <v>0</v>
      </c>
      <c r="EV159" s="23">
        <f>EXP(-LN(2)/35)*EV158+(1-EXP(-LN(2)/35))/(LN(2)/35)*ER159*ES159*VLOOKUP('Données projet'!$B$9,Paramètres!$A$1:$I$88,3,0)*0.475*44/12</f>
        <v>0</v>
      </c>
      <c r="EW159" s="23">
        <f>EXP(-LN(2)/25)*EW158+(1-EXP(-LN(2)/25))/(LN(2)/25)*Calculateur!ER159*Calculateur!ET159*VLOOKUP('Données projet'!$B$9,Paramètres!$A$1:$I$88,3,0)*0.475*44/12</f>
        <v>0</v>
      </c>
      <c r="EX159" s="23">
        <f>EXP(-LN(2)/2)*EX158+(1-EXP(-LN(2)/2))/(LN(2)/2)*ER159*EU159*VLOOKUP('Données projet'!$B$9,Paramètres!$A$1:$I$88,3,0)*0.475*44/12</f>
        <v>0</v>
      </c>
      <c r="EY159" s="24">
        <f t="shared" si="181"/>
        <v>0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IF(A159&lt;'Données projet'!$A$218,$FB$205^A159,IF(A159='Données projet'!$A$218,'Données projet'!$B$218,FE158+FD159-FM158))</f>
        <v>0</v>
      </c>
      <c r="FF159" s="18" t="e">
        <f>FE159*VLOOKUP('Données projet'!$B$16,Paramètres!$A$1:$I$88,3,0)*VLOOKUP('Données projet'!$B$16,Paramètres!$A$1:$I$88,5,0)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8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39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projet'!$B$16,Paramètres!$A$1:$I$88,7,0))</f>
        <v>0</v>
      </c>
      <c r="FO159" s="17">
        <f>IF(ISNA(VLOOKUP(A159,'Données projet'!$A$217:$I$237,6,0)),0%,VLOOKUP(A159,'Données projet'!$A$217:$I$237,6,0)*VLOOKUP('Données projet'!$B$16,Paramètres!$A$1:$I$88,7,0))</f>
        <v>0</v>
      </c>
      <c r="FP159" s="17">
        <f>IF(ISNA(VLOOKUP(A159,'Données projet'!$A$217:$I$237,7,0)),0%,VLOOKUP(A159,'Données projet'!$A$217:$I$237,7,0))</f>
        <v>0</v>
      </c>
      <c r="FQ159" s="23">
        <f>EXP(-LN(2)/35)*FQ158+(1-EXP(-LN(2)/35))/(LN(2)/35)*FM159*FN159*VLOOKUP('Données projet'!$B$9,Paramètres!$A$1:$I$88,3,0)*0.475*44/12</f>
        <v>0</v>
      </c>
      <c r="FR159" s="23">
        <f>EXP(-LN(2)/25)*FR158+(1-EXP(-LN(2)/25))/(LN(2)/25)*Calculateur!FM159*Calculateur!FO159*VLOOKUP('Données projet'!$B$9,Paramètres!$A$1:$I$88,3,0)*0.475*44/12</f>
        <v>0</v>
      </c>
      <c r="FS159" s="23">
        <f>EXP(-LN(2)/2)*FS158+(1-EXP(-LN(2)/2))/(LN(2)/2)*FM159*FP159*VLOOKUP('Données projet'!$B$9,Paramètres!$A$1:$I$88,3,0)*0.475*44/12</f>
        <v>0</v>
      </c>
      <c r="FT159" s="24">
        <f t="shared" si="184"/>
        <v>0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IF(A159&lt;'Données projet'!$A$244,$FW$205^A159,IF(A159='Données projet'!$A$244,'Données projet'!$B$244,FZ158+FY159-GH158))</f>
        <v>0</v>
      </c>
      <c r="GA159" s="18" t="e">
        <f>FZ159*VLOOKUP('Données projet'!$B$17,Paramètres!$A$1:$I$88,3,0)*VLOOKUP('Données projet'!$B$17,Paramètres!$A$1:$I$88,5,0)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42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43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projet'!$B$17,Paramètres!$A$1:$I$88,7,0))</f>
        <v>0</v>
      </c>
      <c r="GJ159" s="17">
        <f>IF(ISNA(VLOOKUP(A159,'Données projet'!$A$243:$I$263,6,0)),0%,VLOOKUP(A159,'Données projet'!$A$243:$I$263,6,0)*VLOOKUP('Données projet'!$B$17,Paramètres!$A$1:$I$88,7,0))</f>
        <v>0</v>
      </c>
      <c r="GK159" s="17">
        <f>IF(ISNA(VLOOKUP(A159,'Données projet'!$A$243:$I$263,7,0)),0%,VLOOKUP(A159,'Données projet'!$A$243:$I$263,7,0))</f>
        <v>0</v>
      </c>
      <c r="GL159" s="23">
        <f>EXP(-LN(2)/35)*GL158+(1-EXP(-LN(2)/35))/(LN(2)/35)*GH159*GI159*VLOOKUP('Données projet'!$B$9,Paramètres!$A$1:$I$88,3,0)*0.475*44/12</f>
        <v>0</v>
      </c>
      <c r="GM159" s="23">
        <f>EXP(-LN(2)/25)*GM158+(1-EXP(-LN(2)/25))/(LN(2)/25)*Calculateur!GH159*Calculateur!GJ159*VLOOKUP('Données projet'!$B$9,Paramètres!$A$1:$I$88,3,0)*0.475*44/12</f>
        <v>0</v>
      </c>
      <c r="GN159" s="23">
        <f>EXP(-LN(2)/2)*GN158+(1-EXP(-LN(2)/2))/(LN(2)/2)*GH159*GK159*VLOOKUP('Données projet'!$B$9,Paramètres!$A$1:$I$88,3,0)*0.475*44/12</f>
        <v>0</v>
      </c>
      <c r="GO159" s="23">
        <f t="shared" si="187"/>
        <v>0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IF(A159&lt;'Données projet'!$A$270,$GR$205^A159,IF(A159='Données projet'!$A$270,'Données projet'!$B$270,GU158+GT159-HC158))</f>
        <v>0</v>
      </c>
      <c r="GV159" s="18" t="e">
        <f>GU159*VLOOKUP('Données projet'!$B$18,Paramètres!$A$1:$I$88,3,0)*VLOOKUP('Données projet'!$B$18,Paramètres!$A$1:$I$88,5,0)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46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47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projet'!$B$18,Paramètres!$A$1:$I$88,7,0))</f>
        <v>0</v>
      </c>
      <c r="HE159" s="17">
        <f>IF(ISNA(VLOOKUP(A159,'Données projet'!$A$269:$I$289,6,0)),0%,VLOOKUP(A159,'Données projet'!$A$269:$I$289,6,0)*VLOOKUP('Données projet'!$B$18,Paramètres!$A$1:$I$88,7,0))</f>
        <v>0</v>
      </c>
      <c r="HF159" s="17">
        <f>IF(ISNA(VLOOKUP(A159,'Données projet'!$A$269:$I$289,7,0)),0%,VLOOKUP(A159,'Données projet'!$A$269:$I$289,7,0))</f>
        <v>0</v>
      </c>
      <c r="HG159" s="23">
        <f>EXP(-LN(2)/35)*HG158+(1-EXP(-LN(2)/35))/(LN(2)/35)*HC159*HD159*VLOOKUP('Données projet'!$B$9,Paramètres!$A$1:$I$88,3,0)*0.475*44/12</f>
        <v>0</v>
      </c>
      <c r="HH159" s="23">
        <f>EXP(-LN(2)/25)*HH158+(1-EXP(-LN(2)/25))/(LN(2)/25)*Calculateur!HC159*Calculateur!HE159*VLOOKUP('Données projet'!$B$9,Paramètres!$A$1:$I$88,3,0)*0.475*44/12</f>
        <v>0</v>
      </c>
      <c r="HI159" s="23">
        <f>EXP(-LN(2)/2)*HI158+(1-EXP(-LN(2)/2))/(LN(2)/2)*HC159*HF159*VLOOKUP('Données projet'!$B$9,Paramètres!$A$1:$I$88,3,0)*0.475*44/12</f>
        <v>0</v>
      </c>
      <c r="HJ159" s="24">
        <f t="shared" si="190"/>
        <v>0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0" s="12">
        <f t="shared" si="15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111"/>
        <v>135.66666666666666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IF(A160&lt;'Données projet'!$A$36,$K$205^A160,IF(A160='Données projet'!$A$36,'Données projet'!$B$36,N159+M160-V159))</f>
        <v>0</v>
      </c>
      <c r="O160" s="14">
        <f>N160*VLOOKUP('Données projet'!$B$9,Paramètres!$A$1:$I$88,3,0)*VLOOKUP('Données projet'!$B$9,Paramètres!$A$1:$I$88,5,0)</f>
        <v>0</v>
      </c>
      <c r="P160" s="14" t="e">
        <f t="shared" si="15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314.72063458462026</v>
      </c>
      <c r="T160" s="62">
        <f t="shared" si="110"/>
        <v>216.4380325968244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projet'!$B$9,Paramètres!$A$1:$I$88,7,0))</f>
        <v>0</v>
      </c>
      <c r="X160" s="17">
        <f>IF(ISNA(VLOOKUP(A160,'Données projet'!$A$35:$I$55,6,0)),0%,VLOOKUP(A160,'Données projet'!$A$35:$I$55,6,0)*VLOOKUP('Données projet'!$B$9,Paramètres!$A$1:$I$88,7,0))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projet'!$B$9,Paramètres!$A$1:$I$88,3,0)*0.475*44/12</f>
        <v>0</v>
      </c>
      <c r="AA160" s="23">
        <f>EXP(-LN(2)/25)*AA159+(1-EXP(-LN(2)/25))/(LN(2)/25)*Calculateur!V160*Calculateur!X160*VLOOKUP('Données projet'!$B$9,Paramètres!$A$1:$I$88,3,0)*0.475*44/12</f>
        <v>0</v>
      </c>
      <c r="AB160" s="23">
        <f>EXP(-LN(2)/2)*AB159+(1-EXP(-LN(2)/2))/(LN(2)/2)*V160*Y160*VLOOKUP('Données projet'!$B$9,Paramètres!$A$1:$I$88,3,0)*0.475*44/12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IF(A160&lt;'Données projet'!$A$62,$AF$205^A160,IF(A160='Données projet'!$A$62,'Données projet'!$B$62,AI159+AH160-AQ159))</f>
        <v>1.1368683772161603E-13</v>
      </c>
      <c r="AJ160" s="14">
        <f>AI160*VLOOKUP('Données projet'!$B$10,Paramètres!$A$1:$I$88,3,0)*VLOOKUP('Données projet'!$B$10,Paramètres!$A$1:$I$88,5,0)</f>
        <v>1.1882548278663309E-13</v>
      </c>
      <c r="AK160" s="14">
        <f t="shared" si="164"/>
        <v>1.7496137229198366E-12</v>
      </c>
      <c r="AL160" s="22">
        <f t="shared" si="165"/>
        <v>3.2541982832721012E-12</v>
      </c>
      <c r="AM160" s="62">
        <f t="shared" si="114"/>
        <v>284.40375527508149</v>
      </c>
      <c r="AN160" s="62">
        <f ca="1">AVERAGE(OFFSET($AM$3,0,0,'Données projet'!$E$10+1,1))-AVERAGE(OFFSET($H$3,0,0,'Données projet'!$E$10+1,1))</f>
        <v>458.33072853676879</v>
      </c>
      <c r="AO160" s="62">
        <f t="shared" si="115"/>
        <v>254.1734169352687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projet'!$B$10,Paramètres!$A$1:$I$88,7,0))</f>
        <v>0</v>
      </c>
      <c r="AS160" s="17">
        <f>IF(ISNA(VLOOKUP(A160,'Données projet'!$A$61:$I$81,6,0)),0%,VLOOKUP(A160,'Données projet'!$A$61:$I$81,6,0)*VLOOKUP('Données projet'!$B$10,Paramètres!$A$1:$I$88,7,0))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projet'!$B$9,Paramètres!$A$1:$I$88,3,0)*0.475*44/12</f>
        <v>0</v>
      </c>
      <c r="AV160" s="23">
        <f>EXP(-LN(2)/25)*AV159+(1-EXP(-LN(2)/25))/(LN(2)/25)*Calculateur!AQ160*Calculateur!AS160*VLOOKUP('Données projet'!$B$9,Paramètres!$A$1:$I$88,3,0)*0.475*44/12</f>
        <v>0</v>
      </c>
      <c r="AW160" s="23">
        <f>EXP(-LN(2)/2)*AW159+(1-EXP(-LN(2)/2))/(LN(2)/2)*AQ160*AT160*VLOOKUP('Données projet'!$B$9,Paramètres!$A$1:$I$88,3,0)*0.475*44/12</f>
        <v>0</v>
      </c>
      <c r="AX160" s="23">
        <f t="shared" si="166"/>
        <v>0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IF(A160&lt;'Données projet'!$A$88,$BA$205^A160,IF(A160='Données projet'!$A$88,'Données projet'!$B$88,BD159+BC160-BL159))</f>
        <v>1.1368683772161603E-13</v>
      </c>
      <c r="BE160" s="14">
        <f>BD160*VLOOKUP('Données projet'!$B$11,Paramètres!$A$1:$I$88,3,0)*VLOOKUP('Données projet'!$B$11,Paramètres!$A$1:$I$88,5,0)</f>
        <v>1.1527845344971866E-13</v>
      </c>
      <c r="BF160" s="14">
        <f t="shared" si="167"/>
        <v>1.7033846239409443E-12</v>
      </c>
      <c r="BG160" s="22">
        <f t="shared" si="168"/>
        <v>3.1675048597887374E-12</v>
      </c>
      <c r="BH160" s="62">
        <f t="shared" si="118"/>
        <v>284.40375527508144</v>
      </c>
      <c r="BI160" s="62">
        <f ca="1">AVERAGE(OFFSET($BH$3,0,0,'Données projet'!$E$11+1,1))-AVERAGE(OFFSET($H$3,0,0,'Données projet'!$E$11+1,1))</f>
        <v>447.82618173893104</v>
      </c>
      <c r="BJ160" s="62">
        <f t="shared" si="119"/>
        <v>248.96509970783379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projet'!$B$11,Paramètres!$A$1:$I$88,7,0))</f>
        <v>0</v>
      </c>
      <c r="BN160" s="17">
        <f>IF(ISNA(VLOOKUP(A160,'Données projet'!$A$87:$I$107,6,0)),0%,VLOOKUP(A160,'Données projet'!$A$87:$I$107,6,0)*VLOOKUP('Données projet'!$B$11,Paramètres!$A$1:$I$88,7,0))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projet'!$B$9,Paramètres!$A$1:$I$88,3,0)*0.475*44/12</f>
        <v>0</v>
      </c>
      <c r="BQ160" s="23">
        <f>EXP(-LN(2)/25)*BQ159+(1-EXP(-LN(2)/25))/(LN(2)/25)*Calculateur!BL160*Calculateur!BN160*VLOOKUP('Données projet'!$B$9,Paramètres!$A$1:$I$88,3,0)*0.475*44/12</f>
        <v>0</v>
      </c>
      <c r="BR160" s="23">
        <f>EXP(-LN(2)/2)*BR159+(1-EXP(-LN(2)/2))/(LN(2)/2)*BL160*BO160*VLOOKUP('Données projet'!$B$9,Paramètres!$A$1:$I$88,3,0)*0.475*44/12</f>
        <v>0</v>
      </c>
      <c r="BS160" s="24">
        <f t="shared" si="169"/>
        <v>0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IF(A160&lt;'Données projet'!$A$114,$BV$205^A160,IF(A160='Données projet'!$A$114,'Données projet'!$B$114,BY159+BX160-CG159))</f>
        <v>1.1368683772161603E-13</v>
      </c>
      <c r="BZ160" s="14">
        <f>BY160*VLOOKUP('Données projet'!$B$12,Paramètres!$A$1:$I$88,3,0)*VLOOKUP('Données projet'!$B$12,Paramètres!$A$1:$I$88,5,0)</f>
        <v>1.223725121235475E-13</v>
      </c>
      <c r="CA160" s="14">
        <f t="shared" si="170"/>
        <v>1.7956824466038182E-12</v>
      </c>
      <c r="CB160" s="22">
        <f t="shared" si="171"/>
        <v>3.3406123864501612E-12</v>
      </c>
      <c r="CC160" s="62">
        <f t="shared" si="122"/>
        <v>284.40375527508161</v>
      </c>
      <c r="CD160" s="62">
        <f ca="1">AVERAGE(OFFSET($CC$3,0,0,'Données projet'!$E$12+1,1))-AVERAGE(OFFSET($H$3,0,0,'Données projet'!$E$12+1,1))</f>
        <v>468.82871618425406</v>
      </c>
      <c r="CE160" s="62">
        <f t="shared" si="123"/>
        <v>259.37818128554397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projet'!$B$12,Paramètres!$A$1:$I$88,7,0))</f>
        <v>0</v>
      </c>
      <c r="CI160" s="17">
        <f>IF(ISNA(VLOOKUP(A160,'Données projet'!$A$113:$I$133,6,0)),0%,VLOOKUP(A160,'Données projet'!$A$113:$I$133,6,0)*VLOOKUP('Données projet'!$B$12,Paramètres!$A$1:$I$88,7,0))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projet'!$B$9,Paramètres!$A$1:$I$88,3,0)*0.475*44/12</f>
        <v>0</v>
      </c>
      <c r="CL160" s="23">
        <f>EXP(-LN(2)/25)*CL159+(1-EXP(-LN(2)/25))/(LN(2)/25)*Calculateur!CG160*Calculateur!CI160*VLOOKUP('Données projet'!$B$9,Paramètres!$A$1:$I$88,3,0)*0.475*44/12</f>
        <v>0</v>
      </c>
      <c r="CM160" s="23">
        <f>EXP(-LN(2)/2)*CM159+(1-EXP(-LN(2)/2))/(LN(2)/2)*CG160*CJ160*VLOOKUP('Données projet'!$B$9,Paramètres!$A$1:$I$88,3,0)*0.475*44/12</f>
        <v>0</v>
      </c>
      <c r="CN160" s="24">
        <f t="shared" si="172"/>
        <v>0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IF(A160&lt;'Données projet'!$A$140,$CQ$205^A160,IF(A160='Données projet'!$A$140,'Données projet'!$B$140,CT159+CS160-DB159))</f>
        <v>1.1368683772161603E-13</v>
      </c>
      <c r="CU160" s="18">
        <f>CT160*VLOOKUP('Données projet'!$B$13,Paramètres!$A$1:$I$88,3,0)*VLOOKUP('Données projet'!$B$13,Paramètres!$A$1:$I$88,5,0)</f>
        <v>9.7543306765146564E-14</v>
      </c>
      <c r="CV160" s="14">
        <f t="shared" si="173"/>
        <v>1.4696264278629426E-12</v>
      </c>
      <c r="CW160" s="22">
        <f t="shared" si="174"/>
        <v>2.7294872878105889E-12</v>
      </c>
      <c r="CX160" s="62">
        <f t="shared" si="126"/>
        <v>284.40375527508098</v>
      </c>
      <c r="CY160" s="62">
        <f ca="1">AVERAGE(OFFSET($CX$3,0,0,'Données projet'!$E$13+1,1))-AVERAGE(OFFSET($H$3,0,0,'Données projet'!$E$13+1,1))</f>
        <v>395.19659151668884</v>
      </c>
      <c r="CZ160" s="62">
        <f t="shared" si="127"/>
        <v>222.86563304507339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projet'!$B$13,Paramètres!$A$1:$I$88,7,0))</f>
        <v>0</v>
      </c>
      <c r="DD160" s="17">
        <f>IF(ISNA(VLOOKUP(A160,'Données projet'!$A$139:$I$159,6,0)),0%,VLOOKUP(A160,'Données projet'!$A$139:$I$159,6,0)*VLOOKUP('Données projet'!$B$13,Paramètres!$A$1:$I$88,7,0))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projet'!$B$9,Paramètres!$A$1:$I$88,3,0)*0.475*44/12</f>
        <v>0</v>
      </c>
      <c r="DG160" s="23">
        <f>EXP(-LN(2)/25)*DG159+(1-EXP(-LN(2)/25))/(LN(2)/25)*Calculateur!DB160*Calculateur!DD160*VLOOKUP('Données projet'!$B$9,Paramètres!$A$1:$I$88,3,0)*0.475*44/12</f>
        <v>0</v>
      </c>
      <c r="DH160" s="23">
        <f>EXP(-LN(2)/2)*DH159+(1-EXP(-LN(2)/2))/(LN(2)/2)*DB160*DE160*VLOOKUP('Données projet'!$B$9,Paramètres!$A$1:$I$88,3,0)*0.475*44/12</f>
        <v>0</v>
      </c>
      <c r="DI160" s="24">
        <f t="shared" si="175"/>
        <v>0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IF(A160&lt;'Données projet'!$A$166,$DL$205^A160,IF(A160='Données projet'!$A$166,'Données projet'!$B$166,DO159+DN160-DW159))</f>
        <v>-8.5265128291212022E-14</v>
      </c>
      <c r="DP160" s="18">
        <f>DO160*VLOOKUP('Données projet'!$B$14,Paramètres!$A$1:$I$88,3,0)*VLOOKUP('Données projet'!$B$14,Paramètres!$A$1:$I$88,5,0)</f>
        <v>-4.9880100050359036E-14</v>
      </c>
      <c r="DQ160" s="14" t="e">
        <f t="shared" si="176"/>
        <v>#NUM!</v>
      </c>
      <c r="DR160" s="22" t="e">
        <f t="shared" si="177"/>
        <v>#NUM!</v>
      </c>
      <c r="DS160" s="62" t="e">
        <f t="shared" si="130"/>
        <v>#NUM!</v>
      </c>
      <c r="DT160" s="62">
        <f ca="1">AVERAGE(OFFSET($DS$3,0,0,'Données projet'!$E$14+1,1))-AVERAGE(OFFSET($H$3,0,0,'Données projet'!$E$14+1,1))</f>
        <v>155.18073137151848</v>
      </c>
      <c r="DU160" s="62">
        <f t="shared" si="131"/>
        <v>115.19459155667272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projet'!$B$14,Paramètres!$A$1:$I$88,7,0))</f>
        <v>0</v>
      </c>
      <c r="DY160" s="17">
        <f>IF(ISNA(VLOOKUP(A160,'Données projet'!$A$165:$I$185,6,0)),0%,VLOOKUP(A160,'Données projet'!$A$165:$I$185,6,0)*VLOOKUP('Données projet'!$B$14,Paramètres!$A$1:$I$88,7,0))</f>
        <v>0</v>
      </c>
      <c r="DZ160" s="17">
        <f>IF(ISNA(VLOOKUP(A160,'Données projet'!$A$165:$I$185,7,0)),0%,VLOOKUP(A160,'Données projet'!$A$165:$I$185,7,0))</f>
        <v>0</v>
      </c>
      <c r="EA160" s="23">
        <f>EXP(-LN(2)/35)*EA159+(1-EXP(-LN(2)/35))/(LN(2)/35)*DW160*DX160*VLOOKUP('Données projet'!$B$9,Paramètres!$A$1:$I$88,3,0)*0.475*44/12</f>
        <v>0</v>
      </c>
      <c r="EB160" s="23">
        <f>EXP(-LN(2)/25)*EB159+(1-EXP(-LN(2)/25))/(LN(2)/25)*Calculateur!DW160*Calculateur!DY160*VLOOKUP('Données projet'!$B$9,Paramètres!$A$1:$I$88,3,0)*0.475*44/12</f>
        <v>0</v>
      </c>
      <c r="EC160" s="23">
        <f>EXP(-LN(2)/2)*EC159+(1-EXP(-LN(2)/2))/(LN(2)/2)*DW160*DZ160*VLOOKUP('Données projet'!$B$9,Paramètres!$A$1:$I$88,3,0)*0.475*44/12</f>
        <v>0</v>
      </c>
      <c r="ED160" s="24">
        <f t="shared" si="178"/>
        <v>0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IF(A160&lt;'Données projet'!$A$192,$EG$205^A160,IF(A160='Données projet'!$A$192,'Données projet'!$B$192,EJ159+EI160-ER159))</f>
        <v>-5.6843418860808015E-14</v>
      </c>
      <c r="EK160" s="18">
        <f>EJ160*VLOOKUP('Données projet'!$B$15,Paramètres!$A$1:$I$88,3,0)*VLOOKUP('Données projet'!$B$15,Paramètres!$A$1:$I$88,5,0)</f>
        <v>-2.6602720026858149E-14</v>
      </c>
      <c r="EL160" s="14" t="e">
        <f t="shared" si="179"/>
        <v>#NUM!</v>
      </c>
      <c r="EM160" s="22" t="e">
        <f t="shared" si="180"/>
        <v>#NUM!</v>
      </c>
      <c r="EN160" s="62" t="e">
        <f t="shared" si="134"/>
        <v>#NUM!</v>
      </c>
      <c r="EO160" s="62">
        <f ca="1">AVERAGE(OFFSET($EN$3,0,0,'Données projet'!$E$15+1,1))-AVERAGE(OFFSET($H$3,0,0,'Données projet'!$E$15+1,1))</f>
        <v>238.59014604384171</v>
      </c>
      <c r="EP160" s="62">
        <f t="shared" si="135"/>
        <v>90.841373219575217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projet'!$B$15,Paramètres!$A$1:$I$88,7,0))</f>
        <v>0</v>
      </c>
      <c r="ET160" s="17">
        <f>IF(ISNA(VLOOKUP(A160,'Données projet'!$A$191:$I$211,6,0)),0%,VLOOKUP(A160,'Données projet'!$A$191:$I$211,6,0)*VLOOKUP('Données projet'!$B$15,Paramètres!$A$1:$I$88,7,0))</f>
        <v>0</v>
      </c>
      <c r="EU160" s="17">
        <f>IF(ISNA(VLOOKUP(A160,'Données projet'!$A$191:$I$211,7,0)),0%,VLOOKUP(A160,'Données projet'!$A$191:$I$211,7,0))</f>
        <v>0</v>
      </c>
      <c r="EV160" s="23">
        <f>EXP(-LN(2)/35)*EV159+(1-EXP(-LN(2)/35))/(LN(2)/35)*ER160*ES160*VLOOKUP('Données projet'!$B$9,Paramètres!$A$1:$I$88,3,0)*0.475*44/12</f>
        <v>0</v>
      </c>
      <c r="EW160" s="23">
        <f>EXP(-LN(2)/25)*EW159+(1-EXP(-LN(2)/25))/(LN(2)/25)*Calculateur!ER160*Calculateur!ET160*VLOOKUP('Données projet'!$B$9,Paramètres!$A$1:$I$88,3,0)*0.475*44/12</f>
        <v>0</v>
      </c>
      <c r="EX160" s="23">
        <f>EXP(-LN(2)/2)*EX159+(1-EXP(-LN(2)/2))/(LN(2)/2)*ER160*EU160*VLOOKUP('Données projet'!$B$9,Paramètres!$A$1:$I$88,3,0)*0.475*44/12</f>
        <v>0</v>
      </c>
      <c r="EY160" s="24">
        <f t="shared" si="181"/>
        <v>0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IF(A160&lt;'Données projet'!$A$218,$FB$205^A160,IF(A160='Données projet'!$A$218,'Données projet'!$B$218,FE159+FD160-FM159))</f>
        <v>0</v>
      </c>
      <c r="FF160" s="18" t="e">
        <f>FE160*VLOOKUP('Données projet'!$B$16,Paramètres!$A$1:$I$88,3,0)*VLOOKUP('Données projet'!$B$16,Paramètres!$A$1:$I$88,5,0)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8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39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projet'!$B$16,Paramètres!$A$1:$I$88,7,0))</f>
        <v>0</v>
      </c>
      <c r="FO160" s="17">
        <f>IF(ISNA(VLOOKUP(A160,'Données projet'!$A$217:$I$237,6,0)),0%,VLOOKUP(A160,'Données projet'!$A$217:$I$237,6,0)*VLOOKUP('Données projet'!$B$16,Paramètres!$A$1:$I$88,7,0))</f>
        <v>0</v>
      </c>
      <c r="FP160" s="17">
        <f>IF(ISNA(VLOOKUP(A160,'Données projet'!$A$217:$I$237,7,0)),0%,VLOOKUP(A160,'Données projet'!$A$217:$I$237,7,0))</f>
        <v>0</v>
      </c>
      <c r="FQ160" s="23">
        <f>EXP(-LN(2)/35)*FQ159+(1-EXP(-LN(2)/35))/(LN(2)/35)*FM160*FN160*VLOOKUP('Données projet'!$B$9,Paramètres!$A$1:$I$88,3,0)*0.475*44/12</f>
        <v>0</v>
      </c>
      <c r="FR160" s="23">
        <f>EXP(-LN(2)/25)*FR159+(1-EXP(-LN(2)/25))/(LN(2)/25)*Calculateur!FM160*Calculateur!FO160*VLOOKUP('Données projet'!$B$9,Paramètres!$A$1:$I$88,3,0)*0.475*44/12</f>
        <v>0</v>
      </c>
      <c r="FS160" s="23">
        <f>EXP(-LN(2)/2)*FS159+(1-EXP(-LN(2)/2))/(LN(2)/2)*FM160*FP160*VLOOKUP('Données projet'!$B$9,Paramètres!$A$1:$I$88,3,0)*0.475*44/12</f>
        <v>0</v>
      </c>
      <c r="FT160" s="24">
        <f t="shared" si="184"/>
        <v>0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IF(A160&lt;'Données projet'!$A$244,$FW$205^A160,IF(A160='Données projet'!$A$244,'Données projet'!$B$244,FZ159+FY160-GH159))</f>
        <v>0</v>
      </c>
      <c r="GA160" s="18" t="e">
        <f>FZ160*VLOOKUP('Données projet'!$B$17,Paramètres!$A$1:$I$88,3,0)*VLOOKUP('Données projet'!$B$17,Paramètres!$A$1:$I$88,5,0)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42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43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projet'!$B$17,Paramètres!$A$1:$I$88,7,0))</f>
        <v>0</v>
      </c>
      <c r="GJ160" s="17">
        <f>IF(ISNA(VLOOKUP(A160,'Données projet'!$A$243:$I$263,6,0)),0%,VLOOKUP(A160,'Données projet'!$A$243:$I$263,6,0)*VLOOKUP('Données projet'!$B$17,Paramètres!$A$1:$I$88,7,0))</f>
        <v>0</v>
      </c>
      <c r="GK160" s="17">
        <f>IF(ISNA(VLOOKUP(A160,'Données projet'!$A$243:$I$263,7,0)),0%,VLOOKUP(A160,'Données projet'!$A$243:$I$263,7,0))</f>
        <v>0</v>
      </c>
      <c r="GL160" s="23">
        <f>EXP(-LN(2)/35)*GL159+(1-EXP(-LN(2)/35))/(LN(2)/35)*GH160*GI160*VLOOKUP('Données projet'!$B$9,Paramètres!$A$1:$I$88,3,0)*0.475*44/12</f>
        <v>0</v>
      </c>
      <c r="GM160" s="23">
        <f>EXP(-LN(2)/25)*GM159+(1-EXP(-LN(2)/25))/(LN(2)/25)*Calculateur!GH160*Calculateur!GJ160*VLOOKUP('Données projet'!$B$9,Paramètres!$A$1:$I$88,3,0)*0.475*44/12</f>
        <v>0</v>
      </c>
      <c r="GN160" s="23">
        <f>EXP(-LN(2)/2)*GN159+(1-EXP(-LN(2)/2))/(LN(2)/2)*GH160*GK160*VLOOKUP('Données projet'!$B$9,Paramètres!$A$1:$I$88,3,0)*0.475*44/12</f>
        <v>0</v>
      </c>
      <c r="GO160" s="23">
        <f t="shared" si="187"/>
        <v>0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IF(A160&lt;'Données projet'!$A$270,$GR$205^A160,IF(A160='Données projet'!$A$270,'Données projet'!$B$270,GU159+GT160-HC159))</f>
        <v>0</v>
      </c>
      <c r="GV160" s="18" t="e">
        <f>GU160*VLOOKUP('Données projet'!$B$18,Paramètres!$A$1:$I$88,3,0)*VLOOKUP('Données projet'!$B$18,Paramètres!$A$1:$I$88,5,0)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46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47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projet'!$B$18,Paramètres!$A$1:$I$88,7,0))</f>
        <v>0</v>
      </c>
      <c r="HE160" s="17">
        <f>IF(ISNA(VLOOKUP(A160,'Données projet'!$A$269:$I$289,6,0)),0%,VLOOKUP(A160,'Données projet'!$A$269:$I$289,6,0)*VLOOKUP('Données projet'!$B$18,Paramètres!$A$1:$I$88,7,0))</f>
        <v>0</v>
      </c>
      <c r="HF160" s="17">
        <f>IF(ISNA(VLOOKUP(A160,'Données projet'!$A$269:$I$289,7,0)),0%,VLOOKUP(A160,'Données projet'!$A$269:$I$289,7,0))</f>
        <v>0</v>
      </c>
      <c r="HG160" s="23">
        <f>EXP(-LN(2)/35)*HG159+(1-EXP(-LN(2)/35))/(LN(2)/35)*HC160*HD160*VLOOKUP('Données projet'!$B$9,Paramètres!$A$1:$I$88,3,0)*0.475*44/12</f>
        <v>0</v>
      </c>
      <c r="HH160" s="23">
        <f>EXP(-LN(2)/25)*HH159+(1-EXP(-LN(2)/25))/(LN(2)/25)*Calculateur!HC160*Calculateur!HE160*VLOOKUP('Données projet'!$B$9,Paramètres!$A$1:$I$88,3,0)*0.475*44/12</f>
        <v>0</v>
      </c>
      <c r="HI160" s="23">
        <f>EXP(-LN(2)/2)*HI159+(1-EXP(-LN(2)/2))/(LN(2)/2)*HC160*HF160*VLOOKUP('Données projet'!$B$9,Paramètres!$A$1:$I$88,3,0)*0.475*44/12</f>
        <v>0</v>
      </c>
      <c r="HJ160" s="24">
        <f t="shared" si="190"/>
        <v>0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1" s="12">
        <f t="shared" si="15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111"/>
        <v>135.66666666666666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IF(A161&lt;'Données projet'!$A$36,$K$205^A161,IF(A161='Données projet'!$A$36,'Données projet'!$B$36,N160+M161-V160))</f>
        <v>0</v>
      </c>
      <c r="O161" s="14">
        <f>N161*VLOOKUP('Données projet'!$B$9,Paramètres!$A$1:$I$88,3,0)*VLOOKUP('Données projet'!$B$9,Paramètres!$A$1:$I$88,5,0)</f>
        <v>0</v>
      </c>
      <c r="P161" s="14" t="e">
        <f t="shared" si="15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314.72063458462026</v>
      </c>
      <c r="T161" s="62">
        <f t="shared" si="110"/>
        <v>216.4380325968244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projet'!$B$9,Paramètres!$A$1:$I$88,7,0))</f>
        <v>0</v>
      </c>
      <c r="X161" s="17">
        <f>IF(ISNA(VLOOKUP(A161,'Données projet'!$A$35:$I$55,6,0)),0%,VLOOKUP(A161,'Données projet'!$A$35:$I$55,6,0)*VLOOKUP('Données projet'!$B$9,Paramètres!$A$1:$I$88,7,0))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projet'!$B$9,Paramètres!$A$1:$I$88,3,0)*0.475*44/12</f>
        <v>0</v>
      </c>
      <c r="AA161" s="23">
        <f>EXP(-LN(2)/25)*AA160+(1-EXP(-LN(2)/25))/(LN(2)/25)*Calculateur!V161*Calculateur!X161*VLOOKUP('Données projet'!$B$9,Paramètres!$A$1:$I$88,3,0)*0.475*44/12</f>
        <v>0</v>
      </c>
      <c r="AB161" s="23">
        <f>EXP(-LN(2)/2)*AB160+(1-EXP(-LN(2)/2))/(LN(2)/2)*V161*Y161*VLOOKUP('Données projet'!$B$9,Paramètres!$A$1:$I$88,3,0)*0.475*44/12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IF(A161&lt;'Données projet'!$A$62,$AF$205^A161,IF(A161='Données projet'!$A$62,'Données projet'!$B$62,AI160+AH161-AQ160))</f>
        <v>1.1368683772161603E-13</v>
      </c>
      <c r="AJ161" s="14">
        <f>AI161*VLOOKUP('Données projet'!$B$10,Paramètres!$A$1:$I$88,3,0)*VLOOKUP('Données projet'!$B$10,Paramètres!$A$1:$I$88,5,0)</f>
        <v>1.1882548278663309E-13</v>
      </c>
      <c r="AK161" s="14">
        <f t="shared" si="164"/>
        <v>1.7496137229198366E-12</v>
      </c>
      <c r="AL161" s="22">
        <f t="shared" si="165"/>
        <v>3.2541982832721012E-12</v>
      </c>
      <c r="AM161" s="62">
        <f t="shared" si="114"/>
        <v>284.55866349084647</v>
      </c>
      <c r="AN161" s="62">
        <f ca="1">AVERAGE(OFFSET($AM$3,0,0,'Données projet'!$E$10+1,1))-AVERAGE(OFFSET($H$3,0,0,'Données projet'!$E$10+1,1))</f>
        <v>458.33072853676879</v>
      </c>
      <c r="AO161" s="62">
        <f t="shared" si="115"/>
        <v>254.1734169352687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projet'!$B$10,Paramètres!$A$1:$I$88,7,0))</f>
        <v>0</v>
      </c>
      <c r="AS161" s="17">
        <f>IF(ISNA(VLOOKUP(A161,'Données projet'!$A$61:$I$81,6,0)),0%,VLOOKUP(A161,'Données projet'!$A$61:$I$81,6,0)*VLOOKUP('Données projet'!$B$10,Paramètres!$A$1:$I$88,7,0))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projet'!$B$9,Paramètres!$A$1:$I$88,3,0)*0.475*44/12</f>
        <v>0</v>
      </c>
      <c r="AV161" s="23">
        <f>EXP(-LN(2)/25)*AV160+(1-EXP(-LN(2)/25))/(LN(2)/25)*Calculateur!AQ161*Calculateur!AS161*VLOOKUP('Données projet'!$B$9,Paramètres!$A$1:$I$88,3,0)*0.475*44/12</f>
        <v>0</v>
      </c>
      <c r="AW161" s="23">
        <f>EXP(-LN(2)/2)*AW160+(1-EXP(-LN(2)/2))/(LN(2)/2)*AQ161*AT161*VLOOKUP('Données projet'!$B$9,Paramètres!$A$1:$I$88,3,0)*0.475*44/12</f>
        <v>0</v>
      </c>
      <c r="AX161" s="23">
        <f t="shared" si="166"/>
        <v>0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IF(A161&lt;'Données projet'!$A$88,$BA$205^A161,IF(A161='Données projet'!$A$88,'Données projet'!$B$88,BD160+BC161-BL160))</f>
        <v>1.1368683772161603E-13</v>
      </c>
      <c r="BE161" s="14">
        <f>BD161*VLOOKUP('Données projet'!$B$11,Paramètres!$A$1:$I$88,3,0)*VLOOKUP('Données projet'!$B$11,Paramètres!$A$1:$I$88,5,0)</f>
        <v>1.1527845344971866E-13</v>
      </c>
      <c r="BF161" s="14">
        <f t="shared" si="167"/>
        <v>1.7033846239409443E-12</v>
      </c>
      <c r="BG161" s="22">
        <f t="shared" si="168"/>
        <v>3.1675048597887374E-12</v>
      </c>
      <c r="BH161" s="62">
        <f t="shared" si="118"/>
        <v>284.55866349084641</v>
      </c>
      <c r="BI161" s="62">
        <f ca="1">AVERAGE(OFFSET($BH$3,0,0,'Données projet'!$E$11+1,1))-AVERAGE(OFFSET($H$3,0,0,'Données projet'!$E$11+1,1))</f>
        <v>447.82618173893104</v>
      </c>
      <c r="BJ161" s="62">
        <f t="shared" si="119"/>
        <v>248.96509970783379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projet'!$B$11,Paramètres!$A$1:$I$88,7,0))</f>
        <v>0</v>
      </c>
      <c r="BN161" s="17">
        <f>IF(ISNA(VLOOKUP(A161,'Données projet'!$A$87:$I$107,6,0)),0%,VLOOKUP(A161,'Données projet'!$A$87:$I$107,6,0)*VLOOKUP('Données projet'!$B$11,Paramètres!$A$1:$I$88,7,0))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projet'!$B$9,Paramètres!$A$1:$I$88,3,0)*0.475*44/12</f>
        <v>0</v>
      </c>
      <c r="BQ161" s="23">
        <f>EXP(-LN(2)/25)*BQ160+(1-EXP(-LN(2)/25))/(LN(2)/25)*Calculateur!BL161*Calculateur!BN161*VLOOKUP('Données projet'!$B$9,Paramètres!$A$1:$I$88,3,0)*0.475*44/12</f>
        <v>0</v>
      </c>
      <c r="BR161" s="23">
        <f>EXP(-LN(2)/2)*BR160+(1-EXP(-LN(2)/2))/(LN(2)/2)*BL161*BO161*VLOOKUP('Données projet'!$B$9,Paramètres!$A$1:$I$88,3,0)*0.475*44/12</f>
        <v>0</v>
      </c>
      <c r="BS161" s="24">
        <f t="shared" si="169"/>
        <v>0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IF(A161&lt;'Données projet'!$A$114,$BV$205^A161,IF(A161='Données projet'!$A$114,'Données projet'!$B$114,BY160+BX161-CG160))</f>
        <v>1.1368683772161603E-13</v>
      </c>
      <c r="BZ161" s="14">
        <f>BY161*VLOOKUP('Données projet'!$B$12,Paramètres!$A$1:$I$88,3,0)*VLOOKUP('Données projet'!$B$12,Paramètres!$A$1:$I$88,5,0)</f>
        <v>1.223725121235475E-13</v>
      </c>
      <c r="CA161" s="14">
        <f t="shared" si="170"/>
        <v>1.7956824466038182E-12</v>
      </c>
      <c r="CB161" s="22">
        <f t="shared" si="171"/>
        <v>3.3406123864501612E-12</v>
      </c>
      <c r="CC161" s="62">
        <f t="shared" si="122"/>
        <v>284.55866349084658</v>
      </c>
      <c r="CD161" s="62">
        <f ca="1">AVERAGE(OFFSET($CC$3,0,0,'Données projet'!$E$12+1,1))-AVERAGE(OFFSET($H$3,0,0,'Données projet'!$E$12+1,1))</f>
        <v>468.82871618425406</v>
      </c>
      <c r="CE161" s="62">
        <f t="shared" si="123"/>
        <v>259.37818128554397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projet'!$B$12,Paramètres!$A$1:$I$88,7,0))</f>
        <v>0</v>
      </c>
      <c r="CI161" s="17">
        <f>IF(ISNA(VLOOKUP(A161,'Données projet'!$A$113:$I$133,6,0)),0%,VLOOKUP(A161,'Données projet'!$A$113:$I$133,6,0)*VLOOKUP('Données projet'!$B$12,Paramètres!$A$1:$I$88,7,0))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projet'!$B$9,Paramètres!$A$1:$I$88,3,0)*0.475*44/12</f>
        <v>0</v>
      </c>
      <c r="CL161" s="23">
        <f>EXP(-LN(2)/25)*CL160+(1-EXP(-LN(2)/25))/(LN(2)/25)*Calculateur!CG161*Calculateur!CI161*VLOOKUP('Données projet'!$B$9,Paramètres!$A$1:$I$88,3,0)*0.475*44/12</f>
        <v>0</v>
      </c>
      <c r="CM161" s="23">
        <f>EXP(-LN(2)/2)*CM160+(1-EXP(-LN(2)/2))/(LN(2)/2)*CG161*CJ161*VLOOKUP('Données projet'!$B$9,Paramètres!$A$1:$I$88,3,0)*0.475*44/12</f>
        <v>0</v>
      </c>
      <c r="CN161" s="24">
        <f t="shared" si="172"/>
        <v>0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IF(A161&lt;'Données projet'!$A$140,$CQ$205^A161,IF(A161='Données projet'!$A$140,'Données projet'!$B$140,CT160+CS161-DB160))</f>
        <v>1.1368683772161603E-13</v>
      </c>
      <c r="CU161" s="18">
        <f>CT161*VLOOKUP('Données projet'!$B$13,Paramètres!$A$1:$I$88,3,0)*VLOOKUP('Données projet'!$B$13,Paramètres!$A$1:$I$88,5,0)</f>
        <v>9.7543306765146564E-14</v>
      </c>
      <c r="CV161" s="14">
        <f t="shared" si="173"/>
        <v>1.4696264278629426E-12</v>
      </c>
      <c r="CW161" s="22">
        <f t="shared" si="174"/>
        <v>2.7294872878105889E-12</v>
      </c>
      <c r="CX161" s="62">
        <f t="shared" si="126"/>
        <v>284.55866349084596</v>
      </c>
      <c r="CY161" s="62">
        <f ca="1">AVERAGE(OFFSET($CX$3,0,0,'Données projet'!$E$13+1,1))-AVERAGE(OFFSET($H$3,0,0,'Données projet'!$E$13+1,1))</f>
        <v>395.19659151668884</v>
      </c>
      <c r="CZ161" s="62">
        <f t="shared" si="127"/>
        <v>222.86563304507339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projet'!$B$13,Paramètres!$A$1:$I$88,7,0))</f>
        <v>0</v>
      </c>
      <c r="DD161" s="17">
        <f>IF(ISNA(VLOOKUP(A161,'Données projet'!$A$139:$I$159,6,0)),0%,VLOOKUP(A161,'Données projet'!$A$139:$I$159,6,0)*VLOOKUP('Données projet'!$B$13,Paramètres!$A$1:$I$88,7,0))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projet'!$B$9,Paramètres!$A$1:$I$88,3,0)*0.475*44/12</f>
        <v>0</v>
      </c>
      <c r="DG161" s="23">
        <f>EXP(-LN(2)/25)*DG160+(1-EXP(-LN(2)/25))/(LN(2)/25)*Calculateur!DB161*Calculateur!DD161*VLOOKUP('Données projet'!$B$9,Paramètres!$A$1:$I$88,3,0)*0.475*44/12</f>
        <v>0</v>
      </c>
      <c r="DH161" s="23">
        <f>EXP(-LN(2)/2)*DH160+(1-EXP(-LN(2)/2))/(LN(2)/2)*DB161*DE161*VLOOKUP('Données projet'!$B$9,Paramètres!$A$1:$I$88,3,0)*0.475*44/12</f>
        <v>0</v>
      </c>
      <c r="DI161" s="24">
        <f t="shared" si="175"/>
        <v>0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IF(A161&lt;'Données projet'!$A$166,$DL$205^A161,IF(A161='Données projet'!$A$166,'Données projet'!$B$166,DO160+DN161-DW160))</f>
        <v>-8.5265128291212022E-14</v>
      </c>
      <c r="DP161" s="18">
        <f>DO161*VLOOKUP('Données projet'!$B$14,Paramètres!$A$1:$I$88,3,0)*VLOOKUP('Données projet'!$B$14,Paramètres!$A$1:$I$88,5,0)</f>
        <v>-4.9880100050359036E-14</v>
      </c>
      <c r="DQ161" s="14" t="e">
        <f t="shared" si="176"/>
        <v>#NUM!</v>
      </c>
      <c r="DR161" s="22" t="e">
        <f t="shared" si="177"/>
        <v>#NUM!</v>
      </c>
      <c r="DS161" s="62" t="e">
        <f t="shared" si="130"/>
        <v>#NUM!</v>
      </c>
      <c r="DT161" s="62">
        <f ca="1">AVERAGE(OFFSET($DS$3,0,0,'Données projet'!$E$14+1,1))-AVERAGE(OFFSET($H$3,0,0,'Données projet'!$E$14+1,1))</f>
        <v>155.18073137151848</v>
      </c>
      <c r="DU161" s="62">
        <f t="shared" si="131"/>
        <v>115.19459155667272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projet'!$B$14,Paramètres!$A$1:$I$88,7,0))</f>
        <v>0</v>
      </c>
      <c r="DY161" s="17">
        <f>IF(ISNA(VLOOKUP(A161,'Données projet'!$A$165:$I$185,6,0)),0%,VLOOKUP(A161,'Données projet'!$A$165:$I$185,6,0)*VLOOKUP('Données projet'!$B$14,Paramètres!$A$1:$I$88,7,0))</f>
        <v>0</v>
      </c>
      <c r="DZ161" s="17">
        <f>IF(ISNA(VLOOKUP(A161,'Données projet'!$A$165:$I$185,7,0)),0%,VLOOKUP(A161,'Données projet'!$A$165:$I$185,7,0))</f>
        <v>0</v>
      </c>
      <c r="EA161" s="23">
        <f>EXP(-LN(2)/35)*EA160+(1-EXP(-LN(2)/35))/(LN(2)/35)*DW161*DX161*VLOOKUP('Données projet'!$B$9,Paramètres!$A$1:$I$88,3,0)*0.475*44/12</f>
        <v>0</v>
      </c>
      <c r="EB161" s="23">
        <f>EXP(-LN(2)/25)*EB160+(1-EXP(-LN(2)/25))/(LN(2)/25)*Calculateur!DW161*Calculateur!DY161*VLOOKUP('Données projet'!$B$9,Paramètres!$A$1:$I$88,3,0)*0.475*44/12</f>
        <v>0</v>
      </c>
      <c r="EC161" s="23">
        <f>EXP(-LN(2)/2)*EC160+(1-EXP(-LN(2)/2))/(LN(2)/2)*DW161*DZ161*VLOOKUP('Données projet'!$B$9,Paramètres!$A$1:$I$88,3,0)*0.475*44/12</f>
        <v>0</v>
      </c>
      <c r="ED161" s="24">
        <f t="shared" si="178"/>
        <v>0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IF(A161&lt;'Données projet'!$A$192,$EG$205^A161,IF(A161='Données projet'!$A$192,'Données projet'!$B$192,EJ160+EI161-ER160))</f>
        <v>-5.6843418860808015E-14</v>
      </c>
      <c r="EK161" s="18">
        <f>EJ161*VLOOKUP('Données projet'!$B$15,Paramètres!$A$1:$I$88,3,0)*VLOOKUP('Données projet'!$B$15,Paramètres!$A$1:$I$88,5,0)</f>
        <v>-2.6602720026858149E-14</v>
      </c>
      <c r="EL161" s="14" t="e">
        <f t="shared" si="179"/>
        <v>#NUM!</v>
      </c>
      <c r="EM161" s="22" t="e">
        <f t="shared" si="180"/>
        <v>#NUM!</v>
      </c>
      <c r="EN161" s="62" t="e">
        <f t="shared" si="134"/>
        <v>#NUM!</v>
      </c>
      <c r="EO161" s="62">
        <f ca="1">AVERAGE(OFFSET($EN$3,0,0,'Données projet'!$E$15+1,1))-AVERAGE(OFFSET($H$3,0,0,'Données projet'!$E$15+1,1))</f>
        <v>238.59014604384171</v>
      </c>
      <c r="EP161" s="62">
        <f t="shared" si="135"/>
        <v>90.841373219575217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projet'!$B$15,Paramètres!$A$1:$I$88,7,0))</f>
        <v>0</v>
      </c>
      <c r="ET161" s="17">
        <f>IF(ISNA(VLOOKUP(A161,'Données projet'!$A$191:$I$211,6,0)),0%,VLOOKUP(A161,'Données projet'!$A$191:$I$211,6,0)*VLOOKUP('Données projet'!$B$15,Paramètres!$A$1:$I$88,7,0))</f>
        <v>0</v>
      </c>
      <c r="EU161" s="17">
        <f>IF(ISNA(VLOOKUP(A161,'Données projet'!$A$191:$I$211,7,0)),0%,VLOOKUP(A161,'Données projet'!$A$191:$I$211,7,0))</f>
        <v>0</v>
      </c>
      <c r="EV161" s="23">
        <f>EXP(-LN(2)/35)*EV160+(1-EXP(-LN(2)/35))/(LN(2)/35)*ER161*ES161*VLOOKUP('Données projet'!$B$9,Paramètres!$A$1:$I$88,3,0)*0.475*44/12</f>
        <v>0</v>
      </c>
      <c r="EW161" s="23">
        <f>EXP(-LN(2)/25)*EW160+(1-EXP(-LN(2)/25))/(LN(2)/25)*Calculateur!ER161*Calculateur!ET161*VLOOKUP('Données projet'!$B$9,Paramètres!$A$1:$I$88,3,0)*0.475*44/12</f>
        <v>0</v>
      </c>
      <c r="EX161" s="23">
        <f>EXP(-LN(2)/2)*EX160+(1-EXP(-LN(2)/2))/(LN(2)/2)*ER161*EU161*VLOOKUP('Données projet'!$B$9,Paramètres!$A$1:$I$88,3,0)*0.475*44/12</f>
        <v>0</v>
      </c>
      <c r="EY161" s="24">
        <f t="shared" si="181"/>
        <v>0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IF(A161&lt;'Données projet'!$A$218,$FB$205^A161,IF(A161='Données projet'!$A$218,'Données projet'!$B$218,FE160+FD161-FM160))</f>
        <v>0</v>
      </c>
      <c r="FF161" s="18" t="e">
        <f>FE161*VLOOKUP('Données projet'!$B$16,Paramètres!$A$1:$I$88,3,0)*VLOOKUP('Données projet'!$B$16,Paramètres!$A$1:$I$88,5,0)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8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39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projet'!$B$16,Paramètres!$A$1:$I$88,7,0))</f>
        <v>0</v>
      </c>
      <c r="FO161" s="17">
        <f>IF(ISNA(VLOOKUP(A161,'Données projet'!$A$217:$I$237,6,0)),0%,VLOOKUP(A161,'Données projet'!$A$217:$I$237,6,0)*VLOOKUP('Données projet'!$B$16,Paramètres!$A$1:$I$88,7,0))</f>
        <v>0</v>
      </c>
      <c r="FP161" s="17">
        <f>IF(ISNA(VLOOKUP(A161,'Données projet'!$A$217:$I$237,7,0)),0%,VLOOKUP(A161,'Données projet'!$A$217:$I$237,7,0))</f>
        <v>0</v>
      </c>
      <c r="FQ161" s="23">
        <f>EXP(-LN(2)/35)*FQ160+(1-EXP(-LN(2)/35))/(LN(2)/35)*FM161*FN161*VLOOKUP('Données projet'!$B$9,Paramètres!$A$1:$I$88,3,0)*0.475*44/12</f>
        <v>0</v>
      </c>
      <c r="FR161" s="23">
        <f>EXP(-LN(2)/25)*FR160+(1-EXP(-LN(2)/25))/(LN(2)/25)*Calculateur!FM161*Calculateur!FO161*VLOOKUP('Données projet'!$B$9,Paramètres!$A$1:$I$88,3,0)*0.475*44/12</f>
        <v>0</v>
      </c>
      <c r="FS161" s="23">
        <f>EXP(-LN(2)/2)*FS160+(1-EXP(-LN(2)/2))/(LN(2)/2)*FM161*FP161*VLOOKUP('Données projet'!$B$9,Paramètres!$A$1:$I$88,3,0)*0.475*44/12</f>
        <v>0</v>
      </c>
      <c r="FT161" s="24">
        <f t="shared" si="184"/>
        <v>0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IF(A161&lt;'Données projet'!$A$244,$FW$205^A161,IF(A161='Données projet'!$A$244,'Données projet'!$B$244,FZ160+FY161-GH160))</f>
        <v>0</v>
      </c>
      <c r="GA161" s="18" t="e">
        <f>FZ161*VLOOKUP('Données projet'!$B$17,Paramètres!$A$1:$I$88,3,0)*VLOOKUP('Données projet'!$B$17,Paramètres!$A$1:$I$88,5,0)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42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43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projet'!$B$17,Paramètres!$A$1:$I$88,7,0))</f>
        <v>0</v>
      </c>
      <c r="GJ161" s="17">
        <f>IF(ISNA(VLOOKUP(A161,'Données projet'!$A$243:$I$263,6,0)),0%,VLOOKUP(A161,'Données projet'!$A$243:$I$263,6,0)*VLOOKUP('Données projet'!$B$17,Paramètres!$A$1:$I$88,7,0))</f>
        <v>0</v>
      </c>
      <c r="GK161" s="17">
        <f>IF(ISNA(VLOOKUP(A161,'Données projet'!$A$243:$I$263,7,0)),0%,VLOOKUP(A161,'Données projet'!$A$243:$I$263,7,0))</f>
        <v>0</v>
      </c>
      <c r="GL161" s="23">
        <f>EXP(-LN(2)/35)*GL160+(1-EXP(-LN(2)/35))/(LN(2)/35)*GH161*GI161*VLOOKUP('Données projet'!$B$9,Paramètres!$A$1:$I$88,3,0)*0.475*44/12</f>
        <v>0</v>
      </c>
      <c r="GM161" s="23">
        <f>EXP(-LN(2)/25)*GM160+(1-EXP(-LN(2)/25))/(LN(2)/25)*Calculateur!GH161*Calculateur!GJ161*VLOOKUP('Données projet'!$B$9,Paramètres!$A$1:$I$88,3,0)*0.475*44/12</f>
        <v>0</v>
      </c>
      <c r="GN161" s="23">
        <f>EXP(-LN(2)/2)*GN160+(1-EXP(-LN(2)/2))/(LN(2)/2)*GH161*GK161*VLOOKUP('Données projet'!$B$9,Paramètres!$A$1:$I$88,3,0)*0.475*44/12</f>
        <v>0</v>
      </c>
      <c r="GO161" s="23">
        <f t="shared" si="187"/>
        <v>0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IF(A161&lt;'Données projet'!$A$270,$GR$205^A161,IF(A161='Données projet'!$A$270,'Données projet'!$B$270,GU160+GT161-HC160))</f>
        <v>0</v>
      </c>
      <c r="GV161" s="18" t="e">
        <f>GU161*VLOOKUP('Données projet'!$B$18,Paramètres!$A$1:$I$88,3,0)*VLOOKUP('Données projet'!$B$18,Paramètres!$A$1:$I$88,5,0)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46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47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projet'!$B$18,Paramètres!$A$1:$I$88,7,0))</f>
        <v>0</v>
      </c>
      <c r="HE161" s="17">
        <f>IF(ISNA(VLOOKUP(A161,'Données projet'!$A$269:$I$289,6,0)),0%,VLOOKUP(A161,'Données projet'!$A$269:$I$289,6,0)*VLOOKUP('Données projet'!$B$18,Paramètres!$A$1:$I$88,7,0))</f>
        <v>0</v>
      </c>
      <c r="HF161" s="17">
        <f>IF(ISNA(VLOOKUP(A161,'Données projet'!$A$269:$I$289,7,0)),0%,VLOOKUP(A161,'Données projet'!$A$269:$I$289,7,0))</f>
        <v>0</v>
      </c>
      <c r="HG161" s="23">
        <f>EXP(-LN(2)/35)*HG160+(1-EXP(-LN(2)/35))/(LN(2)/35)*HC161*HD161*VLOOKUP('Données projet'!$B$9,Paramètres!$A$1:$I$88,3,0)*0.475*44/12</f>
        <v>0</v>
      </c>
      <c r="HH161" s="23">
        <f>EXP(-LN(2)/25)*HH160+(1-EXP(-LN(2)/25))/(LN(2)/25)*Calculateur!HC161*Calculateur!HE161*VLOOKUP('Données projet'!$B$9,Paramètres!$A$1:$I$88,3,0)*0.475*44/12</f>
        <v>0</v>
      </c>
      <c r="HI161" s="23">
        <f>EXP(-LN(2)/2)*HI160+(1-EXP(-LN(2)/2))/(LN(2)/2)*HC161*HF161*VLOOKUP('Données projet'!$B$9,Paramètres!$A$1:$I$88,3,0)*0.475*44/12</f>
        <v>0</v>
      </c>
      <c r="HJ161" s="24">
        <f t="shared" si="190"/>
        <v>0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2" s="12">
        <f t="shared" si="15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111"/>
        <v>135.66666666666666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IF(A162&lt;'Données projet'!$A$36,$K$205^A162,IF(A162='Données projet'!$A$36,'Données projet'!$B$36,N161+M162-V161))</f>
        <v>0</v>
      </c>
      <c r="O162" s="14">
        <f>N162*VLOOKUP('Données projet'!$B$9,Paramètres!$A$1:$I$88,3,0)*VLOOKUP('Données projet'!$B$9,Paramètres!$A$1:$I$88,5,0)</f>
        <v>0</v>
      </c>
      <c r="P162" s="14" t="e">
        <f t="shared" si="15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314.72063458462026</v>
      </c>
      <c r="T162" s="62">
        <f t="shared" si="110"/>
        <v>216.4380325968244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projet'!$B$9,Paramètres!$A$1:$I$88,7,0))</f>
        <v>0</v>
      </c>
      <c r="X162" s="17">
        <f>IF(ISNA(VLOOKUP(A162,'Données projet'!$A$35:$I$55,6,0)),0%,VLOOKUP(A162,'Données projet'!$A$35:$I$55,6,0)*VLOOKUP('Données projet'!$B$9,Paramètres!$A$1:$I$88,7,0))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projet'!$B$9,Paramètres!$A$1:$I$88,3,0)*0.475*44/12</f>
        <v>0</v>
      </c>
      <c r="AA162" s="23">
        <f>EXP(-LN(2)/25)*AA161+(1-EXP(-LN(2)/25))/(LN(2)/25)*Calculateur!V162*Calculateur!X162*VLOOKUP('Données projet'!$B$9,Paramètres!$A$1:$I$88,3,0)*0.475*44/12</f>
        <v>0</v>
      </c>
      <c r="AB162" s="23">
        <f>EXP(-LN(2)/2)*AB161+(1-EXP(-LN(2)/2))/(LN(2)/2)*V162*Y162*VLOOKUP('Données projet'!$B$9,Paramètres!$A$1:$I$88,3,0)*0.475*44/12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IF(A162&lt;'Données projet'!$A$62,$AF$205^A162,IF(A162='Données projet'!$A$62,'Données projet'!$B$62,AI161+AH162-AQ161))</f>
        <v>1.1368683772161603E-13</v>
      </c>
      <c r="AJ162" s="14">
        <f>AI162*VLOOKUP('Données projet'!$B$10,Paramètres!$A$1:$I$88,3,0)*VLOOKUP('Données projet'!$B$10,Paramètres!$A$1:$I$88,5,0)</f>
        <v>1.1882548278663309E-13</v>
      </c>
      <c r="AK162" s="14">
        <f t="shared" si="164"/>
        <v>1.7496137229198366E-12</v>
      </c>
      <c r="AL162" s="22">
        <f t="shared" si="165"/>
        <v>3.2541982832721012E-12</v>
      </c>
      <c r="AM162" s="62">
        <f t="shared" si="114"/>
        <v>284.71088439539085</v>
      </c>
      <c r="AN162" s="62">
        <f ca="1">AVERAGE(OFFSET($AM$3,0,0,'Données projet'!$E$10+1,1))-AVERAGE(OFFSET($H$3,0,0,'Données projet'!$E$10+1,1))</f>
        <v>458.33072853676879</v>
      </c>
      <c r="AO162" s="62">
        <f t="shared" si="115"/>
        <v>254.1734169352687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projet'!$B$10,Paramètres!$A$1:$I$88,7,0))</f>
        <v>0</v>
      </c>
      <c r="AS162" s="17">
        <f>IF(ISNA(VLOOKUP(A162,'Données projet'!$A$61:$I$81,6,0)),0%,VLOOKUP(A162,'Données projet'!$A$61:$I$81,6,0)*VLOOKUP('Données projet'!$B$10,Paramètres!$A$1:$I$88,7,0))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projet'!$B$9,Paramètres!$A$1:$I$88,3,0)*0.475*44/12</f>
        <v>0</v>
      </c>
      <c r="AV162" s="23">
        <f>EXP(-LN(2)/25)*AV161+(1-EXP(-LN(2)/25))/(LN(2)/25)*Calculateur!AQ162*Calculateur!AS162*VLOOKUP('Données projet'!$B$9,Paramètres!$A$1:$I$88,3,0)*0.475*44/12</f>
        <v>0</v>
      </c>
      <c r="AW162" s="23">
        <f>EXP(-LN(2)/2)*AW161+(1-EXP(-LN(2)/2))/(LN(2)/2)*AQ162*AT162*VLOOKUP('Données projet'!$B$9,Paramètres!$A$1:$I$88,3,0)*0.475*44/12</f>
        <v>0</v>
      </c>
      <c r="AX162" s="23">
        <f t="shared" si="166"/>
        <v>0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IF(A162&lt;'Données projet'!$A$88,$BA$205^A162,IF(A162='Données projet'!$A$88,'Données projet'!$B$88,BD161+BC162-BL161))</f>
        <v>1.1368683772161603E-13</v>
      </c>
      <c r="BE162" s="14">
        <f>BD162*VLOOKUP('Données projet'!$B$11,Paramètres!$A$1:$I$88,3,0)*VLOOKUP('Données projet'!$B$11,Paramètres!$A$1:$I$88,5,0)</f>
        <v>1.1527845344971866E-13</v>
      </c>
      <c r="BF162" s="14">
        <f t="shared" si="167"/>
        <v>1.7033846239409443E-12</v>
      </c>
      <c r="BG162" s="22">
        <f t="shared" si="168"/>
        <v>3.1675048597887374E-12</v>
      </c>
      <c r="BH162" s="62">
        <f t="shared" si="118"/>
        <v>284.71088439539079</v>
      </c>
      <c r="BI162" s="62">
        <f ca="1">AVERAGE(OFFSET($BH$3,0,0,'Données projet'!$E$11+1,1))-AVERAGE(OFFSET($H$3,0,0,'Données projet'!$E$11+1,1))</f>
        <v>447.82618173893104</v>
      </c>
      <c r="BJ162" s="62">
        <f t="shared" si="119"/>
        <v>248.96509970783379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projet'!$B$11,Paramètres!$A$1:$I$88,7,0))</f>
        <v>0</v>
      </c>
      <c r="BN162" s="17">
        <f>IF(ISNA(VLOOKUP(A162,'Données projet'!$A$87:$I$107,6,0)),0%,VLOOKUP(A162,'Données projet'!$A$87:$I$107,6,0)*VLOOKUP('Données projet'!$B$11,Paramètres!$A$1:$I$88,7,0))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projet'!$B$9,Paramètres!$A$1:$I$88,3,0)*0.475*44/12</f>
        <v>0</v>
      </c>
      <c r="BQ162" s="23">
        <f>EXP(-LN(2)/25)*BQ161+(1-EXP(-LN(2)/25))/(LN(2)/25)*Calculateur!BL162*Calculateur!BN162*VLOOKUP('Données projet'!$B$9,Paramètres!$A$1:$I$88,3,0)*0.475*44/12</f>
        <v>0</v>
      </c>
      <c r="BR162" s="23">
        <f>EXP(-LN(2)/2)*BR161+(1-EXP(-LN(2)/2))/(LN(2)/2)*BL162*BO162*VLOOKUP('Données projet'!$B$9,Paramètres!$A$1:$I$88,3,0)*0.475*44/12</f>
        <v>0</v>
      </c>
      <c r="BS162" s="24">
        <f t="shared" si="169"/>
        <v>0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IF(A162&lt;'Données projet'!$A$114,$BV$205^A162,IF(A162='Données projet'!$A$114,'Données projet'!$B$114,BY161+BX162-CG161))</f>
        <v>1.1368683772161603E-13</v>
      </c>
      <c r="BZ162" s="14">
        <f>BY162*VLOOKUP('Données projet'!$B$12,Paramètres!$A$1:$I$88,3,0)*VLOOKUP('Données projet'!$B$12,Paramètres!$A$1:$I$88,5,0)</f>
        <v>1.223725121235475E-13</v>
      </c>
      <c r="CA162" s="14">
        <f t="shared" si="170"/>
        <v>1.7956824466038182E-12</v>
      </c>
      <c r="CB162" s="22">
        <f t="shared" si="171"/>
        <v>3.3406123864501612E-12</v>
      </c>
      <c r="CC162" s="62">
        <f t="shared" si="122"/>
        <v>284.71088439539096</v>
      </c>
      <c r="CD162" s="62">
        <f ca="1">AVERAGE(OFFSET($CC$3,0,0,'Données projet'!$E$12+1,1))-AVERAGE(OFFSET($H$3,0,0,'Données projet'!$E$12+1,1))</f>
        <v>468.82871618425406</v>
      </c>
      <c r="CE162" s="62">
        <f t="shared" si="123"/>
        <v>259.37818128554397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projet'!$B$12,Paramètres!$A$1:$I$88,7,0))</f>
        <v>0</v>
      </c>
      <c r="CI162" s="17">
        <f>IF(ISNA(VLOOKUP(A162,'Données projet'!$A$113:$I$133,6,0)),0%,VLOOKUP(A162,'Données projet'!$A$113:$I$133,6,0)*VLOOKUP('Données projet'!$B$12,Paramètres!$A$1:$I$88,7,0))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projet'!$B$9,Paramètres!$A$1:$I$88,3,0)*0.475*44/12</f>
        <v>0</v>
      </c>
      <c r="CL162" s="23">
        <f>EXP(-LN(2)/25)*CL161+(1-EXP(-LN(2)/25))/(LN(2)/25)*Calculateur!CG162*Calculateur!CI162*VLOOKUP('Données projet'!$B$9,Paramètres!$A$1:$I$88,3,0)*0.475*44/12</f>
        <v>0</v>
      </c>
      <c r="CM162" s="23">
        <f>EXP(-LN(2)/2)*CM161+(1-EXP(-LN(2)/2))/(LN(2)/2)*CG162*CJ162*VLOOKUP('Données projet'!$B$9,Paramètres!$A$1:$I$88,3,0)*0.475*44/12</f>
        <v>0</v>
      </c>
      <c r="CN162" s="24">
        <f t="shared" si="172"/>
        <v>0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IF(A162&lt;'Données projet'!$A$140,$CQ$205^A162,IF(A162='Données projet'!$A$140,'Données projet'!$B$140,CT161+CS162-DB161))</f>
        <v>1.1368683772161603E-13</v>
      </c>
      <c r="CU162" s="18">
        <f>CT162*VLOOKUP('Données projet'!$B$13,Paramètres!$A$1:$I$88,3,0)*VLOOKUP('Données projet'!$B$13,Paramètres!$A$1:$I$88,5,0)</f>
        <v>9.7543306765146564E-14</v>
      </c>
      <c r="CV162" s="14">
        <f t="shared" si="173"/>
        <v>1.4696264278629426E-12</v>
      </c>
      <c r="CW162" s="22">
        <f t="shared" si="174"/>
        <v>2.7294872878105889E-12</v>
      </c>
      <c r="CX162" s="62">
        <f t="shared" si="126"/>
        <v>284.71088439539034</v>
      </c>
      <c r="CY162" s="62">
        <f ca="1">AVERAGE(OFFSET($CX$3,0,0,'Données projet'!$E$13+1,1))-AVERAGE(OFFSET($H$3,0,0,'Données projet'!$E$13+1,1))</f>
        <v>395.19659151668884</v>
      </c>
      <c r="CZ162" s="62">
        <f t="shared" si="127"/>
        <v>222.86563304507339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projet'!$B$13,Paramètres!$A$1:$I$88,7,0))</f>
        <v>0</v>
      </c>
      <c r="DD162" s="17">
        <f>IF(ISNA(VLOOKUP(A162,'Données projet'!$A$139:$I$159,6,0)),0%,VLOOKUP(A162,'Données projet'!$A$139:$I$159,6,0)*VLOOKUP('Données projet'!$B$13,Paramètres!$A$1:$I$88,7,0))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projet'!$B$9,Paramètres!$A$1:$I$88,3,0)*0.475*44/12</f>
        <v>0</v>
      </c>
      <c r="DG162" s="23">
        <f>EXP(-LN(2)/25)*DG161+(1-EXP(-LN(2)/25))/(LN(2)/25)*Calculateur!DB162*Calculateur!DD162*VLOOKUP('Données projet'!$B$9,Paramètres!$A$1:$I$88,3,0)*0.475*44/12</f>
        <v>0</v>
      </c>
      <c r="DH162" s="23">
        <f>EXP(-LN(2)/2)*DH161+(1-EXP(-LN(2)/2))/(LN(2)/2)*DB162*DE162*VLOOKUP('Données projet'!$B$9,Paramètres!$A$1:$I$88,3,0)*0.475*44/12</f>
        <v>0</v>
      </c>
      <c r="DI162" s="24">
        <f t="shared" si="175"/>
        <v>0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IF(A162&lt;'Données projet'!$A$166,$DL$205^A162,IF(A162='Données projet'!$A$166,'Données projet'!$B$166,DO161+DN162-DW161))</f>
        <v>-8.5265128291212022E-14</v>
      </c>
      <c r="DP162" s="18">
        <f>DO162*VLOOKUP('Données projet'!$B$14,Paramètres!$A$1:$I$88,3,0)*VLOOKUP('Données projet'!$B$14,Paramètres!$A$1:$I$88,5,0)</f>
        <v>-4.9880100050359036E-14</v>
      </c>
      <c r="DQ162" s="14" t="e">
        <f t="shared" si="176"/>
        <v>#NUM!</v>
      </c>
      <c r="DR162" s="22" t="e">
        <f t="shared" si="177"/>
        <v>#NUM!</v>
      </c>
      <c r="DS162" s="62" t="e">
        <f t="shared" si="130"/>
        <v>#NUM!</v>
      </c>
      <c r="DT162" s="62">
        <f ca="1">AVERAGE(OFFSET($DS$3,0,0,'Données projet'!$E$14+1,1))-AVERAGE(OFFSET($H$3,0,0,'Données projet'!$E$14+1,1))</f>
        <v>155.18073137151848</v>
      </c>
      <c r="DU162" s="62">
        <f t="shared" si="131"/>
        <v>115.19459155667272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projet'!$B$14,Paramètres!$A$1:$I$88,7,0))</f>
        <v>0</v>
      </c>
      <c r="DY162" s="17">
        <f>IF(ISNA(VLOOKUP(A162,'Données projet'!$A$165:$I$185,6,0)),0%,VLOOKUP(A162,'Données projet'!$A$165:$I$185,6,0)*VLOOKUP('Données projet'!$B$14,Paramètres!$A$1:$I$88,7,0))</f>
        <v>0</v>
      </c>
      <c r="DZ162" s="17">
        <f>IF(ISNA(VLOOKUP(A162,'Données projet'!$A$165:$I$185,7,0)),0%,VLOOKUP(A162,'Données projet'!$A$165:$I$185,7,0))</f>
        <v>0</v>
      </c>
      <c r="EA162" s="23">
        <f>EXP(-LN(2)/35)*EA161+(1-EXP(-LN(2)/35))/(LN(2)/35)*DW162*DX162*VLOOKUP('Données projet'!$B$9,Paramètres!$A$1:$I$88,3,0)*0.475*44/12</f>
        <v>0</v>
      </c>
      <c r="EB162" s="23">
        <f>EXP(-LN(2)/25)*EB161+(1-EXP(-LN(2)/25))/(LN(2)/25)*Calculateur!DW162*Calculateur!DY162*VLOOKUP('Données projet'!$B$9,Paramètres!$A$1:$I$88,3,0)*0.475*44/12</f>
        <v>0</v>
      </c>
      <c r="EC162" s="23">
        <f>EXP(-LN(2)/2)*EC161+(1-EXP(-LN(2)/2))/(LN(2)/2)*DW162*DZ162*VLOOKUP('Données projet'!$B$9,Paramètres!$A$1:$I$88,3,0)*0.475*44/12</f>
        <v>0</v>
      </c>
      <c r="ED162" s="24">
        <f t="shared" si="178"/>
        <v>0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IF(A162&lt;'Données projet'!$A$192,$EG$205^A162,IF(A162='Données projet'!$A$192,'Données projet'!$B$192,EJ161+EI162-ER161))</f>
        <v>-5.6843418860808015E-14</v>
      </c>
      <c r="EK162" s="18">
        <f>EJ162*VLOOKUP('Données projet'!$B$15,Paramètres!$A$1:$I$88,3,0)*VLOOKUP('Données projet'!$B$15,Paramètres!$A$1:$I$88,5,0)</f>
        <v>-2.6602720026858149E-14</v>
      </c>
      <c r="EL162" s="14" t="e">
        <f t="shared" si="179"/>
        <v>#NUM!</v>
      </c>
      <c r="EM162" s="22" t="e">
        <f t="shared" si="180"/>
        <v>#NUM!</v>
      </c>
      <c r="EN162" s="62" t="e">
        <f t="shared" si="134"/>
        <v>#NUM!</v>
      </c>
      <c r="EO162" s="62">
        <f ca="1">AVERAGE(OFFSET($EN$3,0,0,'Données projet'!$E$15+1,1))-AVERAGE(OFFSET($H$3,0,0,'Données projet'!$E$15+1,1))</f>
        <v>238.59014604384171</v>
      </c>
      <c r="EP162" s="62">
        <f t="shared" si="135"/>
        <v>90.841373219575217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projet'!$B$15,Paramètres!$A$1:$I$88,7,0))</f>
        <v>0</v>
      </c>
      <c r="ET162" s="17">
        <f>IF(ISNA(VLOOKUP(A162,'Données projet'!$A$191:$I$211,6,0)),0%,VLOOKUP(A162,'Données projet'!$A$191:$I$211,6,0)*VLOOKUP('Données projet'!$B$15,Paramètres!$A$1:$I$88,7,0))</f>
        <v>0</v>
      </c>
      <c r="EU162" s="17">
        <f>IF(ISNA(VLOOKUP(A162,'Données projet'!$A$191:$I$211,7,0)),0%,VLOOKUP(A162,'Données projet'!$A$191:$I$211,7,0))</f>
        <v>0</v>
      </c>
      <c r="EV162" s="23">
        <f>EXP(-LN(2)/35)*EV161+(1-EXP(-LN(2)/35))/(LN(2)/35)*ER162*ES162*VLOOKUP('Données projet'!$B$9,Paramètres!$A$1:$I$88,3,0)*0.475*44/12</f>
        <v>0</v>
      </c>
      <c r="EW162" s="23">
        <f>EXP(-LN(2)/25)*EW161+(1-EXP(-LN(2)/25))/(LN(2)/25)*Calculateur!ER162*Calculateur!ET162*VLOOKUP('Données projet'!$B$9,Paramètres!$A$1:$I$88,3,0)*0.475*44/12</f>
        <v>0</v>
      </c>
      <c r="EX162" s="23">
        <f>EXP(-LN(2)/2)*EX161+(1-EXP(-LN(2)/2))/(LN(2)/2)*ER162*EU162*VLOOKUP('Données projet'!$B$9,Paramètres!$A$1:$I$88,3,0)*0.475*44/12</f>
        <v>0</v>
      </c>
      <c r="EY162" s="24">
        <f t="shared" si="181"/>
        <v>0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IF(A162&lt;'Données projet'!$A$218,$FB$205^A162,IF(A162='Données projet'!$A$218,'Données projet'!$B$218,FE161+FD162-FM161))</f>
        <v>0</v>
      </c>
      <c r="FF162" s="18" t="e">
        <f>FE162*VLOOKUP('Données projet'!$B$16,Paramètres!$A$1:$I$88,3,0)*VLOOKUP('Données projet'!$B$16,Paramètres!$A$1:$I$88,5,0)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8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39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projet'!$B$16,Paramètres!$A$1:$I$88,7,0))</f>
        <v>0</v>
      </c>
      <c r="FO162" s="17">
        <f>IF(ISNA(VLOOKUP(A162,'Données projet'!$A$217:$I$237,6,0)),0%,VLOOKUP(A162,'Données projet'!$A$217:$I$237,6,0)*VLOOKUP('Données projet'!$B$16,Paramètres!$A$1:$I$88,7,0))</f>
        <v>0</v>
      </c>
      <c r="FP162" s="17">
        <f>IF(ISNA(VLOOKUP(A162,'Données projet'!$A$217:$I$237,7,0)),0%,VLOOKUP(A162,'Données projet'!$A$217:$I$237,7,0))</f>
        <v>0</v>
      </c>
      <c r="FQ162" s="23">
        <f>EXP(-LN(2)/35)*FQ161+(1-EXP(-LN(2)/35))/(LN(2)/35)*FM162*FN162*VLOOKUP('Données projet'!$B$9,Paramètres!$A$1:$I$88,3,0)*0.475*44/12</f>
        <v>0</v>
      </c>
      <c r="FR162" s="23">
        <f>EXP(-LN(2)/25)*FR161+(1-EXP(-LN(2)/25))/(LN(2)/25)*Calculateur!FM162*Calculateur!FO162*VLOOKUP('Données projet'!$B$9,Paramètres!$A$1:$I$88,3,0)*0.475*44/12</f>
        <v>0</v>
      </c>
      <c r="FS162" s="23">
        <f>EXP(-LN(2)/2)*FS161+(1-EXP(-LN(2)/2))/(LN(2)/2)*FM162*FP162*VLOOKUP('Données projet'!$B$9,Paramètres!$A$1:$I$88,3,0)*0.475*44/12</f>
        <v>0</v>
      </c>
      <c r="FT162" s="24">
        <f t="shared" si="184"/>
        <v>0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IF(A162&lt;'Données projet'!$A$244,$FW$205^A162,IF(A162='Données projet'!$A$244,'Données projet'!$B$244,FZ161+FY162-GH161))</f>
        <v>0</v>
      </c>
      <c r="GA162" s="18" t="e">
        <f>FZ162*VLOOKUP('Données projet'!$B$17,Paramètres!$A$1:$I$88,3,0)*VLOOKUP('Données projet'!$B$17,Paramètres!$A$1:$I$88,5,0)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42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43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projet'!$B$17,Paramètres!$A$1:$I$88,7,0))</f>
        <v>0</v>
      </c>
      <c r="GJ162" s="17">
        <f>IF(ISNA(VLOOKUP(A162,'Données projet'!$A$243:$I$263,6,0)),0%,VLOOKUP(A162,'Données projet'!$A$243:$I$263,6,0)*VLOOKUP('Données projet'!$B$17,Paramètres!$A$1:$I$88,7,0))</f>
        <v>0</v>
      </c>
      <c r="GK162" s="17">
        <f>IF(ISNA(VLOOKUP(A162,'Données projet'!$A$243:$I$263,7,0)),0%,VLOOKUP(A162,'Données projet'!$A$243:$I$263,7,0))</f>
        <v>0</v>
      </c>
      <c r="GL162" s="23">
        <f>EXP(-LN(2)/35)*GL161+(1-EXP(-LN(2)/35))/(LN(2)/35)*GH162*GI162*VLOOKUP('Données projet'!$B$9,Paramètres!$A$1:$I$88,3,0)*0.475*44/12</f>
        <v>0</v>
      </c>
      <c r="GM162" s="23">
        <f>EXP(-LN(2)/25)*GM161+(1-EXP(-LN(2)/25))/(LN(2)/25)*Calculateur!GH162*Calculateur!GJ162*VLOOKUP('Données projet'!$B$9,Paramètres!$A$1:$I$88,3,0)*0.475*44/12</f>
        <v>0</v>
      </c>
      <c r="GN162" s="23">
        <f>EXP(-LN(2)/2)*GN161+(1-EXP(-LN(2)/2))/(LN(2)/2)*GH162*GK162*VLOOKUP('Données projet'!$B$9,Paramètres!$A$1:$I$88,3,0)*0.475*44/12</f>
        <v>0</v>
      </c>
      <c r="GO162" s="23">
        <f t="shared" si="187"/>
        <v>0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IF(A162&lt;'Données projet'!$A$270,$GR$205^A162,IF(A162='Données projet'!$A$270,'Données projet'!$B$270,GU161+GT162-HC161))</f>
        <v>0</v>
      </c>
      <c r="GV162" s="18" t="e">
        <f>GU162*VLOOKUP('Données projet'!$B$18,Paramètres!$A$1:$I$88,3,0)*VLOOKUP('Données projet'!$B$18,Paramètres!$A$1:$I$88,5,0)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46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47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projet'!$B$18,Paramètres!$A$1:$I$88,7,0))</f>
        <v>0</v>
      </c>
      <c r="HE162" s="17">
        <f>IF(ISNA(VLOOKUP(A162,'Données projet'!$A$269:$I$289,6,0)),0%,VLOOKUP(A162,'Données projet'!$A$269:$I$289,6,0)*VLOOKUP('Données projet'!$B$18,Paramètres!$A$1:$I$88,7,0))</f>
        <v>0</v>
      </c>
      <c r="HF162" s="17">
        <f>IF(ISNA(VLOOKUP(A162,'Données projet'!$A$269:$I$289,7,0)),0%,VLOOKUP(A162,'Données projet'!$A$269:$I$289,7,0))</f>
        <v>0</v>
      </c>
      <c r="HG162" s="23">
        <f>EXP(-LN(2)/35)*HG161+(1-EXP(-LN(2)/35))/(LN(2)/35)*HC162*HD162*VLOOKUP('Données projet'!$B$9,Paramètres!$A$1:$I$88,3,0)*0.475*44/12</f>
        <v>0</v>
      </c>
      <c r="HH162" s="23">
        <f>EXP(-LN(2)/25)*HH161+(1-EXP(-LN(2)/25))/(LN(2)/25)*Calculateur!HC162*Calculateur!HE162*VLOOKUP('Données projet'!$B$9,Paramètres!$A$1:$I$88,3,0)*0.475*44/12</f>
        <v>0</v>
      </c>
      <c r="HI162" s="23">
        <f>EXP(-LN(2)/2)*HI161+(1-EXP(-LN(2)/2))/(LN(2)/2)*HC162*HF162*VLOOKUP('Données projet'!$B$9,Paramètres!$A$1:$I$88,3,0)*0.475*44/12</f>
        <v>0</v>
      </c>
      <c r="HJ162" s="24">
        <f t="shared" si="190"/>
        <v>0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3" s="12">
        <f t="shared" si="15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111"/>
        <v>135.66666666666666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IF(A163&lt;'Données projet'!$A$36,$K$205^A163,IF(A163='Données projet'!$A$36,'Données projet'!$B$36,N162+M163-V162))</f>
        <v>0</v>
      </c>
      <c r="O163" s="14">
        <f>N163*VLOOKUP('Données projet'!$B$9,Paramètres!$A$1:$I$88,3,0)*VLOOKUP('Données projet'!$B$9,Paramètres!$A$1:$I$88,5,0)</f>
        <v>0</v>
      </c>
      <c r="P163" s="14" t="e">
        <f t="shared" si="15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314.72063458462026</v>
      </c>
      <c r="T163" s="62">
        <f t="shared" si="110"/>
        <v>216.4380325968244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projet'!$B$9,Paramètres!$A$1:$I$88,7,0))</f>
        <v>0</v>
      </c>
      <c r="X163" s="17">
        <f>IF(ISNA(VLOOKUP(A163,'Données projet'!$A$35:$I$55,6,0)),0%,VLOOKUP(A163,'Données projet'!$A$35:$I$55,6,0)*VLOOKUP('Données projet'!$B$9,Paramètres!$A$1:$I$88,7,0))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projet'!$B$9,Paramètres!$A$1:$I$88,3,0)*0.475*44/12</f>
        <v>0</v>
      </c>
      <c r="AA163" s="23">
        <f>EXP(-LN(2)/25)*AA162+(1-EXP(-LN(2)/25))/(LN(2)/25)*Calculateur!V163*Calculateur!X163*VLOOKUP('Données projet'!$B$9,Paramètres!$A$1:$I$88,3,0)*0.475*44/12</f>
        <v>0</v>
      </c>
      <c r="AB163" s="23">
        <f>EXP(-LN(2)/2)*AB162+(1-EXP(-LN(2)/2))/(LN(2)/2)*V163*Y163*VLOOKUP('Données projet'!$B$9,Paramètres!$A$1:$I$88,3,0)*0.475*44/12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IF(A163&lt;'Données projet'!$A$62,$AF$205^A163,IF(A163='Données projet'!$A$62,'Données projet'!$B$62,AI162+AH163-AQ162))</f>
        <v>1.1368683772161603E-13</v>
      </c>
      <c r="AJ163" s="14">
        <f>AI163*VLOOKUP('Données projet'!$B$10,Paramètres!$A$1:$I$88,3,0)*VLOOKUP('Données projet'!$B$10,Paramètres!$A$1:$I$88,5,0)</f>
        <v>1.1882548278663309E-13</v>
      </c>
      <c r="AK163" s="14">
        <f t="shared" si="164"/>
        <v>1.7496137229198366E-12</v>
      </c>
      <c r="AL163" s="22">
        <f t="shared" si="165"/>
        <v>3.2541982832721012E-12</v>
      </c>
      <c r="AM163" s="62">
        <f t="shared" si="114"/>
        <v>284.8604646075562</v>
      </c>
      <c r="AN163" s="62">
        <f ca="1">AVERAGE(OFFSET($AM$3,0,0,'Données projet'!$E$10+1,1))-AVERAGE(OFFSET($H$3,0,0,'Données projet'!$E$10+1,1))</f>
        <v>458.33072853676879</v>
      </c>
      <c r="AO163" s="62">
        <f t="shared" si="115"/>
        <v>254.1734169352687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projet'!$B$10,Paramètres!$A$1:$I$88,7,0))</f>
        <v>0</v>
      </c>
      <c r="AS163" s="17">
        <f>IF(ISNA(VLOOKUP(A163,'Données projet'!$A$61:$I$81,6,0)),0%,VLOOKUP(A163,'Données projet'!$A$61:$I$81,6,0)*VLOOKUP('Données projet'!$B$10,Paramètres!$A$1:$I$88,7,0))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projet'!$B$9,Paramètres!$A$1:$I$88,3,0)*0.475*44/12</f>
        <v>0</v>
      </c>
      <c r="AV163" s="23">
        <f>EXP(-LN(2)/25)*AV162+(1-EXP(-LN(2)/25))/(LN(2)/25)*Calculateur!AQ163*Calculateur!AS163*VLOOKUP('Données projet'!$B$9,Paramètres!$A$1:$I$88,3,0)*0.475*44/12</f>
        <v>0</v>
      </c>
      <c r="AW163" s="23">
        <f>EXP(-LN(2)/2)*AW162+(1-EXP(-LN(2)/2))/(LN(2)/2)*AQ163*AT163*VLOOKUP('Données projet'!$B$9,Paramètres!$A$1:$I$88,3,0)*0.475*44/12</f>
        <v>0</v>
      </c>
      <c r="AX163" s="23">
        <f t="shared" si="166"/>
        <v>0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IF(A163&lt;'Données projet'!$A$88,$BA$205^A163,IF(A163='Données projet'!$A$88,'Données projet'!$B$88,BD162+BC163-BL162))</f>
        <v>1.1368683772161603E-13</v>
      </c>
      <c r="BE163" s="14">
        <f>BD163*VLOOKUP('Données projet'!$B$11,Paramètres!$A$1:$I$88,3,0)*VLOOKUP('Données projet'!$B$11,Paramètres!$A$1:$I$88,5,0)</f>
        <v>1.1527845344971866E-13</v>
      </c>
      <c r="BF163" s="14">
        <f t="shared" si="167"/>
        <v>1.7033846239409443E-12</v>
      </c>
      <c r="BG163" s="22">
        <f t="shared" si="168"/>
        <v>3.1675048597887374E-12</v>
      </c>
      <c r="BH163" s="62">
        <f t="shared" si="118"/>
        <v>284.86046460755614</v>
      </c>
      <c r="BI163" s="62">
        <f ca="1">AVERAGE(OFFSET($BH$3,0,0,'Données projet'!$E$11+1,1))-AVERAGE(OFFSET($H$3,0,0,'Données projet'!$E$11+1,1))</f>
        <v>447.82618173893104</v>
      </c>
      <c r="BJ163" s="62">
        <f t="shared" si="119"/>
        <v>248.96509970783379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projet'!$B$11,Paramètres!$A$1:$I$88,7,0))</f>
        <v>0</v>
      </c>
      <c r="BN163" s="17">
        <f>IF(ISNA(VLOOKUP(A163,'Données projet'!$A$87:$I$107,6,0)),0%,VLOOKUP(A163,'Données projet'!$A$87:$I$107,6,0)*VLOOKUP('Données projet'!$B$11,Paramètres!$A$1:$I$88,7,0))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projet'!$B$9,Paramètres!$A$1:$I$88,3,0)*0.475*44/12</f>
        <v>0</v>
      </c>
      <c r="BQ163" s="23">
        <f>EXP(-LN(2)/25)*BQ162+(1-EXP(-LN(2)/25))/(LN(2)/25)*Calculateur!BL163*Calculateur!BN163*VLOOKUP('Données projet'!$B$9,Paramètres!$A$1:$I$88,3,0)*0.475*44/12</f>
        <v>0</v>
      </c>
      <c r="BR163" s="23">
        <f>EXP(-LN(2)/2)*BR162+(1-EXP(-LN(2)/2))/(LN(2)/2)*BL163*BO163*VLOOKUP('Données projet'!$B$9,Paramètres!$A$1:$I$88,3,0)*0.475*44/12</f>
        <v>0</v>
      </c>
      <c r="BS163" s="24">
        <f t="shared" si="169"/>
        <v>0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IF(A163&lt;'Données projet'!$A$114,$BV$205^A163,IF(A163='Données projet'!$A$114,'Données projet'!$B$114,BY162+BX163-CG162))</f>
        <v>1.1368683772161603E-13</v>
      </c>
      <c r="BZ163" s="14">
        <f>BY163*VLOOKUP('Données projet'!$B$12,Paramètres!$A$1:$I$88,3,0)*VLOOKUP('Données projet'!$B$12,Paramètres!$A$1:$I$88,5,0)</f>
        <v>1.223725121235475E-13</v>
      </c>
      <c r="CA163" s="14">
        <f t="shared" si="170"/>
        <v>1.7956824466038182E-12</v>
      </c>
      <c r="CB163" s="22">
        <f t="shared" si="171"/>
        <v>3.3406123864501612E-12</v>
      </c>
      <c r="CC163" s="62">
        <f t="shared" si="122"/>
        <v>284.86046460755631</v>
      </c>
      <c r="CD163" s="62">
        <f ca="1">AVERAGE(OFFSET($CC$3,0,0,'Données projet'!$E$12+1,1))-AVERAGE(OFFSET($H$3,0,0,'Données projet'!$E$12+1,1))</f>
        <v>468.82871618425406</v>
      </c>
      <c r="CE163" s="62">
        <f t="shared" si="123"/>
        <v>259.37818128554397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projet'!$B$12,Paramètres!$A$1:$I$88,7,0))</f>
        <v>0</v>
      </c>
      <c r="CI163" s="17">
        <f>IF(ISNA(VLOOKUP(A163,'Données projet'!$A$113:$I$133,6,0)),0%,VLOOKUP(A163,'Données projet'!$A$113:$I$133,6,0)*VLOOKUP('Données projet'!$B$12,Paramètres!$A$1:$I$88,7,0))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projet'!$B$9,Paramètres!$A$1:$I$88,3,0)*0.475*44/12</f>
        <v>0</v>
      </c>
      <c r="CL163" s="23">
        <f>EXP(-LN(2)/25)*CL162+(1-EXP(-LN(2)/25))/(LN(2)/25)*Calculateur!CG163*Calculateur!CI163*VLOOKUP('Données projet'!$B$9,Paramètres!$A$1:$I$88,3,0)*0.475*44/12</f>
        <v>0</v>
      </c>
      <c r="CM163" s="23">
        <f>EXP(-LN(2)/2)*CM162+(1-EXP(-LN(2)/2))/(LN(2)/2)*CG163*CJ163*VLOOKUP('Données projet'!$B$9,Paramètres!$A$1:$I$88,3,0)*0.475*44/12</f>
        <v>0</v>
      </c>
      <c r="CN163" s="24">
        <f t="shared" si="172"/>
        <v>0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IF(A163&lt;'Données projet'!$A$140,$CQ$205^A163,IF(A163='Données projet'!$A$140,'Données projet'!$B$140,CT162+CS163-DB162))</f>
        <v>1.1368683772161603E-13</v>
      </c>
      <c r="CU163" s="18">
        <f>CT163*VLOOKUP('Données projet'!$B$13,Paramètres!$A$1:$I$88,3,0)*VLOOKUP('Données projet'!$B$13,Paramètres!$A$1:$I$88,5,0)</f>
        <v>9.7543306765146564E-14</v>
      </c>
      <c r="CV163" s="14">
        <f t="shared" si="173"/>
        <v>1.4696264278629426E-12</v>
      </c>
      <c r="CW163" s="22">
        <f t="shared" si="174"/>
        <v>2.7294872878105889E-12</v>
      </c>
      <c r="CX163" s="62">
        <f t="shared" si="126"/>
        <v>284.86046460755568</v>
      </c>
      <c r="CY163" s="62">
        <f ca="1">AVERAGE(OFFSET($CX$3,0,0,'Données projet'!$E$13+1,1))-AVERAGE(OFFSET($H$3,0,0,'Données projet'!$E$13+1,1))</f>
        <v>395.19659151668884</v>
      </c>
      <c r="CZ163" s="62">
        <f t="shared" si="127"/>
        <v>222.86563304507339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projet'!$B$13,Paramètres!$A$1:$I$88,7,0))</f>
        <v>0</v>
      </c>
      <c r="DD163" s="17">
        <f>IF(ISNA(VLOOKUP(A163,'Données projet'!$A$139:$I$159,6,0)),0%,VLOOKUP(A163,'Données projet'!$A$139:$I$159,6,0)*VLOOKUP('Données projet'!$B$13,Paramètres!$A$1:$I$88,7,0))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projet'!$B$9,Paramètres!$A$1:$I$88,3,0)*0.475*44/12</f>
        <v>0</v>
      </c>
      <c r="DG163" s="23">
        <f>EXP(-LN(2)/25)*DG162+(1-EXP(-LN(2)/25))/(LN(2)/25)*Calculateur!DB163*Calculateur!DD163*VLOOKUP('Données projet'!$B$9,Paramètres!$A$1:$I$88,3,0)*0.475*44/12</f>
        <v>0</v>
      </c>
      <c r="DH163" s="23">
        <f>EXP(-LN(2)/2)*DH162+(1-EXP(-LN(2)/2))/(LN(2)/2)*DB163*DE163*VLOOKUP('Données projet'!$B$9,Paramètres!$A$1:$I$88,3,0)*0.475*44/12</f>
        <v>0</v>
      </c>
      <c r="DI163" s="24">
        <f t="shared" si="175"/>
        <v>0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IF(A163&lt;'Données projet'!$A$166,$DL$205^A163,IF(A163='Données projet'!$A$166,'Données projet'!$B$166,DO162+DN163-DW162))</f>
        <v>-8.5265128291212022E-14</v>
      </c>
      <c r="DP163" s="18">
        <f>DO163*VLOOKUP('Données projet'!$B$14,Paramètres!$A$1:$I$88,3,0)*VLOOKUP('Données projet'!$B$14,Paramètres!$A$1:$I$88,5,0)</f>
        <v>-4.9880100050359036E-14</v>
      </c>
      <c r="DQ163" s="14" t="e">
        <f t="shared" si="176"/>
        <v>#NUM!</v>
      </c>
      <c r="DR163" s="22" t="e">
        <f t="shared" si="177"/>
        <v>#NUM!</v>
      </c>
      <c r="DS163" s="62" t="e">
        <f t="shared" si="130"/>
        <v>#NUM!</v>
      </c>
      <c r="DT163" s="62">
        <f ca="1">AVERAGE(OFFSET($DS$3,0,0,'Données projet'!$E$14+1,1))-AVERAGE(OFFSET($H$3,0,0,'Données projet'!$E$14+1,1))</f>
        <v>155.18073137151848</v>
      </c>
      <c r="DU163" s="62">
        <f t="shared" si="131"/>
        <v>115.19459155667272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projet'!$B$14,Paramètres!$A$1:$I$88,7,0))</f>
        <v>0</v>
      </c>
      <c r="DY163" s="17">
        <f>IF(ISNA(VLOOKUP(A163,'Données projet'!$A$165:$I$185,6,0)),0%,VLOOKUP(A163,'Données projet'!$A$165:$I$185,6,0)*VLOOKUP('Données projet'!$B$14,Paramètres!$A$1:$I$88,7,0))</f>
        <v>0</v>
      </c>
      <c r="DZ163" s="17">
        <f>IF(ISNA(VLOOKUP(A163,'Données projet'!$A$165:$I$185,7,0)),0%,VLOOKUP(A163,'Données projet'!$A$165:$I$185,7,0))</f>
        <v>0</v>
      </c>
      <c r="EA163" s="23">
        <f>EXP(-LN(2)/35)*EA162+(1-EXP(-LN(2)/35))/(LN(2)/35)*DW163*DX163*VLOOKUP('Données projet'!$B$9,Paramètres!$A$1:$I$88,3,0)*0.475*44/12</f>
        <v>0</v>
      </c>
      <c r="EB163" s="23">
        <f>EXP(-LN(2)/25)*EB162+(1-EXP(-LN(2)/25))/(LN(2)/25)*Calculateur!DW163*Calculateur!DY163*VLOOKUP('Données projet'!$B$9,Paramètres!$A$1:$I$88,3,0)*0.475*44/12</f>
        <v>0</v>
      </c>
      <c r="EC163" s="23">
        <f>EXP(-LN(2)/2)*EC162+(1-EXP(-LN(2)/2))/(LN(2)/2)*DW163*DZ163*VLOOKUP('Données projet'!$B$9,Paramètres!$A$1:$I$88,3,0)*0.475*44/12</f>
        <v>0</v>
      </c>
      <c r="ED163" s="24">
        <f t="shared" si="178"/>
        <v>0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IF(A163&lt;'Données projet'!$A$192,$EG$205^A163,IF(A163='Données projet'!$A$192,'Données projet'!$B$192,EJ162+EI163-ER162))</f>
        <v>-5.6843418860808015E-14</v>
      </c>
      <c r="EK163" s="18">
        <f>EJ163*VLOOKUP('Données projet'!$B$15,Paramètres!$A$1:$I$88,3,0)*VLOOKUP('Données projet'!$B$15,Paramètres!$A$1:$I$88,5,0)</f>
        <v>-2.6602720026858149E-14</v>
      </c>
      <c r="EL163" s="14" t="e">
        <f t="shared" si="179"/>
        <v>#NUM!</v>
      </c>
      <c r="EM163" s="22" t="e">
        <f t="shared" si="180"/>
        <v>#NUM!</v>
      </c>
      <c r="EN163" s="62" t="e">
        <f t="shared" si="134"/>
        <v>#NUM!</v>
      </c>
      <c r="EO163" s="62">
        <f ca="1">AVERAGE(OFFSET($EN$3,0,0,'Données projet'!$E$15+1,1))-AVERAGE(OFFSET($H$3,0,0,'Données projet'!$E$15+1,1))</f>
        <v>238.59014604384171</v>
      </c>
      <c r="EP163" s="62">
        <f t="shared" si="135"/>
        <v>90.841373219575217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projet'!$B$15,Paramètres!$A$1:$I$88,7,0))</f>
        <v>0</v>
      </c>
      <c r="ET163" s="17">
        <f>IF(ISNA(VLOOKUP(A163,'Données projet'!$A$191:$I$211,6,0)),0%,VLOOKUP(A163,'Données projet'!$A$191:$I$211,6,0)*VLOOKUP('Données projet'!$B$15,Paramètres!$A$1:$I$88,7,0))</f>
        <v>0</v>
      </c>
      <c r="EU163" s="17">
        <f>IF(ISNA(VLOOKUP(A163,'Données projet'!$A$191:$I$211,7,0)),0%,VLOOKUP(A163,'Données projet'!$A$191:$I$211,7,0))</f>
        <v>0</v>
      </c>
      <c r="EV163" s="23">
        <f>EXP(-LN(2)/35)*EV162+(1-EXP(-LN(2)/35))/(LN(2)/35)*ER163*ES163*VLOOKUP('Données projet'!$B$9,Paramètres!$A$1:$I$88,3,0)*0.475*44/12</f>
        <v>0</v>
      </c>
      <c r="EW163" s="23">
        <f>EXP(-LN(2)/25)*EW162+(1-EXP(-LN(2)/25))/(LN(2)/25)*Calculateur!ER163*Calculateur!ET163*VLOOKUP('Données projet'!$B$9,Paramètres!$A$1:$I$88,3,0)*0.475*44/12</f>
        <v>0</v>
      </c>
      <c r="EX163" s="23">
        <f>EXP(-LN(2)/2)*EX162+(1-EXP(-LN(2)/2))/(LN(2)/2)*ER163*EU163*VLOOKUP('Données projet'!$B$9,Paramètres!$A$1:$I$88,3,0)*0.475*44/12</f>
        <v>0</v>
      </c>
      <c r="EY163" s="24">
        <f t="shared" si="181"/>
        <v>0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IF(A163&lt;'Données projet'!$A$218,$FB$205^A163,IF(A163='Données projet'!$A$218,'Données projet'!$B$218,FE162+FD163-FM162))</f>
        <v>0</v>
      </c>
      <c r="FF163" s="18" t="e">
        <f>FE163*VLOOKUP('Données projet'!$B$16,Paramètres!$A$1:$I$88,3,0)*VLOOKUP('Données projet'!$B$16,Paramètres!$A$1:$I$88,5,0)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8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39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projet'!$B$16,Paramètres!$A$1:$I$88,7,0))</f>
        <v>0</v>
      </c>
      <c r="FO163" s="17">
        <f>IF(ISNA(VLOOKUP(A163,'Données projet'!$A$217:$I$237,6,0)),0%,VLOOKUP(A163,'Données projet'!$A$217:$I$237,6,0)*VLOOKUP('Données projet'!$B$16,Paramètres!$A$1:$I$88,7,0))</f>
        <v>0</v>
      </c>
      <c r="FP163" s="17">
        <f>IF(ISNA(VLOOKUP(A163,'Données projet'!$A$217:$I$237,7,0)),0%,VLOOKUP(A163,'Données projet'!$A$217:$I$237,7,0))</f>
        <v>0</v>
      </c>
      <c r="FQ163" s="23">
        <f>EXP(-LN(2)/35)*FQ162+(1-EXP(-LN(2)/35))/(LN(2)/35)*FM163*FN163*VLOOKUP('Données projet'!$B$9,Paramètres!$A$1:$I$88,3,0)*0.475*44/12</f>
        <v>0</v>
      </c>
      <c r="FR163" s="23">
        <f>EXP(-LN(2)/25)*FR162+(1-EXP(-LN(2)/25))/(LN(2)/25)*Calculateur!FM163*Calculateur!FO163*VLOOKUP('Données projet'!$B$9,Paramètres!$A$1:$I$88,3,0)*0.475*44/12</f>
        <v>0</v>
      </c>
      <c r="FS163" s="23">
        <f>EXP(-LN(2)/2)*FS162+(1-EXP(-LN(2)/2))/(LN(2)/2)*FM163*FP163*VLOOKUP('Données projet'!$B$9,Paramètres!$A$1:$I$88,3,0)*0.475*44/12</f>
        <v>0</v>
      </c>
      <c r="FT163" s="24">
        <f t="shared" si="184"/>
        <v>0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IF(A163&lt;'Données projet'!$A$244,$FW$205^A163,IF(A163='Données projet'!$A$244,'Données projet'!$B$244,FZ162+FY163-GH162))</f>
        <v>0</v>
      </c>
      <c r="GA163" s="18" t="e">
        <f>FZ163*VLOOKUP('Données projet'!$B$17,Paramètres!$A$1:$I$88,3,0)*VLOOKUP('Données projet'!$B$17,Paramètres!$A$1:$I$88,5,0)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42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43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projet'!$B$17,Paramètres!$A$1:$I$88,7,0))</f>
        <v>0</v>
      </c>
      <c r="GJ163" s="17">
        <f>IF(ISNA(VLOOKUP(A163,'Données projet'!$A$243:$I$263,6,0)),0%,VLOOKUP(A163,'Données projet'!$A$243:$I$263,6,0)*VLOOKUP('Données projet'!$B$17,Paramètres!$A$1:$I$88,7,0))</f>
        <v>0</v>
      </c>
      <c r="GK163" s="17">
        <f>IF(ISNA(VLOOKUP(A163,'Données projet'!$A$243:$I$263,7,0)),0%,VLOOKUP(A163,'Données projet'!$A$243:$I$263,7,0))</f>
        <v>0</v>
      </c>
      <c r="GL163" s="23">
        <f>EXP(-LN(2)/35)*GL162+(1-EXP(-LN(2)/35))/(LN(2)/35)*GH163*GI163*VLOOKUP('Données projet'!$B$9,Paramètres!$A$1:$I$88,3,0)*0.475*44/12</f>
        <v>0</v>
      </c>
      <c r="GM163" s="23">
        <f>EXP(-LN(2)/25)*GM162+(1-EXP(-LN(2)/25))/(LN(2)/25)*Calculateur!GH163*Calculateur!GJ163*VLOOKUP('Données projet'!$B$9,Paramètres!$A$1:$I$88,3,0)*0.475*44/12</f>
        <v>0</v>
      </c>
      <c r="GN163" s="23">
        <f>EXP(-LN(2)/2)*GN162+(1-EXP(-LN(2)/2))/(LN(2)/2)*GH163*GK163*VLOOKUP('Données projet'!$B$9,Paramètres!$A$1:$I$88,3,0)*0.475*44/12</f>
        <v>0</v>
      </c>
      <c r="GO163" s="23">
        <f t="shared" si="187"/>
        <v>0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IF(A163&lt;'Données projet'!$A$270,$GR$205^A163,IF(A163='Données projet'!$A$270,'Données projet'!$B$270,GU162+GT163-HC162))</f>
        <v>0</v>
      </c>
      <c r="GV163" s="18" t="e">
        <f>GU163*VLOOKUP('Données projet'!$B$18,Paramètres!$A$1:$I$88,3,0)*VLOOKUP('Données projet'!$B$18,Paramètres!$A$1:$I$88,5,0)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46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47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projet'!$B$18,Paramètres!$A$1:$I$88,7,0))</f>
        <v>0</v>
      </c>
      <c r="HE163" s="17">
        <f>IF(ISNA(VLOOKUP(A163,'Données projet'!$A$269:$I$289,6,0)),0%,VLOOKUP(A163,'Données projet'!$A$269:$I$289,6,0)*VLOOKUP('Données projet'!$B$18,Paramètres!$A$1:$I$88,7,0))</f>
        <v>0</v>
      </c>
      <c r="HF163" s="17">
        <f>IF(ISNA(VLOOKUP(A163,'Données projet'!$A$269:$I$289,7,0)),0%,VLOOKUP(A163,'Données projet'!$A$269:$I$289,7,0))</f>
        <v>0</v>
      </c>
      <c r="HG163" s="23">
        <f>EXP(-LN(2)/35)*HG162+(1-EXP(-LN(2)/35))/(LN(2)/35)*HC163*HD163*VLOOKUP('Données projet'!$B$9,Paramètres!$A$1:$I$88,3,0)*0.475*44/12</f>
        <v>0</v>
      </c>
      <c r="HH163" s="23">
        <f>EXP(-LN(2)/25)*HH162+(1-EXP(-LN(2)/25))/(LN(2)/25)*Calculateur!HC163*Calculateur!HE163*VLOOKUP('Données projet'!$B$9,Paramètres!$A$1:$I$88,3,0)*0.475*44/12</f>
        <v>0</v>
      </c>
      <c r="HI163" s="23">
        <f>EXP(-LN(2)/2)*HI162+(1-EXP(-LN(2)/2))/(LN(2)/2)*HC163*HF163*VLOOKUP('Données projet'!$B$9,Paramètres!$A$1:$I$88,3,0)*0.475*44/12</f>
        <v>0</v>
      </c>
      <c r="HJ163" s="24">
        <f t="shared" si="190"/>
        <v>0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4" s="12">
        <f t="shared" si="15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111"/>
        <v>135.66666666666666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IF(A164&lt;'Données projet'!$A$36,$K$205^A164,IF(A164='Données projet'!$A$36,'Données projet'!$B$36,N163+M164-V163))</f>
        <v>0</v>
      </c>
      <c r="O164" s="14">
        <f>N164*VLOOKUP('Données projet'!$B$9,Paramètres!$A$1:$I$88,3,0)*VLOOKUP('Données projet'!$B$9,Paramètres!$A$1:$I$88,5,0)</f>
        <v>0</v>
      </c>
      <c r="P164" s="14" t="e">
        <f t="shared" si="15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314.72063458462026</v>
      </c>
      <c r="T164" s="62">
        <f t="shared" si="110"/>
        <v>216.4380325968244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projet'!$B$9,Paramètres!$A$1:$I$88,7,0))</f>
        <v>0</v>
      </c>
      <c r="X164" s="17">
        <f>IF(ISNA(VLOOKUP(A164,'Données projet'!$A$35:$I$55,6,0)),0%,VLOOKUP(A164,'Données projet'!$A$35:$I$55,6,0)*VLOOKUP('Données projet'!$B$9,Paramètres!$A$1:$I$88,7,0))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projet'!$B$9,Paramètres!$A$1:$I$88,3,0)*0.475*44/12</f>
        <v>0</v>
      </c>
      <c r="AA164" s="23">
        <f>EXP(-LN(2)/25)*AA163+(1-EXP(-LN(2)/25))/(LN(2)/25)*Calculateur!V164*Calculateur!X164*VLOOKUP('Données projet'!$B$9,Paramètres!$A$1:$I$88,3,0)*0.475*44/12</f>
        <v>0</v>
      </c>
      <c r="AB164" s="23">
        <f>EXP(-LN(2)/2)*AB163+(1-EXP(-LN(2)/2))/(LN(2)/2)*V164*Y164*VLOOKUP('Données projet'!$B$9,Paramètres!$A$1:$I$88,3,0)*0.475*44/12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IF(A164&lt;'Données projet'!$A$62,$AF$205^A164,IF(A164='Données projet'!$A$62,'Données projet'!$B$62,AI163+AH164-AQ163))</f>
        <v>1.1368683772161603E-13</v>
      </c>
      <c r="AJ164" s="14">
        <f>AI164*VLOOKUP('Données projet'!$B$10,Paramètres!$A$1:$I$88,3,0)*VLOOKUP('Données projet'!$B$10,Paramètres!$A$1:$I$88,5,0)</f>
        <v>1.1882548278663309E-13</v>
      </c>
      <c r="AK164" s="14">
        <f t="shared" si="164"/>
        <v>1.7496137229198366E-12</v>
      </c>
      <c r="AL164" s="22">
        <f t="shared" si="165"/>
        <v>3.2541982832721012E-12</v>
      </c>
      <c r="AM164" s="62">
        <f t="shared" si="114"/>
        <v>285.00744993745184</v>
      </c>
      <c r="AN164" s="62">
        <f ca="1">AVERAGE(OFFSET($AM$3,0,0,'Données projet'!$E$10+1,1))-AVERAGE(OFFSET($H$3,0,0,'Données projet'!$E$10+1,1))</f>
        <v>458.33072853676879</v>
      </c>
      <c r="AO164" s="62">
        <f t="shared" si="115"/>
        <v>254.1734169352687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projet'!$B$10,Paramètres!$A$1:$I$88,7,0))</f>
        <v>0</v>
      </c>
      <c r="AS164" s="17">
        <f>IF(ISNA(VLOOKUP(A164,'Données projet'!$A$61:$I$81,6,0)),0%,VLOOKUP(A164,'Données projet'!$A$61:$I$81,6,0)*VLOOKUP('Données projet'!$B$10,Paramètres!$A$1:$I$88,7,0))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projet'!$B$9,Paramètres!$A$1:$I$88,3,0)*0.475*44/12</f>
        <v>0</v>
      </c>
      <c r="AV164" s="23">
        <f>EXP(-LN(2)/25)*AV163+(1-EXP(-LN(2)/25))/(LN(2)/25)*Calculateur!AQ164*Calculateur!AS164*VLOOKUP('Données projet'!$B$9,Paramètres!$A$1:$I$88,3,0)*0.475*44/12</f>
        <v>0</v>
      </c>
      <c r="AW164" s="23">
        <f>EXP(-LN(2)/2)*AW163+(1-EXP(-LN(2)/2))/(LN(2)/2)*AQ164*AT164*VLOOKUP('Données projet'!$B$9,Paramètres!$A$1:$I$88,3,0)*0.475*44/12</f>
        <v>0</v>
      </c>
      <c r="AX164" s="23">
        <f t="shared" si="166"/>
        <v>0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IF(A164&lt;'Données projet'!$A$88,$BA$205^A164,IF(A164='Données projet'!$A$88,'Données projet'!$B$88,BD163+BC164-BL163))</f>
        <v>1.1368683772161603E-13</v>
      </c>
      <c r="BE164" s="14">
        <f>BD164*VLOOKUP('Données projet'!$B$11,Paramètres!$A$1:$I$88,3,0)*VLOOKUP('Données projet'!$B$11,Paramètres!$A$1:$I$88,5,0)</f>
        <v>1.1527845344971866E-13</v>
      </c>
      <c r="BF164" s="14">
        <f t="shared" si="167"/>
        <v>1.7033846239409443E-12</v>
      </c>
      <c r="BG164" s="22">
        <f t="shared" si="168"/>
        <v>3.1675048597887374E-12</v>
      </c>
      <c r="BH164" s="62">
        <f t="shared" si="118"/>
        <v>285.00744993745178</v>
      </c>
      <c r="BI164" s="62">
        <f ca="1">AVERAGE(OFFSET($BH$3,0,0,'Données projet'!$E$11+1,1))-AVERAGE(OFFSET($H$3,0,0,'Données projet'!$E$11+1,1))</f>
        <v>447.82618173893104</v>
      </c>
      <c r="BJ164" s="62">
        <f t="shared" si="119"/>
        <v>248.96509970783379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projet'!$B$11,Paramètres!$A$1:$I$88,7,0))</f>
        <v>0</v>
      </c>
      <c r="BN164" s="17">
        <f>IF(ISNA(VLOOKUP(A164,'Données projet'!$A$87:$I$107,6,0)),0%,VLOOKUP(A164,'Données projet'!$A$87:$I$107,6,0)*VLOOKUP('Données projet'!$B$11,Paramètres!$A$1:$I$88,7,0))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projet'!$B$9,Paramètres!$A$1:$I$88,3,0)*0.475*44/12</f>
        <v>0</v>
      </c>
      <c r="BQ164" s="23">
        <f>EXP(-LN(2)/25)*BQ163+(1-EXP(-LN(2)/25))/(LN(2)/25)*Calculateur!BL164*Calculateur!BN164*VLOOKUP('Données projet'!$B$9,Paramètres!$A$1:$I$88,3,0)*0.475*44/12</f>
        <v>0</v>
      </c>
      <c r="BR164" s="23">
        <f>EXP(-LN(2)/2)*BR163+(1-EXP(-LN(2)/2))/(LN(2)/2)*BL164*BO164*VLOOKUP('Données projet'!$B$9,Paramètres!$A$1:$I$88,3,0)*0.475*44/12</f>
        <v>0</v>
      </c>
      <c r="BS164" s="24">
        <f t="shared" si="169"/>
        <v>0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IF(A164&lt;'Données projet'!$A$114,$BV$205^A164,IF(A164='Données projet'!$A$114,'Données projet'!$B$114,BY163+BX164-CG163))</f>
        <v>1.1368683772161603E-13</v>
      </c>
      <c r="BZ164" s="14">
        <f>BY164*VLOOKUP('Données projet'!$B$12,Paramètres!$A$1:$I$88,3,0)*VLOOKUP('Données projet'!$B$12,Paramètres!$A$1:$I$88,5,0)</f>
        <v>1.223725121235475E-13</v>
      </c>
      <c r="CA164" s="14">
        <f t="shared" si="170"/>
        <v>1.7956824466038182E-12</v>
      </c>
      <c r="CB164" s="22">
        <f t="shared" si="171"/>
        <v>3.3406123864501612E-12</v>
      </c>
      <c r="CC164" s="62">
        <f t="shared" si="122"/>
        <v>285.00744993745195</v>
      </c>
      <c r="CD164" s="62">
        <f ca="1">AVERAGE(OFFSET($CC$3,0,0,'Données projet'!$E$12+1,1))-AVERAGE(OFFSET($H$3,0,0,'Données projet'!$E$12+1,1))</f>
        <v>468.82871618425406</v>
      </c>
      <c r="CE164" s="62">
        <f t="shared" si="123"/>
        <v>259.37818128554397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projet'!$B$12,Paramètres!$A$1:$I$88,7,0))</f>
        <v>0</v>
      </c>
      <c r="CI164" s="17">
        <f>IF(ISNA(VLOOKUP(A164,'Données projet'!$A$113:$I$133,6,0)),0%,VLOOKUP(A164,'Données projet'!$A$113:$I$133,6,0)*VLOOKUP('Données projet'!$B$12,Paramètres!$A$1:$I$88,7,0))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projet'!$B$9,Paramètres!$A$1:$I$88,3,0)*0.475*44/12</f>
        <v>0</v>
      </c>
      <c r="CL164" s="23">
        <f>EXP(-LN(2)/25)*CL163+(1-EXP(-LN(2)/25))/(LN(2)/25)*Calculateur!CG164*Calculateur!CI164*VLOOKUP('Données projet'!$B$9,Paramètres!$A$1:$I$88,3,0)*0.475*44/12</f>
        <v>0</v>
      </c>
      <c r="CM164" s="23">
        <f>EXP(-LN(2)/2)*CM163+(1-EXP(-LN(2)/2))/(LN(2)/2)*CG164*CJ164*VLOOKUP('Données projet'!$B$9,Paramètres!$A$1:$I$88,3,0)*0.475*44/12</f>
        <v>0</v>
      </c>
      <c r="CN164" s="24">
        <f t="shared" si="172"/>
        <v>0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IF(A164&lt;'Données projet'!$A$140,$CQ$205^A164,IF(A164='Données projet'!$A$140,'Données projet'!$B$140,CT163+CS164-DB163))</f>
        <v>1.1368683772161603E-13</v>
      </c>
      <c r="CU164" s="18">
        <f>CT164*VLOOKUP('Données projet'!$B$13,Paramètres!$A$1:$I$88,3,0)*VLOOKUP('Données projet'!$B$13,Paramètres!$A$1:$I$88,5,0)</f>
        <v>9.7543306765146564E-14</v>
      </c>
      <c r="CV164" s="14">
        <f t="shared" si="173"/>
        <v>1.4696264278629426E-12</v>
      </c>
      <c r="CW164" s="22">
        <f t="shared" si="174"/>
        <v>2.7294872878105889E-12</v>
      </c>
      <c r="CX164" s="62">
        <f t="shared" si="126"/>
        <v>285.00744993745133</v>
      </c>
      <c r="CY164" s="62">
        <f ca="1">AVERAGE(OFFSET($CX$3,0,0,'Données projet'!$E$13+1,1))-AVERAGE(OFFSET($H$3,0,0,'Données projet'!$E$13+1,1))</f>
        <v>395.19659151668884</v>
      </c>
      <c r="CZ164" s="62">
        <f t="shared" si="127"/>
        <v>222.86563304507339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projet'!$B$13,Paramètres!$A$1:$I$88,7,0))</f>
        <v>0</v>
      </c>
      <c r="DD164" s="17">
        <f>IF(ISNA(VLOOKUP(A164,'Données projet'!$A$139:$I$159,6,0)),0%,VLOOKUP(A164,'Données projet'!$A$139:$I$159,6,0)*VLOOKUP('Données projet'!$B$13,Paramètres!$A$1:$I$88,7,0))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projet'!$B$9,Paramètres!$A$1:$I$88,3,0)*0.475*44/12</f>
        <v>0</v>
      </c>
      <c r="DG164" s="23">
        <f>EXP(-LN(2)/25)*DG163+(1-EXP(-LN(2)/25))/(LN(2)/25)*Calculateur!DB164*Calculateur!DD164*VLOOKUP('Données projet'!$B$9,Paramètres!$A$1:$I$88,3,0)*0.475*44/12</f>
        <v>0</v>
      </c>
      <c r="DH164" s="23">
        <f>EXP(-LN(2)/2)*DH163+(1-EXP(-LN(2)/2))/(LN(2)/2)*DB164*DE164*VLOOKUP('Données projet'!$B$9,Paramètres!$A$1:$I$88,3,0)*0.475*44/12</f>
        <v>0</v>
      </c>
      <c r="DI164" s="24">
        <f t="shared" si="175"/>
        <v>0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IF(A164&lt;'Données projet'!$A$166,$DL$205^A164,IF(A164='Données projet'!$A$166,'Données projet'!$B$166,DO163+DN164-DW163))</f>
        <v>-8.5265128291212022E-14</v>
      </c>
      <c r="DP164" s="18">
        <f>DO164*VLOOKUP('Données projet'!$B$14,Paramètres!$A$1:$I$88,3,0)*VLOOKUP('Données projet'!$B$14,Paramètres!$A$1:$I$88,5,0)</f>
        <v>-4.9880100050359036E-14</v>
      </c>
      <c r="DQ164" s="14" t="e">
        <f t="shared" si="176"/>
        <v>#NUM!</v>
      </c>
      <c r="DR164" s="22" t="e">
        <f t="shared" si="177"/>
        <v>#NUM!</v>
      </c>
      <c r="DS164" s="62" t="e">
        <f t="shared" si="130"/>
        <v>#NUM!</v>
      </c>
      <c r="DT164" s="62">
        <f ca="1">AVERAGE(OFFSET($DS$3,0,0,'Données projet'!$E$14+1,1))-AVERAGE(OFFSET($H$3,0,0,'Données projet'!$E$14+1,1))</f>
        <v>155.18073137151848</v>
      </c>
      <c r="DU164" s="62">
        <f t="shared" si="131"/>
        <v>115.19459155667272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projet'!$B$14,Paramètres!$A$1:$I$88,7,0))</f>
        <v>0</v>
      </c>
      <c r="DY164" s="17">
        <f>IF(ISNA(VLOOKUP(A164,'Données projet'!$A$165:$I$185,6,0)),0%,VLOOKUP(A164,'Données projet'!$A$165:$I$185,6,0)*VLOOKUP('Données projet'!$B$14,Paramètres!$A$1:$I$88,7,0))</f>
        <v>0</v>
      </c>
      <c r="DZ164" s="17">
        <f>IF(ISNA(VLOOKUP(A164,'Données projet'!$A$165:$I$185,7,0)),0%,VLOOKUP(A164,'Données projet'!$A$165:$I$185,7,0))</f>
        <v>0</v>
      </c>
      <c r="EA164" s="23">
        <f>EXP(-LN(2)/35)*EA163+(1-EXP(-LN(2)/35))/(LN(2)/35)*DW164*DX164*VLOOKUP('Données projet'!$B$9,Paramètres!$A$1:$I$88,3,0)*0.475*44/12</f>
        <v>0</v>
      </c>
      <c r="EB164" s="23">
        <f>EXP(-LN(2)/25)*EB163+(1-EXP(-LN(2)/25))/(LN(2)/25)*Calculateur!DW164*Calculateur!DY164*VLOOKUP('Données projet'!$B$9,Paramètres!$A$1:$I$88,3,0)*0.475*44/12</f>
        <v>0</v>
      </c>
      <c r="EC164" s="23">
        <f>EXP(-LN(2)/2)*EC163+(1-EXP(-LN(2)/2))/(LN(2)/2)*DW164*DZ164*VLOOKUP('Données projet'!$B$9,Paramètres!$A$1:$I$88,3,0)*0.475*44/12</f>
        <v>0</v>
      </c>
      <c r="ED164" s="24">
        <f t="shared" si="178"/>
        <v>0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IF(A164&lt;'Données projet'!$A$192,$EG$205^A164,IF(A164='Données projet'!$A$192,'Données projet'!$B$192,EJ163+EI164-ER163))</f>
        <v>-5.6843418860808015E-14</v>
      </c>
      <c r="EK164" s="18">
        <f>EJ164*VLOOKUP('Données projet'!$B$15,Paramètres!$A$1:$I$88,3,0)*VLOOKUP('Données projet'!$B$15,Paramètres!$A$1:$I$88,5,0)</f>
        <v>-2.6602720026858149E-14</v>
      </c>
      <c r="EL164" s="14" t="e">
        <f t="shared" si="179"/>
        <v>#NUM!</v>
      </c>
      <c r="EM164" s="22" t="e">
        <f t="shared" si="180"/>
        <v>#NUM!</v>
      </c>
      <c r="EN164" s="62" t="e">
        <f t="shared" si="134"/>
        <v>#NUM!</v>
      </c>
      <c r="EO164" s="62">
        <f ca="1">AVERAGE(OFFSET($EN$3,0,0,'Données projet'!$E$15+1,1))-AVERAGE(OFFSET($H$3,0,0,'Données projet'!$E$15+1,1))</f>
        <v>238.59014604384171</v>
      </c>
      <c r="EP164" s="62">
        <f t="shared" si="135"/>
        <v>90.841373219575217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projet'!$B$15,Paramètres!$A$1:$I$88,7,0))</f>
        <v>0</v>
      </c>
      <c r="ET164" s="17">
        <f>IF(ISNA(VLOOKUP(A164,'Données projet'!$A$191:$I$211,6,0)),0%,VLOOKUP(A164,'Données projet'!$A$191:$I$211,6,0)*VLOOKUP('Données projet'!$B$15,Paramètres!$A$1:$I$88,7,0))</f>
        <v>0</v>
      </c>
      <c r="EU164" s="17">
        <f>IF(ISNA(VLOOKUP(A164,'Données projet'!$A$191:$I$211,7,0)),0%,VLOOKUP(A164,'Données projet'!$A$191:$I$211,7,0))</f>
        <v>0</v>
      </c>
      <c r="EV164" s="23">
        <f>EXP(-LN(2)/35)*EV163+(1-EXP(-LN(2)/35))/(LN(2)/35)*ER164*ES164*VLOOKUP('Données projet'!$B$9,Paramètres!$A$1:$I$88,3,0)*0.475*44/12</f>
        <v>0</v>
      </c>
      <c r="EW164" s="23">
        <f>EXP(-LN(2)/25)*EW163+(1-EXP(-LN(2)/25))/(LN(2)/25)*Calculateur!ER164*Calculateur!ET164*VLOOKUP('Données projet'!$B$9,Paramètres!$A$1:$I$88,3,0)*0.475*44/12</f>
        <v>0</v>
      </c>
      <c r="EX164" s="23">
        <f>EXP(-LN(2)/2)*EX163+(1-EXP(-LN(2)/2))/(LN(2)/2)*ER164*EU164*VLOOKUP('Données projet'!$B$9,Paramètres!$A$1:$I$88,3,0)*0.475*44/12</f>
        <v>0</v>
      </c>
      <c r="EY164" s="24">
        <f t="shared" si="181"/>
        <v>0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IF(A164&lt;'Données projet'!$A$218,$FB$205^A164,IF(A164='Données projet'!$A$218,'Données projet'!$B$218,FE163+FD164-FM163))</f>
        <v>0</v>
      </c>
      <c r="FF164" s="18" t="e">
        <f>FE164*VLOOKUP('Données projet'!$B$16,Paramètres!$A$1:$I$88,3,0)*VLOOKUP('Données projet'!$B$16,Paramètres!$A$1:$I$88,5,0)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8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39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projet'!$B$16,Paramètres!$A$1:$I$88,7,0))</f>
        <v>0</v>
      </c>
      <c r="FO164" s="17">
        <f>IF(ISNA(VLOOKUP(A164,'Données projet'!$A$217:$I$237,6,0)),0%,VLOOKUP(A164,'Données projet'!$A$217:$I$237,6,0)*VLOOKUP('Données projet'!$B$16,Paramètres!$A$1:$I$88,7,0))</f>
        <v>0</v>
      </c>
      <c r="FP164" s="17">
        <f>IF(ISNA(VLOOKUP(A164,'Données projet'!$A$217:$I$237,7,0)),0%,VLOOKUP(A164,'Données projet'!$A$217:$I$237,7,0))</f>
        <v>0</v>
      </c>
      <c r="FQ164" s="23">
        <f>EXP(-LN(2)/35)*FQ163+(1-EXP(-LN(2)/35))/(LN(2)/35)*FM164*FN164*VLOOKUP('Données projet'!$B$9,Paramètres!$A$1:$I$88,3,0)*0.475*44/12</f>
        <v>0</v>
      </c>
      <c r="FR164" s="23">
        <f>EXP(-LN(2)/25)*FR163+(1-EXP(-LN(2)/25))/(LN(2)/25)*Calculateur!FM164*Calculateur!FO164*VLOOKUP('Données projet'!$B$9,Paramètres!$A$1:$I$88,3,0)*0.475*44/12</f>
        <v>0</v>
      </c>
      <c r="FS164" s="23">
        <f>EXP(-LN(2)/2)*FS163+(1-EXP(-LN(2)/2))/(LN(2)/2)*FM164*FP164*VLOOKUP('Données projet'!$B$9,Paramètres!$A$1:$I$88,3,0)*0.475*44/12</f>
        <v>0</v>
      </c>
      <c r="FT164" s="24">
        <f t="shared" si="184"/>
        <v>0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IF(A164&lt;'Données projet'!$A$244,$FW$205^A164,IF(A164='Données projet'!$A$244,'Données projet'!$B$244,FZ163+FY164-GH163))</f>
        <v>0</v>
      </c>
      <c r="GA164" s="18" t="e">
        <f>FZ164*VLOOKUP('Données projet'!$B$17,Paramètres!$A$1:$I$88,3,0)*VLOOKUP('Données projet'!$B$17,Paramètres!$A$1:$I$88,5,0)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42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43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projet'!$B$17,Paramètres!$A$1:$I$88,7,0))</f>
        <v>0</v>
      </c>
      <c r="GJ164" s="17">
        <f>IF(ISNA(VLOOKUP(A164,'Données projet'!$A$243:$I$263,6,0)),0%,VLOOKUP(A164,'Données projet'!$A$243:$I$263,6,0)*VLOOKUP('Données projet'!$B$17,Paramètres!$A$1:$I$88,7,0))</f>
        <v>0</v>
      </c>
      <c r="GK164" s="17">
        <f>IF(ISNA(VLOOKUP(A164,'Données projet'!$A$243:$I$263,7,0)),0%,VLOOKUP(A164,'Données projet'!$A$243:$I$263,7,0))</f>
        <v>0</v>
      </c>
      <c r="GL164" s="23">
        <f>EXP(-LN(2)/35)*GL163+(1-EXP(-LN(2)/35))/(LN(2)/35)*GH164*GI164*VLOOKUP('Données projet'!$B$9,Paramètres!$A$1:$I$88,3,0)*0.475*44/12</f>
        <v>0</v>
      </c>
      <c r="GM164" s="23">
        <f>EXP(-LN(2)/25)*GM163+(1-EXP(-LN(2)/25))/(LN(2)/25)*Calculateur!GH164*Calculateur!GJ164*VLOOKUP('Données projet'!$B$9,Paramètres!$A$1:$I$88,3,0)*0.475*44/12</f>
        <v>0</v>
      </c>
      <c r="GN164" s="23">
        <f>EXP(-LN(2)/2)*GN163+(1-EXP(-LN(2)/2))/(LN(2)/2)*GH164*GK164*VLOOKUP('Données projet'!$B$9,Paramètres!$A$1:$I$88,3,0)*0.475*44/12</f>
        <v>0</v>
      </c>
      <c r="GO164" s="23">
        <f t="shared" si="187"/>
        <v>0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IF(A164&lt;'Données projet'!$A$270,$GR$205^A164,IF(A164='Données projet'!$A$270,'Données projet'!$B$270,GU163+GT164-HC163))</f>
        <v>0</v>
      </c>
      <c r="GV164" s="18" t="e">
        <f>GU164*VLOOKUP('Données projet'!$B$18,Paramètres!$A$1:$I$88,3,0)*VLOOKUP('Données projet'!$B$18,Paramètres!$A$1:$I$88,5,0)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46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47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projet'!$B$18,Paramètres!$A$1:$I$88,7,0))</f>
        <v>0</v>
      </c>
      <c r="HE164" s="17">
        <f>IF(ISNA(VLOOKUP(A164,'Données projet'!$A$269:$I$289,6,0)),0%,VLOOKUP(A164,'Données projet'!$A$269:$I$289,6,0)*VLOOKUP('Données projet'!$B$18,Paramètres!$A$1:$I$88,7,0))</f>
        <v>0</v>
      </c>
      <c r="HF164" s="17">
        <f>IF(ISNA(VLOOKUP(A164,'Données projet'!$A$269:$I$289,7,0)),0%,VLOOKUP(A164,'Données projet'!$A$269:$I$289,7,0))</f>
        <v>0</v>
      </c>
      <c r="HG164" s="23">
        <f>EXP(-LN(2)/35)*HG163+(1-EXP(-LN(2)/35))/(LN(2)/35)*HC164*HD164*VLOOKUP('Données projet'!$B$9,Paramètres!$A$1:$I$88,3,0)*0.475*44/12</f>
        <v>0</v>
      </c>
      <c r="HH164" s="23">
        <f>EXP(-LN(2)/25)*HH163+(1-EXP(-LN(2)/25))/(LN(2)/25)*Calculateur!HC164*Calculateur!HE164*VLOOKUP('Données projet'!$B$9,Paramètres!$A$1:$I$88,3,0)*0.475*44/12</f>
        <v>0</v>
      </c>
      <c r="HI164" s="23">
        <f>EXP(-LN(2)/2)*HI163+(1-EXP(-LN(2)/2))/(LN(2)/2)*HC164*HF164*VLOOKUP('Données projet'!$B$9,Paramètres!$A$1:$I$88,3,0)*0.475*44/12</f>
        <v>0</v>
      </c>
      <c r="HJ164" s="24">
        <f t="shared" si="190"/>
        <v>0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5" s="12">
        <f t="shared" si="15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111"/>
        <v>135.66666666666666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IF(A165&lt;'Données projet'!$A$36,$K$205^A165,IF(A165='Données projet'!$A$36,'Données projet'!$B$36,N164+M165-V164))</f>
        <v>0</v>
      </c>
      <c r="O165" s="14">
        <f>N165*VLOOKUP('Données projet'!$B$9,Paramètres!$A$1:$I$88,3,0)*VLOOKUP('Données projet'!$B$9,Paramètres!$A$1:$I$88,5,0)</f>
        <v>0</v>
      </c>
      <c r="P165" s="14" t="e">
        <f t="shared" si="15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314.72063458462026</v>
      </c>
      <c r="T165" s="62">
        <f t="shared" si="110"/>
        <v>216.4380325968244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projet'!$B$9,Paramètres!$A$1:$I$88,7,0))</f>
        <v>0</v>
      </c>
      <c r="X165" s="17">
        <f>IF(ISNA(VLOOKUP(A165,'Données projet'!$A$35:$I$55,6,0)),0%,VLOOKUP(A165,'Données projet'!$A$35:$I$55,6,0)*VLOOKUP('Données projet'!$B$9,Paramètres!$A$1:$I$88,7,0))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projet'!$B$9,Paramètres!$A$1:$I$88,3,0)*0.475*44/12</f>
        <v>0</v>
      </c>
      <c r="AA165" s="23">
        <f>EXP(-LN(2)/25)*AA164+(1-EXP(-LN(2)/25))/(LN(2)/25)*Calculateur!V165*Calculateur!X165*VLOOKUP('Données projet'!$B$9,Paramètres!$A$1:$I$88,3,0)*0.475*44/12</f>
        <v>0</v>
      </c>
      <c r="AB165" s="23">
        <f>EXP(-LN(2)/2)*AB164+(1-EXP(-LN(2)/2))/(LN(2)/2)*V165*Y165*VLOOKUP('Données projet'!$B$9,Paramètres!$A$1:$I$88,3,0)*0.475*44/12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IF(A165&lt;'Données projet'!$A$62,$AF$205^A165,IF(A165='Données projet'!$A$62,'Données projet'!$B$62,AI164+AH165-AQ164))</f>
        <v>1.1368683772161603E-13</v>
      </c>
      <c r="AJ165" s="14">
        <f>AI165*VLOOKUP('Données projet'!$B$10,Paramètres!$A$1:$I$88,3,0)*VLOOKUP('Données projet'!$B$10,Paramètres!$A$1:$I$88,5,0)</f>
        <v>1.1882548278663309E-13</v>
      </c>
      <c r="AK165" s="14">
        <f t="shared" si="164"/>
        <v>1.7496137229198366E-12</v>
      </c>
      <c r="AL165" s="22">
        <f t="shared" si="165"/>
        <v>3.2541982832721012E-12</v>
      </c>
      <c r="AM165" s="62">
        <f t="shared" si="114"/>
        <v>285.15188540048371</v>
      </c>
      <c r="AN165" s="62">
        <f ca="1">AVERAGE(OFFSET($AM$3,0,0,'Données projet'!$E$10+1,1))-AVERAGE(OFFSET($H$3,0,0,'Données projet'!$E$10+1,1))</f>
        <v>458.33072853676879</v>
      </c>
      <c r="AO165" s="62">
        <f t="shared" si="115"/>
        <v>254.1734169352687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projet'!$B$10,Paramètres!$A$1:$I$88,7,0))</f>
        <v>0</v>
      </c>
      <c r="AS165" s="17">
        <f>IF(ISNA(VLOOKUP(A165,'Données projet'!$A$61:$I$81,6,0)),0%,VLOOKUP(A165,'Données projet'!$A$61:$I$81,6,0)*VLOOKUP('Données projet'!$B$10,Paramètres!$A$1:$I$88,7,0))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projet'!$B$9,Paramètres!$A$1:$I$88,3,0)*0.475*44/12</f>
        <v>0</v>
      </c>
      <c r="AV165" s="23">
        <f>EXP(-LN(2)/25)*AV164+(1-EXP(-LN(2)/25))/(LN(2)/25)*Calculateur!AQ165*Calculateur!AS165*VLOOKUP('Données projet'!$B$9,Paramètres!$A$1:$I$88,3,0)*0.475*44/12</f>
        <v>0</v>
      </c>
      <c r="AW165" s="23">
        <f>EXP(-LN(2)/2)*AW164+(1-EXP(-LN(2)/2))/(LN(2)/2)*AQ165*AT165*VLOOKUP('Données projet'!$B$9,Paramètres!$A$1:$I$88,3,0)*0.475*44/12</f>
        <v>0</v>
      </c>
      <c r="AX165" s="23">
        <f t="shared" si="166"/>
        <v>0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IF(A165&lt;'Données projet'!$A$88,$BA$205^A165,IF(A165='Données projet'!$A$88,'Données projet'!$B$88,BD164+BC165-BL164))</f>
        <v>1.1368683772161603E-13</v>
      </c>
      <c r="BE165" s="14">
        <f>BD165*VLOOKUP('Données projet'!$B$11,Paramètres!$A$1:$I$88,3,0)*VLOOKUP('Données projet'!$B$11,Paramètres!$A$1:$I$88,5,0)</f>
        <v>1.1527845344971866E-13</v>
      </c>
      <c r="BF165" s="14">
        <f t="shared" si="167"/>
        <v>1.7033846239409443E-12</v>
      </c>
      <c r="BG165" s="22">
        <f t="shared" si="168"/>
        <v>3.1675048597887374E-12</v>
      </c>
      <c r="BH165" s="62">
        <f t="shared" si="118"/>
        <v>285.15188540048365</v>
      </c>
      <c r="BI165" s="62">
        <f ca="1">AVERAGE(OFFSET($BH$3,0,0,'Données projet'!$E$11+1,1))-AVERAGE(OFFSET($H$3,0,0,'Données projet'!$E$11+1,1))</f>
        <v>447.82618173893104</v>
      </c>
      <c r="BJ165" s="62">
        <f t="shared" si="119"/>
        <v>248.96509970783379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projet'!$B$11,Paramètres!$A$1:$I$88,7,0))</f>
        <v>0</v>
      </c>
      <c r="BN165" s="17">
        <f>IF(ISNA(VLOOKUP(A165,'Données projet'!$A$87:$I$107,6,0)),0%,VLOOKUP(A165,'Données projet'!$A$87:$I$107,6,0)*VLOOKUP('Données projet'!$B$11,Paramètres!$A$1:$I$88,7,0))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projet'!$B$9,Paramètres!$A$1:$I$88,3,0)*0.475*44/12</f>
        <v>0</v>
      </c>
      <c r="BQ165" s="23">
        <f>EXP(-LN(2)/25)*BQ164+(1-EXP(-LN(2)/25))/(LN(2)/25)*Calculateur!BL165*Calculateur!BN165*VLOOKUP('Données projet'!$B$9,Paramètres!$A$1:$I$88,3,0)*0.475*44/12</f>
        <v>0</v>
      </c>
      <c r="BR165" s="23">
        <f>EXP(-LN(2)/2)*BR164+(1-EXP(-LN(2)/2))/(LN(2)/2)*BL165*BO165*VLOOKUP('Données projet'!$B$9,Paramètres!$A$1:$I$88,3,0)*0.475*44/12</f>
        <v>0</v>
      </c>
      <c r="BS165" s="24">
        <f t="shared" si="169"/>
        <v>0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IF(A165&lt;'Données projet'!$A$114,$BV$205^A165,IF(A165='Données projet'!$A$114,'Données projet'!$B$114,BY164+BX165-CG164))</f>
        <v>1.1368683772161603E-13</v>
      </c>
      <c r="BZ165" s="14">
        <f>BY165*VLOOKUP('Données projet'!$B$12,Paramètres!$A$1:$I$88,3,0)*VLOOKUP('Données projet'!$B$12,Paramètres!$A$1:$I$88,5,0)</f>
        <v>1.223725121235475E-13</v>
      </c>
      <c r="CA165" s="14">
        <f t="shared" si="170"/>
        <v>1.7956824466038182E-12</v>
      </c>
      <c r="CB165" s="22">
        <f t="shared" si="171"/>
        <v>3.3406123864501612E-12</v>
      </c>
      <c r="CC165" s="62">
        <f t="shared" si="122"/>
        <v>285.15188540048382</v>
      </c>
      <c r="CD165" s="62">
        <f ca="1">AVERAGE(OFFSET($CC$3,0,0,'Données projet'!$E$12+1,1))-AVERAGE(OFFSET($H$3,0,0,'Données projet'!$E$12+1,1))</f>
        <v>468.82871618425406</v>
      </c>
      <c r="CE165" s="62">
        <f t="shared" si="123"/>
        <v>259.37818128554397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projet'!$B$12,Paramètres!$A$1:$I$88,7,0))</f>
        <v>0</v>
      </c>
      <c r="CI165" s="17">
        <f>IF(ISNA(VLOOKUP(A165,'Données projet'!$A$113:$I$133,6,0)),0%,VLOOKUP(A165,'Données projet'!$A$113:$I$133,6,0)*VLOOKUP('Données projet'!$B$12,Paramètres!$A$1:$I$88,7,0))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projet'!$B$9,Paramètres!$A$1:$I$88,3,0)*0.475*44/12</f>
        <v>0</v>
      </c>
      <c r="CL165" s="23">
        <f>EXP(-LN(2)/25)*CL164+(1-EXP(-LN(2)/25))/(LN(2)/25)*Calculateur!CG165*Calculateur!CI165*VLOOKUP('Données projet'!$B$9,Paramètres!$A$1:$I$88,3,0)*0.475*44/12</f>
        <v>0</v>
      </c>
      <c r="CM165" s="23">
        <f>EXP(-LN(2)/2)*CM164+(1-EXP(-LN(2)/2))/(LN(2)/2)*CG165*CJ165*VLOOKUP('Données projet'!$B$9,Paramètres!$A$1:$I$88,3,0)*0.475*44/12</f>
        <v>0</v>
      </c>
      <c r="CN165" s="24">
        <f t="shared" si="172"/>
        <v>0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IF(A165&lt;'Données projet'!$A$140,$CQ$205^A165,IF(A165='Données projet'!$A$140,'Données projet'!$B$140,CT164+CS165-DB164))</f>
        <v>1.1368683772161603E-13</v>
      </c>
      <c r="CU165" s="18">
        <f>CT165*VLOOKUP('Données projet'!$B$13,Paramètres!$A$1:$I$88,3,0)*VLOOKUP('Données projet'!$B$13,Paramètres!$A$1:$I$88,5,0)</f>
        <v>9.7543306765146564E-14</v>
      </c>
      <c r="CV165" s="14">
        <f t="shared" si="173"/>
        <v>1.4696264278629426E-12</v>
      </c>
      <c r="CW165" s="22">
        <f t="shared" si="174"/>
        <v>2.7294872878105889E-12</v>
      </c>
      <c r="CX165" s="62">
        <f t="shared" si="126"/>
        <v>285.1518854004832</v>
      </c>
      <c r="CY165" s="62">
        <f ca="1">AVERAGE(OFFSET($CX$3,0,0,'Données projet'!$E$13+1,1))-AVERAGE(OFFSET($H$3,0,0,'Données projet'!$E$13+1,1))</f>
        <v>395.19659151668884</v>
      </c>
      <c r="CZ165" s="62">
        <f t="shared" si="127"/>
        <v>222.86563304507339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projet'!$B$13,Paramètres!$A$1:$I$88,7,0))</f>
        <v>0</v>
      </c>
      <c r="DD165" s="17">
        <f>IF(ISNA(VLOOKUP(A165,'Données projet'!$A$139:$I$159,6,0)),0%,VLOOKUP(A165,'Données projet'!$A$139:$I$159,6,0)*VLOOKUP('Données projet'!$B$13,Paramètres!$A$1:$I$88,7,0))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projet'!$B$9,Paramètres!$A$1:$I$88,3,0)*0.475*44/12</f>
        <v>0</v>
      </c>
      <c r="DG165" s="23">
        <f>EXP(-LN(2)/25)*DG164+(1-EXP(-LN(2)/25))/(LN(2)/25)*Calculateur!DB165*Calculateur!DD165*VLOOKUP('Données projet'!$B$9,Paramètres!$A$1:$I$88,3,0)*0.475*44/12</f>
        <v>0</v>
      </c>
      <c r="DH165" s="23">
        <f>EXP(-LN(2)/2)*DH164+(1-EXP(-LN(2)/2))/(LN(2)/2)*DB165*DE165*VLOOKUP('Données projet'!$B$9,Paramètres!$A$1:$I$88,3,0)*0.475*44/12</f>
        <v>0</v>
      </c>
      <c r="DI165" s="24">
        <f t="shared" si="175"/>
        <v>0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IF(A165&lt;'Données projet'!$A$166,$DL$205^A165,IF(A165='Données projet'!$A$166,'Données projet'!$B$166,DO164+DN165-DW164))</f>
        <v>-8.5265128291212022E-14</v>
      </c>
      <c r="DP165" s="18">
        <f>DO165*VLOOKUP('Données projet'!$B$14,Paramètres!$A$1:$I$88,3,0)*VLOOKUP('Données projet'!$B$14,Paramètres!$A$1:$I$88,5,0)</f>
        <v>-4.9880100050359036E-14</v>
      </c>
      <c r="DQ165" s="14" t="e">
        <f t="shared" si="176"/>
        <v>#NUM!</v>
      </c>
      <c r="DR165" s="22" t="e">
        <f t="shared" si="177"/>
        <v>#NUM!</v>
      </c>
      <c r="DS165" s="62" t="e">
        <f t="shared" si="130"/>
        <v>#NUM!</v>
      </c>
      <c r="DT165" s="62">
        <f ca="1">AVERAGE(OFFSET($DS$3,0,0,'Données projet'!$E$14+1,1))-AVERAGE(OFFSET($H$3,0,0,'Données projet'!$E$14+1,1))</f>
        <v>155.18073137151848</v>
      </c>
      <c r="DU165" s="62">
        <f t="shared" si="131"/>
        <v>115.19459155667272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projet'!$B$14,Paramètres!$A$1:$I$88,7,0))</f>
        <v>0</v>
      </c>
      <c r="DY165" s="17">
        <f>IF(ISNA(VLOOKUP(A165,'Données projet'!$A$165:$I$185,6,0)),0%,VLOOKUP(A165,'Données projet'!$A$165:$I$185,6,0)*VLOOKUP('Données projet'!$B$14,Paramètres!$A$1:$I$88,7,0))</f>
        <v>0</v>
      </c>
      <c r="DZ165" s="17">
        <f>IF(ISNA(VLOOKUP(A165,'Données projet'!$A$165:$I$185,7,0)),0%,VLOOKUP(A165,'Données projet'!$A$165:$I$185,7,0))</f>
        <v>0</v>
      </c>
      <c r="EA165" s="23">
        <f>EXP(-LN(2)/35)*EA164+(1-EXP(-LN(2)/35))/(LN(2)/35)*DW165*DX165*VLOOKUP('Données projet'!$B$9,Paramètres!$A$1:$I$88,3,0)*0.475*44/12</f>
        <v>0</v>
      </c>
      <c r="EB165" s="23">
        <f>EXP(-LN(2)/25)*EB164+(1-EXP(-LN(2)/25))/(LN(2)/25)*Calculateur!DW165*Calculateur!DY165*VLOOKUP('Données projet'!$B$9,Paramètres!$A$1:$I$88,3,0)*0.475*44/12</f>
        <v>0</v>
      </c>
      <c r="EC165" s="23">
        <f>EXP(-LN(2)/2)*EC164+(1-EXP(-LN(2)/2))/(LN(2)/2)*DW165*DZ165*VLOOKUP('Données projet'!$B$9,Paramètres!$A$1:$I$88,3,0)*0.475*44/12</f>
        <v>0</v>
      </c>
      <c r="ED165" s="24">
        <f t="shared" si="178"/>
        <v>0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IF(A165&lt;'Données projet'!$A$192,$EG$205^A165,IF(A165='Données projet'!$A$192,'Données projet'!$B$192,EJ164+EI165-ER164))</f>
        <v>-5.6843418860808015E-14</v>
      </c>
      <c r="EK165" s="18">
        <f>EJ165*VLOOKUP('Données projet'!$B$15,Paramètres!$A$1:$I$88,3,0)*VLOOKUP('Données projet'!$B$15,Paramètres!$A$1:$I$88,5,0)</f>
        <v>-2.6602720026858149E-14</v>
      </c>
      <c r="EL165" s="14" t="e">
        <f t="shared" si="179"/>
        <v>#NUM!</v>
      </c>
      <c r="EM165" s="22" t="e">
        <f t="shared" si="180"/>
        <v>#NUM!</v>
      </c>
      <c r="EN165" s="62" t="e">
        <f t="shared" si="134"/>
        <v>#NUM!</v>
      </c>
      <c r="EO165" s="62">
        <f ca="1">AVERAGE(OFFSET($EN$3,0,0,'Données projet'!$E$15+1,1))-AVERAGE(OFFSET($H$3,0,0,'Données projet'!$E$15+1,1))</f>
        <v>238.59014604384171</v>
      </c>
      <c r="EP165" s="62">
        <f t="shared" si="135"/>
        <v>90.841373219575217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projet'!$B$15,Paramètres!$A$1:$I$88,7,0))</f>
        <v>0</v>
      </c>
      <c r="ET165" s="17">
        <f>IF(ISNA(VLOOKUP(A165,'Données projet'!$A$191:$I$211,6,0)),0%,VLOOKUP(A165,'Données projet'!$A$191:$I$211,6,0)*VLOOKUP('Données projet'!$B$15,Paramètres!$A$1:$I$88,7,0))</f>
        <v>0</v>
      </c>
      <c r="EU165" s="17">
        <f>IF(ISNA(VLOOKUP(A165,'Données projet'!$A$191:$I$211,7,0)),0%,VLOOKUP(A165,'Données projet'!$A$191:$I$211,7,0))</f>
        <v>0</v>
      </c>
      <c r="EV165" s="23">
        <f>EXP(-LN(2)/35)*EV164+(1-EXP(-LN(2)/35))/(LN(2)/35)*ER165*ES165*VLOOKUP('Données projet'!$B$9,Paramètres!$A$1:$I$88,3,0)*0.475*44/12</f>
        <v>0</v>
      </c>
      <c r="EW165" s="23">
        <f>EXP(-LN(2)/25)*EW164+(1-EXP(-LN(2)/25))/(LN(2)/25)*Calculateur!ER165*Calculateur!ET165*VLOOKUP('Données projet'!$B$9,Paramètres!$A$1:$I$88,3,0)*0.475*44/12</f>
        <v>0</v>
      </c>
      <c r="EX165" s="23">
        <f>EXP(-LN(2)/2)*EX164+(1-EXP(-LN(2)/2))/(LN(2)/2)*ER165*EU165*VLOOKUP('Données projet'!$B$9,Paramètres!$A$1:$I$88,3,0)*0.475*44/12</f>
        <v>0</v>
      </c>
      <c r="EY165" s="24">
        <f t="shared" si="181"/>
        <v>0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IF(A165&lt;'Données projet'!$A$218,$FB$205^A165,IF(A165='Données projet'!$A$218,'Données projet'!$B$218,FE164+FD165-FM164))</f>
        <v>0</v>
      </c>
      <c r="FF165" s="18" t="e">
        <f>FE165*VLOOKUP('Données projet'!$B$16,Paramètres!$A$1:$I$88,3,0)*VLOOKUP('Données projet'!$B$16,Paramètres!$A$1:$I$88,5,0)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8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39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projet'!$B$16,Paramètres!$A$1:$I$88,7,0))</f>
        <v>0</v>
      </c>
      <c r="FO165" s="17">
        <f>IF(ISNA(VLOOKUP(A165,'Données projet'!$A$217:$I$237,6,0)),0%,VLOOKUP(A165,'Données projet'!$A$217:$I$237,6,0)*VLOOKUP('Données projet'!$B$16,Paramètres!$A$1:$I$88,7,0))</f>
        <v>0</v>
      </c>
      <c r="FP165" s="17">
        <f>IF(ISNA(VLOOKUP(A165,'Données projet'!$A$217:$I$237,7,0)),0%,VLOOKUP(A165,'Données projet'!$A$217:$I$237,7,0))</f>
        <v>0</v>
      </c>
      <c r="FQ165" s="23">
        <f>EXP(-LN(2)/35)*FQ164+(1-EXP(-LN(2)/35))/(LN(2)/35)*FM165*FN165*VLOOKUP('Données projet'!$B$9,Paramètres!$A$1:$I$88,3,0)*0.475*44/12</f>
        <v>0</v>
      </c>
      <c r="FR165" s="23">
        <f>EXP(-LN(2)/25)*FR164+(1-EXP(-LN(2)/25))/(LN(2)/25)*Calculateur!FM165*Calculateur!FO165*VLOOKUP('Données projet'!$B$9,Paramètres!$A$1:$I$88,3,0)*0.475*44/12</f>
        <v>0</v>
      </c>
      <c r="FS165" s="23">
        <f>EXP(-LN(2)/2)*FS164+(1-EXP(-LN(2)/2))/(LN(2)/2)*FM165*FP165*VLOOKUP('Données projet'!$B$9,Paramètres!$A$1:$I$88,3,0)*0.475*44/12</f>
        <v>0</v>
      </c>
      <c r="FT165" s="24">
        <f t="shared" si="184"/>
        <v>0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IF(A165&lt;'Données projet'!$A$244,$FW$205^A165,IF(A165='Données projet'!$A$244,'Données projet'!$B$244,FZ164+FY165-GH164))</f>
        <v>0</v>
      </c>
      <c r="GA165" s="18" t="e">
        <f>FZ165*VLOOKUP('Données projet'!$B$17,Paramètres!$A$1:$I$88,3,0)*VLOOKUP('Données projet'!$B$17,Paramètres!$A$1:$I$88,5,0)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42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43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projet'!$B$17,Paramètres!$A$1:$I$88,7,0))</f>
        <v>0</v>
      </c>
      <c r="GJ165" s="17">
        <f>IF(ISNA(VLOOKUP(A165,'Données projet'!$A$243:$I$263,6,0)),0%,VLOOKUP(A165,'Données projet'!$A$243:$I$263,6,0)*VLOOKUP('Données projet'!$B$17,Paramètres!$A$1:$I$88,7,0))</f>
        <v>0</v>
      </c>
      <c r="GK165" s="17">
        <f>IF(ISNA(VLOOKUP(A165,'Données projet'!$A$243:$I$263,7,0)),0%,VLOOKUP(A165,'Données projet'!$A$243:$I$263,7,0))</f>
        <v>0</v>
      </c>
      <c r="GL165" s="23">
        <f>EXP(-LN(2)/35)*GL164+(1-EXP(-LN(2)/35))/(LN(2)/35)*GH165*GI165*VLOOKUP('Données projet'!$B$9,Paramètres!$A$1:$I$88,3,0)*0.475*44/12</f>
        <v>0</v>
      </c>
      <c r="GM165" s="23">
        <f>EXP(-LN(2)/25)*GM164+(1-EXP(-LN(2)/25))/(LN(2)/25)*Calculateur!GH165*Calculateur!GJ165*VLOOKUP('Données projet'!$B$9,Paramètres!$A$1:$I$88,3,0)*0.475*44/12</f>
        <v>0</v>
      </c>
      <c r="GN165" s="23">
        <f>EXP(-LN(2)/2)*GN164+(1-EXP(-LN(2)/2))/(LN(2)/2)*GH165*GK165*VLOOKUP('Données projet'!$B$9,Paramètres!$A$1:$I$88,3,0)*0.475*44/12</f>
        <v>0</v>
      </c>
      <c r="GO165" s="23">
        <f t="shared" si="187"/>
        <v>0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IF(A165&lt;'Données projet'!$A$270,$GR$205^A165,IF(A165='Données projet'!$A$270,'Données projet'!$B$270,GU164+GT165-HC164))</f>
        <v>0</v>
      </c>
      <c r="GV165" s="18" t="e">
        <f>GU165*VLOOKUP('Données projet'!$B$18,Paramètres!$A$1:$I$88,3,0)*VLOOKUP('Données projet'!$B$18,Paramètres!$A$1:$I$88,5,0)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46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47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projet'!$B$18,Paramètres!$A$1:$I$88,7,0))</f>
        <v>0</v>
      </c>
      <c r="HE165" s="17">
        <f>IF(ISNA(VLOOKUP(A165,'Données projet'!$A$269:$I$289,6,0)),0%,VLOOKUP(A165,'Données projet'!$A$269:$I$289,6,0)*VLOOKUP('Données projet'!$B$18,Paramètres!$A$1:$I$88,7,0))</f>
        <v>0</v>
      </c>
      <c r="HF165" s="17">
        <f>IF(ISNA(VLOOKUP(A165,'Données projet'!$A$269:$I$289,7,0)),0%,VLOOKUP(A165,'Données projet'!$A$269:$I$289,7,0))</f>
        <v>0</v>
      </c>
      <c r="HG165" s="23">
        <f>EXP(-LN(2)/35)*HG164+(1-EXP(-LN(2)/35))/(LN(2)/35)*HC165*HD165*VLOOKUP('Données projet'!$B$9,Paramètres!$A$1:$I$88,3,0)*0.475*44/12</f>
        <v>0</v>
      </c>
      <c r="HH165" s="23">
        <f>EXP(-LN(2)/25)*HH164+(1-EXP(-LN(2)/25))/(LN(2)/25)*Calculateur!HC165*Calculateur!HE165*VLOOKUP('Données projet'!$B$9,Paramètres!$A$1:$I$88,3,0)*0.475*44/12</f>
        <v>0</v>
      </c>
      <c r="HI165" s="23">
        <f>EXP(-LN(2)/2)*HI164+(1-EXP(-LN(2)/2))/(LN(2)/2)*HC165*HF165*VLOOKUP('Données projet'!$B$9,Paramètres!$A$1:$I$88,3,0)*0.475*44/12</f>
        <v>0</v>
      </c>
      <c r="HJ165" s="24">
        <f t="shared" si="190"/>
        <v>0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6" s="12">
        <f t="shared" si="15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111"/>
        <v>135.66666666666666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IF(A166&lt;'Données projet'!$A$36,$K$205^A166,IF(A166='Données projet'!$A$36,'Données projet'!$B$36,N165+M166-V165))</f>
        <v>0</v>
      </c>
      <c r="O166" s="14">
        <f>N166*VLOOKUP('Données projet'!$B$9,Paramètres!$A$1:$I$88,3,0)*VLOOKUP('Données projet'!$B$9,Paramètres!$A$1:$I$88,5,0)</f>
        <v>0</v>
      </c>
      <c r="P166" s="14" t="e">
        <f t="shared" si="15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314.72063458462026</v>
      </c>
      <c r="T166" s="62">
        <f t="shared" si="110"/>
        <v>216.4380325968244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projet'!$B$9,Paramètres!$A$1:$I$88,7,0))</f>
        <v>0</v>
      </c>
      <c r="X166" s="17">
        <f>IF(ISNA(VLOOKUP(A166,'Données projet'!$A$35:$I$55,6,0)),0%,VLOOKUP(A166,'Données projet'!$A$35:$I$55,6,0)*VLOOKUP('Données projet'!$B$9,Paramètres!$A$1:$I$88,7,0))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projet'!$B$9,Paramètres!$A$1:$I$88,3,0)*0.475*44/12</f>
        <v>0</v>
      </c>
      <c r="AA166" s="23">
        <f>EXP(-LN(2)/25)*AA165+(1-EXP(-LN(2)/25))/(LN(2)/25)*Calculateur!V166*Calculateur!X166*VLOOKUP('Données projet'!$B$9,Paramètres!$A$1:$I$88,3,0)*0.475*44/12</f>
        <v>0</v>
      </c>
      <c r="AB166" s="23">
        <f>EXP(-LN(2)/2)*AB165+(1-EXP(-LN(2)/2))/(LN(2)/2)*V166*Y166*VLOOKUP('Données projet'!$B$9,Paramètres!$A$1:$I$88,3,0)*0.475*44/12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IF(A166&lt;'Données projet'!$A$62,$AF$205^A166,IF(A166='Données projet'!$A$62,'Données projet'!$B$62,AI165+AH166-AQ165))</f>
        <v>1.1368683772161603E-13</v>
      </c>
      <c r="AJ166" s="14">
        <f>AI166*VLOOKUP('Données projet'!$B$10,Paramètres!$A$1:$I$88,3,0)*VLOOKUP('Données projet'!$B$10,Paramètres!$A$1:$I$88,5,0)</f>
        <v>1.1882548278663309E-13</v>
      </c>
      <c r="AK166" s="14">
        <f t="shared" si="164"/>
        <v>1.7496137229198366E-12</v>
      </c>
      <c r="AL166" s="22">
        <f t="shared" si="165"/>
        <v>3.2541982832721012E-12</v>
      </c>
      <c r="AM166" s="62">
        <f t="shared" si="114"/>
        <v>285.29381523114131</v>
      </c>
      <c r="AN166" s="62">
        <f ca="1">AVERAGE(OFFSET($AM$3,0,0,'Données projet'!$E$10+1,1))-AVERAGE(OFFSET($H$3,0,0,'Données projet'!$E$10+1,1))</f>
        <v>458.33072853676879</v>
      </c>
      <c r="AO166" s="62">
        <f t="shared" si="115"/>
        <v>254.1734169352687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projet'!$B$10,Paramètres!$A$1:$I$88,7,0))</f>
        <v>0</v>
      </c>
      <c r="AS166" s="17">
        <f>IF(ISNA(VLOOKUP(A166,'Données projet'!$A$61:$I$81,6,0)),0%,VLOOKUP(A166,'Données projet'!$A$61:$I$81,6,0)*VLOOKUP('Données projet'!$B$10,Paramètres!$A$1:$I$88,7,0))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projet'!$B$9,Paramètres!$A$1:$I$88,3,0)*0.475*44/12</f>
        <v>0</v>
      </c>
      <c r="AV166" s="23">
        <f>EXP(-LN(2)/25)*AV165+(1-EXP(-LN(2)/25))/(LN(2)/25)*Calculateur!AQ166*Calculateur!AS166*VLOOKUP('Données projet'!$B$9,Paramètres!$A$1:$I$88,3,0)*0.475*44/12</f>
        <v>0</v>
      </c>
      <c r="AW166" s="23">
        <f>EXP(-LN(2)/2)*AW165+(1-EXP(-LN(2)/2))/(LN(2)/2)*AQ166*AT166*VLOOKUP('Données projet'!$B$9,Paramètres!$A$1:$I$88,3,0)*0.475*44/12</f>
        <v>0</v>
      </c>
      <c r="AX166" s="23">
        <f t="shared" si="166"/>
        <v>0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IF(A166&lt;'Données projet'!$A$88,$BA$205^A166,IF(A166='Données projet'!$A$88,'Données projet'!$B$88,BD165+BC166-BL165))</f>
        <v>1.1368683772161603E-13</v>
      </c>
      <c r="BE166" s="14">
        <f>BD166*VLOOKUP('Données projet'!$B$11,Paramètres!$A$1:$I$88,3,0)*VLOOKUP('Données projet'!$B$11,Paramètres!$A$1:$I$88,5,0)</f>
        <v>1.1527845344971866E-13</v>
      </c>
      <c r="BF166" s="14">
        <f t="shared" si="167"/>
        <v>1.7033846239409443E-12</v>
      </c>
      <c r="BG166" s="22">
        <f t="shared" si="168"/>
        <v>3.1675048597887374E-12</v>
      </c>
      <c r="BH166" s="62">
        <f t="shared" si="118"/>
        <v>285.29381523114125</v>
      </c>
      <c r="BI166" s="62">
        <f ca="1">AVERAGE(OFFSET($BH$3,0,0,'Données projet'!$E$11+1,1))-AVERAGE(OFFSET($H$3,0,0,'Données projet'!$E$11+1,1))</f>
        <v>447.82618173893104</v>
      </c>
      <c r="BJ166" s="62">
        <f t="shared" si="119"/>
        <v>248.96509970783379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projet'!$B$11,Paramètres!$A$1:$I$88,7,0))</f>
        <v>0</v>
      </c>
      <c r="BN166" s="17">
        <f>IF(ISNA(VLOOKUP(A166,'Données projet'!$A$87:$I$107,6,0)),0%,VLOOKUP(A166,'Données projet'!$A$87:$I$107,6,0)*VLOOKUP('Données projet'!$B$11,Paramètres!$A$1:$I$88,7,0))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projet'!$B$9,Paramètres!$A$1:$I$88,3,0)*0.475*44/12</f>
        <v>0</v>
      </c>
      <c r="BQ166" s="23">
        <f>EXP(-LN(2)/25)*BQ165+(1-EXP(-LN(2)/25))/(LN(2)/25)*Calculateur!BL166*Calculateur!BN166*VLOOKUP('Données projet'!$B$9,Paramètres!$A$1:$I$88,3,0)*0.475*44/12</f>
        <v>0</v>
      </c>
      <c r="BR166" s="23">
        <f>EXP(-LN(2)/2)*BR165+(1-EXP(-LN(2)/2))/(LN(2)/2)*BL166*BO166*VLOOKUP('Données projet'!$B$9,Paramètres!$A$1:$I$88,3,0)*0.475*44/12</f>
        <v>0</v>
      </c>
      <c r="BS166" s="24">
        <f t="shared" si="169"/>
        <v>0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IF(A166&lt;'Données projet'!$A$114,$BV$205^A166,IF(A166='Données projet'!$A$114,'Données projet'!$B$114,BY165+BX166-CG165))</f>
        <v>1.1368683772161603E-13</v>
      </c>
      <c r="BZ166" s="14">
        <f>BY166*VLOOKUP('Données projet'!$B$12,Paramètres!$A$1:$I$88,3,0)*VLOOKUP('Données projet'!$B$12,Paramètres!$A$1:$I$88,5,0)</f>
        <v>1.223725121235475E-13</v>
      </c>
      <c r="CA166" s="14">
        <f t="shared" si="170"/>
        <v>1.7956824466038182E-12</v>
      </c>
      <c r="CB166" s="22">
        <f t="shared" si="171"/>
        <v>3.3406123864501612E-12</v>
      </c>
      <c r="CC166" s="62">
        <f t="shared" si="122"/>
        <v>285.29381523114142</v>
      </c>
      <c r="CD166" s="62">
        <f ca="1">AVERAGE(OFFSET($CC$3,0,0,'Données projet'!$E$12+1,1))-AVERAGE(OFFSET($H$3,0,0,'Données projet'!$E$12+1,1))</f>
        <v>468.82871618425406</v>
      </c>
      <c r="CE166" s="62">
        <f t="shared" si="123"/>
        <v>259.37818128554397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projet'!$B$12,Paramètres!$A$1:$I$88,7,0))</f>
        <v>0</v>
      </c>
      <c r="CI166" s="17">
        <f>IF(ISNA(VLOOKUP(A166,'Données projet'!$A$113:$I$133,6,0)),0%,VLOOKUP(A166,'Données projet'!$A$113:$I$133,6,0)*VLOOKUP('Données projet'!$B$12,Paramètres!$A$1:$I$88,7,0))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projet'!$B$9,Paramètres!$A$1:$I$88,3,0)*0.475*44/12</f>
        <v>0</v>
      </c>
      <c r="CL166" s="23">
        <f>EXP(-LN(2)/25)*CL165+(1-EXP(-LN(2)/25))/(LN(2)/25)*Calculateur!CG166*Calculateur!CI166*VLOOKUP('Données projet'!$B$9,Paramètres!$A$1:$I$88,3,0)*0.475*44/12</f>
        <v>0</v>
      </c>
      <c r="CM166" s="23">
        <f>EXP(-LN(2)/2)*CM165+(1-EXP(-LN(2)/2))/(LN(2)/2)*CG166*CJ166*VLOOKUP('Données projet'!$B$9,Paramètres!$A$1:$I$88,3,0)*0.475*44/12</f>
        <v>0</v>
      </c>
      <c r="CN166" s="24">
        <f t="shared" si="172"/>
        <v>0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IF(A166&lt;'Données projet'!$A$140,$CQ$205^A166,IF(A166='Données projet'!$A$140,'Données projet'!$B$140,CT165+CS166-DB165))</f>
        <v>1.1368683772161603E-13</v>
      </c>
      <c r="CU166" s="18">
        <f>CT166*VLOOKUP('Données projet'!$B$13,Paramètres!$A$1:$I$88,3,0)*VLOOKUP('Données projet'!$B$13,Paramètres!$A$1:$I$88,5,0)</f>
        <v>9.7543306765146564E-14</v>
      </c>
      <c r="CV166" s="14">
        <f t="shared" si="173"/>
        <v>1.4696264278629426E-12</v>
      </c>
      <c r="CW166" s="22">
        <f t="shared" si="174"/>
        <v>2.7294872878105889E-12</v>
      </c>
      <c r="CX166" s="62">
        <f t="shared" si="126"/>
        <v>285.2938152311408</v>
      </c>
      <c r="CY166" s="62">
        <f ca="1">AVERAGE(OFFSET($CX$3,0,0,'Données projet'!$E$13+1,1))-AVERAGE(OFFSET($H$3,0,0,'Données projet'!$E$13+1,1))</f>
        <v>395.19659151668884</v>
      </c>
      <c r="CZ166" s="62">
        <f t="shared" si="127"/>
        <v>222.86563304507339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projet'!$B$13,Paramètres!$A$1:$I$88,7,0))</f>
        <v>0</v>
      </c>
      <c r="DD166" s="17">
        <f>IF(ISNA(VLOOKUP(A166,'Données projet'!$A$139:$I$159,6,0)),0%,VLOOKUP(A166,'Données projet'!$A$139:$I$159,6,0)*VLOOKUP('Données projet'!$B$13,Paramètres!$A$1:$I$88,7,0))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projet'!$B$9,Paramètres!$A$1:$I$88,3,0)*0.475*44/12</f>
        <v>0</v>
      </c>
      <c r="DG166" s="23">
        <f>EXP(-LN(2)/25)*DG165+(1-EXP(-LN(2)/25))/(LN(2)/25)*Calculateur!DB166*Calculateur!DD166*VLOOKUP('Données projet'!$B$9,Paramètres!$A$1:$I$88,3,0)*0.475*44/12</f>
        <v>0</v>
      </c>
      <c r="DH166" s="23">
        <f>EXP(-LN(2)/2)*DH165+(1-EXP(-LN(2)/2))/(LN(2)/2)*DB166*DE166*VLOOKUP('Données projet'!$B$9,Paramètres!$A$1:$I$88,3,0)*0.475*44/12</f>
        <v>0</v>
      </c>
      <c r="DI166" s="24">
        <f t="shared" si="175"/>
        <v>0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IF(A166&lt;'Données projet'!$A$166,$DL$205^A166,IF(A166='Données projet'!$A$166,'Données projet'!$B$166,DO165+DN166-DW165))</f>
        <v>-8.5265128291212022E-14</v>
      </c>
      <c r="DP166" s="18">
        <f>DO166*VLOOKUP('Données projet'!$B$14,Paramètres!$A$1:$I$88,3,0)*VLOOKUP('Données projet'!$B$14,Paramètres!$A$1:$I$88,5,0)</f>
        <v>-4.9880100050359036E-14</v>
      </c>
      <c r="DQ166" s="14" t="e">
        <f t="shared" si="176"/>
        <v>#NUM!</v>
      </c>
      <c r="DR166" s="22" t="e">
        <f t="shared" si="177"/>
        <v>#NUM!</v>
      </c>
      <c r="DS166" s="62" t="e">
        <f t="shared" si="130"/>
        <v>#NUM!</v>
      </c>
      <c r="DT166" s="62">
        <f ca="1">AVERAGE(OFFSET($DS$3,0,0,'Données projet'!$E$14+1,1))-AVERAGE(OFFSET($H$3,0,0,'Données projet'!$E$14+1,1))</f>
        <v>155.18073137151848</v>
      </c>
      <c r="DU166" s="62">
        <f t="shared" si="131"/>
        <v>115.19459155667272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projet'!$B$14,Paramètres!$A$1:$I$88,7,0))</f>
        <v>0</v>
      </c>
      <c r="DY166" s="17">
        <f>IF(ISNA(VLOOKUP(A166,'Données projet'!$A$165:$I$185,6,0)),0%,VLOOKUP(A166,'Données projet'!$A$165:$I$185,6,0)*VLOOKUP('Données projet'!$B$14,Paramètres!$A$1:$I$88,7,0))</f>
        <v>0</v>
      </c>
      <c r="DZ166" s="17">
        <f>IF(ISNA(VLOOKUP(A166,'Données projet'!$A$165:$I$185,7,0)),0%,VLOOKUP(A166,'Données projet'!$A$165:$I$185,7,0))</f>
        <v>0</v>
      </c>
      <c r="EA166" s="23">
        <f>EXP(-LN(2)/35)*EA165+(1-EXP(-LN(2)/35))/(LN(2)/35)*DW166*DX166*VLOOKUP('Données projet'!$B$9,Paramètres!$A$1:$I$88,3,0)*0.475*44/12</f>
        <v>0</v>
      </c>
      <c r="EB166" s="23">
        <f>EXP(-LN(2)/25)*EB165+(1-EXP(-LN(2)/25))/(LN(2)/25)*Calculateur!DW166*Calculateur!DY166*VLOOKUP('Données projet'!$B$9,Paramètres!$A$1:$I$88,3,0)*0.475*44/12</f>
        <v>0</v>
      </c>
      <c r="EC166" s="23">
        <f>EXP(-LN(2)/2)*EC165+(1-EXP(-LN(2)/2))/(LN(2)/2)*DW166*DZ166*VLOOKUP('Données projet'!$B$9,Paramètres!$A$1:$I$88,3,0)*0.475*44/12</f>
        <v>0</v>
      </c>
      <c r="ED166" s="24">
        <f t="shared" si="178"/>
        <v>0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IF(A166&lt;'Données projet'!$A$192,$EG$205^A166,IF(A166='Données projet'!$A$192,'Données projet'!$B$192,EJ165+EI166-ER165))</f>
        <v>-5.6843418860808015E-14</v>
      </c>
      <c r="EK166" s="18">
        <f>EJ166*VLOOKUP('Données projet'!$B$15,Paramètres!$A$1:$I$88,3,0)*VLOOKUP('Données projet'!$B$15,Paramètres!$A$1:$I$88,5,0)</f>
        <v>-2.6602720026858149E-14</v>
      </c>
      <c r="EL166" s="14" t="e">
        <f t="shared" si="179"/>
        <v>#NUM!</v>
      </c>
      <c r="EM166" s="22" t="e">
        <f t="shared" si="180"/>
        <v>#NUM!</v>
      </c>
      <c r="EN166" s="62" t="e">
        <f t="shared" si="134"/>
        <v>#NUM!</v>
      </c>
      <c r="EO166" s="62">
        <f ca="1">AVERAGE(OFFSET($EN$3,0,0,'Données projet'!$E$15+1,1))-AVERAGE(OFFSET($H$3,0,0,'Données projet'!$E$15+1,1))</f>
        <v>238.59014604384171</v>
      </c>
      <c r="EP166" s="62">
        <f t="shared" si="135"/>
        <v>90.841373219575217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projet'!$B$15,Paramètres!$A$1:$I$88,7,0))</f>
        <v>0</v>
      </c>
      <c r="ET166" s="17">
        <f>IF(ISNA(VLOOKUP(A166,'Données projet'!$A$191:$I$211,6,0)),0%,VLOOKUP(A166,'Données projet'!$A$191:$I$211,6,0)*VLOOKUP('Données projet'!$B$15,Paramètres!$A$1:$I$88,7,0))</f>
        <v>0</v>
      </c>
      <c r="EU166" s="17">
        <f>IF(ISNA(VLOOKUP(A166,'Données projet'!$A$191:$I$211,7,0)),0%,VLOOKUP(A166,'Données projet'!$A$191:$I$211,7,0))</f>
        <v>0</v>
      </c>
      <c r="EV166" s="23">
        <f>EXP(-LN(2)/35)*EV165+(1-EXP(-LN(2)/35))/(LN(2)/35)*ER166*ES166*VLOOKUP('Données projet'!$B$9,Paramètres!$A$1:$I$88,3,0)*0.475*44/12</f>
        <v>0</v>
      </c>
      <c r="EW166" s="23">
        <f>EXP(-LN(2)/25)*EW165+(1-EXP(-LN(2)/25))/(LN(2)/25)*Calculateur!ER166*Calculateur!ET166*VLOOKUP('Données projet'!$B$9,Paramètres!$A$1:$I$88,3,0)*0.475*44/12</f>
        <v>0</v>
      </c>
      <c r="EX166" s="23">
        <f>EXP(-LN(2)/2)*EX165+(1-EXP(-LN(2)/2))/(LN(2)/2)*ER166*EU166*VLOOKUP('Données projet'!$B$9,Paramètres!$A$1:$I$88,3,0)*0.475*44/12</f>
        <v>0</v>
      </c>
      <c r="EY166" s="24">
        <f t="shared" si="181"/>
        <v>0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IF(A166&lt;'Données projet'!$A$218,$FB$205^A166,IF(A166='Données projet'!$A$218,'Données projet'!$B$218,FE165+FD166-FM165))</f>
        <v>0</v>
      </c>
      <c r="FF166" s="18" t="e">
        <f>FE166*VLOOKUP('Données projet'!$B$16,Paramètres!$A$1:$I$88,3,0)*VLOOKUP('Données projet'!$B$16,Paramètres!$A$1:$I$88,5,0)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8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39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projet'!$B$16,Paramètres!$A$1:$I$88,7,0))</f>
        <v>0</v>
      </c>
      <c r="FO166" s="17">
        <f>IF(ISNA(VLOOKUP(A166,'Données projet'!$A$217:$I$237,6,0)),0%,VLOOKUP(A166,'Données projet'!$A$217:$I$237,6,0)*VLOOKUP('Données projet'!$B$16,Paramètres!$A$1:$I$88,7,0))</f>
        <v>0</v>
      </c>
      <c r="FP166" s="17">
        <f>IF(ISNA(VLOOKUP(A166,'Données projet'!$A$217:$I$237,7,0)),0%,VLOOKUP(A166,'Données projet'!$A$217:$I$237,7,0))</f>
        <v>0</v>
      </c>
      <c r="FQ166" s="23">
        <f>EXP(-LN(2)/35)*FQ165+(1-EXP(-LN(2)/35))/(LN(2)/35)*FM166*FN166*VLOOKUP('Données projet'!$B$9,Paramètres!$A$1:$I$88,3,0)*0.475*44/12</f>
        <v>0</v>
      </c>
      <c r="FR166" s="23">
        <f>EXP(-LN(2)/25)*FR165+(1-EXP(-LN(2)/25))/(LN(2)/25)*Calculateur!FM166*Calculateur!FO166*VLOOKUP('Données projet'!$B$9,Paramètres!$A$1:$I$88,3,0)*0.475*44/12</f>
        <v>0</v>
      </c>
      <c r="FS166" s="23">
        <f>EXP(-LN(2)/2)*FS165+(1-EXP(-LN(2)/2))/(LN(2)/2)*FM166*FP166*VLOOKUP('Données projet'!$B$9,Paramètres!$A$1:$I$88,3,0)*0.475*44/12</f>
        <v>0</v>
      </c>
      <c r="FT166" s="24">
        <f t="shared" si="184"/>
        <v>0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IF(A166&lt;'Données projet'!$A$244,$FW$205^A166,IF(A166='Données projet'!$A$244,'Données projet'!$B$244,FZ165+FY166-GH165))</f>
        <v>0</v>
      </c>
      <c r="GA166" s="18" t="e">
        <f>FZ166*VLOOKUP('Données projet'!$B$17,Paramètres!$A$1:$I$88,3,0)*VLOOKUP('Données projet'!$B$17,Paramètres!$A$1:$I$88,5,0)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42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43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projet'!$B$17,Paramètres!$A$1:$I$88,7,0))</f>
        <v>0</v>
      </c>
      <c r="GJ166" s="17">
        <f>IF(ISNA(VLOOKUP(A166,'Données projet'!$A$243:$I$263,6,0)),0%,VLOOKUP(A166,'Données projet'!$A$243:$I$263,6,0)*VLOOKUP('Données projet'!$B$17,Paramètres!$A$1:$I$88,7,0))</f>
        <v>0</v>
      </c>
      <c r="GK166" s="17">
        <f>IF(ISNA(VLOOKUP(A166,'Données projet'!$A$243:$I$263,7,0)),0%,VLOOKUP(A166,'Données projet'!$A$243:$I$263,7,0))</f>
        <v>0</v>
      </c>
      <c r="GL166" s="23">
        <f>EXP(-LN(2)/35)*GL165+(1-EXP(-LN(2)/35))/(LN(2)/35)*GH166*GI166*VLOOKUP('Données projet'!$B$9,Paramètres!$A$1:$I$88,3,0)*0.475*44/12</f>
        <v>0</v>
      </c>
      <c r="GM166" s="23">
        <f>EXP(-LN(2)/25)*GM165+(1-EXP(-LN(2)/25))/(LN(2)/25)*Calculateur!GH166*Calculateur!GJ166*VLOOKUP('Données projet'!$B$9,Paramètres!$A$1:$I$88,3,0)*0.475*44/12</f>
        <v>0</v>
      </c>
      <c r="GN166" s="23">
        <f>EXP(-LN(2)/2)*GN165+(1-EXP(-LN(2)/2))/(LN(2)/2)*GH166*GK166*VLOOKUP('Données projet'!$B$9,Paramètres!$A$1:$I$88,3,0)*0.475*44/12</f>
        <v>0</v>
      </c>
      <c r="GO166" s="23">
        <f t="shared" si="187"/>
        <v>0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IF(A166&lt;'Données projet'!$A$270,$GR$205^A166,IF(A166='Données projet'!$A$270,'Données projet'!$B$270,GU165+GT166-HC165))</f>
        <v>0</v>
      </c>
      <c r="GV166" s="18" t="e">
        <f>GU166*VLOOKUP('Données projet'!$B$18,Paramètres!$A$1:$I$88,3,0)*VLOOKUP('Données projet'!$B$18,Paramètres!$A$1:$I$88,5,0)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46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47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projet'!$B$18,Paramètres!$A$1:$I$88,7,0))</f>
        <v>0</v>
      </c>
      <c r="HE166" s="17">
        <f>IF(ISNA(VLOOKUP(A166,'Données projet'!$A$269:$I$289,6,0)),0%,VLOOKUP(A166,'Données projet'!$A$269:$I$289,6,0)*VLOOKUP('Données projet'!$B$18,Paramètres!$A$1:$I$88,7,0))</f>
        <v>0</v>
      </c>
      <c r="HF166" s="17">
        <f>IF(ISNA(VLOOKUP(A166,'Données projet'!$A$269:$I$289,7,0)),0%,VLOOKUP(A166,'Données projet'!$A$269:$I$289,7,0))</f>
        <v>0</v>
      </c>
      <c r="HG166" s="23">
        <f>EXP(-LN(2)/35)*HG165+(1-EXP(-LN(2)/35))/(LN(2)/35)*HC166*HD166*VLOOKUP('Données projet'!$B$9,Paramètres!$A$1:$I$88,3,0)*0.475*44/12</f>
        <v>0</v>
      </c>
      <c r="HH166" s="23">
        <f>EXP(-LN(2)/25)*HH165+(1-EXP(-LN(2)/25))/(LN(2)/25)*Calculateur!HC166*Calculateur!HE166*VLOOKUP('Données projet'!$B$9,Paramètres!$A$1:$I$88,3,0)*0.475*44/12</f>
        <v>0</v>
      </c>
      <c r="HI166" s="23">
        <f>EXP(-LN(2)/2)*HI165+(1-EXP(-LN(2)/2))/(LN(2)/2)*HC166*HF166*VLOOKUP('Données projet'!$B$9,Paramètres!$A$1:$I$88,3,0)*0.475*44/12</f>
        <v>0</v>
      </c>
      <c r="HJ166" s="24">
        <f t="shared" si="190"/>
        <v>0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7" s="12">
        <f t="shared" si="15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111"/>
        <v>135.66666666666666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IF(A167&lt;'Données projet'!$A$36,$K$205^A167,IF(A167='Données projet'!$A$36,'Données projet'!$B$36,N166+M167-V166))</f>
        <v>0</v>
      </c>
      <c r="O167" s="14">
        <f>N167*VLOOKUP('Données projet'!$B$9,Paramètres!$A$1:$I$88,3,0)*VLOOKUP('Données projet'!$B$9,Paramètres!$A$1:$I$88,5,0)</f>
        <v>0</v>
      </c>
      <c r="P167" s="14" t="e">
        <f t="shared" si="15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314.72063458462026</v>
      </c>
      <c r="T167" s="62">
        <f t="shared" si="110"/>
        <v>216.4380325968244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projet'!$B$9,Paramètres!$A$1:$I$88,7,0))</f>
        <v>0</v>
      </c>
      <c r="X167" s="17">
        <f>IF(ISNA(VLOOKUP(A167,'Données projet'!$A$35:$I$55,6,0)),0%,VLOOKUP(A167,'Données projet'!$A$35:$I$55,6,0)*VLOOKUP('Données projet'!$B$9,Paramètres!$A$1:$I$88,7,0))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projet'!$B$9,Paramètres!$A$1:$I$88,3,0)*0.475*44/12</f>
        <v>0</v>
      </c>
      <c r="AA167" s="23">
        <f>EXP(-LN(2)/25)*AA166+(1-EXP(-LN(2)/25))/(LN(2)/25)*Calculateur!V167*Calculateur!X167*VLOOKUP('Données projet'!$B$9,Paramètres!$A$1:$I$88,3,0)*0.475*44/12</f>
        <v>0</v>
      </c>
      <c r="AB167" s="23">
        <f>EXP(-LN(2)/2)*AB166+(1-EXP(-LN(2)/2))/(LN(2)/2)*V167*Y167*VLOOKUP('Données projet'!$B$9,Paramètres!$A$1:$I$88,3,0)*0.475*44/12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IF(A167&lt;'Données projet'!$A$62,$AF$205^A167,IF(A167='Données projet'!$A$62,'Données projet'!$B$62,AI166+AH167-AQ166))</f>
        <v>1.1368683772161603E-13</v>
      </c>
      <c r="AJ167" s="14">
        <f>AI167*VLOOKUP('Données projet'!$B$10,Paramètres!$A$1:$I$88,3,0)*VLOOKUP('Données projet'!$B$10,Paramètres!$A$1:$I$88,5,0)</f>
        <v>1.1882548278663309E-13</v>
      </c>
      <c r="AK167" s="14">
        <f t="shared" si="164"/>
        <v>1.7496137229198366E-12</v>
      </c>
      <c r="AL167" s="22">
        <f t="shared" si="165"/>
        <v>3.2541982832721012E-12</v>
      </c>
      <c r="AM167" s="62">
        <f t="shared" si="114"/>
        <v>285.4332828965446</v>
      </c>
      <c r="AN167" s="62">
        <f ca="1">AVERAGE(OFFSET($AM$3,0,0,'Données projet'!$E$10+1,1))-AVERAGE(OFFSET($H$3,0,0,'Données projet'!$E$10+1,1))</f>
        <v>458.33072853676879</v>
      </c>
      <c r="AO167" s="62">
        <f t="shared" si="115"/>
        <v>254.1734169352687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projet'!$B$10,Paramètres!$A$1:$I$88,7,0))</f>
        <v>0</v>
      </c>
      <c r="AS167" s="17">
        <f>IF(ISNA(VLOOKUP(A167,'Données projet'!$A$61:$I$81,6,0)),0%,VLOOKUP(A167,'Données projet'!$A$61:$I$81,6,0)*VLOOKUP('Données projet'!$B$10,Paramètres!$A$1:$I$88,7,0))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projet'!$B$9,Paramètres!$A$1:$I$88,3,0)*0.475*44/12</f>
        <v>0</v>
      </c>
      <c r="AV167" s="23">
        <f>EXP(-LN(2)/25)*AV166+(1-EXP(-LN(2)/25))/(LN(2)/25)*Calculateur!AQ167*Calculateur!AS167*VLOOKUP('Données projet'!$B$9,Paramètres!$A$1:$I$88,3,0)*0.475*44/12</f>
        <v>0</v>
      </c>
      <c r="AW167" s="23">
        <f>EXP(-LN(2)/2)*AW166+(1-EXP(-LN(2)/2))/(LN(2)/2)*AQ167*AT167*VLOOKUP('Données projet'!$B$9,Paramètres!$A$1:$I$88,3,0)*0.475*44/12</f>
        <v>0</v>
      </c>
      <c r="AX167" s="23">
        <f t="shared" si="166"/>
        <v>0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IF(A167&lt;'Données projet'!$A$88,$BA$205^A167,IF(A167='Données projet'!$A$88,'Données projet'!$B$88,BD166+BC167-BL166))</f>
        <v>1.1368683772161603E-13</v>
      </c>
      <c r="BE167" s="14">
        <f>BD167*VLOOKUP('Données projet'!$B$11,Paramètres!$A$1:$I$88,3,0)*VLOOKUP('Données projet'!$B$11,Paramètres!$A$1:$I$88,5,0)</f>
        <v>1.1527845344971866E-13</v>
      </c>
      <c r="BF167" s="14">
        <f t="shared" si="167"/>
        <v>1.7033846239409443E-12</v>
      </c>
      <c r="BG167" s="22">
        <f t="shared" si="168"/>
        <v>3.1675048597887374E-12</v>
      </c>
      <c r="BH167" s="62">
        <f t="shared" si="118"/>
        <v>285.43328289654454</v>
      </c>
      <c r="BI167" s="62">
        <f ca="1">AVERAGE(OFFSET($BH$3,0,0,'Données projet'!$E$11+1,1))-AVERAGE(OFFSET($H$3,0,0,'Données projet'!$E$11+1,1))</f>
        <v>447.82618173893104</v>
      </c>
      <c r="BJ167" s="62">
        <f t="shared" si="119"/>
        <v>248.96509970783379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projet'!$B$11,Paramètres!$A$1:$I$88,7,0))</f>
        <v>0</v>
      </c>
      <c r="BN167" s="17">
        <f>IF(ISNA(VLOOKUP(A167,'Données projet'!$A$87:$I$107,6,0)),0%,VLOOKUP(A167,'Données projet'!$A$87:$I$107,6,0)*VLOOKUP('Données projet'!$B$11,Paramètres!$A$1:$I$88,7,0))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projet'!$B$9,Paramètres!$A$1:$I$88,3,0)*0.475*44/12</f>
        <v>0</v>
      </c>
      <c r="BQ167" s="23">
        <f>EXP(-LN(2)/25)*BQ166+(1-EXP(-LN(2)/25))/(LN(2)/25)*Calculateur!BL167*Calculateur!BN167*VLOOKUP('Données projet'!$B$9,Paramètres!$A$1:$I$88,3,0)*0.475*44/12</f>
        <v>0</v>
      </c>
      <c r="BR167" s="23">
        <f>EXP(-LN(2)/2)*BR166+(1-EXP(-LN(2)/2))/(LN(2)/2)*BL167*BO167*VLOOKUP('Données projet'!$B$9,Paramètres!$A$1:$I$88,3,0)*0.475*44/12</f>
        <v>0</v>
      </c>
      <c r="BS167" s="24">
        <f t="shared" si="169"/>
        <v>0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IF(A167&lt;'Données projet'!$A$114,$BV$205^A167,IF(A167='Données projet'!$A$114,'Données projet'!$B$114,BY166+BX167-CG166))</f>
        <v>1.1368683772161603E-13</v>
      </c>
      <c r="BZ167" s="14">
        <f>BY167*VLOOKUP('Données projet'!$B$12,Paramètres!$A$1:$I$88,3,0)*VLOOKUP('Données projet'!$B$12,Paramètres!$A$1:$I$88,5,0)</f>
        <v>1.223725121235475E-13</v>
      </c>
      <c r="CA167" s="14">
        <f t="shared" si="170"/>
        <v>1.7956824466038182E-12</v>
      </c>
      <c r="CB167" s="22">
        <f t="shared" si="171"/>
        <v>3.3406123864501612E-12</v>
      </c>
      <c r="CC167" s="62">
        <f t="shared" si="122"/>
        <v>285.43328289654471</v>
      </c>
      <c r="CD167" s="62">
        <f ca="1">AVERAGE(OFFSET($CC$3,0,0,'Données projet'!$E$12+1,1))-AVERAGE(OFFSET($H$3,0,0,'Données projet'!$E$12+1,1))</f>
        <v>468.82871618425406</v>
      </c>
      <c r="CE167" s="62">
        <f t="shared" si="123"/>
        <v>259.37818128554397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projet'!$B$12,Paramètres!$A$1:$I$88,7,0))</f>
        <v>0</v>
      </c>
      <c r="CI167" s="17">
        <f>IF(ISNA(VLOOKUP(A167,'Données projet'!$A$113:$I$133,6,0)),0%,VLOOKUP(A167,'Données projet'!$A$113:$I$133,6,0)*VLOOKUP('Données projet'!$B$12,Paramètres!$A$1:$I$88,7,0))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projet'!$B$9,Paramètres!$A$1:$I$88,3,0)*0.475*44/12</f>
        <v>0</v>
      </c>
      <c r="CL167" s="23">
        <f>EXP(-LN(2)/25)*CL166+(1-EXP(-LN(2)/25))/(LN(2)/25)*Calculateur!CG167*Calculateur!CI167*VLOOKUP('Données projet'!$B$9,Paramètres!$A$1:$I$88,3,0)*0.475*44/12</f>
        <v>0</v>
      </c>
      <c r="CM167" s="23">
        <f>EXP(-LN(2)/2)*CM166+(1-EXP(-LN(2)/2))/(LN(2)/2)*CG167*CJ167*VLOOKUP('Données projet'!$B$9,Paramètres!$A$1:$I$88,3,0)*0.475*44/12</f>
        <v>0</v>
      </c>
      <c r="CN167" s="24">
        <f t="shared" si="172"/>
        <v>0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IF(A167&lt;'Données projet'!$A$140,$CQ$205^A167,IF(A167='Données projet'!$A$140,'Données projet'!$B$140,CT166+CS167-DB166))</f>
        <v>1.1368683772161603E-13</v>
      </c>
      <c r="CU167" s="18">
        <f>CT167*VLOOKUP('Données projet'!$B$13,Paramètres!$A$1:$I$88,3,0)*VLOOKUP('Données projet'!$B$13,Paramètres!$A$1:$I$88,5,0)</f>
        <v>9.7543306765146564E-14</v>
      </c>
      <c r="CV167" s="14">
        <f t="shared" si="173"/>
        <v>1.4696264278629426E-12</v>
      </c>
      <c r="CW167" s="22">
        <f t="shared" si="174"/>
        <v>2.7294872878105889E-12</v>
      </c>
      <c r="CX167" s="62">
        <f t="shared" si="126"/>
        <v>285.43328289654409</v>
      </c>
      <c r="CY167" s="62">
        <f ca="1">AVERAGE(OFFSET($CX$3,0,0,'Données projet'!$E$13+1,1))-AVERAGE(OFFSET($H$3,0,0,'Données projet'!$E$13+1,1))</f>
        <v>395.19659151668884</v>
      </c>
      <c r="CZ167" s="62">
        <f t="shared" si="127"/>
        <v>222.86563304507339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projet'!$B$13,Paramètres!$A$1:$I$88,7,0))</f>
        <v>0</v>
      </c>
      <c r="DD167" s="17">
        <f>IF(ISNA(VLOOKUP(A167,'Données projet'!$A$139:$I$159,6,0)),0%,VLOOKUP(A167,'Données projet'!$A$139:$I$159,6,0)*VLOOKUP('Données projet'!$B$13,Paramètres!$A$1:$I$88,7,0))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projet'!$B$9,Paramètres!$A$1:$I$88,3,0)*0.475*44/12</f>
        <v>0</v>
      </c>
      <c r="DG167" s="23">
        <f>EXP(-LN(2)/25)*DG166+(1-EXP(-LN(2)/25))/(LN(2)/25)*Calculateur!DB167*Calculateur!DD167*VLOOKUP('Données projet'!$B$9,Paramètres!$A$1:$I$88,3,0)*0.475*44/12</f>
        <v>0</v>
      </c>
      <c r="DH167" s="23">
        <f>EXP(-LN(2)/2)*DH166+(1-EXP(-LN(2)/2))/(LN(2)/2)*DB167*DE167*VLOOKUP('Données projet'!$B$9,Paramètres!$A$1:$I$88,3,0)*0.475*44/12</f>
        <v>0</v>
      </c>
      <c r="DI167" s="24">
        <f t="shared" si="175"/>
        <v>0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IF(A167&lt;'Données projet'!$A$166,$DL$205^A167,IF(A167='Données projet'!$A$166,'Données projet'!$B$166,DO166+DN167-DW166))</f>
        <v>-8.5265128291212022E-14</v>
      </c>
      <c r="DP167" s="18">
        <f>DO167*VLOOKUP('Données projet'!$B$14,Paramètres!$A$1:$I$88,3,0)*VLOOKUP('Données projet'!$B$14,Paramètres!$A$1:$I$88,5,0)</f>
        <v>-4.9880100050359036E-14</v>
      </c>
      <c r="DQ167" s="14" t="e">
        <f t="shared" si="176"/>
        <v>#NUM!</v>
      </c>
      <c r="DR167" s="22" t="e">
        <f t="shared" si="177"/>
        <v>#NUM!</v>
      </c>
      <c r="DS167" s="62" t="e">
        <f t="shared" si="130"/>
        <v>#NUM!</v>
      </c>
      <c r="DT167" s="62">
        <f ca="1">AVERAGE(OFFSET($DS$3,0,0,'Données projet'!$E$14+1,1))-AVERAGE(OFFSET($H$3,0,0,'Données projet'!$E$14+1,1))</f>
        <v>155.18073137151848</v>
      </c>
      <c r="DU167" s="62">
        <f t="shared" si="131"/>
        <v>115.19459155667272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projet'!$B$14,Paramètres!$A$1:$I$88,7,0))</f>
        <v>0</v>
      </c>
      <c r="DY167" s="17">
        <f>IF(ISNA(VLOOKUP(A167,'Données projet'!$A$165:$I$185,6,0)),0%,VLOOKUP(A167,'Données projet'!$A$165:$I$185,6,0)*VLOOKUP('Données projet'!$B$14,Paramètres!$A$1:$I$88,7,0))</f>
        <v>0</v>
      </c>
      <c r="DZ167" s="17">
        <f>IF(ISNA(VLOOKUP(A167,'Données projet'!$A$165:$I$185,7,0)),0%,VLOOKUP(A167,'Données projet'!$A$165:$I$185,7,0))</f>
        <v>0</v>
      </c>
      <c r="EA167" s="23">
        <f>EXP(-LN(2)/35)*EA166+(1-EXP(-LN(2)/35))/(LN(2)/35)*DW167*DX167*VLOOKUP('Données projet'!$B$9,Paramètres!$A$1:$I$88,3,0)*0.475*44/12</f>
        <v>0</v>
      </c>
      <c r="EB167" s="23">
        <f>EXP(-LN(2)/25)*EB166+(1-EXP(-LN(2)/25))/(LN(2)/25)*Calculateur!DW167*Calculateur!DY167*VLOOKUP('Données projet'!$B$9,Paramètres!$A$1:$I$88,3,0)*0.475*44/12</f>
        <v>0</v>
      </c>
      <c r="EC167" s="23">
        <f>EXP(-LN(2)/2)*EC166+(1-EXP(-LN(2)/2))/(LN(2)/2)*DW167*DZ167*VLOOKUP('Données projet'!$B$9,Paramètres!$A$1:$I$88,3,0)*0.475*44/12</f>
        <v>0</v>
      </c>
      <c r="ED167" s="24">
        <f t="shared" si="178"/>
        <v>0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IF(A167&lt;'Données projet'!$A$192,$EG$205^A167,IF(A167='Données projet'!$A$192,'Données projet'!$B$192,EJ166+EI167-ER166))</f>
        <v>-5.6843418860808015E-14</v>
      </c>
      <c r="EK167" s="18">
        <f>EJ167*VLOOKUP('Données projet'!$B$15,Paramètres!$A$1:$I$88,3,0)*VLOOKUP('Données projet'!$B$15,Paramètres!$A$1:$I$88,5,0)</f>
        <v>-2.6602720026858149E-14</v>
      </c>
      <c r="EL167" s="14" t="e">
        <f t="shared" si="179"/>
        <v>#NUM!</v>
      </c>
      <c r="EM167" s="22" t="e">
        <f t="shared" si="180"/>
        <v>#NUM!</v>
      </c>
      <c r="EN167" s="62" t="e">
        <f t="shared" si="134"/>
        <v>#NUM!</v>
      </c>
      <c r="EO167" s="62">
        <f ca="1">AVERAGE(OFFSET($EN$3,0,0,'Données projet'!$E$15+1,1))-AVERAGE(OFFSET($H$3,0,0,'Données projet'!$E$15+1,1))</f>
        <v>238.59014604384171</v>
      </c>
      <c r="EP167" s="62">
        <f t="shared" si="135"/>
        <v>90.841373219575217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projet'!$B$15,Paramètres!$A$1:$I$88,7,0))</f>
        <v>0</v>
      </c>
      <c r="ET167" s="17">
        <f>IF(ISNA(VLOOKUP(A167,'Données projet'!$A$191:$I$211,6,0)),0%,VLOOKUP(A167,'Données projet'!$A$191:$I$211,6,0)*VLOOKUP('Données projet'!$B$15,Paramètres!$A$1:$I$88,7,0))</f>
        <v>0</v>
      </c>
      <c r="EU167" s="17">
        <f>IF(ISNA(VLOOKUP(A167,'Données projet'!$A$191:$I$211,7,0)),0%,VLOOKUP(A167,'Données projet'!$A$191:$I$211,7,0))</f>
        <v>0</v>
      </c>
      <c r="EV167" s="23">
        <f>EXP(-LN(2)/35)*EV166+(1-EXP(-LN(2)/35))/(LN(2)/35)*ER167*ES167*VLOOKUP('Données projet'!$B$9,Paramètres!$A$1:$I$88,3,0)*0.475*44/12</f>
        <v>0</v>
      </c>
      <c r="EW167" s="23">
        <f>EXP(-LN(2)/25)*EW166+(1-EXP(-LN(2)/25))/(LN(2)/25)*Calculateur!ER167*Calculateur!ET167*VLOOKUP('Données projet'!$B$9,Paramètres!$A$1:$I$88,3,0)*0.475*44/12</f>
        <v>0</v>
      </c>
      <c r="EX167" s="23">
        <f>EXP(-LN(2)/2)*EX166+(1-EXP(-LN(2)/2))/(LN(2)/2)*ER167*EU167*VLOOKUP('Données projet'!$B$9,Paramètres!$A$1:$I$88,3,0)*0.475*44/12</f>
        <v>0</v>
      </c>
      <c r="EY167" s="24">
        <f t="shared" si="181"/>
        <v>0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IF(A167&lt;'Données projet'!$A$218,$FB$205^A167,IF(A167='Données projet'!$A$218,'Données projet'!$B$218,FE166+FD167-FM166))</f>
        <v>0</v>
      </c>
      <c r="FF167" s="18" t="e">
        <f>FE167*VLOOKUP('Données projet'!$B$16,Paramètres!$A$1:$I$88,3,0)*VLOOKUP('Données projet'!$B$16,Paramètres!$A$1:$I$88,5,0)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8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39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projet'!$B$16,Paramètres!$A$1:$I$88,7,0))</f>
        <v>0</v>
      </c>
      <c r="FO167" s="17">
        <f>IF(ISNA(VLOOKUP(A167,'Données projet'!$A$217:$I$237,6,0)),0%,VLOOKUP(A167,'Données projet'!$A$217:$I$237,6,0)*VLOOKUP('Données projet'!$B$16,Paramètres!$A$1:$I$88,7,0))</f>
        <v>0</v>
      </c>
      <c r="FP167" s="17">
        <f>IF(ISNA(VLOOKUP(A167,'Données projet'!$A$217:$I$237,7,0)),0%,VLOOKUP(A167,'Données projet'!$A$217:$I$237,7,0))</f>
        <v>0</v>
      </c>
      <c r="FQ167" s="23">
        <f>EXP(-LN(2)/35)*FQ166+(1-EXP(-LN(2)/35))/(LN(2)/35)*FM167*FN167*VLOOKUP('Données projet'!$B$9,Paramètres!$A$1:$I$88,3,0)*0.475*44/12</f>
        <v>0</v>
      </c>
      <c r="FR167" s="23">
        <f>EXP(-LN(2)/25)*FR166+(1-EXP(-LN(2)/25))/(LN(2)/25)*Calculateur!FM167*Calculateur!FO167*VLOOKUP('Données projet'!$B$9,Paramètres!$A$1:$I$88,3,0)*0.475*44/12</f>
        <v>0</v>
      </c>
      <c r="FS167" s="23">
        <f>EXP(-LN(2)/2)*FS166+(1-EXP(-LN(2)/2))/(LN(2)/2)*FM167*FP167*VLOOKUP('Données projet'!$B$9,Paramètres!$A$1:$I$88,3,0)*0.475*44/12</f>
        <v>0</v>
      </c>
      <c r="FT167" s="24">
        <f t="shared" si="184"/>
        <v>0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IF(A167&lt;'Données projet'!$A$244,$FW$205^A167,IF(A167='Données projet'!$A$244,'Données projet'!$B$244,FZ166+FY167-GH166))</f>
        <v>0</v>
      </c>
      <c r="GA167" s="18" t="e">
        <f>FZ167*VLOOKUP('Données projet'!$B$17,Paramètres!$A$1:$I$88,3,0)*VLOOKUP('Données projet'!$B$17,Paramètres!$A$1:$I$88,5,0)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42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43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projet'!$B$17,Paramètres!$A$1:$I$88,7,0))</f>
        <v>0</v>
      </c>
      <c r="GJ167" s="17">
        <f>IF(ISNA(VLOOKUP(A167,'Données projet'!$A$243:$I$263,6,0)),0%,VLOOKUP(A167,'Données projet'!$A$243:$I$263,6,0)*VLOOKUP('Données projet'!$B$17,Paramètres!$A$1:$I$88,7,0))</f>
        <v>0</v>
      </c>
      <c r="GK167" s="17">
        <f>IF(ISNA(VLOOKUP(A167,'Données projet'!$A$243:$I$263,7,0)),0%,VLOOKUP(A167,'Données projet'!$A$243:$I$263,7,0))</f>
        <v>0</v>
      </c>
      <c r="GL167" s="23">
        <f>EXP(-LN(2)/35)*GL166+(1-EXP(-LN(2)/35))/(LN(2)/35)*GH167*GI167*VLOOKUP('Données projet'!$B$9,Paramètres!$A$1:$I$88,3,0)*0.475*44/12</f>
        <v>0</v>
      </c>
      <c r="GM167" s="23">
        <f>EXP(-LN(2)/25)*GM166+(1-EXP(-LN(2)/25))/(LN(2)/25)*Calculateur!GH167*Calculateur!GJ167*VLOOKUP('Données projet'!$B$9,Paramètres!$A$1:$I$88,3,0)*0.475*44/12</f>
        <v>0</v>
      </c>
      <c r="GN167" s="23">
        <f>EXP(-LN(2)/2)*GN166+(1-EXP(-LN(2)/2))/(LN(2)/2)*GH167*GK167*VLOOKUP('Données projet'!$B$9,Paramètres!$A$1:$I$88,3,0)*0.475*44/12</f>
        <v>0</v>
      </c>
      <c r="GO167" s="23">
        <f t="shared" si="187"/>
        <v>0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IF(A167&lt;'Données projet'!$A$270,$GR$205^A167,IF(A167='Données projet'!$A$270,'Données projet'!$B$270,GU166+GT167-HC166))</f>
        <v>0</v>
      </c>
      <c r="GV167" s="18" t="e">
        <f>GU167*VLOOKUP('Données projet'!$B$18,Paramètres!$A$1:$I$88,3,0)*VLOOKUP('Données projet'!$B$18,Paramètres!$A$1:$I$88,5,0)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46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47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projet'!$B$18,Paramètres!$A$1:$I$88,7,0))</f>
        <v>0</v>
      </c>
      <c r="HE167" s="17">
        <f>IF(ISNA(VLOOKUP(A167,'Données projet'!$A$269:$I$289,6,0)),0%,VLOOKUP(A167,'Données projet'!$A$269:$I$289,6,0)*VLOOKUP('Données projet'!$B$18,Paramètres!$A$1:$I$88,7,0))</f>
        <v>0</v>
      </c>
      <c r="HF167" s="17">
        <f>IF(ISNA(VLOOKUP(A167,'Données projet'!$A$269:$I$289,7,0)),0%,VLOOKUP(A167,'Données projet'!$A$269:$I$289,7,0))</f>
        <v>0</v>
      </c>
      <c r="HG167" s="23">
        <f>EXP(-LN(2)/35)*HG166+(1-EXP(-LN(2)/35))/(LN(2)/35)*HC167*HD167*VLOOKUP('Données projet'!$B$9,Paramètres!$A$1:$I$88,3,0)*0.475*44/12</f>
        <v>0</v>
      </c>
      <c r="HH167" s="23">
        <f>EXP(-LN(2)/25)*HH166+(1-EXP(-LN(2)/25))/(LN(2)/25)*Calculateur!HC167*Calculateur!HE167*VLOOKUP('Données projet'!$B$9,Paramètres!$A$1:$I$88,3,0)*0.475*44/12</f>
        <v>0</v>
      </c>
      <c r="HI167" s="23">
        <f>EXP(-LN(2)/2)*HI166+(1-EXP(-LN(2)/2))/(LN(2)/2)*HC167*HF167*VLOOKUP('Données projet'!$B$9,Paramètres!$A$1:$I$88,3,0)*0.475*44/12</f>
        <v>0</v>
      </c>
      <c r="HJ167" s="24">
        <f t="shared" si="190"/>
        <v>0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8" s="12">
        <f t="shared" si="15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111"/>
        <v>135.66666666666666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IF(A168&lt;'Données projet'!$A$36,$K$205^A168,IF(A168='Données projet'!$A$36,'Données projet'!$B$36,N167+M168-V167))</f>
        <v>0</v>
      </c>
      <c r="O168" s="14">
        <f>N168*VLOOKUP('Données projet'!$B$9,Paramètres!$A$1:$I$88,3,0)*VLOOKUP('Données projet'!$B$9,Paramètres!$A$1:$I$88,5,0)</f>
        <v>0</v>
      </c>
      <c r="P168" s="14" t="e">
        <f t="shared" si="15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314.72063458462026</v>
      </c>
      <c r="T168" s="62">
        <f t="shared" si="110"/>
        <v>216.4380325968244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projet'!$B$9,Paramètres!$A$1:$I$88,7,0))</f>
        <v>0</v>
      </c>
      <c r="X168" s="17">
        <f>IF(ISNA(VLOOKUP(A168,'Données projet'!$A$35:$I$55,6,0)),0%,VLOOKUP(A168,'Données projet'!$A$35:$I$55,6,0)*VLOOKUP('Données projet'!$B$9,Paramètres!$A$1:$I$88,7,0))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projet'!$B$9,Paramètres!$A$1:$I$88,3,0)*0.475*44/12</f>
        <v>0</v>
      </c>
      <c r="AA168" s="23">
        <f>EXP(-LN(2)/25)*AA167+(1-EXP(-LN(2)/25))/(LN(2)/25)*Calculateur!V168*Calculateur!X168*VLOOKUP('Données projet'!$B$9,Paramètres!$A$1:$I$88,3,0)*0.475*44/12</f>
        <v>0</v>
      </c>
      <c r="AB168" s="23">
        <f>EXP(-LN(2)/2)*AB167+(1-EXP(-LN(2)/2))/(LN(2)/2)*V168*Y168*VLOOKUP('Données projet'!$B$9,Paramètres!$A$1:$I$88,3,0)*0.475*44/12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IF(A168&lt;'Données projet'!$A$62,$AF$205^A168,IF(A168='Données projet'!$A$62,'Données projet'!$B$62,AI167+AH168-AQ167))</f>
        <v>1.1368683772161603E-13</v>
      </c>
      <c r="AJ168" s="14">
        <f>AI168*VLOOKUP('Données projet'!$B$10,Paramètres!$A$1:$I$88,3,0)*VLOOKUP('Données projet'!$B$10,Paramètres!$A$1:$I$88,5,0)</f>
        <v>1.1882548278663309E-13</v>
      </c>
      <c r="AK168" s="14">
        <f t="shared" si="164"/>
        <v>1.7496137229198366E-12</v>
      </c>
      <c r="AL168" s="22">
        <f t="shared" si="165"/>
        <v>3.2541982832721012E-12</v>
      </c>
      <c r="AM168" s="62">
        <f t="shared" si="114"/>
        <v>285.57033110975607</v>
      </c>
      <c r="AN168" s="62">
        <f ca="1">AVERAGE(OFFSET($AM$3,0,0,'Données projet'!$E$10+1,1))-AVERAGE(OFFSET($H$3,0,0,'Données projet'!$E$10+1,1))</f>
        <v>458.33072853676879</v>
      </c>
      <c r="AO168" s="62">
        <f t="shared" si="115"/>
        <v>254.1734169352687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projet'!$B$10,Paramètres!$A$1:$I$88,7,0))</f>
        <v>0</v>
      </c>
      <c r="AS168" s="17">
        <f>IF(ISNA(VLOOKUP(A168,'Données projet'!$A$61:$I$81,6,0)),0%,VLOOKUP(A168,'Données projet'!$A$61:$I$81,6,0)*VLOOKUP('Données projet'!$B$10,Paramètres!$A$1:$I$88,7,0))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projet'!$B$9,Paramètres!$A$1:$I$88,3,0)*0.475*44/12</f>
        <v>0</v>
      </c>
      <c r="AV168" s="23">
        <f>EXP(-LN(2)/25)*AV167+(1-EXP(-LN(2)/25))/(LN(2)/25)*Calculateur!AQ168*Calculateur!AS168*VLOOKUP('Données projet'!$B$9,Paramètres!$A$1:$I$88,3,0)*0.475*44/12</f>
        <v>0</v>
      </c>
      <c r="AW168" s="23">
        <f>EXP(-LN(2)/2)*AW167+(1-EXP(-LN(2)/2))/(LN(2)/2)*AQ168*AT168*VLOOKUP('Données projet'!$B$9,Paramètres!$A$1:$I$88,3,0)*0.475*44/12</f>
        <v>0</v>
      </c>
      <c r="AX168" s="23">
        <f t="shared" si="166"/>
        <v>0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IF(A168&lt;'Données projet'!$A$88,$BA$205^A168,IF(A168='Données projet'!$A$88,'Données projet'!$B$88,BD167+BC168-BL167))</f>
        <v>1.1368683772161603E-13</v>
      </c>
      <c r="BE168" s="14">
        <f>BD168*VLOOKUP('Données projet'!$B$11,Paramètres!$A$1:$I$88,3,0)*VLOOKUP('Données projet'!$B$11,Paramètres!$A$1:$I$88,5,0)</f>
        <v>1.1527845344971866E-13</v>
      </c>
      <c r="BF168" s="14">
        <f t="shared" si="167"/>
        <v>1.7033846239409443E-12</v>
      </c>
      <c r="BG168" s="22">
        <f t="shared" si="168"/>
        <v>3.1675048597887374E-12</v>
      </c>
      <c r="BH168" s="62">
        <f t="shared" si="118"/>
        <v>285.57033110975601</v>
      </c>
      <c r="BI168" s="62">
        <f ca="1">AVERAGE(OFFSET($BH$3,0,0,'Données projet'!$E$11+1,1))-AVERAGE(OFFSET($H$3,0,0,'Données projet'!$E$11+1,1))</f>
        <v>447.82618173893104</v>
      </c>
      <c r="BJ168" s="62">
        <f t="shared" si="119"/>
        <v>248.96509970783379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projet'!$B$11,Paramètres!$A$1:$I$88,7,0))</f>
        <v>0</v>
      </c>
      <c r="BN168" s="17">
        <f>IF(ISNA(VLOOKUP(A168,'Données projet'!$A$87:$I$107,6,0)),0%,VLOOKUP(A168,'Données projet'!$A$87:$I$107,6,0)*VLOOKUP('Données projet'!$B$11,Paramètres!$A$1:$I$88,7,0))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projet'!$B$9,Paramètres!$A$1:$I$88,3,0)*0.475*44/12</f>
        <v>0</v>
      </c>
      <c r="BQ168" s="23">
        <f>EXP(-LN(2)/25)*BQ167+(1-EXP(-LN(2)/25))/(LN(2)/25)*Calculateur!BL168*Calculateur!BN168*VLOOKUP('Données projet'!$B$9,Paramètres!$A$1:$I$88,3,0)*0.475*44/12</f>
        <v>0</v>
      </c>
      <c r="BR168" s="23">
        <f>EXP(-LN(2)/2)*BR167+(1-EXP(-LN(2)/2))/(LN(2)/2)*BL168*BO168*VLOOKUP('Données projet'!$B$9,Paramètres!$A$1:$I$88,3,0)*0.475*44/12</f>
        <v>0</v>
      </c>
      <c r="BS168" s="24">
        <f t="shared" si="169"/>
        <v>0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IF(A168&lt;'Données projet'!$A$114,$BV$205^A168,IF(A168='Données projet'!$A$114,'Données projet'!$B$114,BY167+BX168-CG167))</f>
        <v>1.1368683772161603E-13</v>
      </c>
      <c r="BZ168" s="14">
        <f>BY168*VLOOKUP('Données projet'!$B$12,Paramètres!$A$1:$I$88,3,0)*VLOOKUP('Données projet'!$B$12,Paramètres!$A$1:$I$88,5,0)</f>
        <v>1.223725121235475E-13</v>
      </c>
      <c r="CA168" s="14">
        <f t="shared" si="170"/>
        <v>1.7956824466038182E-12</v>
      </c>
      <c r="CB168" s="22">
        <f t="shared" si="171"/>
        <v>3.3406123864501612E-12</v>
      </c>
      <c r="CC168" s="62">
        <f t="shared" si="122"/>
        <v>285.57033110975618</v>
      </c>
      <c r="CD168" s="62">
        <f ca="1">AVERAGE(OFFSET($CC$3,0,0,'Données projet'!$E$12+1,1))-AVERAGE(OFFSET($H$3,0,0,'Données projet'!$E$12+1,1))</f>
        <v>468.82871618425406</v>
      </c>
      <c r="CE168" s="62">
        <f t="shared" si="123"/>
        <v>259.37818128554397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projet'!$B$12,Paramètres!$A$1:$I$88,7,0))</f>
        <v>0</v>
      </c>
      <c r="CI168" s="17">
        <f>IF(ISNA(VLOOKUP(A168,'Données projet'!$A$113:$I$133,6,0)),0%,VLOOKUP(A168,'Données projet'!$A$113:$I$133,6,0)*VLOOKUP('Données projet'!$B$12,Paramètres!$A$1:$I$88,7,0))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projet'!$B$9,Paramètres!$A$1:$I$88,3,0)*0.475*44/12</f>
        <v>0</v>
      </c>
      <c r="CL168" s="23">
        <f>EXP(-LN(2)/25)*CL167+(1-EXP(-LN(2)/25))/(LN(2)/25)*Calculateur!CG168*Calculateur!CI168*VLOOKUP('Données projet'!$B$9,Paramètres!$A$1:$I$88,3,0)*0.475*44/12</f>
        <v>0</v>
      </c>
      <c r="CM168" s="23">
        <f>EXP(-LN(2)/2)*CM167+(1-EXP(-LN(2)/2))/(LN(2)/2)*CG168*CJ168*VLOOKUP('Données projet'!$B$9,Paramètres!$A$1:$I$88,3,0)*0.475*44/12</f>
        <v>0</v>
      </c>
      <c r="CN168" s="24">
        <f t="shared" si="172"/>
        <v>0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IF(A168&lt;'Données projet'!$A$140,$CQ$205^A168,IF(A168='Données projet'!$A$140,'Données projet'!$B$140,CT167+CS168-DB167))</f>
        <v>1.1368683772161603E-13</v>
      </c>
      <c r="CU168" s="18">
        <f>CT168*VLOOKUP('Données projet'!$B$13,Paramètres!$A$1:$I$88,3,0)*VLOOKUP('Données projet'!$B$13,Paramètres!$A$1:$I$88,5,0)</f>
        <v>9.7543306765146564E-14</v>
      </c>
      <c r="CV168" s="14">
        <f t="shared" si="173"/>
        <v>1.4696264278629426E-12</v>
      </c>
      <c r="CW168" s="22">
        <f t="shared" si="174"/>
        <v>2.7294872878105889E-12</v>
      </c>
      <c r="CX168" s="62">
        <f t="shared" si="126"/>
        <v>285.57033110975556</v>
      </c>
      <c r="CY168" s="62">
        <f ca="1">AVERAGE(OFFSET($CX$3,0,0,'Données projet'!$E$13+1,1))-AVERAGE(OFFSET($H$3,0,0,'Données projet'!$E$13+1,1))</f>
        <v>395.19659151668884</v>
      </c>
      <c r="CZ168" s="62">
        <f t="shared" si="127"/>
        <v>222.86563304507339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projet'!$B$13,Paramètres!$A$1:$I$88,7,0))</f>
        <v>0</v>
      </c>
      <c r="DD168" s="17">
        <f>IF(ISNA(VLOOKUP(A168,'Données projet'!$A$139:$I$159,6,0)),0%,VLOOKUP(A168,'Données projet'!$A$139:$I$159,6,0)*VLOOKUP('Données projet'!$B$13,Paramètres!$A$1:$I$88,7,0))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projet'!$B$9,Paramètres!$A$1:$I$88,3,0)*0.475*44/12</f>
        <v>0</v>
      </c>
      <c r="DG168" s="23">
        <f>EXP(-LN(2)/25)*DG167+(1-EXP(-LN(2)/25))/(LN(2)/25)*Calculateur!DB168*Calculateur!DD168*VLOOKUP('Données projet'!$B$9,Paramètres!$A$1:$I$88,3,0)*0.475*44/12</f>
        <v>0</v>
      </c>
      <c r="DH168" s="23">
        <f>EXP(-LN(2)/2)*DH167+(1-EXP(-LN(2)/2))/(LN(2)/2)*DB168*DE168*VLOOKUP('Données projet'!$B$9,Paramètres!$A$1:$I$88,3,0)*0.475*44/12</f>
        <v>0</v>
      </c>
      <c r="DI168" s="24">
        <f t="shared" si="175"/>
        <v>0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IF(A168&lt;'Données projet'!$A$166,$DL$205^A168,IF(A168='Données projet'!$A$166,'Données projet'!$B$166,DO167+DN168-DW167))</f>
        <v>-8.5265128291212022E-14</v>
      </c>
      <c r="DP168" s="18">
        <f>DO168*VLOOKUP('Données projet'!$B$14,Paramètres!$A$1:$I$88,3,0)*VLOOKUP('Données projet'!$B$14,Paramètres!$A$1:$I$88,5,0)</f>
        <v>-4.9880100050359036E-14</v>
      </c>
      <c r="DQ168" s="14" t="e">
        <f t="shared" si="176"/>
        <v>#NUM!</v>
      </c>
      <c r="DR168" s="22" t="e">
        <f t="shared" si="177"/>
        <v>#NUM!</v>
      </c>
      <c r="DS168" s="62" t="e">
        <f t="shared" si="130"/>
        <v>#NUM!</v>
      </c>
      <c r="DT168" s="62">
        <f ca="1">AVERAGE(OFFSET($DS$3,0,0,'Données projet'!$E$14+1,1))-AVERAGE(OFFSET($H$3,0,0,'Données projet'!$E$14+1,1))</f>
        <v>155.18073137151848</v>
      </c>
      <c r="DU168" s="62">
        <f t="shared" si="131"/>
        <v>115.19459155667272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projet'!$B$14,Paramètres!$A$1:$I$88,7,0))</f>
        <v>0</v>
      </c>
      <c r="DY168" s="17">
        <f>IF(ISNA(VLOOKUP(A168,'Données projet'!$A$165:$I$185,6,0)),0%,VLOOKUP(A168,'Données projet'!$A$165:$I$185,6,0)*VLOOKUP('Données projet'!$B$14,Paramètres!$A$1:$I$88,7,0))</f>
        <v>0</v>
      </c>
      <c r="DZ168" s="17">
        <f>IF(ISNA(VLOOKUP(A168,'Données projet'!$A$165:$I$185,7,0)),0%,VLOOKUP(A168,'Données projet'!$A$165:$I$185,7,0))</f>
        <v>0</v>
      </c>
      <c r="EA168" s="23">
        <f>EXP(-LN(2)/35)*EA167+(1-EXP(-LN(2)/35))/(LN(2)/35)*DW168*DX168*VLOOKUP('Données projet'!$B$9,Paramètres!$A$1:$I$88,3,0)*0.475*44/12</f>
        <v>0</v>
      </c>
      <c r="EB168" s="23">
        <f>EXP(-LN(2)/25)*EB167+(1-EXP(-LN(2)/25))/(LN(2)/25)*Calculateur!DW168*Calculateur!DY168*VLOOKUP('Données projet'!$B$9,Paramètres!$A$1:$I$88,3,0)*0.475*44/12</f>
        <v>0</v>
      </c>
      <c r="EC168" s="23">
        <f>EXP(-LN(2)/2)*EC167+(1-EXP(-LN(2)/2))/(LN(2)/2)*DW168*DZ168*VLOOKUP('Données projet'!$B$9,Paramètres!$A$1:$I$88,3,0)*0.475*44/12</f>
        <v>0</v>
      </c>
      <c r="ED168" s="24">
        <f t="shared" si="178"/>
        <v>0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IF(A168&lt;'Données projet'!$A$192,$EG$205^A168,IF(A168='Données projet'!$A$192,'Données projet'!$B$192,EJ167+EI168-ER167))</f>
        <v>-5.6843418860808015E-14</v>
      </c>
      <c r="EK168" s="18">
        <f>EJ168*VLOOKUP('Données projet'!$B$15,Paramètres!$A$1:$I$88,3,0)*VLOOKUP('Données projet'!$B$15,Paramètres!$A$1:$I$88,5,0)</f>
        <v>-2.6602720026858149E-14</v>
      </c>
      <c r="EL168" s="14" t="e">
        <f t="shared" si="179"/>
        <v>#NUM!</v>
      </c>
      <c r="EM168" s="22" t="e">
        <f t="shared" si="180"/>
        <v>#NUM!</v>
      </c>
      <c r="EN168" s="62" t="e">
        <f t="shared" si="134"/>
        <v>#NUM!</v>
      </c>
      <c r="EO168" s="62">
        <f ca="1">AVERAGE(OFFSET($EN$3,0,0,'Données projet'!$E$15+1,1))-AVERAGE(OFFSET($H$3,0,0,'Données projet'!$E$15+1,1))</f>
        <v>238.59014604384171</v>
      </c>
      <c r="EP168" s="62">
        <f t="shared" si="135"/>
        <v>90.841373219575217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projet'!$B$15,Paramètres!$A$1:$I$88,7,0))</f>
        <v>0</v>
      </c>
      <c r="ET168" s="17">
        <f>IF(ISNA(VLOOKUP(A168,'Données projet'!$A$191:$I$211,6,0)),0%,VLOOKUP(A168,'Données projet'!$A$191:$I$211,6,0)*VLOOKUP('Données projet'!$B$15,Paramètres!$A$1:$I$88,7,0))</f>
        <v>0</v>
      </c>
      <c r="EU168" s="17">
        <f>IF(ISNA(VLOOKUP(A168,'Données projet'!$A$191:$I$211,7,0)),0%,VLOOKUP(A168,'Données projet'!$A$191:$I$211,7,0))</f>
        <v>0</v>
      </c>
      <c r="EV168" s="23">
        <f>EXP(-LN(2)/35)*EV167+(1-EXP(-LN(2)/35))/(LN(2)/35)*ER168*ES168*VLOOKUP('Données projet'!$B$9,Paramètres!$A$1:$I$88,3,0)*0.475*44/12</f>
        <v>0</v>
      </c>
      <c r="EW168" s="23">
        <f>EXP(-LN(2)/25)*EW167+(1-EXP(-LN(2)/25))/(LN(2)/25)*Calculateur!ER168*Calculateur!ET168*VLOOKUP('Données projet'!$B$9,Paramètres!$A$1:$I$88,3,0)*0.475*44/12</f>
        <v>0</v>
      </c>
      <c r="EX168" s="23">
        <f>EXP(-LN(2)/2)*EX167+(1-EXP(-LN(2)/2))/(LN(2)/2)*ER168*EU168*VLOOKUP('Données projet'!$B$9,Paramètres!$A$1:$I$88,3,0)*0.475*44/12</f>
        <v>0</v>
      </c>
      <c r="EY168" s="24">
        <f t="shared" si="181"/>
        <v>0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IF(A168&lt;'Données projet'!$A$218,$FB$205^A168,IF(A168='Données projet'!$A$218,'Données projet'!$B$218,FE167+FD168-FM167))</f>
        <v>0</v>
      </c>
      <c r="FF168" s="18" t="e">
        <f>FE168*VLOOKUP('Données projet'!$B$16,Paramètres!$A$1:$I$88,3,0)*VLOOKUP('Données projet'!$B$16,Paramètres!$A$1:$I$88,5,0)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8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39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projet'!$B$16,Paramètres!$A$1:$I$88,7,0))</f>
        <v>0</v>
      </c>
      <c r="FO168" s="17">
        <f>IF(ISNA(VLOOKUP(A168,'Données projet'!$A$217:$I$237,6,0)),0%,VLOOKUP(A168,'Données projet'!$A$217:$I$237,6,0)*VLOOKUP('Données projet'!$B$16,Paramètres!$A$1:$I$88,7,0))</f>
        <v>0</v>
      </c>
      <c r="FP168" s="17">
        <f>IF(ISNA(VLOOKUP(A168,'Données projet'!$A$217:$I$237,7,0)),0%,VLOOKUP(A168,'Données projet'!$A$217:$I$237,7,0))</f>
        <v>0</v>
      </c>
      <c r="FQ168" s="23">
        <f>EXP(-LN(2)/35)*FQ167+(1-EXP(-LN(2)/35))/(LN(2)/35)*FM168*FN168*VLOOKUP('Données projet'!$B$9,Paramètres!$A$1:$I$88,3,0)*0.475*44/12</f>
        <v>0</v>
      </c>
      <c r="FR168" s="23">
        <f>EXP(-LN(2)/25)*FR167+(1-EXP(-LN(2)/25))/(LN(2)/25)*Calculateur!FM168*Calculateur!FO168*VLOOKUP('Données projet'!$B$9,Paramètres!$A$1:$I$88,3,0)*0.475*44/12</f>
        <v>0</v>
      </c>
      <c r="FS168" s="23">
        <f>EXP(-LN(2)/2)*FS167+(1-EXP(-LN(2)/2))/(LN(2)/2)*FM168*FP168*VLOOKUP('Données projet'!$B$9,Paramètres!$A$1:$I$88,3,0)*0.475*44/12</f>
        <v>0</v>
      </c>
      <c r="FT168" s="24">
        <f t="shared" si="184"/>
        <v>0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IF(A168&lt;'Données projet'!$A$244,$FW$205^A168,IF(A168='Données projet'!$A$244,'Données projet'!$B$244,FZ167+FY168-GH167))</f>
        <v>0</v>
      </c>
      <c r="GA168" s="18" t="e">
        <f>FZ168*VLOOKUP('Données projet'!$B$17,Paramètres!$A$1:$I$88,3,0)*VLOOKUP('Données projet'!$B$17,Paramètres!$A$1:$I$88,5,0)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42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43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projet'!$B$17,Paramètres!$A$1:$I$88,7,0))</f>
        <v>0</v>
      </c>
      <c r="GJ168" s="17">
        <f>IF(ISNA(VLOOKUP(A168,'Données projet'!$A$243:$I$263,6,0)),0%,VLOOKUP(A168,'Données projet'!$A$243:$I$263,6,0)*VLOOKUP('Données projet'!$B$17,Paramètres!$A$1:$I$88,7,0))</f>
        <v>0</v>
      </c>
      <c r="GK168" s="17">
        <f>IF(ISNA(VLOOKUP(A168,'Données projet'!$A$243:$I$263,7,0)),0%,VLOOKUP(A168,'Données projet'!$A$243:$I$263,7,0))</f>
        <v>0</v>
      </c>
      <c r="GL168" s="23">
        <f>EXP(-LN(2)/35)*GL167+(1-EXP(-LN(2)/35))/(LN(2)/35)*GH168*GI168*VLOOKUP('Données projet'!$B$9,Paramètres!$A$1:$I$88,3,0)*0.475*44/12</f>
        <v>0</v>
      </c>
      <c r="GM168" s="23">
        <f>EXP(-LN(2)/25)*GM167+(1-EXP(-LN(2)/25))/(LN(2)/25)*Calculateur!GH168*Calculateur!GJ168*VLOOKUP('Données projet'!$B$9,Paramètres!$A$1:$I$88,3,0)*0.475*44/12</f>
        <v>0</v>
      </c>
      <c r="GN168" s="23">
        <f>EXP(-LN(2)/2)*GN167+(1-EXP(-LN(2)/2))/(LN(2)/2)*GH168*GK168*VLOOKUP('Données projet'!$B$9,Paramètres!$A$1:$I$88,3,0)*0.475*44/12</f>
        <v>0</v>
      </c>
      <c r="GO168" s="23">
        <f t="shared" si="187"/>
        <v>0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IF(A168&lt;'Données projet'!$A$270,$GR$205^A168,IF(A168='Données projet'!$A$270,'Données projet'!$B$270,GU167+GT168-HC167))</f>
        <v>0</v>
      </c>
      <c r="GV168" s="18" t="e">
        <f>GU168*VLOOKUP('Données projet'!$B$18,Paramètres!$A$1:$I$88,3,0)*VLOOKUP('Données projet'!$B$18,Paramètres!$A$1:$I$88,5,0)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46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47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projet'!$B$18,Paramètres!$A$1:$I$88,7,0))</f>
        <v>0</v>
      </c>
      <c r="HE168" s="17">
        <f>IF(ISNA(VLOOKUP(A168,'Données projet'!$A$269:$I$289,6,0)),0%,VLOOKUP(A168,'Données projet'!$A$269:$I$289,6,0)*VLOOKUP('Données projet'!$B$18,Paramètres!$A$1:$I$88,7,0))</f>
        <v>0</v>
      </c>
      <c r="HF168" s="17">
        <f>IF(ISNA(VLOOKUP(A168,'Données projet'!$A$269:$I$289,7,0)),0%,VLOOKUP(A168,'Données projet'!$A$269:$I$289,7,0))</f>
        <v>0</v>
      </c>
      <c r="HG168" s="23">
        <f>EXP(-LN(2)/35)*HG167+(1-EXP(-LN(2)/35))/(LN(2)/35)*HC168*HD168*VLOOKUP('Données projet'!$B$9,Paramètres!$A$1:$I$88,3,0)*0.475*44/12</f>
        <v>0</v>
      </c>
      <c r="HH168" s="23">
        <f>EXP(-LN(2)/25)*HH167+(1-EXP(-LN(2)/25))/(LN(2)/25)*Calculateur!HC168*Calculateur!HE168*VLOOKUP('Données projet'!$B$9,Paramètres!$A$1:$I$88,3,0)*0.475*44/12</f>
        <v>0</v>
      </c>
      <c r="HI168" s="23">
        <f>EXP(-LN(2)/2)*HI167+(1-EXP(-LN(2)/2))/(LN(2)/2)*HC168*HF168*VLOOKUP('Données projet'!$B$9,Paramètres!$A$1:$I$88,3,0)*0.475*44/12</f>
        <v>0</v>
      </c>
      <c r="HJ168" s="24">
        <f t="shared" si="190"/>
        <v>0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69" s="12">
        <f t="shared" si="15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111"/>
        <v>135.66666666666666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IF(A169&lt;'Données projet'!$A$36,$K$205^A169,IF(A169='Données projet'!$A$36,'Données projet'!$B$36,N168+M169-V168))</f>
        <v>0</v>
      </c>
      <c r="O169" s="14">
        <f>N169*VLOOKUP('Données projet'!$B$9,Paramètres!$A$1:$I$88,3,0)*VLOOKUP('Données projet'!$B$9,Paramètres!$A$1:$I$88,5,0)</f>
        <v>0</v>
      </c>
      <c r="P169" s="14" t="e">
        <f t="shared" si="15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314.72063458462026</v>
      </c>
      <c r="T169" s="62">
        <f t="shared" si="110"/>
        <v>216.4380325968244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projet'!$B$9,Paramètres!$A$1:$I$88,7,0))</f>
        <v>0</v>
      </c>
      <c r="X169" s="17">
        <f>IF(ISNA(VLOOKUP(A169,'Données projet'!$A$35:$I$55,6,0)),0%,VLOOKUP(A169,'Données projet'!$A$35:$I$55,6,0)*VLOOKUP('Données projet'!$B$9,Paramètres!$A$1:$I$88,7,0))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projet'!$B$9,Paramètres!$A$1:$I$88,3,0)*0.475*44/12</f>
        <v>0</v>
      </c>
      <c r="AA169" s="23">
        <f>EXP(-LN(2)/25)*AA168+(1-EXP(-LN(2)/25))/(LN(2)/25)*Calculateur!V169*Calculateur!X169*VLOOKUP('Données projet'!$B$9,Paramètres!$A$1:$I$88,3,0)*0.475*44/12</f>
        <v>0</v>
      </c>
      <c r="AB169" s="23">
        <f>EXP(-LN(2)/2)*AB168+(1-EXP(-LN(2)/2))/(LN(2)/2)*V169*Y169*VLOOKUP('Données projet'!$B$9,Paramètres!$A$1:$I$88,3,0)*0.475*44/12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IF(A169&lt;'Données projet'!$A$62,$AF$205^A169,IF(A169='Données projet'!$A$62,'Données projet'!$B$62,AI168+AH169-AQ168))</f>
        <v>1.1368683772161603E-13</v>
      </c>
      <c r="AJ169" s="14">
        <f>AI169*VLOOKUP('Données projet'!$B$10,Paramètres!$A$1:$I$88,3,0)*VLOOKUP('Données projet'!$B$10,Paramètres!$A$1:$I$88,5,0)</f>
        <v>1.1882548278663309E-13</v>
      </c>
      <c r="AK169" s="14">
        <f t="shared" si="164"/>
        <v>1.7496137229198366E-12</v>
      </c>
      <c r="AL169" s="22">
        <f t="shared" si="165"/>
        <v>3.2541982832721012E-12</v>
      </c>
      <c r="AM169" s="62">
        <f t="shared" si="114"/>
        <v>285.70500184286226</v>
      </c>
      <c r="AN169" s="62">
        <f ca="1">AVERAGE(OFFSET($AM$3,0,0,'Données projet'!$E$10+1,1))-AVERAGE(OFFSET($H$3,0,0,'Données projet'!$E$10+1,1))</f>
        <v>458.33072853676879</v>
      </c>
      <c r="AO169" s="62">
        <f t="shared" si="115"/>
        <v>254.1734169352687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projet'!$B$10,Paramètres!$A$1:$I$88,7,0))</f>
        <v>0</v>
      </c>
      <c r="AS169" s="17">
        <f>IF(ISNA(VLOOKUP(A169,'Données projet'!$A$61:$I$81,6,0)),0%,VLOOKUP(A169,'Données projet'!$A$61:$I$81,6,0)*VLOOKUP('Données projet'!$B$10,Paramètres!$A$1:$I$88,7,0))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projet'!$B$9,Paramètres!$A$1:$I$88,3,0)*0.475*44/12</f>
        <v>0</v>
      </c>
      <c r="AV169" s="23">
        <f>EXP(-LN(2)/25)*AV168+(1-EXP(-LN(2)/25))/(LN(2)/25)*Calculateur!AQ169*Calculateur!AS169*VLOOKUP('Données projet'!$B$9,Paramètres!$A$1:$I$88,3,0)*0.475*44/12</f>
        <v>0</v>
      </c>
      <c r="AW169" s="23">
        <f>EXP(-LN(2)/2)*AW168+(1-EXP(-LN(2)/2))/(LN(2)/2)*AQ169*AT169*VLOOKUP('Données projet'!$B$9,Paramètres!$A$1:$I$88,3,0)*0.475*44/12</f>
        <v>0</v>
      </c>
      <c r="AX169" s="23">
        <f t="shared" si="166"/>
        <v>0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IF(A169&lt;'Données projet'!$A$88,$BA$205^A169,IF(A169='Données projet'!$A$88,'Données projet'!$B$88,BD168+BC169-BL168))</f>
        <v>1.1368683772161603E-13</v>
      </c>
      <c r="BE169" s="14">
        <f>BD169*VLOOKUP('Données projet'!$B$11,Paramètres!$A$1:$I$88,3,0)*VLOOKUP('Données projet'!$B$11,Paramètres!$A$1:$I$88,5,0)</f>
        <v>1.1527845344971866E-13</v>
      </c>
      <c r="BF169" s="14">
        <f t="shared" si="167"/>
        <v>1.7033846239409443E-12</v>
      </c>
      <c r="BG169" s="22">
        <f t="shared" si="168"/>
        <v>3.1675048597887374E-12</v>
      </c>
      <c r="BH169" s="62">
        <f t="shared" si="118"/>
        <v>285.7050018428622</v>
      </c>
      <c r="BI169" s="62">
        <f ca="1">AVERAGE(OFFSET($BH$3,0,0,'Données projet'!$E$11+1,1))-AVERAGE(OFFSET($H$3,0,0,'Données projet'!$E$11+1,1))</f>
        <v>447.82618173893104</v>
      </c>
      <c r="BJ169" s="62">
        <f t="shared" si="119"/>
        <v>248.96509970783379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projet'!$B$11,Paramètres!$A$1:$I$88,7,0))</f>
        <v>0</v>
      </c>
      <c r="BN169" s="17">
        <f>IF(ISNA(VLOOKUP(A169,'Données projet'!$A$87:$I$107,6,0)),0%,VLOOKUP(A169,'Données projet'!$A$87:$I$107,6,0)*VLOOKUP('Données projet'!$B$11,Paramètres!$A$1:$I$88,7,0))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projet'!$B$9,Paramètres!$A$1:$I$88,3,0)*0.475*44/12</f>
        <v>0</v>
      </c>
      <c r="BQ169" s="23">
        <f>EXP(-LN(2)/25)*BQ168+(1-EXP(-LN(2)/25))/(LN(2)/25)*Calculateur!BL169*Calculateur!BN169*VLOOKUP('Données projet'!$B$9,Paramètres!$A$1:$I$88,3,0)*0.475*44/12</f>
        <v>0</v>
      </c>
      <c r="BR169" s="23">
        <f>EXP(-LN(2)/2)*BR168+(1-EXP(-LN(2)/2))/(LN(2)/2)*BL169*BO169*VLOOKUP('Données projet'!$B$9,Paramètres!$A$1:$I$88,3,0)*0.475*44/12</f>
        <v>0</v>
      </c>
      <c r="BS169" s="24">
        <f t="shared" si="169"/>
        <v>0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IF(A169&lt;'Données projet'!$A$114,$BV$205^A169,IF(A169='Données projet'!$A$114,'Données projet'!$B$114,BY168+BX169-CG168))</f>
        <v>1.1368683772161603E-13</v>
      </c>
      <c r="BZ169" s="14">
        <f>BY169*VLOOKUP('Données projet'!$B$12,Paramètres!$A$1:$I$88,3,0)*VLOOKUP('Données projet'!$B$12,Paramètres!$A$1:$I$88,5,0)</f>
        <v>1.223725121235475E-13</v>
      </c>
      <c r="CA169" s="14">
        <f t="shared" si="170"/>
        <v>1.7956824466038182E-12</v>
      </c>
      <c r="CB169" s="22">
        <f t="shared" si="171"/>
        <v>3.3406123864501612E-12</v>
      </c>
      <c r="CC169" s="62">
        <f t="shared" si="122"/>
        <v>285.70500184286237</v>
      </c>
      <c r="CD169" s="62">
        <f ca="1">AVERAGE(OFFSET($CC$3,0,0,'Données projet'!$E$12+1,1))-AVERAGE(OFFSET($H$3,0,0,'Données projet'!$E$12+1,1))</f>
        <v>468.82871618425406</v>
      </c>
      <c r="CE169" s="62">
        <f t="shared" si="123"/>
        <v>259.37818128554397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projet'!$B$12,Paramètres!$A$1:$I$88,7,0))</f>
        <v>0</v>
      </c>
      <c r="CI169" s="17">
        <f>IF(ISNA(VLOOKUP(A169,'Données projet'!$A$113:$I$133,6,0)),0%,VLOOKUP(A169,'Données projet'!$A$113:$I$133,6,0)*VLOOKUP('Données projet'!$B$12,Paramètres!$A$1:$I$88,7,0))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projet'!$B$9,Paramètres!$A$1:$I$88,3,0)*0.475*44/12</f>
        <v>0</v>
      </c>
      <c r="CL169" s="23">
        <f>EXP(-LN(2)/25)*CL168+(1-EXP(-LN(2)/25))/(LN(2)/25)*Calculateur!CG169*Calculateur!CI169*VLOOKUP('Données projet'!$B$9,Paramètres!$A$1:$I$88,3,0)*0.475*44/12</f>
        <v>0</v>
      </c>
      <c r="CM169" s="23">
        <f>EXP(-LN(2)/2)*CM168+(1-EXP(-LN(2)/2))/(LN(2)/2)*CG169*CJ169*VLOOKUP('Données projet'!$B$9,Paramètres!$A$1:$I$88,3,0)*0.475*44/12</f>
        <v>0</v>
      </c>
      <c r="CN169" s="24">
        <f t="shared" si="172"/>
        <v>0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IF(A169&lt;'Données projet'!$A$140,$CQ$205^A169,IF(A169='Données projet'!$A$140,'Données projet'!$B$140,CT168+CS169-DB168))</f>
        <v>1.1368683772161603E-13</v>
      </c>
      <c r="CU169" s="18">
        <f>CT169*VLOOKUP('Données projet'!$B$13,Paramètres!$A$1:$I$88,3,0)*VLOOKUP('Données projet'!$B$13,Paramètres!$A$1:$I$88,5,0)</f>
        <v>9.7543306765146564E-14</v>
      </c>
      <c r="CV169" s="14">
        <f t="shared" si="173"/>
        <v>1.4696264278629426E-12</v>
      </c>
      <c r="CW169" s="22">
        <f t="shared" si="174"/>
        <v>2.7294872878105889E-12</v>
      </c>
      <c r="CX169" s="62">
        <f t="shared" si="126"/>
        <v>285.70500184286175</v>
      </c>
      <c r="CY169" s="62">
        <f ca="1">AVERAGE(OFFSET($CX$3,0,0,'Données projet'!$E$13+1,1))-AVERAGE(OFFSET($H$3,0,0,'Données projet'!$E$13+1,1))</f>
        <v>395.19659151668884</v>
      </c>
      <c r="CZ169" s="62">
        <f t="shared" si="127"/>
        <v>222.86563304507339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projet'!$B$13,Paramètres!$A$1:$I$88,7,0))</f>
        <v>0</v>
      </c>
      <c r="DD169" s="17">
        <f>IF(ISNA(VLOOKUP(A169,'Données projet'!$A$139:$I$159,6,0)),0%,VLOOKUP(A169,'Données projet'!$A$139:$I$159,6,0)*VLOOKUP('Données projet'!$B$13,Paramètres!$A$1:$I$88,7,0))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projet'!$B$9,Paramètres!$A$1:$I$88,3,0)*0.475*44/12</f>
        <v>0</v>
      </c>
      <c r="DG169" s="23">
        <f>EXP(-LN(2)/25)*DG168+(1-EXP(-LN(2)/25))/(LN(2)/25)*Calculateur!DB169*Calculateur!DD169*VLOOKUP('Données projet'!$B$9,Paramètres!$A$1:$I$88,3,0)*0.475*44/12</f>
        <v>0</v>
      </c>
      <c r="DH169" s="23">
        <f>EXP(-LN(2)/2)*DH168+(1-EXP(-LN(2)/2))/(LN(2)/2)*DB169*DE169*VLOOKUP('Données projet'!$B$9,Paramètres!$A$1:$I$88,3,0)*0.475*44/12</f>
        <v>0</v>
      </c>
      <c r="DI169" s="24">
        <f t="shared" si="175"/>
        <v>0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IF(A169&lt;'Données projet'!$A$166,$DL$205^A169,IF(A169='Données projet'!$A$166,'Données projet'!$B$166,DO168+DN169-DW168))</f>
        <v>-8.5265128291212022E-14</v>
      </c>
      <c r="DP169" s="18">
        <f>DO169*VLOOKUP('Données projet'!$B$14,Paramètres!$A$1:$I$88,3,0)*VLOOKUP('Données projet'!$B$14,Paramètres!$A$1:$I$88,5,0)</f>
        <v>-4.9880100050359036E-14</v>
      </c>
      <c r="DQ169" s="14" t="e">
        <f t="shared" si="176"/>
        <v>#NUM!</v>
      </c>
      <c r="DR169" s="22" t="e">
        <f t="shared" si="177"/>
        <v>#NUM!</v>
      </c>
      <c r="DS169" s="62" t="e">
        <f t="shared" si="130"/>
        <v>#NUM!</v>
      </c>
      <c r="DT169" s="62">
        <f ca="1">AVERAGE(OFFSET($DS$3,0,0,'Données projet'!$E$14+1,1))-AVERAGE(OFFSET($H$3,0,0,'Données projet'!$E$14+1,1))</f>
        <v>155.18073137151848</v>
      </c>
      <c r="DU169" s="62">
        <f t="shared" si="131"/>
        <v>115.19459155667272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projet'!$B$14,Paramètres!$A$1:$I$88,7,0))</f>
        <v>0</v>
      </c>
      <c r="DY169" s="17">
        <f>IF(ISNA(VLOOKUP(A169,'Données projet'!$A$165:$I$185,6,0)),0%,VLOOKUP(A169,'Données projet'!$A$165:$I$185,6,0)*VLOOKUP('Données projet'!$B$14,Paramètres!$A$1:$I$88,7,0))</f>
        <v>0</v>
      </c>
      <c r="DZ169" s="17">
        <f>IF(ISNA(VLOOKUP(A169,'Données projet'!$A$165:$I$185,7,0)),0%,VLOOKUP(A169,'Données projet'!$A$165:$I$185,7,0))</f>
        <v>0</v>
      </c>
      <c r="EA169" s="23">
        <f>EXP(-LN(2)/35)*EA168+(1-EXP(-LN(2)/35))/(LN(2)/35)*DW169*DX169*VLOOKUP('Données projet'!$B$9,Paramètres!$A$1:$I$88,3,0)*0.475*44/12</f>
        <v>0</v>
      </c>
      <c r="EB169" s="23">
        <f>EXP(-LN(2)/25)*EB168+(1-EXP(-LN(2)/25))/(LN(2)/25)*Calculateur!DW169*Calculateur!DY169*VLOOKUP('Données projet'!$B$9,Paramètres!$A$1:$I$88,3,0)*0.475*44/12</f>
        <v>0</v>
      </c>
      <c r="EC169" s="23">
        <f>EXP(-LN(2)/2)*EC168+(1-EXP(-LN(2)/2))/(LN(2)/2)*DW169*DZ169*VLOOKUP('Données projet'!$B$9,Paramètres!$A$1:$I$88,3,0)*0.475*44/12</f>
        <v>0</v>
      </c>
      <c r="ED169" s="24">
        <f t="shared" si="178"/>
        <v>0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IF(A169&lt;'Données projet'!$A$192,$EG$205^A169,IF(A169='Données projet'!$A$192,'Données projet'!$B$192,EJ168+EI169-ER168))</f>
        <v>-5.6843418860808015E-14</v>
      </c>
      <c r="EK169" s="18">
        <f>EJ169*VLOOKUP('Données projet'!$B$15,Paramètres!$A$1:$I$88,3,0)*VLOOKUP('Données projet'!$B$15,Paramètres!$A$1:$I$88,5,0)</f>
        <v>-2.6602720026858149E-14</v>
      </c>
      <c r="EL169" s="14" t="e">
        <f t="shared" si="179"/>
        <v>#NUM!</v>
      </c>
      <c r="EM169" s="22" t="e">
        <f t="shared" si="180"/>
        <v>#NUM!</v>
      </c>
      <c r="EN169" s="62" t="e">
        <f t="shared" si="134"/>
        <v>#NUM!</v>
      </c>
      <c r="EO169" s="62">
        <f ca="1">AVERAGE(OFFSET($EN$3,0,0,'Données projet'!$E$15+1,1))-AVERAGE(OFFSET($H$3,0,0,'Données projet'!$E$15+1,1))</f>
        <v>238.59014604384171</v>
      </c>
      <c r="EP169" s="62">
        <f t="shared" si="135"/>
        <v>90.841373219575217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projet'!$B$15,Paramètres!$A$1:$I$88,7,0))</f>
        <v>0</v>
      </c>
      <c r="ET169" s="17">
        <f>IF(ISNA(VLOOKUP(A169,'Données projet'!$A$191:$I$211,6,0)),0%,VLOOKUP(A169,'Données projet'!$A$191:$I$211,6,0)*VLOOKUP('Données projet'!$B$15,Paramètres!$A$1:$I$88,7,0))</f>
        <v>0</v>
      </c>
      <c r="EU169" s="17">
        <f>IF(ISNA(VLOOKUP(A169,'Données projet'!$A$191:$I$211,7,0)),0%,VLOOKUP(A169,'Données projet'!$A$191:$I$211,7,0))</f>
        <v>0</v>
      </c>
      <c r="EV169" s="23">
        <f>EXP(-LN(2)/35)*EV168+(1-EXP(-LN(2)/35))/(LN(2)/35)*ER169*ES169*VLOOKUP('Données projet'!$B$9,Paramètres!$A$1:$I$88,3,0)*0.475*44/12</f>
        <v>0</v>
      </c>
      <c r="EW169" s="23">
        <f>EXP(-LN(2)/25)*EW168+(1-EXP(-LN(2)/25))/(LN(2)/25)*Calculateur!ER169*Calculateur!ET169*VLOOKUP('Données projet'!$B$9,Paramètres!$A$1:$I$88,3,0)*0.475*44/12</f>
        <v>0</v>
      </c>
      <c r="EX169" s="23">
        <f>EXP(-LN(2)/2)*EX168+(1-EXP(-LN(2)/2))/(LN(2)/2)*ER169*EU169*VLOOKUP('Données projet'!$B$9,Paramètres!$A$1:$I$88,3,0)*0.475*44/12</f>
        <v>0</v>
      </c>
      <c r="EY169" s="24">
        <f t="shared" si="181"/>
        <v>0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IF(A169&lt;'Données projet'!$A$218,$FB$205^A169,IF(A169='Données projet'!$A$218,'Données projet'!$B$218,FE168+FD169-FM168))</f>
        <v>0</v>
      </c>
      <c r="FF169" s="18" t="e">
        <f>FE169*VLOOKUP('Données projet'!$B$16,Paramètres!$A$1:$I$88,3,0)*VLOOKUP('Données projet'!$B$16,Paramètres!$A$1:$I$88,5,0)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8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39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projet'!$B$16,Paramètres!$A$1:$I$88,7,0))</f>
        <v>0</v>
      </c>
      <c r="FO169" s="17">
        <f>IF(ISNA(VLOOKUP(A169,'Données projet'!$A$217:$I$237,6,0)),0%,VLOOKUP(A169,'Données projet'!$A$217:$I$237,6,0)*VLOOKUP('Données projet'!$B$16,Paramètres!$A$1:$I$88,7,0))</f>
        <v>0</v>
      </c>
      <c r="FP169" s="17">
        <f>IF(ISNA(VLOOKUP(A169,'Données projet'!$A$217:$I$237,7,0)),0%,VLOOKUP(A169,'Données projet'!$A$217:$I$237,7,0))</f>
        <v>0</v>
      </c>
      <c r="FQ169" s="23">
        <f>EXP(-LN(2)/35)*FQ168+(1-EXP(-LN(2)/35))/(LN(2)/35)*FM169*FN169*VLOOKUP('Données projet'!$B$9,Paramètres!$A$1:$I$88,3,0)*0.475*44/12</f>
        <v>0</v>
      </c>
      <c r="FR169" s="23">
        <f>EXP(-LN(2)/25)*FR168+(1-EXP(-LN(2)/25))/(LN(2)/25)*Calculateur!FM169*Calculateur!FO169*VLOOKUP('Données projet'!$B$9,Paramètres!$A$1:$I$88,3,0)*0.475*44/12</f>
        <v>0</v>
      </c>
      <c r="FS169" s="23">
        <f>EXP(-LN(2)/2)*FS168+(1-EXP(-LN(2)/2))/(LN(2)/2)*FM169*FP169*VLOOKUP('Données projet'!$B$9,Paramètres!$A$1:$I$88,3,0)*0.475*44/12</f>
        <v>0</v>
      </c>
      <c r="FT169" s="24">
        <f t="shared" si="184"/>
        <v>0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IF(A169&lt;'Données projet'!$A$244,$FW$205^A169,IF(A169='Données projet'!$A$244,'Données projet'!$B$244,FZ168+FY169-GH168))</f>
        <v>0</v>
      </c>
      <c r="GA169" s="18" t="e">
        <f>FZ169*VLOOKUP('Données projet'!$B$17,Paramètres!$A$1:$I$88,3,0)*VLOOKUP('Données projet'!$B$17,Paramètres!$A$1:$I$88,5,0)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42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43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projet'!$B$17,Paramètres!$A$1:$I$88,7,0))</f>
        <v>0</v>
      </c>
      <c r="GJ169" s="17">
        <f>IF(ISNA(VLOOKUP(A169,'Données projet'!$A$243:$I$263,6,0)),0%,VLOOKUP(A169,'Données projet'!$A$243:$I$263,6,0)*VLOOKUP('Données projet'!$B$17,Paramètres!$A$1:$I$88,7,0))</f>
        <v>0</v>
      </c>
      <c r="GK169" s="17">
        <f>IF(ISNA(VLOOKUP(A169,'Données projet'!$A$243:$I$263,7,0)),0%,VLOOKUP(A169,'Données projet'!$A$243:$I$263,7,0))</f>
        <v>0</v>
      </c>
      <c r="GL169" s="23">
        <f>EXP(-LN(2)/35)*GL168+(1-EXP(-LN(2)/35))/(LN(2)/35)*GH169*GI169*VLOOKUP('Données projet'!$B$9,Paramètres!$A$1:$I$88,3,0)*0.475*44/12</f>
        <v>0</v>
      </c>
      <c r="GM169" s="23">
        <f>EXP(-LN(2)/25)*GM168+(1-EXP(-LN(2)/25))/(LN(2)/25)*Calculateur!GH169*Calculateur!GJ169*VLOOKUP('Données projet'!$B$9,Paramètres!$A$1:$I$88,3,0)*0.475*44/12</f>
        <v>0</v>
      </c>
      <c r="GN169" s="23">
        <f>EXP(-LN(2)/2)*GN168+(1-EXP(-LN(2)/2))/(LN(2)/2)*GH169*GK169*VLOOKUP('Données projet'!$B$9,Paramètres!$A$1:$I$88,3,0)*0.475*44/12</f>
        <v>0</v>
      </c>
      <c r="GO169" s="23">
        <f t="shared" si="187"/>
        <v>0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IF(A169&lt;'Données projet'!$A$270,$GR$205^A169,IF(A169='Données projet'!$A$270,'Données projet'!$B$270,GU168+GT169-HC168))</f>
        <v>0</v>
      </c>
      <c r="GV169" s="18" t="e">
        <f>GU169*VLOOKUP('Données projet'!$B$18,Paramètres!$A$1:$I$88,3,0)*VLOOKUP('Données projet'!$B$18,Paramètres!$A$1:$I$88,5,0)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46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47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projet'!$B$18,Paramètres!$A$1:$I$88,7,0))</f>
        <v>0</v>
      </c>
      <c r="HE169" s="17">
        <f>IF(ISNA(VLOOKUP(A169,'Données projet'!$A$269:$I$289,6,0)),0%,VLOOKUP(A169,'Données projet'!$A$269:$I$289,6,0)*VLOOKUP('Données projet'!$B$18,Paramètres!$A$1:$I$88,7,0))</f>
        <v>0</v>
      </c>
      <c r="HF169" s="17">
        <f>IF(ISNA(VLOOKUP(A169,'Données projet'!$A$269:$I$289,7,0)),0%,VLOOKUP(A169,'Données projet'!$A$269:$I$289,7,0))</f>
        <v>0</v>
      </c>
      <c r="HG169" s="23">
        <f>EXP(-LN(2)/35)*HG168+(1-EXP(-LN(2)/35))/(LN(2)/35)*HC169*HD169*VLOOKUP('Données projet'!$B$9,Paramètres!$A$1:$I$88,3,0)*0.475*44/12</f>
        <v>0</v>
      </c>
      <c r="HH169" s="23">
        <f>EXP(-LN(2)/25)*HH168+(1-EXP(-LN(2)/25))/(LN(2)/25)*Calculateur!HC169*Calculateur!HE169*VLOOKUP('Données projet'!$B$9,Paramètres!$A$1:$I$88,3,0)*0.475*44/12</f>
        <v>0</v>
      </c>
      <c r="HI169" s="23">
        <f>EXP(-LN(2)/2)*HI168+(1-EXP(-LN(2)/2))/(LN(2)/2)*HC169*HF169*VLOOKUP('Données projet'!$B$9,Paramètres!$A$1:$I$88,3,0)*0.475*44/12</f>
        <v>0</v>
      </c>
      <c r="HJ169" s="24">
        <f t="shared" si="190"/>
        <v>0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0" s="12">
        <f t="shared" si="15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111"/>
        <v>135.66666666666666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IF(A170&lt;'Données projet'!$A$36,$K$205^A170,IF(A170='Données projet'!$A$36,'Données projet'!$B$36,N169+M170-V169))</f>
        <v>0</v>
      </c>
      <c r="O170" s="14">
        <f>N170*VLOOKUP('Données projet'!$B$9,Paramètres!$A$1:$I$88,3,0)*VLOOKUP('Données projet'!$B$9,Paramètres!$A$1:$I$88,5,0)</f>
        <v>0</v>
      </c>
      <c r="P170" s="14" t="e">
        <f t="shared" si="15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314.72063458462026</v>
      </c>
      <c r="T170" s="62">
        <f t="shared" si="110"/>
        <v>216.4380325968244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projet'!$B$9,Paramètres!$A$1:$I$88,7,0))</f>
        <v>0</v>
      </c>
      <c r="X170" s="17">
        <f>IF(ISNA(VLOOKUP(A170,'Données projet'!$A$35:$I$55,6,0)),0%,VLOOKUP(A170,'Données projet'!$A$35:$I$55,6,0)*VLOOKUP('Données projet'!$B$9,Paramètres!$A$1:$I$88,7,0))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projet'!$B$9,Paramètres!$A$1:$I$88,3,0)*0.475*44/12</f>
        <v>0</v>
      </c>
      <c r="AA170" s="23">
        <f>EXP(-LN(2)/25)*AA169+(1-EXP(-LN(2)/25))/(LN(2)/25)*Calculateur!V170*Calculateur!X170*VLOOKUP('Données projet'!$B$9,Paramètres!$A$1:$I$88,3,0)*0.475*44/12</f>
        <v>0</v>
      </c>
      <c r="AB170" s="23">
        <f>EXP(-LN(2)/2)*AB169+(1-EXP(-LN(2)/2))/(LN(2)/2)*V170*Y170*VLOOKUP('Données projet'!$B$9,Paramètres!$A$1:$I$88,3,0)*0.475*44/12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IF(A170&lt;'Données projet'!$A$62,$AF$205^A170,IF(A170='Données projet'!$A$62,'Données projet'!$B$62,AI169+AH170-AQ169))</f>
        <v>1.1368683772161603E-13</v>
      </c>
      <c r="AJ170" s="14">
        <f>AI170*VLOOKUP('Données projet'!$B$10,Paramètres!$A$1:$I$88,3,0)*VLOOKUP('Données projet'!$B$10,Paramètres!$A$1:$I$88,5,0)</f>
        <v>1.1882548278663309E-13</v>
      </c>
      <c r="AK170" s="14">
        <f t="shared" si="164"/>
        <v>1.7496137229198366E-12</v>
      </c>
      <c r="AL170" s="22">
        <f t="shared" si="165"/>
        <v>3.2541982832721012E-12</v>
      </c>
      <c r="AM170" s="62">
        <f t="shared" si="114"/>
        <v>285.83733633982774</v>
      </c>
      <c r="AN170" s="62">
        <f ca="1">AVERAGE(OFFSET($AM$3,0,0,'Données projet'!$E$10+1,1))-AVERAGE(OFFSET($H$3,0,0,'Données projet'!$E$10+1,1))</f>
        <v>458.33072853676879</v>
      </c>
      <c r="AO170" s="62">
        <f t="shared" si="115"/>
        <v>254.1734169352687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projet'!$B$10,Paramètres!$A$1:$I$88,7,0))</f>
        <v>0</v>
      </c>
      <c r="AS170" s="17">
        <f>IF(ISNA(VLOOKUP(A170,'Données projet'!$A$61:$I$81,6,0)),0%,VLOOKUP(A170,'Données projet'!$A$61:$I$81,6,0)*VLOOKUP('Données projet'!$B$10,Paramètres!$A$1:$I$88,7,0))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projet'!$B$9,Paramètres!$A$1:$I$88,3,0)*0.475*44/12</f>
        <v>0</v>
      </c>
      <c r="AV170" s="23">
        <f>EXP(-LN(2)/25)*AV169+(1-EXP(-LN(2)/25))/(LN(2)/25)*Calculateur!AQ170*Calculateur!AS170*VLOOKUP('Données projet'!$B$9,Paramètres!$A$1:$I$88,3,0)*0.475*44/12</f>
        <v>0</v>
      </c>
      <c r="AW170" s="23">
        <f>EXP(-LN(2)/2)*AW169+(1-EXP(-LN(2)/2))/(LN(2)/2)*AQ170*AT170*VLOOKUP('Données projet'!$B$9,Paramètres!$A$1:$I$88,3,0)*0.475*44/12</f>
        <v>0</v>
      </c>
      <c r="AX170" s="23">
        <f t="shared" si="166"/>
        <v>0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IF(A170&lt;'Données projet'!$A$88,$BA$205^A170,IF(A170='Données projet'!$A$88,'Données projet'!$B$88,BD169+BC170-BL169))</f>
        <v>1.1368683772161603E-13</v>
      </c>
      <c r="BE170" s="14">
        <f>BD170*VLOOKUP('Données projet'!$B$11,Paramètres!$A$1:$I$88,3,0)*VLOOKUP('Données projet'!$B$11,Paramètres!$A$1:$I$88,5,0)</f>
        <v>1.1527845344971866E-13</v>
      </c>
      <c r="BF170" s="14">
        <f t="shared" si="167"/>
        <v>1.7033846239409443E-12</v>
      </c>
      <c r="BG170" s="22">
        <f t="shared" si="168"/>
        <v>3.1675048597887374E-12</v>
      </c>
      <c r="BH170" s="62">
        <f t="shared" si="118"/>
        <v>285.83733633982769</v>
      </c>
      <c r="BI170" s="62">
        <f ca="1">AVERAGE(OFFSET($BH$3,0,0,'Données projet'!$E$11+1,1))-AVERAGE(OFFSET($H$3,0,0,'Données projet'!$E$11+1,1))</f>
        <v>447.82618173893104</v>
      </c>
      <c r="BJ170" s="62">
        <f t="shared" si="119"/>
        <v>248.96509970783379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projet'!$B$11,Paramètres!$A$1:$I$88,7,0))</f>
        <v>0</v>
      </c>
      <c r="BN170" s="17">
        <f>IF(ISNA(VLOOKUP(A170,'Données projet'!$A$87:$I$107,6,0)),0%,VLOOKUP(A170,'Données projet'!$A$87:$I$107,6,0)*VLOOKUP('Données projet'!$B$11,Paramètres!$A$1:$I$88,7,0))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projet'!$B$9,Paramètres!$A$1:$I$88,3,0)*0.475*44/12</f>
        <v>0</v>
      </c>
      <c r="BQ170" s="23">
        <f>EXP(-LN(2)/25)*BQ169+(1-EXP(-LN(2)/25))/(LN(2)/25)*Calculateur!BL170*Calculateur!BN170*VLOOKUP('Données projet'!$B$9,Paramètres!$A$1:$I$88,3,0)*0.475*44/12</f>
        <v>0</v>
      </c>
      <c r="BR170" s="23">
        <f>EXP(-LN(2)/2)*BR169+(1-EXP(-LN(2)/2))/(LN(2)/2)*BL170*BO170*VLOOKUP('Données projet'!$B$9,Paramètres!$A$1:$I$88,3,0)*0.475*44/12</f>
        <v>0</v>
      </c>
      <c r="BS170" s="24">
        <f t="shared" si="169"/>
        <v>0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IF(A170&lt;'Données projet'!$A$114,$BV$205^A170,IF(A170='Données projet'!$A$114,'Données projet'!$B$114,BY169+BX170-CG169))</f>
        <v>1.1368683772161603E-13</v>
      </c>
      <c r="BZ170" s="14">
        <f>BY170*VLOOKUP('Données projet'!$B$12,Paramètres!$A$1:$I$88,3,0)*VLOOKUP('Données projet'!$B$12,Paramètres!$A$1:$I$88,5,0)</f>
        <v>1.223725121235475E-13</v>
      </c>
      <c r="CA170" s="14">
        <f t="shared" si="170"/>
        <v>1.7956824466038182E-12</v>
      </c>
      <c r="CB170" s="22">
        <f t="shared" si="171"/>
        <v>3.3406123864501612E-12</v>
      </c>
      <c r="CC170" s="62">
        <f t="shared" si="122"/>
        <v>285.83733633982786</v>
      </c>
      <c r="CD170" s="62">
        <f ca="1">AVERAGE(OFFSET($CC$3,0,0,'Données projet'!$E$12+1,1))-AVERAGE(OFFSET($H$3,0,0,'Données projet'!$E$12+1,1))</f>
        <v>468.82871618425406</v>
      </c>
      <c r="CE170" s="62">
        <f t="shared" si="123"/>
        <v>259.37818128554397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projet'!$B$12,Paramètres!$A$1:$I$88,7,0))</f>
        <v>0</v>
      </c>
      <c r="CI170" s="17">
        <f>IF(ISNA(VLOOKUP(A170,'Données projet'!$A$113:$I$133,6,0)),0%,VLOOKUP(A170,'Données projet'!$A$113:$I$133,6,0)*VLOOKUP('Données projet'!$B$12,Paramètres!$A$1:$I$88,7,0))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projet'!$B$9,Paramètres!$A$1:$I$88,3,0)*0.475*44/12</f>
        <v>0</v>
      </c>
      <c r="CL170" s="23">
        <f>EXP(-LN(2)/25)*CL169+(1-EXP(-LN(2)/25))/(LN(2)/25)*Calculateur!CG170*Calculateur!CI170*VLOOKUP('Données projet'!$B$9,Paramètres!$A$1:$I$88,3,0)*0.475*44/12</f>
        <v>0</v>
      </c>
      <c r="CM170" s="23">
        <f>EXP(-LN(2)/2)*CM169+(1-EXP(-LN(2)/2))/(LN(2)/2)*CG170*CJ170*VLOOKUP('Données projet'!$B$9,Paramètres!$A$1:$I$88,3,0)*0.475*44/12</f>
        <v>0</v>
      </c>
      <c r="CN170" s="24">
        <f t="shared" si="172"/>
        <v>0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IF(A170&lt;'Données projet'!$A$140,$CQ$205^A170,IF(A170='Données projet'!$A$140,'Données projet'!$B$140,CT169+CS170-DB169))</f>
        <v>1.1368683772161603E-13</v>
      </c>
      <c r="CU170" s="18">
        <f>CT170*VLOOKUP('Données projet'!$B$13,Paramètres!$A$1:$I$88,3,0)*VLOOKUP('Données projet'!$B$13,Paramètres!$A$1:$I$88,5,0)</f>
        <v>9.7543306765146564E-14</v>
      </c>
      <c r="CV170" s="14">
        <f t="shared" si="173"/>
        <v>1.4696264278629426E-12</v>
      </c>
      <c r="CW170" s="22">
        <f t="shared" si="174"/>
        <v>2.7294872878105889E-12</v>
      </c>
      <c r="CX170" s="62">
        <f t="shared" si="126"/>
        <v>285.83733633982723</v>
      </c>
      <c r="CY170" s="62">
        <f ca="1">AVERAGE(OFFSET($CX$3,0,0,'Données projet'!$E$13+1,1))-AVERAGE(OFFSET($H$3,0,0,'Données projet'!$E$13+1,1))</f>
        <v>395.19659151668884</v>
      </c>
      <c r="CZ170" s="62">
        <f t="shared" si="127"/>
        <v>222.86563304507339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projet'!$B$13,Paramètres!$A$1:$I$88,7,0))</f>
        <v>0</v>
      </c>
      <c r="DD170" s="17">
        <f>IF(ISNA(VLOOKUP(A170,'Données projet'!$A$139:$I$159,6,0)),0%,VLOOKUP(A170,'Données projet'!$A$139:$I$159,6,0)*VLOOKUP('Données projet'!$B$13,Paramètres!$A$1:$I$88,7,0))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projet'!$B$9,Paramètres!$A$1:$I$88,3,0)*0.475*44/12</f>
        <v>0</v>
      </c>
      <c r="DG170" s="23">
        <f>EXP(-LN(2)/25)*DG169+(1-EXP(-LN(2)/25))/(LN(2)/25)*Calculateur!DB170*Calculateur!DD170*VLOOKUP('Données projet'!$B$9,Paramètres!$A$1:$I$88,3,0)*0.475*44/12</f>
        <v>0</v>
      </c>
      <c r="DH170" s="23">
        <f>EXP(-LN(2)/2)*DH169+(1-EXP(-LN(2)/2))/(LN(2)/2)*DB170*DE170*VLOOKUP('Données projet'!$B$9,Paramètres!$A$1:$I$88,3,0)*0.475*44/12</f>
        <v>0</v>
      </c>
      <c r="DI170" s="24">
        <f t="shared" si="175"/>
        <v>0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IF(A170&lt;'Données projet'!$A$166,$DL$205^A170,IF(A170='Données projet'!$A$166,'Données projet'!$B$166,DO169+DN170-DW169))</f>
        <v>-8.5265128291212022E-14</v>
      </c>
      <c r="DP170" s="18">
        <f>DO170*VLOOKUP('Données projet'!$B$14,Paramètres!$A$1:$I$88,3,0)*VLOOKUP('Données projet'!$B$14,Paramètres!$A$1:$I$88,5,0)</f>
        <v>-4.9880100050359036E-14</v>
      </c>
      <c r="DQ170" s="14" t="e">
        <f t="shared" si="176"/>
        <v>#NUM!</v>
      </c>
      <c r="DR170" s="22" t="e">
        <f t="shared" si="177"/>
        <v>#NUM!</v>
      </c>
      <c r="DS170" s="62" t="e">
        <f t="shared" si="130"/>
        <v>#NUM!</v>
      </c>
      <c r="DT170" s="62">
        <f ca="1">AVERAGE(OFFSET($DS$3,0,0,'Données projet'!$E$14+1,1))-AVERAGE(OFFSET($H$3,0,0,'Données projet'!$E$14+1,1))</f>
        <v>155.18073137151848</v>
      </c>
      <c r="DU170" s="62">
        <f t="shared" si="131"/>
        <v>115.19459155667272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projet'!$B$14,Paramètres!$A$1:$I$88,7,0))</f>
        <v>0</v>
      </c>
      <c r="DY170" s="17">
        <f>IF(ISNA(VLOOKUP(A170,'Données projet'!$A$165:$I$185,6,0)),0%,VLOOKUP(A170,'Données projet'!$A$165:$I$185,6,0)*VLOOKUP('Données projet'!$B$14,Paramètres!$A$1:$I$88,7,0))</f>
        <v>0</v>
      </c>
      <c r="DZ170" s="17">
        <f>IF(ISNA(VLOOKUP(A170,'Données projet'!$A$165:$I$185,7,0)),0%,VLOOKUP(A170,'Données projet'!$A$165:$I$185,7,0))</f>
        <v>0</v>
      </c>
      <c r="EA170" s="23">
        <f>EXP(-LN(2)/35)*EA169+(1-EXP(-LN(2)/35))/(LN(2)/35)*DW170*DX170*VLOOKUP('Données projet'!$B$9,Paramètres!$A$1:$I$88,3,0)*0.475*44/12</f>
        <v>0</v>
      </c>
      <c r="EB170" s="23">
        <f>EXP(-LN(2)/25)*EB169+(1-EXP(-LN(2)/25))/(LN(2)/25)*Calculateur!DW170*Calculateur!DY170*VLOOKUP('Données projet'!$B$9,Paramètres!$A$1:$I$88,3,0)*0.475*44/12</f>
        <v>0</v>
      </c>
      <c r="EC170" s="23">
        <f>EXP(-LN(2)/2)*EC169+(1-EXP(-LN(2)/2))/(LN(2)/2)*DW170*DZ170*VLOOKUP('Données projet'!$B$9,Paramètres!$A$1:$I$88,3,0)*0.475*44/12</f>
        <v>0</v>
      </c>
      <c r="ED170" s="24">
        <f t="shared" si="178"/>
        <v>0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IF(A170&lt;'Données projet'!$A$192,$EG$205^A170,IF(A170='Données projet'!$A$192,'Données projet'!$B$192,EJ169+EI170-ER169))</f>
        <v>-5.6843418860808015E-14</v>
      </c>
      <c r="EK170" s="18">
        <f>EJ170*VLOOKUP('Données projet'!$B$15,Paramètres!$A$1:$I$88,3,0)*VLOOKUP('Données projet'!$B$15,Paramètres!$A$1:$I$88,5,0)</f>
        <v>-2.6602720026858149E-14</v>
      </c>
      <c r="EL170" s="14" t="e">
        <f t="shared" si="179"/>
        <v>#NUM!</v>
      </c>
      <c r="EM170" s="22" t="e">
        <f t="shared" si="180"/>
        <v>#NUM!</v>
      </c>
      <c r="EN170" s="62" t="e">
        <f t="shared" si="134"/>
        <v>#NUM!</v>
      </c>
      <c r="EO170" s="62">
        <f ca="1">AVERAGE(OFFSET($EN$3,0,0,'Données projet'!$E$15+1,1))-AVERAGE(OFFSET($H$3,0,0,'Données projet'!$E$15+1,1))</f>
        <v>238.59014604384171</v>
      </c>
      <c r="EP170" s="62">
        <f t="shared" si="135"/>
        <v>90.841373219575217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projet'!$B$15,Paramètres!$A$1:$I$88,7,0))</f>
        <v>0</v>
      </c>
      <c r="ET170" s="17">
        <f>IF(ISNA(VLOOKUP(A170,'Données projet'!$A$191:$I$211,6,0)),0%,VLOOKUP(A170,'Données projet'!$A$191:$I$211,6,0)*VLOOKUP('Données projet'!$B$15,Paramètres!$A$1:$I$88,7,0))</f>
        <v>0</v>
      </c>
      <c r="EU170" s="17">
        <f>IF(ISNA(VLOOKUP(A170,'Données projet'!$A$191:$I$211,7,0)),0%,VLOOKUP(A170,'Données projet'!$A$191:$I$211,7,0))</f>
        <v>0</v>
      </c>
      <c r="EV170" s="23">
        <f>EXP(-LN(2)/35)*EV169+(1-EXP(-LN(2)/35))/(LN(2)/35)*ER170*ES170*VLOOKUP('Données projet'!$B$9,Paramètres!$A$1:$I$88,3,0)*0.475*44/12</f>
        <v>0</v>
      </c>
      <c r="EW170" s="23">
        <f>EXP(-LN(2)/25)*EW169+(1-EXP(-LN(2)/25))/(LN(2)/25)*Calculateur!ER170*Calculateur!ET170*VLOOKUP('Données projet'!$B$9,Paramètres!$A$1:$I$88,3,0)*0.475*44/12</f>
        <v>0</v>
      </c>
      <c r="EX170" s="23">
        <f>EXP(-LN(2)/2)*EX169+(1-EXP(-LN(2)/2))/(LN(2)/2)*ER170*EU170*VLOOKUP('Données projet'!$B$9,Paramètres!$A$1:$I$88,3,0)*0.475*44/12</f>
        <v>0</v>
      </c>
      <c r="EY170" s="24">
        <f t="shared" si="181"/>
        <v>0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IF(A170&lt;'Données projet'!$A$218,$FB$205^A170,IF(A170='Données projet'!$A$218,'Données projet'!$B$218,FE169+FD170-FM169))</f>
        <v>0</v>
      </c>
      <c r="FF170" s="18" t="e">
        <f>FE170*VLOOKUP('Données projet'!$B$16,Paramètres!$A$1:$I$88,3,0)*VLOOKUP('Données projet'!$B$16,Paramètres!$A$1:$I$88,5,0)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8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39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projet'!$B$16,Paramètres!$A$1:$I$88,7,0))</f>
        <v>0</v>
      </c>
      <c r="FO170" s="17">
        <f>IF(ISNA(VLOOKUP(A170,'Données projet'!$A$217:$I$237,6,0)),0%,VLOOKUP(A170,'Données projet'!$A$217:$I$237,6,0)*VLOOKUP('Données projet'!$B$16,Paramètres!$A$1:$I$88,7,0))</f>
        <v>0</v>
      </c>
      <c r="FP170" s="17">
        <f>IF(ISNA(VLOOKUP(A170,'Données projet'!$A$217:$I$237,7,0)),0%,VLOOKUP(A170,'Données projet'!$A$217:$I$237,7,0))</f>
        <v>0</v>
      </c>
      <c r="FQ170" s="23">
        <f>EXP(-LN(2)/35)*FQ169+(1-EXP(-LN(2)/35))/(LN(2)/35)*FM170*FN170*VLOOKUP('Données projet'!$B$9,Paramètres!$A$1:$I$88,3,0)*0.475*44/12</f>
        <v>0</v>
      </c>
      <c r="FR170" s="23">
        <f>EXP(-LN(2)/25)*FR169+(1-EXP(-LN(2)/25))/(LN(2)/25)*Calculateur!FM170*Calculateur!FO170*VLOOKUP('Données projet'!$B$9,Paramètres!$A$1:$I$88,3,0)*0.475*44/12</f>
        <v>0</v>
      </c>
      <c r="FS170" s="23">
        <f>EXP(-LN(2)/2)*FS169+(1-EXP(-LN(2)/2))/(LN(2)/2)*FM170*FP170*VLOOKUP('Données projet'!$B$9,Paramètres!$A$1:$I$88,3,0)*0.475*44/12</f>
        <v>0</v>
      </c>
      <c r="FT170" s="24">
        <f t="shared" si="184"/>
        <v>0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IF(A170&lt;'Données projet'!$A$244,$FW$205^A170,IF(A170='Données projet'!$A$244,'Données projet'!$B$244,FZ169+FY170-GH169))</f>
        <v>0</v>
      </c>
      <c r="GA170" s="18" t="e">
        <f>FZ170*VLOOKUP('Données projet'!$B$17,Paramètres!$A$1:$I$88,3,0)*VLOOKUP('Données projet'!$B$17,Paramètres!$A$1:$I$88,5,0)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42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43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projet'!$B$17,Paramètres!$A$1:$I$88,7,0))</f>
        <v>0</v>
      </c>
      <c r="GJ170" s="17">
        <f>IF(ISNA(VLOOKUP(A170,'Données projet'!$A$243:$I$263,6,0)),0%,VLOOKUP(A170,'Données projet'!$A$243:$I$263,6,0)*VLOOKUP('Données projet'!$B$17,Paramètres!$A$1:$I$88,7,0))</f>
        <v>0</v>
      </c>
      <c r="GK170" s="17">
        <f>IF(ISNA(VLOOKUP(A170,'Données projet'!$A$243:$I$263,7,0)),0%,VLOOKUP(A170,'Données projet'!$A$243:$I$263,7,0))</f>
        <v>0</v>
      </c>
      <c r="GL170" s="23">
        <f>EXP(-LN(2)/35)*GL169+(1-EXP(-LN(2)/35))/(LN(2)/35)*GH170*GI170*VLOOKUP('Données projet'!$B$9,Paramètres!$A$1:$I$88,3,0)*0.475*44/12</f>
        <v>0</v>
      </c>
      <c r="GM170" s="23">
        <f>EXP(-LN(2)/25)*GM169+(1-EXP(-LN(2)/25))/(LN(2)/25)*Calculateur!GH170*Calculateur!GJ170*VLOOKUP('Données projet'!$B$9,Paramètres!$A$1:$I$88,3,0)*0.475*44/12</f>
        <v>0</v>
      </c>
      <c r="GN170" s="23">
        <f>EXP(-LN(2)/2)*GN169+(1-EXP(-LN(2)/2))/(LN(2)/2)*GH170*GK170*VLOOKUP('Données projet'!$B$9,Paramètres!$A$1:$I$88,3,0)*0.475*44/12</f>
        <v>0</v>
      </c>
      <c r="GO170" s="23">
        <f t="shared" si="187"/>
        <v>0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IF(A170&lt;'Données projet'!$A$270,$GR$205^A170,IF(A170='Données projet'!$A$270,'Données projet'!$B$270,GU169+GT170-HC169))</f>
        <v>0</v>
      </c>
      <c r="GV170" s="18" t="e">
        <f>GU170*VLOOKUP('Données projet'!$B$18,Paramètres!$A$1:$I$88,3,0)*VLOOKUP('Données projet'!$B$18,Paramètres!$A$1:$I$88,5,0)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46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47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projet'!$B$18,Paramètres!$A$1:$I$88,7,0))</f>
        <v>0</v>
      </c>
      <c r="HE170" s="17">
        <f>IF(ISNA(VLOOKUP(A170,'Données projet'!$A$269:$I$289,6,0)),0%,VLOOKUP(A170,'Données projet'!$A$269:$I$289,6,0)*VLOOKUP('Données projet'!$B$18,Paramètres!$A$1:$I$88,7,0))</f>
        <v>0</v>
      </c>
      <c r="HF170" s="17">
        <f>IF(ISNA(VLOOKUP(A170,'Données projet'!$A$269:$I$289,7,0)),0%,VLOOKUP(A170,'Données projet'!$A$269:$I$289,7,0))</f>
        <v>0</v>
      </c>
      <c r="HG170" s="23">
        <f>EXP(-LN(2)/35)*HG169+(1-EXP(-LN(2)/35))/(LN(2)/35)*HC170*HD170*VLOOKUP('Données projet'!$B$9,Paramètres!$A$1:$I$88,3,0)*0.475*44/12</f>
        <v>0</v>
      </c>
      <c r="HH170" s="23">
        <f>EXP(-LN(2)/25)*HH169+(1-EXP(-LN(2)/25))/(LN(2)/25)*Calculateur!HC170*Calculateur!HE170*VLOOKUP('Données projet'!$B$9,Paramètres!$A$1:$I$88,3,0)*0.475*44/12</f>
        <v>0</v>
      </c>
      <c r="HI170" s="23">
        <f>EXP(-LN(2)/2)*HI169+(1-EXP(-LN(2)/2))/(LN(2)/2)*HC170*HF170*VLOOKUP('Données projet'!$B$9,Paramètres!$A$1:$I$88,3,0)*0.475*44/12</f>
        <v>0</v>
      </c>
      <c r="HJ170" s="24">
        <f t="shared" si="190"/>
        <v>0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1" s="12">
        <f t="shared" si="15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111"/>
        <v>135.66666666666666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IF(A171&lt;'Données projet'!$A$36,$K$205^A171,IF(A171='Données projet'!$A$36,'Données projet'!$B$36,N170+M171-V170))</f>
        <v>0</v>
      </c>
      <c r="O171" s="14">
        <f>N171*VLOOKUP('Données projet'!$B$9,Paramètres!$A$1:$I$88,3,0)*VLOOKUP('Données projet'!$B$9,Paramètres!$A$1:$I$88,5,0)</f>
        <v>0</v>
      </c>
      <c r="P171" s="14" t="e">
        <f t="shared" si="15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314.72063458462026</v>
      </c>
      <c r="T171" s="62">
        <f t="shared" si="110"/>
        <v>216.4380325968244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projet'!$B$9,Paramètres!$A$1:$I$88,7,0))</f>
        <v>0</v>
      </c>
      <c r="X171" s="17">
        <f>IF(ISNA(VLOOKUP(A171,'Données projet'!$A$35:$I$55,6,0)),0%,VLOOKUP(A171,'Données projet'!$A$35:$I$55,6,0)*VLOOKUP('Données projet'!$B$9,Paramètres!$A$1:$I$88,7,0))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projet'!$B$9,Paramètres!$A$1:$I$88,3,0)*0.475*44/12</f>
        <v>0</v>
      </c>
      <c r="AA171" s="23">
        <f>EXP(-LN(2)/25)*AA170+(1-EXP(-LN(2)/25))/(LN(2)/25)*Calculateur!V171*Calculateur!X171*VLOOKUP('Données projet'!$B$9,Paramètres!$A$1:$I$88,3,0)*0.475*44/12</f>
        <v>0</v>
      </c>
      <c r="AB171" s="23">
        <f>EXP(-LN(2)/2)*AB170+(1-EXP(-LN(2)/2))/(LN(2)/2)*V171*Y171*VLOOKUP('Données projet'!$B$9,Paramètres!$A$1:$I$88,3,0)*0.475*44/12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IF(A171&lt;'Données projet'!$A$62,$AF$205^A171,IF(A171='Données projet'!$A$62,'Données projet'!$B$62,AI170+AH171-AQ170))</f>
        <v>1.1368683772161603E-13</v>
      </c>
      <c r="AJ171" s="14">
        <f>AI171*VLOOKUP('Données projet'!$B$10,Paramètres!$A$1:$I$88,3,0)*VLOOKUP('Données projet'!$B$10,Paramètres!$A$1:$I$88,5,0)</f>
        <v>1.1882548278663309E-13</v>
      </c>
      <c r="AK171" s="14">
        <f t="shared" si="164"/>
        <v>1.7496137229198366E-12</v>
      </c>
      <c r="AL171" s="22">
        <f t="shared" si="165"/>
        <v>3.2541982832721012E-12</v>
      </c>
      <c r="AM171" s="62">
        <f t="shared" si="114"/>
        <v>285.96737512912642</v>
      </c>
      <c r="AN171" s="62">
        <f ca="1">AVERAGE(OFFSET($AM$3,0,0,'Données projet'!$E$10+1,1))-AVERAGE(OFFSET($H$3,0,0,'Données projet'!$E$10+1,1))</f>
        <v>458.33072853676879</v>
      </c>
      <c r="AO171" s="62">
        <f t="shared" si="115"/>
        <v>254.1734169352687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projet'!$B$10,Paramètres!$A$1:$I$88,7,0))</f>
        <v>0</v>
      </c>
      <c r="AS171" s="17">
        <f>IF(ISNA(VLOOKUP(A171,'Données projet'!$A$61:$I$81,6,0)),0%,VLOOKUP(A171,'Données projet'!$A$61:$I$81,6,0)*VLOOKUP('Données projet'!$B$10,Paramètres!$A$1:$I$88,7,0))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projet'!$B$9,Paramètres!$A$1:$I$88,3,0)*0.475*44/12</f>
        <v>0</v>
      </c>
      <c r="AV171" s="23">
        <f>EXP(-LN(2)/25)*AV170+(1-EXP(-LN(2)/25))/(LN(2)/25)*Calculateur!AQ171*Calculateur!AS171*VLOOKUP('Données projet'!$B$9,Paramètres!$A$1:$I$88,3,0)*0.475*44/12</f>
        <v>0</v>
      </c>
      <c r="AW171" s="23">
        <f>EXP(-LN(2)/2)*AW170+(1-EXP(-LN(2)/2))/(LN(2)/2)*AQ171*AT171*VLOOKUP('Données projet'!$B$9,Paramètres!$A$1:$I$88,3,0)*0.475*44/12</f>
        <v>0</v>
      </c>
      <c r="AX171" s="23">
        <f t="shared" si="166"/>
        <v>0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IF(A171&lt;'Données projet'!$A$88,$BA$205^A171,IF(A171='Données projet'!$A$88,'Données projet'!$B$88,BD170+BC171-BL170))</f>
        <v>1.1368683772161603E-13</v>
      </c>
      <c r="BE171" s="14">
        <f>BD171*VLOOKUP('Données projet'!$B$11,Paramètres!$A$1:$I$88,3,0)*VLOOKUP('Données projet'!$B$11,Paramètres!$A$1:$I$88,5,0)</f>
        <v>1.1527845344971866E-13</v>
      </c>
      <c r="BF171" s="14">
        <f t="shared" si="167"/>
        <v>1.7033846239409443E-12</v>
      </c>
      <c r="BG171" s="22">
        <f t="shared" si="168"/>
        <v>3.1675048597887374E-12</v>
      </c>
      <c r="BH171" s="62">
        <f t="shared" si="118"/>
        <v>285.96737512912637</v>
      </c>
      <c r="BI171" s="62">
        <f ca="1">AVERAGE(OFFSET($BH$3,0,0,'Données projet'!$E$11+1,1))-AVERAGE(OFFSET($H$3,0,0,'Données projet'!$E$11+1,1))</f>
        <v>447.82618173893104</v>
      </c>
      <c r="BJ171" s="62">
        <f t="shared" si="119"/>
        <v>248.96509970783379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projet'!$B$11,Paramètres!$A$1:$I$88,7,0))</f>
        <v>0</v>
      </c>
      <c r="BN171" s="17">
        <f>IF(ISNA(VLOOKUP(A171,'Données projet'!$A$87:$I$107,6,0)),0%,VLOOKUP(A171,'Données projet'!$A$87:$I$107,6,0)*VLOOKUP('Données projet'!$B$11,Paramètres!$A$1:$I$88,7,0))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projet'!$B$9,Paramètres!$A$1:$I$88,3,0)*0.475*44/12</f>
        <v>0</v>
      </c>
      <c r="BQ171" s="23">
        <f>EXP(-LN(2)/25)*BQ170+(1-EXP(-LN(2)/25))/(LN(2)/25)*Calculateur!BL171*Calculateur!BN171*VLOOKUP('Données projet'!$B$9,Paramètres!$A$1:$I$88,3,0)*0.475*44/12</f>
        <v>0</v>
      </c>
      <c r="BR171" s="23">
        <f>EXP(-LN(2)/2)*BR170+(1-EXP(-LN(2)/2))/(LN(2)/2)*BL171*BO171*VLOOKUP('Données projet'!$B$9,Paramètres!$A$1:$I$88,3,0)*0.475*44/12</f>
        <v>0</v>
      </c>
      <c r="BS171" s="24">
        <f t="shared" si="169"/>
        <v>0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IF(A171&lt;'Données projet'!$A$114,$BV$205^A171,IF(A171='Données projet'!$A$114,'Données projet'!$B$114,BY170+BX171-CG170))</f>
        <v>1.1368683772161603E-13</v>
      </c>
      <c r="BZ171" s="14">
        <f>BY171*VLOOKUP('Données projet'!$B$12,Paramètres!$A$1:$I$88,3,0)*VLOOKUP('Données projet'!$B$12,Paramètres!$A$1:$I$88,5,0)</f>
        <v>1.223725121235475E-13</v>
      </c>
      <c r="CA171" s="14">
        <f t="shared" si="170"/>
        <v>1.7956824466038182E-12</v>
      </c>
      <c r="CB171" s="22">
        <f t="shared" si="171"/>
        <v>3.3406123864501612E-12</v>
      </c>
      <c r="CC171" s="62">
        <f t="shared" si="122"/>
        <v>285.96737512912654</v>
      </c>
      <c r="CD171" s="62">
        <f ca="1">AVERAGE(OFFSET($CC$3,0,0,'Données projet'!$E$12+1,1))-AVERAGE(OFFSET($H$3,0,0,'Données projet'!$E$12+1,1))</f>
        <v>468.82871618425406</v>
      </c>
      <c r="CE171" s="62">
        <f t="shared" si="123"/>
        <v>259.37818128554397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projet'!$B$12,Paramètres!$A$1:$I$88,7,0))</f>
        <v>0</v>
      </c>
      <c r="CI171" s="17">
        <f>IF(ISNA(VLOOKUP(A171,'Données projet'!$A$113:$I$133,6,0)),0%,VLOOKUP(A171,'Données projet'!$A$113:$I$133,6,0)*VLOOKUP('Données projet'!$B$12,Paramètres!$A$1:$I$88,7,0))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projet'!$B$9,Paramètres!$A$1:$I$88,3,0)*0.475*44/12</f>
        <v>0</v>
      </c>
      <c r="CL171" s="23">
        <f>EXP(-LN(2)/25)*CL170+(1-EXP(-LN(2)/25))/(LN(2)/25)*Calculateur!CG171*Calculateur!CI171*VLOOKUP('Données projet'!$B$9,Paramètres!$A$1:$I$88,3,0)*0.475*44/12</f>
        <v>0</v>
      </c>
      <c r="CM171" s="23">
        <f>EXP(-LN(2)/2)*CM170+(1-EXP(-LN(2)/2))/(LN(2)/2)*CG171*CJ171*VLOOKUP('Données projet'!$B$9,Paramètres!$A$1:$I$88,3,0)*0.475*44/12</f>
        <v>0</v>
      </c>
      <c r="CN171" s="24">
        <f t="shared" si="172"/>
        <v>0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IF(A171&lt;'Données projet'!$A$140,$CQ$205^A171,IF(A171='Données projet'!$A$140,'Données projet'!$B$140,CT170+CS171-DB170))</f>
        <v>1.1368683772161603E-13</v>
      </c>
      <c r="CU171" s="18">
        <f>CT171*VLOOKUP('Données projet'!$B$13,Paramètres!$A$1:$I$88,3,0)*VLOOKUP('Données projet'!$B$13,Paramètres!$A$1:$I$88,5,0)</f>
        <v>9.7543306765146564E-14</v>
      </c>
      <c r="CV171" s="14">
        <f t="shared" si="173"/>
        <v>1.4696264278629426E-12</v>
      </c>
      <c r="CW171" s="22">
        <f t="shared" si="174"/>
        <v>2.7294872878105889E-12</v>
      </c>
      <c r="CX171" s="62">
        <f t="shared" si="126"/>
        <v>285.96737512912591</v>
      </c>
      <c r="CY171" s="62">
        <f ca="1">AVERAGE(OFFSET($CX$3,0,0,'Données projet'!$E$13+1,1))-AVERAGE(OFFSET($H$3,0,0,'Données projet'!$E$13+1,1))</f>
        <v>395.19659151668884</v>
      </c>
      <c r="CZ171" s="62">
        <f t="shared" si="127"/>
        <v>222.86563304507339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projet'!$B$13,Paramètres!$A$1:$I$88,7,0))</f>
        <v>0</v>
      </c>
      <c r="DD171" s="17">
        <f>IF(ISNA(VLOOKUP(A171,'Données projet'!$A$139:$I$159,6,0)),0%,VLOOKUP(A171,'Données projet'!$A$139:$I$159,6,0)*VLOOKUP('Données projet'!$B$13,Paramètres!$A$1:$I$88,7,0))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projet'!$B$9,Paramètres!$A$1:$I$88,3,0)*0.475*44/12</f>
        <v>0</v>
      </c>
      <c r="DG171" s="23">
        <f>EXP(-LN(2)/25)*DG170+(1-EXP(-LN(2)/25))/(LN(2)/25)*Calculateur!DB171*Calculateur!DD171*VLOOKUP('Données projet'!$B$9,Paramètres!$A$1:$I$88,3,0)*0.475*44/12</f>
        <v>0</v>
      </c>
      <c r="DH171" s="23">
        <f>EXP(-LN(2)/2)*DH170+(1-EXP(-LN(2)/2))/(LN(2)/2)*DB171*DE171*VLOOKUP('Données projet'!$B$9,Paramètres!$A$1:$I$88,3,0)*0.475*44/12</f>
        <v>0</v>
      </c>
      <c r="DI171" s="24">
        <f t="shared" si="175"/>
        <v>0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IF(A171&lt;'Données projet'!$A$166,$DL$205^A171,IF(A171='Données projet'!$A$166,'Données projet'!$B$166,DO170+DN171-DW170))</f>
        <v>-8.5265128291212022E-14</v>
      </c>
      <c r="DP171" s="18">
        <f>DO171*VLOOKUP('Données projet'!$B$14,Paramètres!$A$1:$I$88,3,0)*VLOOKUP('Données projet'!$B$14,Paramètres!$A$1:$I$88,5,0)</f>
        <v>-4.9880100050359036E-14</v>
      </c>
      <c r="DQ171" s="14" t="e">
        <f t="shared" si="176"/>
        <v>#NUM!</v>
      </c>
      <c r="DR171" s="22" t="e">
        <f t="shared" si="177"/>
        <v>#NUM!</v>
      </c>
      <c r="DS171" s="62" t="e">
        <f t="shared" si="130"/>
        <v>#NUM!</v>
      </c>
      <c r="DT171" s="62">
        <f ca="1">AVERAGE(OFFSET($DS$3,0,0,'Données projet'!$E$14+1,1))-AVERAGE(OFFSET($H$3,0,0,'Données projet'!$E$14+1,1))</f>
        <v>155.18073137151848</v>
      </c>
      <c r="DU171" s="62">
        <f t="shared" si="131"/>
        <v>115.19459155667272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projet'!$B$14,Paramètres!$A$1:$I$88,7,0))</f>
        <v>0</v>
      </c>
      <c r="DY171" s="17">
        <f>IF(ISNA(VLOOKUP(A171,'Données projet'!$A$165:$I$185,6,0)),0%,VLOOKUP(A171,'Données projet'!$A$165:$I$185,6,0)*VLOOKUP('Données projet'!$B$14,Paramètres!$A$1:$I$88,7,0))</f>
        <v>0</v>
      </c>
      <c r="DZ171" s="17">
        <f>IF(ISNA(VLOOKUP(A171,'Données projet'!$A$165:$I$185,7,0)),0%,VLOOKUP(A171,'Données projet'!$A$165:$I$185,7,0))</f>
        <v>0</v>
      </c>
      <c r="EA171" s="23">
        <f>EXP(-LN(2)/35)*EA170+(1-EXP(-LN(2)/35))/(LN(2)/35)*DW171*DX171*VLOOKUP('Données projet'!$B$9,Paramètres!$A$1:$I$88,3,0)*0.475*44/12</f>
        <v>0</v>
      </c>
      <c r="EB171" s="23">
        <f>EXP(-LN(2)/25)*EB170+(1-EXP(-LN(2)/25))/(LN(2)/25)*Calculateur!DW171*Calculateur!DY171*VLOOKUP('Données projet'!$B$9,Paramètres!$A$1:$I$88,3,0)*0.475*44/12</f>
        <v>0</v>
      </c>
      <c r="EC171" s="23">
        <f>EXP(-LN(2)/2)*EC170+(1-EXP(-LN(2)/2))/(LN(2)/2)*DW171*DZ171*VLOOKUP('Données projet'!$B$9,Paramètres!$A$1:$I$88,3,0)*0.475*44/12</f>
        <v>0</v>
      </c>
      <c r="ED171" s="24">
        <f t="shared" si="178"/>
        <v>0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IF(A171&lt;'Données projet'!$A$192,$EG$205^A171,IF(A171='Données projet'!$A$192,'Données projet'!$B$192,EJ170+EI171-ER170))</f>
        <v>-5.6843418860808015E-14</v>
      </c>
      <c r="EK171" s="18">
        <f>EJ171*VLOOKUP('Données projet'!$B$15,Paramètres!$A$1:$I$88,3,0)*VLOOKUP('Données projet'!$B$15,Paramètres!$A$1:$I$88,5,0)</f>
        <v>-2.6602720026858149E-14</v>
      </c>
      <c r="EL171" s="14" t="e">
        <f t="shared" si="179"/>
        <v>#NUM!</v>
      </c>
      <c r="EM171" s="22" t="e">
        <f t="shared" si="180"/>
        <v>#NUM!</v>
      </c>
      <c r="EN171" s="62" t="e">
        <f t="shared" si="134"/>
        <v>#NUM!</v>
      </c>
      <c r="EO171" s="62">
        <f ca="1">AVERAGE(OFFSET($EN$3,0,0,'Données projet'!$E$15+1,1))-AVERAGE(OFFSET($H$3,0,0,'Données projet'!$E$15+1,1))</f>
        <v>238.59014604384171</v>
      </c>
      <c r="EP171" s="62">
        <f t="shared" si="135"/>
        <v>90.841373219575217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projet'!$B$15,Paramètres!$A$1:$I$88,7,0))</f>
        <v>0</v>
      </c>
      <c r="ET171" s="17">
        <f>IF(ISNA(VLOOKUP(A171,'Données projet'!$A$191:$I$211,6,0)),0%,VLOOKUP(A171,'Données projet'!$A$191:$I$211,6,0)*VLOOKUP('Données projet'!$B$15,Paramètres!$A$1:$I$88,7,0))</f>
        <v>0</v>
      </c>
      <c r="EU171" s="17">
        <f>IF(ISNA(VLOOKUP(A171,'Données projet'!$A$191:$I$211,7,0)),0%,VLOOKUP(A171,'Données projet'!$A$191:$I$211,7,0))</f>
        <v>0</v>
      </c>
      <c r="EV171" s="23">
        <f>EXP(-LN(2)/35)*EV170+(1-EXP(-LN(2)/35))/(LN(2)/35)*ER171*ES171*VLOOKUP('Données projet'!$B$9,Paramètres!$A$1:$I$88,3,0)*0.475*44/12</f>
        <v>0</v>
      </c>
      <c r="EW171" s="23">
        <f>EXP(-LN(2)/25)*EW170+(1-EXP(-LN(2)/25))/(LN(2)/25)*Calculateur!ER171*Calculateur!ET171*VLOOKUP('Données projet'!$B$9,Paramètres!$A$1:$I$88,3,0)*0.475*44/12</f>
        <v>0</v>
      </c>
      <c r="EX171" s="23">
        <f>EXP(-LN(2)/2)*EX170+(1-EXP(-LN(2)/2))/(LN(2)/2)*ER171*EU171*VLOOKUP('Données projet'!$B$9,Paramètres!$A$1:$I$88,3,0)*0.475*44/12</f>
        <v>0</v>
      </c>
      <c r="EY171" s="24">
        <f t="shared" si="181"/>
        <v>0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IF(A171&lt;'Données projet'!$A$218,$FB$205^A171,IF(A171='Données projet'!$A$218,'Données projet'!$B$218,FE170+FD171-FM170))</f>
        <v>0</v>
      </c>
      <c r="FF171" s="18" t="e">
        <f>FE171*VLOOKUP('Données projet'!$B$16,Paramètres!$A$1:$I$88,3,0)*VLOOKUP('Données projet'!$B$16,Paramètres!$A$1:$I$88,5,0)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8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39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projet'!$B$16,Paramètres!$A$1:$I$88,7,0))</f>
        <v>0</v>
      </c>
      <c r="FO171" s="17">
        <f>IF(ISNA(VLOOKUP(A171,'Données projet'!$A$217:$I$237,6,0)),0%,VLOOKUP(A171,'Données projet'!$A$217:$I$237,6,0)*VLOOKUP('Données projet'!$B$16,Paramètres!$A$1:$I$88,7,0))</f>
        <v>0</v>
      </c>
      <c r="FP171" s="17">
        <f>IF(ISNA(VLOOKUP(A171,'Données projet'!$A$217:$I$237,7,0)),0%,VLOOKUP(A171,'Données projet'!$A$217:$I$237,7,0))</f>
        <v>0</v>
      </c>
      <c r="FQ171" s="23">
        <f>EXP(-LN(2)/35)*FQ170+(1-EXP(-LN(2)/35))/(LN(2)/35)*FM171*FN171*VLOOKUP('Données projet'!$B$9,Paramètres!$A$1:$I$88,3,0)*0.475*44/12</f>
        <v>0</v>
      </c>
      <c r="FR171" s="23">
        <f>EXP(-LN(2)/25)*FR170+(1-EXP(-LN(2)/25))/(LN(2)/25)*Calculateur!FM171*Calculateur!FO171*VLOOKUP('Données projet'!$B$9,Paramètres!$A$1:$I$88,3,0)*0.475*44/12</f>
        <v>0</v>
      </c>
      <c r="FS171" s="23">
        <f>EXP(-LN(2)/2)*FS170+(1-EXP(-LN(2)/2))/(LN(2)/2)*FM171*FP171*VLOOKUP('Données projet'!$B$9,Paramètres!$A$1:$I$88,3,0)*0.475*44/12</f>
        <v>0</v>
      </c>
      <c r="FT171" s="24">
        <f t="shared" si="184"/>
        <v>0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IF(A171&lt;'Données projet'!$A$244,$FW$205^A171,IF(A171='Données projet'!$A$244,'Données projet'!$B$244,FZ170+FY171-GH170))</f>
        <v>0</v>
      </c>
      <c r="GA171" s="18" t="e">
        <f>FZ171*VLOOKUP('Données projet'!$B$17,Paramètres!$A$1:$I$88,3,0)*VLOOKUP('Données projet'!$B$17,Paramètres!$A$1:$I$88,5,0)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42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43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projet'!$B$17,Paramètres!$A$1:$I$88,7,0))</f>
        <v>0</v>
      </c>
      <c r="GJ171" s="17">
        <f>IF(ISNA(VLOOKUP(A171,'Données projet'!$A$243:$I$263,6,0)),0%,VLOOKUP(A171,'Données projet'!$A$243:$I$263,6,0)*VLOOKUP('Données projet'!$B$17,Paramètres!$A$1:$I$88,7,0))</f>
        <v>0</v>
      </c>
      <c r="GK171" s="17">
        <f>IF(ISNA(VLOOKUP(A171,'Données projet'!$A$243:$I$263,7,0)),0%,VLOOKUP(A171,'Données projet'!$A$243:$I$263,7,0))</f>
        <v>0</v>
      </c>
      <c r="GL171" s="23">
        <f>EXP(-LN(2)/35)*GL170+(1-EXP(-LN(2)/35))/(LN(2)/35)*GH171*GI171*VLOOKUP('Données projet'!$B$9,Paramètres!$A$1:$I$88,3,0)*0.475*44/12</f>
        <v>0</v>
      </c>
      <c r="GM171" s="23">
        <f>EXP(-LN(2)/25)*GM170+(1-EXP(-LN(2)/25))/(LN(2)/25)*Calculateur!GH171*Calculateur!GJ171*VLOOKUP('Données projet'!$B$9,Paramètres!$A$1:$I$88,3,0)*0.475*44/12</f>
        <v>0</v>
      </c>
      <c r="GN171" s="23">
        <f>EXP(-LN(2)/2)*GN170+(1-EXP(-LN(2)/2))/(LN(2)/2)*GH171*GK171*VLOOKUP('Données projet'!$B$9,Paramètres!$A$1:$I$88,3,0)*0.475*44/12</f>
        <v>0</v>
      </c>
      <c r="GO171" s="23">
        <f t="shared" si="187"/>
        <v>0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IF(A171&lt;'Données projet'!$A$270,$GR$205^A171,IF(A171='Données projet'!$A$270,'Données projet'!$B$270,GU170+GT171-HC170))</f>
        <v>0</v>
      </c>
      <c r="GV171" s="18" t="e">
        <f>GU171*VLOOKUP('Données projet'!$B$18,Paramètres!$A$1:$I$88,3,0)*VLOOKUP('Données projet'!$B$18,Paramètres!$A$1:$I$88,5,0)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46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47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projet'!$B$18,Paramètres!$A$1:$I$88,7,0))</f>
        <v>0</v>
      </c>
      <c r="HE171" s="17">
        <f>IF(ISNA(VLOOKUP(A171,'Données projet'!$A$269:$I$289,6,0)),0%,VLOOKUP(A171,'Données projet'!$A$269:$I$289,6,0)*VLOOKUP('Données projet'!$B$18,Paramètres!$A$1:$I$88,7,0))</f>
        <v>0</v>
      </c>
      <c r="HF171" s="17">
        <f>IF(ISNA(VLOOKUP(A171,'Données projet'!$A$269:$I$289,7,0)),0%,VLOOKUP(A171,'Données projet'!$A$269:$I$289,7,0))</f>
        <v>0</v>
      </c>
      <c r="HG171" s="23">
        <f>EXP(-LN(2)/35)*HG170+(1-EXP(-LN(2)/35))/(LN(2)/35)*HC171*HD171*VLOOKUP('Données projet'!$B$9,Paramètres!$A$1:$I$88,3,0)*0.475*44/12</f>
        <v>0</v>
      </c>
      <c r="HH171" s="23">
        <f>EXP(-LN(2)/25)*HH170+(1-EXP(-LN(2)/25))/(LN(2)/25)*Calculateur!HC171*Calculateur!HE171*VLOOKUP('Données projet'!$B$9,Paramètres!$A$1:$I$88,3,0)*0.475*44/12</f>
        <v>0</v>
      </c>
      <c r="HI171" s="23">
        <f>EXP(-LN(2)/2)*HI170+(1-EXP(-LN(2)/2))/(LN(2)/2)*HC171*HF171*VLOOKUP('Données projet'!$B$9,Paramètres!$A$1:$I$88,3,0)*0.475*44/12</f>
        <v>0</v>
      </c>
      <c r="HJ171" s="24">
        <f t="shared" si="190"/>
        <v>0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2" s="12">
        <f t="shared" si="15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111"/>
        <v>135.66666666666666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IF(A172&lt;'Données projet'!$A$36,$K$205^A172,IF(A172='Données projet'!$A$36,'Données projet'!$B$36,N171+M172-V171))</f>
        <v>0</v>
      </c>
      <c r="O172" s="14">
        <f>N172*VLOOKUP('Données projet'!$B$9,Paramètres!$A$1:$I$88,3,0)*VLOOKUP('Données projet'!$B$9,Paramètres!$A$1:$I$88,5,0)</f>
        <v>0</v>
      </c>
      <c r="P172" s="14" t="e">
        <f t="shared" si="15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314.72063458462026</v>
      </c>
      <c r="T172" s="62">
        <f t="shared" si="110"/>
        <v>216.4380325968244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projet'!$B$9,Paramètres!$A$1:$I$88,7,0))</f>
        <v>0</v>
      </c>
      <c r="X172" s="17">
        <f>IF(ISNA(VLOOKUP(A172,'Données projet'!$A$35:$I$55,6,0)),0%,VLOOKUP(A172,'Données projet'!$A$35:$I$55,6,0)*VLOOKUP('Données projet'!$B$9,Paramètres!$A$1:$I$88,7,0))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projet'!$B$9,Paramètres!$A$1:$I$88,3,0)*0.475*44/12</f>
        <v>0</v>
      </c>
      <c r="AA172" s="23">
        <f>EXP(-LN(2)/25)*AA171+(1-EXP(-LN(2)/25))/(LN(2)/25)*Calculateur!V172*Calculateur!X172*VLOOKUP('Données projet'!$B$9,Paramètres!$A$1:$I$88,3,0)*0.475*44/12</f>
        <v>0</v>
      </c>
      <c r="AB172" s="23">
        <f>EXP(-LN(2)/2)*AB171+(1-EXP(-LN(2)/2))/(LN(2)/2)*V172*Y172*VLOOKUP('Données projet'!$B$9,Paramètres!$A$1:$I$88,3,0)*0.475*44/12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IF(A172&lt;'Données projet'!$A$62,$AF$205^A172,IF(A172='Données projet'!$A$62,'Données projet'!$B$62,AI171+AH172-AQ171))</f>
        <v>1.1368683772161603E-13</v>
      </c>
      <c r="AJ172" s="14">
        <f>AI172*VLOOKUP('Données projet'!$B$10,Paramètres!$A$1:$I$88,3,0)*VLOOKUP('Données projet'!$B$10,Paramètres!$A$1:$I$88,5,0)</f>
        <v>1.1882548278663309E-13</v>
      </c>
      <c r="AK172" s="14">
        <f t="shared" si="164"/>
        <v>1.7496137229198366E-12</v>
      </c>
      <c r="AL172" s="22">
        <f t="shared" si="165"/>
        <v>3.2541982832721012E-12</v>
      </c>
      <c r="AM172" s="62">
        <f t="shared" si="114"/>
        <v>286.09515803615398</v>
      </c>
      <c r="AN172" s="62">
        <f ca="1">AVERAGE(OFFSET($AM$3,0,0,'Données projet'!$E$10+1,1))-AVERAGE(OFFSET($H$3,0,0,'Données projet'!$E$10+1,1))</f>
        <v>458.33072853676879</v>
      </c>
      <c r="AO172" s="62">
        <f t="shared" si="115"/>
        <v>254.1734169352687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projet'!$B$10,Paramètres!$A$1:$I$88,7,0))</f>
        <v>0</v>
      </c>
      <c r="AS172" s="17">
        <f>IF(ISNA(VLOOKUP(A172,'Données projet'!$A$61:$I$81,6,0)),0%,VLOOKUP(A172,'Données projet'!$A$61:$I$81,6,0)*VLOOKUP('Données projet'!$B$10,Paramètres!$A$1:$I$88,7,0))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projet'!$B$9,Paramètres!$A$1:$I$88,3,0)*0.475*44/12</f>
        <v>0</v>
      </c>
      <c r="AV172" s="23">
        <f>EXP(-LN(2)/25)*AV171+(1-EXP(-LN(2)/25))/(LN(2)/25)*Calculateur!AQ172*Calculateur!AS172*VLOOKUP('Données projet'!$B$9,Paramètres!$A$1:$I$88,3,0)*0.475*44/12</f>
        <v>0</v>
      </c>
      <c r="AW172" s="23">
        <f>EXP(-LN(2)/2)*AW171+(1-EXP(-LN(2)/2))/(LN(2)/2)*AQ172*AT172*VLOOKUP('Données projet'!$B$9,Paramètres!$A$1:$I$88,3,0)*0.475*44/12</f>
        <v>0</v>
      </c>
      <c r="AX172" s="23">
        <f t="shared" si="166"/>
        <v>0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IF(A172&lt;'Données projet'!$A$88,$BA$205^A172,IF(A172='Données projet'!$A$88,'Données projet'!$B$88,BD171+BC172-BL171))</f>
        <v>1.1368683772161603E-13</v>
      </c>
      <c r="BE172" s="14">
        <f>BD172*VLOOKUP('Données projet'!$B$11,Paramètres!$A$1:$I$88,3,0)*VLOOKUP('Données projet'!$B$11,Paramètres!$A$1:$I$88,5,0)</f>
        <v>1.1527845344971866E-13</v>
      </c>
      <c r="BF172" s="14">
        <f t="shared" si="167"/>
        <v>1.7033846239409443E-12</v>
      </c>
      <c r="BG172" s="22">
        <f t="shared" si="168"/>
        <v>3.1675048597887374E-12</v>
      </c>
      <c r="BH172" s="62">
        <f t="shared" si="118"/>
        <v>286.09515803615392</v>
      </c>
      <c r="BI172" s="62">
        <f ca="1">AVERAGE(OFFSET($BH$3,0,0,'Données projet'!$E$11+1,1))-AVERAGE(OFFSET($H$3,0,0,'Données projet'!$E$11+1,1))</f>
        <v>447.82618173893104</v>
      </c>
      <c r="BJ172" s="62">
        <f t="shared" si="119"/>
        <v>248.96509970783379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projet'!$B$11,Paramètres!$A$1:$I$88,7,0))</f>
        <v>0</v>
      </c>
      <c r="BN172" s="17">
        <f>IF(ISNA(VLOOKUP(A172,'Données projet'!$A$87:$I$107,6,0)),0%,VLOOKUP(A172,'Données projet'!$A$87:$I$107,6,0)*VLOOKUP('Données projet'!$B$11,Paramètres!$A$1:$I$88,7,0))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projet'!$B$9,Paramètres!$A$1:$I$88,3,0)*0.475*44/12</f>
        <v>0</v>
      </c>
      <c r="BQ172" s="23">
        <f>EXP(-LN(2)/25)*BQ171+(1-EXP(-LN(2)/25))/(LN(2)/25)*Calculateur!BL172*Calculateur!BN172*VLOOKUP('Données projet'!$B$9,Paramètres!$A$1:$I$88,3,0)*0.475*44/12</f>
        <v>0</v>
      </c>
      <c r="BR172" s="23">
        <f>EXP(-LN(2)/2)*BR171+(1-EXP(-LN(2)/2))/(LN(2)/2)*BL172*BO172*VLOOKUP('Données projet'!$B$9,Paramètres!$A$1:$I$88,3,0)*0.475*44/12</f>
        <v>0</v>
      </c>
      <c r="BS172" s="24">
        <f t="shared" si="169"/>
        <v>0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IF(A172&lt;'Données projet'!$A$114,$BV$205^A172,IF(A172='Données projet'!$A$114,'Données projet'!$B$114,BY171+BX172-CG171))</f>
        <v>1.1368683772161603E-13</v>
      </c>
      <c r="BZ172" s="14">
        <f>BY172*VLOOKUP('Données projet'!$B$12,Paramètres!$A$1:$I$88,3,0)*VLOOKUP('Données projet'!$B$12,Paramètres!$A$1:$I$88,5,0)</f>
        <v>1.223725121235475E-13</v>
      </c>
      <c r="CA172" s="14">
        <f t="shared" si="170"/>
        <v>1.7956824466038182E-12</v>
      </c>
      <c r="CB172" s="22">
        <f t="shared" si="171"/>
        <v>3.3406123864501612E-12</v>
      </c>
      <c r="CC172" s="62">
        <f t="shared" si="122"/>
        <v>286.09515803615409</v>
      </c>
      <c r="CD172" s="62">
        <f ca="1">AVERAGE(OFFSET($CC$3,0,0,'Données projet'!$E$12+1,1))-AVERAGE(OFFSET($H$3,0,0,'Données projet'!$E$12+1,1))</f>
        <v>468.82871618425406</v>
      </c>
      <c r="CE172" s="62">
        <f t="shared" si="123"/>
        <v>259.37818128554397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projet'!$B$12,Paramètres!$A$1:$I$88,7,0))</f>
        <v>0</v>
      </c>
      <c r="CI172" s="17">
        <f>IF(ISNA(VLOOKUP(A172,'Données projet'!$A$113:$I$133,6,0)),0%,VLOOKUP(A172,'Données projet'!$A$113:$I$133,6,0)*VLOOKUP('Données projet'!$B$12,Paramètres!$A$1:$I$88,7,0))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projet'!$B$9,Paramètres!$A$1:$I$88,3,0)*0.475*44/12</f>
        <v>0</v>
      </c>
      <c r="CL172" s="23">
        <f>EXP(-LN(2)/25)*CL171+(1-EXP(-LN(2)/25))/(LN(2)/25)*Calculateur!CG172*Calculateur!CI172*VLOOKUP('Données projet'!$B$9,Paramètres!$A$1:$I$88,3,0)*0.475*44/12</f>
        <v>0</v>
      </c>
      <c r="CM172" s="23">
        <f>EXP(-LN(2)/2)*CM171+(1-EXP(-LN(2)/2))/(LN(2)/2)*CG172*CJ172*VLOOKUP('Données projet'!$B$9,Paramètres!$A$1:$I$88,3,0)*0.475*44/12</f>
        <v>0</v>
      </c>
      <c r="CN172" s="24">
        <f t="shared" si="172"/>
        <v>0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IF(A172&lt;'Données projet'!$A$140,$CQ$205^A172,IF(A172='Données projet'!$A$140,'Données projet'!$B$140,CT171+CS172-DB171))</f>
        <v>1.1368683772161603E-13</v>
      </c>
      <c r="CU172" s="18">
        <f>CT172*VLOOKUP('Données projet'!$B$13,Paramètres!$A$1:$I$88,3,0)*VLOOKUP('Données projet'!$B$13,Paramètres!$A$1:$I$88,5,0)</f>
        <v>9.7543306765146564E-14</v>
      </c>
      <c r="CV172" s="14">
        <f t="shared" si="173"/>
        <v>1.4696264278629426E-12</v>
      </c>
      <c r="CW172" s="22">
        <f t="shared" si="174"/>
        <v>2.7294872878105889E-12</v>
      </c>
      <c r="CX172" s="62">
        <f t="shared" si="126"/>
        <v>286.09515803615346</v>
      </c>
      <c r="CY172" s="62">
        <f ca="1">AVERAGE(OFFSET($CX$3,0,0,'Données projet'!$E$13+1,1))-AVERAGE(OFFSET($H$3,0,0,'Données projet'!$E$13+1,1))</f>
        <v>395.19659151668884</v>
      </c>
      <c r="CZ172" s="62">
        <f t="shared" si="127"/>
        <v>222.86563304507339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projet'!$B$13,Paramètres!$A$1:$I$88,7,0))</f>
        <v>0</v>
      </c>
      <c r="DD172" s="17">
        <f>IF(ISNA(VLOOKUP(A172,'Données projet'!$A$139:$I$159,6,0)),0%,VLOOKUP(A172,'Données projet'!$A$139:$I$159,6,0)*VLOOKUP('Données projet'!$B$13,Paramètres!$A$1:$I$88,7,0))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projet'!$B$9,Paramètres!$A$1:$I$88,3,0)*0.475*44/12</f>
        <v>0</v>
      </c>
      <c r="DG172" s="23">
        <f>EXP(-LN(2)/25)*DG171+(1-EXP(-LN(2)/25))/(LN(2)/25)*Calculateur!DB172*Calculateur!DD172*VLOOKUP('Données projet'!$B$9,Paramètres!$A$1:$I$88,3,0)*0.475*44/12</f>
        <v>0</v>
      </c>
      <c r="DH172" s="23">
        <f>EXP(-LN(2)/2)*DH171+(1-EXP(-LN(2)/2))/(LN(2)/2)*DB172*DE172*VLOOKUP('Données projet'!$B$9,Paramètres!$A$1:$I$88,3,0)*0.475*44/12</f>
        <v>0</v>
      </c>
      <c r="DI172" s="24">
        <f t="shared" si="175"/>
        <v>0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IF(A172&lt;'Données projet'!$A$166,$DL$205^A172,IF(A172='Données projet'!$A$166,'Données projet'!$B$166,DO171+DN172-DW171))</f>
        <v>-8.5265128291212022E-14</v>
      </c>
      <c r="DP172" s="18">
        <f>DO172*VLOOKUP('Données projet'!$B$14,Paramètres!$A$1:$I$88,3,0)*VLOOKUP('Données projet'!$B$14,Paramètres!$A$1:$I$88,5,0)</f>
        <v>-4.9880100050359036E-14</v>
      </c>
      <c r="DQ172" s="14" t="e">
        <f t="shared" si="176"/>
        <v>#NUM!</v>
      </c>
      <c r="DR172" s="22" t="e">
        <f t="shared" si="177"/>
        <v>#NUM!</v>
      </c>
      <c r="DS172" s="62" t="e">
        <f t="shared" si="130"/>
        <v>#NUM!</v>
      </c>
      <c r="DT172" s="62">
        <f ca="1">AVERAGE(OFFSET($DS$3,0,0,'Données projet'!$E$14+1,1))-AVERAGE(OFFSET($H$3,0,0,'Données projet'!$E$14+1,1))</f>
        <v>155.18073137151848</v>
      </c>
      <c r="DU172" s="62">
        <f t="shared" si="131"/>
        <v>115.19459155667272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projet'!$B$14,Paramètres!$A$1:$I$88,7,0))</f>
        <v>0</v>
      </c>
      <c r="DY172" s="17">
        <f>IF(ISNA(VLOOKUP(A172,'Données projet'!$A$165:$I$185,6,0)),0%,VLOOKUP(A172,'Données projet'!$A$165:$I$185,6,0)*VLOOKUP('Données projet'!$B$14,Paramètres!$A$1:$I$88,7,0))</f>
        <v>0</v>
      </c>
      <c r="DZ172" s="17">
        <f>IF(ISNA(VLOOKUP(A172,'Données projet'!$A$165:$I$185,7,0)),0%,VLOOKUP(A172,'Données projet'!$A$165:$I$185,7,0))</f>
        <v>0</v>
      </c>
      <c r="EA172" s="23">
        <f>EXP(-LN(2)/35)*EA171+(1-EXP(-LN(2)/35))/(LN(2)/35)*DW172*DX172*VLOOKUP('Données projet'!$B$9,Paramètres!$A$1:$I$88,3,0)*0.475*44/12</f>
        <v>0</v>
      </c>
      <c r="EB172" s="23">
        <f>EXP(-LN(2)/25)*EB171+(1-EXP(-LN(2)/25))/(LN(2)/25)*Calculateur!DW172*Calculateur!DY172*VLOOKUP('Données projet'!$B$9,Paramètres!$A$1:$I$88,3,0)*0.475*44/12</f>
        <v>0</v>
      </c>
      <c r="EC172" s="23">
        <f>EXP(-LN(2)/2)*EC171+(1-EXP(-LN(2)/2))/(LN(2)/2)*DW172*DZ172*VLOOKUP('Données projet'!$B$9,Paramètres!$A$1:$I$88,3,0)*0.475*44/12</f>
        <v>0</v>
      </c>
      <c r="ED172" s="24">
        <f t="shared" si="178"/>
        <v>0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IF(A172&lt;'Données projet'!$A$192,$EG$205^A172,IF(A172='Données projet'!$A$192,'Données projet'!$B$192,EJ171+EI172-ER171))</f>
        <v>-5.6843418860808015E-14</v>
      </c>
      <c r="EK172" s="18">
        <f>EJ172*VLOOKUP('Données projet'!$B$15,Paramètres!$A$1:$I$88,3,0)*VLOOKUP('Données projet'!$B$15,Paramètres!$A$1:$I$88,5,0)</f>
        <v>-2.6602720026858149E-14</v>
      </c>
      <c r="EL172" s="14" t="e">
        <f t="shared" si="179"/>
        <v>#NUM!</v>
      </c>
      <c r="EM172" s="22" t="e">
        <f t="shared" si="180"/>
        <v>#NUM!</v>
      </c>
      <c r="EN172" s="62" t="e">
        <f t="shared" si="134"/>
        <v>#NUM!</v>
      </c>
      <c r="EO172" s="62">
        <f ca="1">AVERAGE(OFFSET($EN$3,0,0,'Données projet'!$E$15+1,1))-AVERAGE(OFFSET($H$3,0,0,'Données projet'!$E$15+1,1))</f>
        <v>238.59014604384171</v>
      </c>
      <c r="EP172" s="62">
        <f t="shared" si="135"/>
        <v>90.841373219575217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projet'!$B$15,Paramètres!$A$1:$I$88,7,0))</f>
        <v>0</v>
      </c>
      <c r="ET172" s="17">
        <f>IF(ISNA(VLOOKUP(A172,'Données projet'!$A$191:$I$211,6,0)),0%,VLOOKUP(A172,'Données projet'!$A$191:$I$211,6,0)*VLOOKUP('Données projet'!$B$15,Paramètres!$A$1:$I$88,7,0))</f>
        <v>0</v>
      </c>
      <c r="EU172" s="17">
        <f>IF(ISNA(VLOOKUP(A172,'Données projet'!$A$191:$I$211,7,0)),0%,VLOOKUP(A172,'Données projet'!$A$191:$I$211,7,0))</f>
        <v>0</v>
      </c>
      <c r="EV172" s="23">
        <f>EXP(-LN(2)/35)*EV171+(1-EXP(-LN(2)/35))/(LN(2)/35)*ER172*ES172*VLOOKUP('Données projet'!$B$9,Paramètres!$A$1:$I$88,3,0)*0.475*44/12</f>
        <v>0</v>
      </c>
      <c r="EW172" s="23">
        <f>EXP(-LN(2)/25)*EW171+(1-EXP(-LN(2)/25))/(LN(2)/25)*Calculateur!ER172*Calculateur!ET172*VLOOKUP('Données projet'!$B$9,Paramètres!$A$1:$I$88,3,0)*0.475*44/12</f>
        <v>0</v>
      </c>
      <c r="EX172" s="23">
        <f>EXP(-LN(2)/2)*EX171+(1-EXP(-LN(2)/2))/(LN(2)/2)*ER172*EU172*VLOOKUP('Données projet'!$B$9,Paramètres!$A$1:$I$88,3,0)*0.475*44/12</f>
        <v>0</v>
      </c>
      <c r="EY172" s="24">
        <f t="shared" si="181"/>
        <v>0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IF(A172&lt;'Données projet'!$A$218,$FB$205^A172,IF(A172='Données projet'!$A$218,'Données projet'!$B$218,FE171+FD172-FM171))</f>
        <v>0</v>
      </c>
      <c r="FF172" s="18" t="e">
        <f>FE172*VLOOKUP('Données projet'!$B$16,Paramètres!$A$1:$I$88,3,0)*VLOOKUP('Données projet'!$B$16,Paramètres!$A$1:$I$88,5,0)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8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39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projet'!$B$16,Paramètres!$A$1:$I$88,7,0))</f>
        <v>0</v>
      </c>
      <c r="FO172" s="17">
        <f>IF(ISNA(VLOOKUP(A172,'Données projet'!$A$217:$I$237,6,0)),0%,VLOOKUP(A172,'Données projet'!$A$217:$I$237,6,0)*VLOOKUP('Données projet'!$B$16,Paramètres!$A$1:$I$88,7,0))</f>
        <v>0</v>
      </c>
      <c r="FP172" s="17">
        <f>IF(ISNA(VLOOKUP(A172,'Données projet'!$A$217:$I$237,7,0)),0%,VLOOKUP(A172,'Données projet'!$A$217:$I$237,7,0))</f>
        <v>0</v>
      </c>
      <c r="FQ172" s="23">
        <f>EXP(-LN(2)/35)*FQ171+(1-EXP(-LN(2)/35))/(LN(2)/35)*FM172*FN172*VLOOKUP('Données projet'!$B$9,Paramètres!$A$1:$I$88,3,0)*0.475*44/12</f>
        <v>0</v>
      </c>
      <c r="FR172" s="23">
        <f>EXP(-LN(2)/25)*FR171+(1-EXP(-LN(2)/25))/(LN(2)/25)*Calculateur!FM172*Calculateur!FO172*VLOOKUP('Données projet'!$B$9,Paramètres!$A$1:$I$88,3,0)*0.475*44/12</f>
        <v>0</v>
      </c>
      <c r="FS172" s="23">
        <f>EXP(-LN(2)/2)*FS171+(1-EXP(-LN(2)/2))/(LN(2)/2)*FM172*FP172*VLOOKUP('Données projet'!$B$9,Paramètres!$A$1:$I$88,3,0)*0.475*44/12</f>
        <v>0</v>
      </c>
      <c r="FT172" s="24">
        <f t="shared" si="184"/>
        <v>0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IF(A172&lt;'Données projet'!$A$244,$FW$205^A172,IF(A172='Données projet'!$A$244,'Données projet'!$B$244,FZ171+FY172-GH171))</f>
        <v>0</v>
      </c>
      <c r="GA172" s="18" t="e">
        <f>FZ172*VLOOKUP('Données projet'!$B$17,Paramètres!$A$1:$I$88,3,0)*VLOOKUP('Données projet'!$B$17,Paramètres!$A$1:$I$88,5,0)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42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43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projet'!$B$17,Paramètres!$A$1:$I$88,7,0))</f>
        <v>0</v>
      </c>
      <c r="GJ172" s="17">
        <f>IF(ISNA(VLOOKUP(A172,'Données projet'!$A$243:$I$263,6,0)),0%,VLOOKUP(A172,'Données projet'!$A$243:$I$263,6,0)*VLOOKUP('Données projet'!$B$17,Paramètres!$A$1:$I$88,7,0))</f>
        <v>0</v>
      </c>
      <c r="GK172" s="17">
        <f>IF(ISNA(VLOOKUP(A172,'Données projet'!$A$243:$I$263,7,0)),0%,VLOOKUP(A172,'Données projet'!$A$243:$I$263,7,0))</f>
        <v>0</v>
      </c>
      <c r="GL172" s="23">
        <f>EXP(-LN(2)/35)*GL171+(1-EXP(-LN(2)/35))/(LN(2)/35)*GH172*GI172*VLOOKUP('Données projet'!$B$9,Paramètres!$A$1:$I$88,3,0)*0.475*44/12</f>
        <v>0</v>
      </c>
      <c r="GM172" s="23">
        <f>EXP(-LN(2)/25)*GM171+(1-EXP(-LN(2)/25))/(LN(2)/25)*Calculateur!GH172*Calculateur!GJ172*VLOOKUP('Données projet'!$B$9,Paramètres!$A$1:$I$88,3,0)*0.475*44/12</f>
        <v>0</v>
      </c>
      <c r="GN172" s="23">
        <f>EXP(-LN(2)/2)*GN171+(1-EXP(-LN(2)/2))/(LN(2)/2)*GH172*GK172*VLOOKUP('Données projet'!$B$9,Paramètres!$A$1:$I$88,3,0)*0.475*44/12</f>
        <v>0</v>
      </c>
      <c r="GO172" s="23">
        <f t="shared" si="187"/>
        <v>0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IF(A172&lt;'Données projet'!$A$270,$GR$205^A172,IF(A172='Données projet'!$A$270,'Données projet'!$B$270,GU171+GT172-HC171))</f>
        <v>0</v>
      </c>
      <c r="GV172" s="18" t="e">
        <f>GU172*VLOOKUP('Données projet'!$B$18,Paramètres!$A$1:$I$88,3,0)*VLOOKUP('Données projet'!$B$18,Paramètres!$A$1:$I$88,5,0)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46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47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projet'!$B$18,Paramètres!$A$1:$I$88,7,0))</f>
        <v>0</v>
      </c>
      <c r="HE172" s="17">
        <f>IF(ISNA(VLOOKUP(A172,'Données projet'!$A$269:$I$289,6,0)),0%,VLOOKUP(A172,'Données projet'!$A$269:$I$289,6,0)*VLOOKUP('Données projet'!$B$18,Paramètres!$A$1:$I$88,7,0))</f>
        <v>0</v>
      </c>
      <c r="HF172" s="17">
        <f>IF(ISNA(VLOOKUP(A172,'Données projet'!$A$269:$I$289,7,0)),0%,VLOOKUP(A172,'Données projet'!$A$269:$I$289,7,0))</f>
        <v>0</v>
      </c>
      <c r="HG172" s="23">
        <f>EXP(-LN(2)/35)*HG171+(1-EXP(-LN(2)/35))/(LN(2)/35)*HC172*HD172*VLOOKUP('Données projet'!$B$9,Paramètres!$A$1:$I$88,3,0)*0.475*44/12</f>
        <v>0</v>
      </c>
      <c r="HH172" s="23">
        <f>EXP(-LN(2)/25)*HH171+(1-EXP(-LN(2)/25))/(LN(2)/25)*Calculateur!HC172*Calculateur!HE172*VLOOKUP('Données projet'!$B$9,Paramètres!$A$1:$I$88,3,0)*0.475*44/12</f>
        <v>0</v>
      </c>
      <c r="HI172" s="23">
        <f>EXP(-LN(2)/2)*HI171+(1-EXP(-LN(2)/2))/(LN(2)/2)*HC172*HF172*VLOOKUP('Données projet'!$B$9,Paramètres!$A$1:$I$88,3,0)*0.475*44/12</f>
        <v>0</v>
      </c>
      <c r="HJ172" s="24">
        <f t="shared" si="190"/>
        <v>0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3" s="12">
        <f t="shared" si="15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111"/>
        <v>135.66666666666666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IF(A173&lt;'Données projet'!$A$36,$K$205^A173,IF(A173='Données projet'!$A$36,'Données projet'!$B$36,N172+M173-V172))</f>
        <v>0</v>
      </c>
      <c r="O173" s="14">
        <f>N173*VLOOKUP('Données projet'!$B$9,Paramètres!$A$1:$I$88,3,0)*VLOOKUP('Données projet'!$B$9,Paramètres!$A$1:$I$88,5,0)</f>
        <v>0</v>
      </c>
      <c r="P173" s="14" t="e">
        <f t="shared" si="15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314.72063458462026</v>
      </c>
      <c r="T173" s="62">
        <f t="shared" si="110"/>
        <v>216.4380325968244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projet'!$B$9,Paramètres!$A$1:$I$88,7,0))</f>
        <v>0</v>
      </c>
      <c r="X173" s="17">
        <f>IF(ISNA(VLOOKUP(A173,'Données projet'!$A$35:$I$55,6,0)),0%,VLOOKUP(A173,'Données projet'!$A$35:$I$55,6,0)*VLOOKUP('Données projet'!$B$9,Paramètres!$A$1:$I$88,7,0))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projet'!$B$9,Paramètres!$A$1:$I$88,3,0)*0.475*44/12</f>
        <v>0</v>
      </c>
      <c r="AA173" s="23">
        <f>EXP(-LN(2)/25)*AA172+(1-EXP(-LN(2)/25))/(LN(2)/25)*Calculateur!V173*Calculateur!X173*VLOOKUP('Données projet'!$B$9,Paramètres!$A$1:$I$88,3,0)*0.475*44/12</f>
        <v>0</v>
      </c>
      <c r="AB173" s="23">
        <f>EXP(-LN(2)/2)*AB172+(1-EXP(-LN(2)/2))/(LN(2)/2)*V173*Y173*VLOOKUP('Données projet'!$B$9,Paramètres!$A$1:$I$88,3,0)*0.475*44/12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IF(A173&lt;'Données projet'!$A$62,$AF$205^A173,IF(A173='Données projet'!$A$62,'Données projet'!$B$62,AI172+AH173-AQ172))</f>
        <v>1.1368683772161603E-13</v>
      </c>
      <c r="AJ173" s="14">
        <f>AI173*VLOOKUP('Données projet'!$B$10,Paramètres!$A$1:$I$88,3,0)*VLOOKUP('Données projet'!$B$10,Paramètres!$A$1:$I$88,5,0)</f>
        <v>1.1882548278663309E-13</v>
      </c>
      <c r="AK173" s="14">
        <f t="shared" si="164"/>
        <v>1.7496137229198366E-12</v>
      </c>
      <c r="AL173" s="22">
        <f t="shared" si="165"/>
        <v>3.2541982832721012E-12</v>
      </c>
      <c r="AM173" s="62">
        <f t="shared" si="114"/>
        <v>286.2207241954244</v>
      </c>
      <c r="AN173" s="62">
        <f ca="1">AVERAGE(OFFSET($AM$3,0,0,'Données projet'!$E$10+1,1))-AVERAGE(OFFSET($H$3,0,0,'Données projet'!$E$10+1,1))</f>
        <v>458.33072853676879</v>
      </c>
      <c r="AO173" s="62">
        <f t="shared" si="115"/>
        <v>254.1734169352687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projet'!$B$10,Paramètres!$A$1:$I$88,7,0))</f>
        <v>0</v>
      </c>
      <c r="AS173" s="17">
        <f>IF(ISNA(VLOOKUP(A173,'Données projet'!$A$61:$I$81,6,0)),0%,VLOOKUP(A173,'Données projet'!$A$61:$I$81,6,0)*VLOOKUP('Données projet'!$B$10,Paramètres!$A$1:$I$88,7,0))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projet'!$B$9,Paramètres!$A$1:$I$88,3,0)*0.475*44/12</f>
        <v>0</v>
      </c>
      <c r="AV173" s="23">
        <f>EXP(-LN(2)/25)*AV172+(1-EXP(-LN(2)/25))/(LN(2)/25)*Calculateur!AQ173*Calculateur!AS173*VLOOKUP('Données projet'!$B$9,Paramètres!$A$1:$I$88,3,0)*0.475*44/12</f>
        <v>0</v>
      </c>
      <c r="AW173" s="23">
        <f>EXP(-LN(2)/2)*AW172+(1-EXP(-LN(2)/2))/(LN(2)/2)*AQ173*AT173*VLOOKUP('Données projet'!$B$9,Paramètres!$A$1:$I$88,3,0)*0.475*44/12</f>
        <v>0</v>
      </c>
      <c r="AX173" s="23">
        <f t="shared" si="166"/>
        <v>0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IF(A173&lt;'Données projet'!$A$88,$BA$205^A173,IF(A173='Données projet'!$A$88,'Données projet'!$B$88,BD172+BC173-BL172))</f>
        <v>1.1368683772161603E-13</v>
      </c>
      <c r="BE173" s="14">
        <f>BD173*VLOOKUP('Données projet'!$B$11,Paramètres!$A$1:$I$88,3,0)*VLOOKUP('Données projet'!$B$11,Paramètres!$A$1:$I$88,5,0)</f>
        <v>1.1527845344971866E-13</v>
      </c>
      <c r="BF173" s="14">
        <f t="shared" si="167"/>
        <v>1.7033846239409443E-12</v>
      </c>
      <c r="BG173" s="22">
        <f t="shared" si="168"/>
        <v>3.1675048597887374E-12</v>
      </c>
      <c r="BH173" s="62">
        <f t="shared" si="118"/>
        <v>286.22072419542434</v>
      </c>
      <c r="BI173" s="62">
        <f ca="1">AVERAGE(OFFSET($BH$3,0,0,'Données projet'!$E$11+1,1))-AVERAGE(OFFSET($H$3,0,0,'Données projet'!$E$11+1,1))</f>
        <v>447.82618173893104</v>
      </c>
      <c r="BJ173" s="62">
        <f t="shared" si="119"/>
        <v>248.96509970783379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projet'!$B$11,Paramètres!$A$1:$I$88,7,0))</f>
        <v>0</v>
      </c>
      <c r="BN173" s="17">
        <f>IF(ISNA(VLOOKUP(A173,'Données projet'!$A$87:$I$107,6,0)),0%,VLOOKUP(A173,'Données projet'!$A$87:$I$107,6,0)*VLOOKUP('Données projet'!$B$11,Paramètres!$A$1:$I$88,7,0))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projet'!$B$9,Paramètres!$A$1:$I$88,3,0)*0.475*44/12</f>
        <v>0</v>
      </c>
      <c r="BQ173" s="23">
        <f>EXP(-LN(2)/25)*BQ172+(1-EXP(-LN(2)/25))/(LN(2)/25)*Calculateur!BL173*Calculateur!BN173*VLOOKUP('Données projet'!$B$9,Paramètres!$A$1:$I$88,3,0)*0.475*44/12</f>
        <v>0</v>
      </c>
      <c r="BR173" s="23">
        <f>EXP(-LN(2)/2)*BR172+(1-EXP(-LN(2)/2))/(LN(2)/2)*BL173*BO173*VLOOKUP('Données projet'!$B$9,Paramètres!$A$1:$I$88,3,0)*0.475*44/12</f>
        <v>0</v>
      </c>
      <c r="BS173" s="24">
        <f t="shared" si="169"/>
        <v>0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IF(A173&lt;'Données projet'!$A$114,$BV$205^A173,IF(A173='Données projet'!$A$114,'Données projet'!$B$114,BY172+BX173-CG172))</f>
        <v>1.1368683772161603E-13</v>
      </c>
      <c r="BZ173" s="14">
        <f>BY173*VLOOKUP('Données projet'!$B$12,Paramètres!$A$1:$I$88,3,0)*VLOOKUP('Données projet'!$B$12,Paramètres!$A$1:$I$88,5,0)</f>
        <v>1.223725121235475E-13</v>
      </c>
      <c r="CA173" s="14">
        <f t="shared" si="170"/>
        <v>1.7956824466038182E-12</v>
      </c>
      <c r="CB173" s="22">
        <f t="shared" si="171"/>
        <v>3.3406123864501612E-12</v>
      </c>
      <c r="CC173" s="62">
        <f t="shared" si="122"/>
        <v>286.22072419542451</v>
      </c>
      <c r="CD173" s="62">
        <f ca="1">AVERAGE(OFFSET($CC$3,0,0,'Données projet'!$E$12+1,1))-AVERAGE(OFFSET($H$3,0,0,'Données projet'!$E$12+1,1))</f>
        <v>468.82871618425406</v>
      </c>
      <c r="CE173" s="62">
        <f t="shared" si="123"/>
        <v>259.37818128554397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projet'!$B$12,Paramètres!$A$1:$I$88,7,0))</f>
        <v>0</v>
      </c>
      <c r="CI173" s="17">
        <f>IF(ISNA(VLOOKUP(A173,'Données projet'!$A$113:$I$133,6,0)),0%,VLOOKUP(A173,'Données projet'!$A$113:$I$133,6,0)*VLOOKUP('Données projet'!$B$12,Paramètres!$A$1:$I$88,7,0))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projet'!$B$9,Paramètres!$A$1:$I$88,3,0)*0.475*44/12</f>
        <v>0</v>
      </c>
      <c r="CL173" s="23">
        <f>EXP(-LN(2)/25)*CL172+(1-EXP(-LN(2)/25))/(LN(2)/25)*Calculateur!CG173*Calculateur!CI173*VLOOKUP('Données projet'!$B$9,Paramètres!$A$1:$I$88,3,0)*0.475*44/12</f>
        <v>0</v>
      </c>
      <c r="CM173" s="23">
        <f>EXP(-LN(2)/2)*CM172+(1-EXP(-LN(2)/2))/(LN(2)/2)*CG173*CJ173*VLOOKUP('Données projet'!$B$9,Paramètres!$A$1:$I$88,3,0)*0.475*44/12</f>
        <v>0</v>
      </c>
      <c r="CN173" s="24">
        <f t="shared" si="172"/>
        <v>0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IF(A173&lt;'Données projet'!$A$140,$CQ$205^A173,IF(A173='Données projet'!$A$140,'Données projet'!$B$140,CT172+CS173-DB172))</f>
        <v>1.1368683772161603E-13</v>
      </c>
      <c r="CU173" s="18">
        <f>CT173*VLOOKUP('Données projet'!$B$13,Paramètres!$A$1:$I$88,3,0)*VLOOKUP('Données projet'!$B$13,Paramètres!$A$1:$I$88,5,0)</f>
        <v>9.7543306765146564E-14</v>
      </c>
      <c r="CV173" s="14">
        <f t="shared" si="173"/>
        <v>1.4696264278629426E-12</v>
      </c>
      <c r="CW173" s="22">
        <f t="shared" si="174"/>
        <v>2.7294872878105889E-12</v>
      </c>
      <c r="CX173" s="62">
        <f t="shared" si="126"/>
        <v>286.22072419542388</v>
      </c>
      <c r="CY173" s="62">
        <f ca="1">AVERAGE(OFFSET($CX$3,0,0,'Données projet'!$E$13+1,1))-AVERAGE(OFFSET($H$3,0,0,'Données projet'!$E$13+1,1))</f>
        <v>395.19659151668884</v>
      </c>
      <c r="CZ173" s="62">
        <f t="shared" si="127"/>
        <v>222.86563304507339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projet'!$B$13,Paramètres!$A$1:$I$88,7,0))</f>
        <v>0</v>
      </c>
      <c r="DD173" s="17">
        <f>IF(ISNA(VLOOKUP(A173,'Données projet'!$A$139:$I$159,6,0)),0%,VLOOKUP(A173,'Données projet'!$A$139:$I$159,6,0)*VLOOKUP('Données projet'!$B$13,Paramètres!$A$1:$I$88,7,0))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projet'!$B$9,Paramètres!$A$1:$I$88,3,0)*0.475*44/12</f>
        <v>0</v>
      </c>
      <c r="DG173" s="23">
        <f>EXP(-LN(2)/25)*DG172+(1-EXP(-LN(2)/25))/(LN(2)/25)*Calculateur!DB173*Calculateur!DD173*VLOOKUP('Données projet'!$B$9,Paramètres!$A$1:$I$88,3,0)*0.475*44/12</f>
        <v>0</v>
      </c>
      <c r="DH173" s="23">
        <f>EXP(-LN(2)/2)*DH172+(1-EXP(-LN(2)/2))/(LN(2)/2)*DB173*DE173*VLOOKUP('Données projet'!$B$9,Paramètres!$A$1:$I$88,3,0)*0.475*44/12</f>
        <v>0</v>
      </c>
      <c r="DI173" s="24">
        <f t="shared" si="175"/>
        <v>0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IF(A173&lt;'Données projet'!$A$166,$DL$205^A173,IF(A173='Données projet'!$A$166,'Données projet'!$B$166,DO172+DN173-DW172))</f>
        <v>-8.5265128291212022E-14</v>
      </c>
      <c r="DP173" s="18">
        <f>DO173*VLOOKUP('Données projet'!$B$14,Paramètres!$A$1:$I$88,3,0)*VLOOKUP('Données projet'!$B$14,Paramètres!$A$1:$I$88,5,0)</f>
        <v>-4.9880100050359036E-14</v>
      </c>
      <c r="DQ173" s="14" t="e">
        <f t="shared" si="176"/>
        <v>#NUM!</v>
      </c>
      <c r="DR173" s="22" t="e">
        <f t="shared" si="177"/>
        <v>#NUM!</v>
      </c>
      <c r="DS173" s="62" t="e">
        <f t="shared" si="130"/>
        <v>#NUM!</v>
      </c>
      <c r="DT173" s="62">
        <f ca="1">AVERAGE(OFFSET($DS$3,0,0,'Données projet'!$E$14+1,1))-AVERAGE(OFFSET($H$3,0,0,'Données projet'!$E$14+1,1))</f>
        <v>155.18073137151848</v>
      </c>
      <c r="DU173" s="62">
        <f t="shared" si="131"/>
        <v>115.19459155667272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projet'!$B$14,Paramètres!$A$1:$I$88,7,0))</f>
        <v>0</v>
      </c>
      <c r="DY173" s="17">
        <f>IF(ISNA(VLOOKUP(A173,'Données projet'!$A$165:$I$185,6,0)),0%,VLOOKUP(A173,'Données projet'!$A$165:$I$185,6,0)*VLOOKUP('Données projet'!$B$14,Paramètres!$A$1:$I$88,7,0))</f>
        <v>0</v>
      </c>
      <c r="DZ173" s="17">
        <f>IF(ISNA(VLOOKUP(A173,'Données projet'!$A$165:$I$185,7,0)),0%,VLOOKUP(A173,'Données projet'!$A$165:$I$185,7,0))</f>
        <v>0</v>
      </c>
      <c r="EA173" s="23">
        <f>EXP(-LN(2)/35)*EA172+(1-EXP(-LN(2)/35))/(LN(2)/35)*DW173*DX173*VLOOKUP('Données projet'!$B$9,Paramètres!$A$1:$I$88,3,0)*0.475*44/12</f>
        <v>0</v>
      </c>
      <c r="EB173" s="23">
        <f>EXP(-LN(2)/25)*EB172+(1-EXP(-LN(2)/25))/(LN(2)/25)*Calculateur!DW173*Calculateur!DY173*VLOOKUP('Données projet'!$B$9,Paramètres!$A$1:$I$88,3,0)*0.475*44/12</f>
        <v>0</v>
      </c>
      <c r="EC173" s="23">
        <f>EXP(-LN(2)/2)*EC172+(1-EXP(-LN(2)/2))/(LN(2)/2)*DW173*DZ173*VLOOKUP('Données projet'!$B$9,Paramètres!$A$1:$I$88,3,0)*0.475*44/12</f>
        <v>0</v>
      </c>
      <c r="ED173" s="24">
        <f t="shared" si="178"/>
        <v>0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IF(A173&lt;'Données projet'!$A$192,$EG$205^A173,IF(A173='Données projet'!$A$192,'Données projet'!$B$192,EJ172+EI173-ER172))</f>
        <v>-5.6843418860808015E-14</v>
      </c>
      <c r="EK173" s="18">
        <f>EJ173*VLOOKUP('Données projet'!$B$15,Paramètres!$A$1:$I$88,3,0)*VLOOKUP('Données projet'!$B$15,Paramètres!$A$1:$I$88,5,0)</f>
        <v>-2.6602720026858149E-14</v>
      </c>
      <c r="EL173" s="14" t="e">
        <f t="shared" si="179"/>
        <v>#NUM!</v>
      </c>
      <c r="EM173" s="22" t="e">
        <f t="shared" si="180"/>
        <v>#NUM!</v>
      </c>
      <c r="EN173" s="62" t="e">
        <f t="shared" si="134"/>
        <v>#NUM!</v>
      </c>
      <c r="EO173" s="62">
        <f ca="1">AVERAGE(OFFSET($EN$3,0,0,'Données projet'!$E$15+1,1))-AVERAGE(OFFSET($H$3,0,0,'Données projet'!$E$15+1,1))</f>
        <v>238.59014604384171</v>
      </c>
      <c r="EP173" s="62">
        <f t="shared" si="135"/>
        <v>90.841373219575217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projet'!$B$15,Paramètres!$A$1:$I$88,7,0))</f>
        <v>0</v>
      </c>
      <c r="ET173" s="17">
        <f>IF(ISNA(VLOOKUP(A173,'Données projet'!$A$191:$I$211,6,0)),0%,VLOOKUP(A173,'Données projet'!$A$191:$I$211,6,0)*VLOOKUP('Données projet'!$B$15,Paramètres!$A$1:$I$88,7,0))</f>
        <v>0</v>
      </c>
      <c r="EU173" s="17">
        <f>IF(ISNA(VLOOKUP(A173,'Données projet'!$A$191:$I$211,7,0)),0%,VLOOKUP(A173,'Données projet'!$A$191:$I$211,7,0))</f>
        <v>0</v>
      </c>
      <c r="EV173" s="23">
        <f>EXP(-LN(2)/35)*EV172+(1-EXP(-LN(2)/35))/(LN(2)/35)*ER173*ES173*VLOOKUP('Données projet'!$B$9,Paramètres!$A$1:$I$88,3,0)*0.475*44/12</f>
        <v>0</v>
      </c>
      <c r="EW173" s="23">
        <f>EXP(-LN(2)/25)*EW172+(1-EXP(-LN(2)/25))/(LN(2)/25)*Calculateur!ER173*Calculateur!ET173*VLOOKUP('Données projet'!$B$9,Paramètres!$A$1:$I$88,3,0)*0.475*44/12</f>
        <v>0</v>
      </c>
      <c r="EX173" s="23">
        <f>EXP(-LN(2)/2)*EX172+(1-EXP(-LN(2)/2))/(LN(2)/2)*ER173*EU173*VLOOKUP('Données projet'!$B$9,Paramètres!$A$1:$I$88,3,0)*0.475*44/12</f>
        <v>0</v>
      </c>
      <c r="EY173" s="24">
        <f t="shared" si="181"/>
        <v>0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IF(A173&lt;'Données projet'!$A$218,$FB$205^A173,IF(A173='Données projet'!$A$218,'Données projet'!$B$218,FE172+FD173-FM172))</f>
        <v>0</v>
      </c>
      <c r="FF173" s="18" t="e">
        <f>FE173*VLOOKUP('Données projet'!$B$16,Paramètres!$A$1:$I$88,3,0)*VLOOKUP('Données projet'!$B$16,Paramètres!$A$1:$I$88,5,0)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8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39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projet'!$B$16,Paramètres!$A$1:$I$88,7,0))</f>
        <v>0</v>
      </c>
      <c r="FO173" s="17">
        <f>IF(ISNA(VLOOKUP(A173,'Données projet'!$A$217:$I$237,6,0)),0%,VLOOKUP(A173,'Données projet'!$A$217:$I$237,6,0)*VLOOKUP('Données projet'!$B$16,Paramètres!$A$1:$I$88,7,0))</f>
        <v>0</v>
      </c>
      <c r="FP173" s="17">
        <f>IF(ISNA(VLOOKUP(A173,'Données projet'!$A$217:$I$237,7,0)),0%,VLOOKUP(A173,'Données projet'!$A$217:$I$237,7,0))</f>
        <v>0</v>
      </c>
      <c r="FQ173" s="23">
        <f>EXP(-LN(2)/35)*FQ172+(1-EXP(-LN(2)/35))/(LN(2)/35)*FM173*FN173*VLOOKUP('Données projet'!$B$9,Paramètres!$A$1:$I$88,3,0)*0.475*44/12</f>
        <v>0</v>
      </c>
      <c r="FR173" s="23">
        <f>EXP(-LN(2)/25)*FR172+(1-EXP(-LN(2)/25))/(LN(2)/25)*Calculateur!FM173*Calculateur!FO173*VLOOKUP('Données projet'!$B$9,Paramètres!$A$1:$I$88,3,0)*0.475*44/12</f>
        <v>0</v>
      </c>
      <c r="FS173" s="23">
        <f>EXP(-LN(2)/2)*FS172+(1-EXP(-LN(2)/2))/(LN(2)/2)*FM173*FP173*VLOOKUP('Données projet'!$B$9,Paramètres!$A$1:$I$88,3,0)*0.475*44/12</f>
        <v>0</v>
      </c>
      <c r="FT173" s="24">
        <f t="shared" si="184"/>
        <v>0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IF(A173&lt;'Données projet'!$A$244,$FW$205^A173,IF(A173='Données projet'!$A$244,'Données projet'!$B$244,FZ172+FY173-GH172))</f>
        <v>0</v>
      </c>
      <c r="GA173" s="18" t="e">
        <f>FZ173*VLOOKUP('Données projet'!$B$17,Paramètres!$A$1:$I$88,3,0)*VLOOKUP('Données projet'!$B$17,Paramètres!$A$1:$I$88,5,0)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42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43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projet'!$B$17,Paramètres!$A$1:$I$88,7,0))</f>
        <v>0</v>
      </c>
      <c r="GJ173" s="17">
        <f>IF(ISNA(VLOOKUP(A173,'Données projet'!$A$243:$I$263,6,0)),0%,VLOOKUP(A173,'Données projet'!$A$243:$I$263,6,0)*VLOOKUP('Données projet'!$B$17,Paramètres!$A$1:$I$88,7,0))</f>
        <v>0</v>
      </c>
      <c r="GK173" s="17">
        <f>IF(ISNA(VLOOKUP(A173,'Données projet'!$A$243:$I$263,7,0)),0%,VLOOKUP(A173,'Données projet'!$A$243:$I$263,7,0))</f>
        <v>0</v>
      </c>
      <c r="GL173" s="23">
        <f>EXP(-LN(2)/35)*GL172+(1-EXP(-LN(2)/35))/(LN(2)/35)*GH173*GI173*VLOOKUP('Données projet'!$B$9,Paramètres!$A$1:$I$88,3,0)*0.475*44/12</f>
        <v>0</v>
      </c>
      <c r="GM173" s="23">
        <f>EXP(-LN(2)/25)*GM172+(1-EXP(-LN(2)/25))/(LN(2)/25)*Calculateur!GH173*Calculateur!GJ173*VLOOKUP('Données projet'!$B$9,Paramètres!$A$1:$I$88,3,0)*0.475*44/12</f>
        <v>0</v>
      </c>
      <c r="GN173" s="23">
        <f>EXP(-LN(2)/2)*GN172+(1-EXP(-LN(2)/2))/(LN(2)/2)*GH173*GK173*VLOOKUP('Données projet'!$B$9,Paramètres!$A$1:$I$88,3,0)*0.475*44/12</f>
        <v>0</v>
      </c>
      <c r="GO173" s="23">
        <f t="shared" si="187"/>
        <v>0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IF(A173&lt;'Données projet'!$A$270,$GR$205^A173,IF(A173='Données projet'!$A$270,'Données projet'!$B$270,GU172+GT173-HC172))</f>
        <v>0</v>
      </c>
      <c r="GV173" s="18" t="e">
        <f>GU173*VLOOKUP('Données projet'!$B$18,Paramètres!$A$1:$I$88,3,0)*VLOOKUP('Données projet'!$B$18,Paramètres!$A$1:$I$88,5,0)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46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47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projet'!$B$18,Paramètres!$A$1:$I$88,7,0))</f>
        <v>0</v>
      </c>
      <c r="HE173" s="17">
        <f>IF(ISNA(VLOOKUP(A173,'Données projet'!$A$269:$I$289,6,0)),0%,VLOOKUP(A173,'Données projet'!$A$269:$I$289,6,0)*VLOOKUP('Données projet'!$B$18,Paramètres!$A$1:$I$88,7,0))</f>
        <v>0</v>
      </c>
      <c r="HF173" s="17">
        <f>IF(ISNA(VLOOKUP(A173,'Données projet'!$A$269:$I$289,7,0)),0%,VLOOKUP(A173,'Données projet'!$A$269:$I$289,7,0))</f>
        <v>0</v>
      </c>
      <c r="HG173" s="23">
        <f>EXP(-LN(2)/35)*HG172+(1-EXP(-LN(2)/35))/(LN(2)/35)*HC173*HD173*VLOOKUP('Données projet'!$B$9,Paramètres!$A$1:$I$88,3,0)*0.475*44/12</f>
        <v>0</v>
      </c>
      <c r="HH173" s="23">
        <f>EXP(-LN(2)/25)*HH172+(1-EXP(-LN(2)/25))/(LN(2)/25)*Calculateur!HC173*Calculateur!HE173*VLOOKUP('Données projet'!$B$9,Paramètres!$A$1:$I$88,3,0)*0.475*44/12</f>
        <v>0</v>
      </c>
      <c r="HI173" s="23">
        <f>EXP(-LN(2)/2)*HI172+(1-EXP(-LN(2)/2))/(LN(2)/2)*HC173*HF173*VLOOKUP('Données projet'!$B$9,Paramètres!$A$1:$I$88,3,0)*0.475*44/12</f>
        <v>0</v>
      </c>
      <c r="HJ173" s="24">
        <f t="shared" si="190"/>
        <v>0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4" s="12">
        <f t="shared" si="15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111"/>
        <v>135.66666666666666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IF(A174&lt;'Données projet'!$A$36,$K$205^A174,IF(A174='Données projet'!$A$36,'Données projet'!$B$36,N173+M174-V173))</f>
        <v>0</v>
      </c>
      <c r="O174" s="14">
        <f>N174*VLOOKUP('Données projet'!$B$9,Paramètres!$A$1:$I$88,3,0)*VLOOKUP('Données projet'!$B$9,Paramètres!$A$1:$I$88,5,0)</f>
        <v>0</v>
      </c>
      <c r="P174" s="14" t="e">
        <f t="shared" si="15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314.72063458462026</v>
      </c>
      <c r="T174" s="62">
        <f t="shared" si="110"/>
        <v>216.4380325968244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projet'!$B$9,Paramètres!$A$1:$I$88,7,0))</f>
        <v>0</v>
      </c>
      <c r="X174" s="17">
        <f>IF(ISNA(VLOOKUP(A174,'Données projet'!$A$35:$I$55,6,0)),0%,VLOOKUP(A174,'Données projet'!$A$35:$I$55,6,0)*VLOOKUP('Données projet'!$B$9,Paramètres!$A$1:$I$88,7,0))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projet'!$B$9,Paramètres!$A$1:$I$88,3,0)*0.475*44/12</f>
        <v>0</v>
      </c>
      <c r="AA174" s="23">
        <f>EXP(-LN(2)/25)*AA173+(1-EXP(-LN(2)/25))/(LN(2)/25)*Calculateur!V174*Calculateur!X174*VLOOKUP('Données projet'!$B$9,Paramètres!$A$1:$I$88,3,0)*0.475*44/12</f>
        <v>0</v>
      </c>
      <c r="AB174" s="23">
        <f>EXP(-LN(2)/2)*AB173+(1-EXP(-LN(2)/2))/(LN(2)/2)*V174*Y174*VLOOKUP('Données projet'!$B$9,Paramètres!$A$1:$I$88,3,0)*0.475*44/12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IF(A174&lt;'Données projet'!$A$62,$AF$205^A174,IF(A174='Données projet'!$A$62,'Données projet'!$B$62,AI173+AH174-AQ173))</f>
        <v>1.1368683772161603E-13</v>
      </c>
      <c r="AJ174" s="14">
        <f>AI174*VLOOKUP('Données projet'!$B$10,Paramètres!$A$1:$I$88,3,0)*VLOOKUP('Données projet'!$B$10,Paramètres!$A$1:$I$88,5,0)</f>
        <v>1.1882548278663309E-13</v>
      </c>
      <c r="AK174" s="14">
        <f t="shared" si="164"/>
        <v>1.7496137229198366E-12</v>
      </c>
      <c r="AL174" s="22">
        <f t="shared" si="165"/>
        <v>3.2541982832721012E-12</v>
      </c>
      <c r="AM174" s="62">
        <f t="shared" si="114"/>
        <v>286.34411206255533</v>
      </c>
      <c r="AN174" s="62">
        <f ca="1">AVERAGE(OFFSET($AM$3,0,0,'Données projet'!$E$10+1,1))-AVERAGE(OFFSET($H$3,0,0,'Données projet'!$E$10+1,1))</f>
        <v>458.33072853676879</v>
      </c>
      <c r="AO174" s="62">
        <f t="shared" si="115"/>
        <v>254.1734169352687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projet'!$B$10,Paramètres!$A$1:$I$88,7,0))</f>
        <v>0</v>
      </c>
      <c r="AS174" s="17">
        <f>IF(ISNA(VLOOKUP(A174,'Données projet'!$A$61:$I$81,6,0)),0%,VLOOKUP(A174,'Données projet'!$A$61:$I$81,6,0)*VLOOKUP('Données projet'!$B$10,Paramètres!$A$1:$I$88,7,0))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projet'!$B$9,Paramètres!$A$1:$I$88,3,0)*0.475*44/12</f>
        <v>0</v>
      </c>
      <c r="AV174" s="23">
        <f>EXP(-LN(2)/25)*AV173+(1-EXP(-LN(2)/25))/(LN(2)/25)*Calculateur!AQ174*Calculateur!AS174*VLOOKUP('Données projet'!$B$9,Paramètres!$A$1:$I$88,3,0)*0.475*44/12</f>
        <v>0</v>
      </c>
      <c r="AW174" s="23">
        <f>EXP(-LN(2)/2)*AW173+(1-EXP(-LN(2)/2))/(LN(2)/2)*AQ174*AT174*VLOOKUP('Données projet'!$B$9,Paramètres!$A$1:$I$88,3,0)*0.475*44/12</f>
        <v>0</v>
      </c>
      <c r="AX174" s="23">
        <f t="shared" si="166"/>
        <v>0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IF(A174&lt;'Données projet'!$A$88,$BA$205^A174,IF(A174='Données projet'!$A$88,'Données projet'!$B$88,BD173+BC174-BL173))</f>
        <v>1.1368683772161603E-13</v>
      </c>
      <c r="BE174" s="14">
        <f>BD174*VLOOKUP('Données projet'!$B$11,Paramètres!$A$1:$I$88,3,0)*VLOOKUP('Données projet'!$B$11,Paramètres!$A$1:$I$88,5,0)</f>
        <v>1.1527845344971866E-13</v>
      </c>
      <c r="BF174" s="14">
        <f t="shared" si="167"/>
        <v>1.7033846239409443E-12</v>
      </c>
      <c r="BG174" s="22">
        <f t="shared" si="168"/>
        <v>3.1675048597887374E-12</v>
      </c>
      <c r="BH174" s="62">
        <f t="shared" si="118"/>
        <v>286.34411206255527</v>
      </c>
      <c r="BI174" s="62">
        <f ca="1">AVERAGE(OFFSET($BH$3,0,0,'Données projet'!$E$11+1,1))-AVERAGE(OFFSET($H$3,0,0,'Données projet'!$E$11+1,1))</f>
        <v>447.82618173893104</v>
      </c>
      <c r="BJ174" s="62">
        <f t="shared" si="119"/>
        <v>248.96509970783379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projet'!$B$11,Paramètres!$A$1:$I$88,7,0))</f>
        <v>0</v>
      </c>
      <c r="BN174" s="17">
        <f>IF(ISNA(VLOOKUP(A174,'Données projet'!$A$87:$I$107,6,0)),0%,VLOOKUP(A174,'Données projet'!$A$87:$I$107,6,0)*VLOOKUP('Données projet'!$B$11,Paramètres!$A$1:$I$88,7,0))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projet'!$B$9,Paramètres!$A$1:$I$88,3,0)*0.475*44/12</f>
        <v>0</v>
      </c>
      <c r="BQ174" s="23">
        <f>EXP(-LN(2)/25)*BQ173+(1-EXP(-LN(2)/25))/(LN(2)/25)*Calculateur!BL174*Calculateur!BN174*VLOOKUP('Données projet'!$B$9,Paramètres!$A$1:$I$88,3,0)*0.475*44/12</f>
        <v>0</v>
      </c>
      <c r="BR174" s="23">
        <f>EXP(-LN(2)/2)*BR173+(1-EXP(-LN(2)/2))/(LN(2)/2)*BL174*BO174*VLOOKUP('Données projet'!$B$9,Paramètres!$A$1:$I$88,3,0)*0.475*44/12</f>
        <v>0</v>
      </c>
      <c r="BS174" s="24">
        <f t="shared" si="169"/>
        <v>0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IF(A174&lt;'Données projet'!$A$114,$BV$205^A174,IF(A174='Données projet'!$A$114,'Données projet'!$B$114,BY173+BX174-CG173))</f>
        <v>1.1368683772161603E-13</v>
      </c>
      <c r="BZ174" s="14">
        <f>BY174*VLOOKUP('Données projet'!$B$12,Paramètres!$A$1:$I$88,3,0)*VLOOKUP('Données projet'!$B$12,Paramètres!$A$1:$I$88,5,0)</f>
        <v>1.223725121235475E-13</v>
      </c>
      <c r="CA174" s="14">
        <f t="shared" si="170"/>
        <v>1.7956824466038182E-12</v>
      </c>
      <c r="CB174" s="22">
        <f t="shared" si="171"/>
        <v>3.3406123864501612E-12</v>
      </c>
      <c r="CC174" s="62">
        <f t="shared" si="122"/>
        <v>286.34411206255544</v>
      </c>
      <c r="CD174" s="62">
        <f ca="1">AVERAGE(OFFSET($CC$3,0,0,'Données projet'!$E$12+1,1))-AVERAGE(OFFSET($H$3,0,0,'Données projet'!$E$12+1,1))</f>
        <v>468.82871618425406</v>
      </c>
      <c r="CE174" s="62">
        <f t="shared" si="123"/>
        <v>259.37818128554397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projet'!$B$12,Paramètres!$A$1:$I$88,7,0))</f>
        <v>0</v>
      </c>
      <c r="CI174" s="17">
        <f>IF(ISNA(VLOOKUP(A174,'Données projet'!$A$113:$I$133,6,0)),0%,VLOOKUP(A174,'Données projet'!$A$113:$I$133,6,0)*VLOOKUP('Données projet'!$B$12,Paramètres!$A$1:$I$88,7,0))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projet'!$B$9,Paramètres!$A$1:$I$88,3,0)*0.475*44/12</f>
        <v>0</v>
      </c>
      <c r="CL174" s="23">
        <f>EXP(-LN(2)/25)*CL173+(1-EXP(-LN(2)/25))/(LN(2)/25)*Calculateur!CG174*Calculateur!CI174*VLOOKUP('Données projet'!$B$9,Paramètres!$A$1:$I$88,3,0)*0.475*44/12</f>
        <v>0</v>
      </c>
      <c r="CM174" s="23">
        <f>EXP(-LN(2)/2)*CM173+(1-EXP(-LN(2)/2))/(LN(2)/2)*CG174*CJ174*VLOOKUP('Données projet'!$B$9,Paramètres!$A$1:$I$88,3,0)*0.475*44/12</f>
        <v>0</v>
      </c>
      <c r="CN174" s="24">
        <f t="shared" si="172"/>
        <v>0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IF(A174&lt;'Données projet'!$A$140,$CQ$205^A174,IF(A174='Données projet'!$A$140,'Données projet'!$B$140,CT173+CS174-DB173))</f>
        <v>1.1368683772161603E-13</v>
      </c>
      <c r="CU174" s="18">
        <f>CT174*VLOOKUP('Données projet'!$B$13,Paramètres!$A$1:$I$88,3,0)*VLOOKUP('Données projet'!$B$13,Paramètres!$A$1:$I$88,5,0)</f>
        <v>9.7543306765146564E-14</v>
      </c>
      <c r="CV174" s="14">
        <f t="shared" si="173"/>
        <v>1.4696264278629426E-12</v>
      </c>
      <c r="CW174" s="22">
        <f t="shared" si="174"/>
        <v>2.7294872878105889E-12</v>
      </c>
      <c r="CX174" s="62">
        <f t="shared" si="126"/>
        <v>286.34411206255481</v>
      </c>
      <c r="CY174" s="62">
        <f ca="1">AVERAGE(OFFSET($CX$3,0,0,'Données projet'!$E$13+1,1))-AVERAGE(OFFSET($H$3,0,0,'Données projet'!$E$13+1,1))</f>
        <v>395.19659151668884</v>
      </c>
      <c r="CZ174" s="62">
        <f t="shared" si="127"/>
        <v>222.86563304507339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projet'!$B$13,Paramètres!$A$1:$I$88,7,0))</f>
        <v>0</v>
      </c>
      <c r="DD174" s="17">
        <f>IF(ISNA(VLOOKUP(A174,'Données projet'!$A$139:$I$159,6,0)),0%,VLOOKUP(A174,'Données projet'!$A$139:$I$159,6,0)*VLOOKUP('Données projet'!$B$13,Paramètres!$A$1:$I$88,7,0))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projet'!$B$9,Paramètres!$A$1:$I$88,3,0)*0.475*44/12</f>
        <v>0</v>
      </c>
      <c r="DG174" s="23">
        <f>EXP(-LN(2)/25)*DG173+(1-EXP(-LN(2)/25))/(LN(2)/25)*Calculateur!DB174*Calculateur!DD174*VLOOKUP('Données projet'!$B$9,Paramètres!$A$1:$I$88,3,0)*0.475*44/12</f>
        <v>0</v>
      </c>
      <c r="DH174" s="23">
        <f>EXP(-LN(2)/2)*DH173+(1-EXP(-LN(2)/2))/(LN(2)/2)*DB174*DE174*VLOOKUP('Données projet'!$B$9,Paramètres!$A$1:$I$88,3,0)*0.475*44/12</f>
        <v>0</v>
      </c>
      <c r="DI174" s="24">
        <f t="shared" si="175"/>
        <v>0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IF(A174&lt;'Données projet'!$A$166,$DL$205^A174,IF(A174='Données projet'!$A$166,'Données projet'!$B$166,DO173+DN174-DW173))</f>
        <v>-8.5265128291212022E-14</v>
      </c>
      <c r="DP174" s="18">
        <f>DO174*VLOOKUP('Données projet'!$B$14,Paramètres!$A$1:$I$88,3,0)*VLOOKUP('Données projet'!$B$14,Paramètres!$A$1:$I$88,5,0)</f>
        <v>-4.9880100050359036E-14</v>
      </c>
      <c r="DQ174" s="14" t="e">
        <f t="shared" si="176"/>
        <v>#NUM!</v>
      </c>
      <c r="DR174" s="22" t="e">
        <f t="shared" si="177"/>
        <v>#NUM!</v>
      </c>
      <c r="DS174" s="62" t="e">
        <f t="shared" si="130"/>
        <v>#NUM!</v>
      </c>
      <c r="DT174" s="62">
        <f ca="1">AVERAGE(OFFSET($DS$3,0,0,'Données projet'!$E$14+1,1))-AVERAGE(OFFSET($H$3,0,0,'Données projet'!$E$14+1,1))</f>
        <v>155.18073137151848</v>
      </c>
      <c r="DU174" s="62">
        <f t="shared" si="131"/>
        <v>115.19459155667272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projet'!$B$14,Paramètres!$A$1:$I$88,7,0))</f>
        <v>0</v>
      </c>
      <c r="DY174" s="17">
        <f>IF(ISNA(VLOOKUP(A174,'Données projet'!$A$165:$I$185,6,0)),0%,VLOOKUP(A174,'Données projet'!$A$165:$I$185,6,0)*VLOOKUP('Données projet'!$B$14,Paramètres!$A$1:$I$88,7,0))</f>
        <v>0</v>
      </c>
      <c r="DZ174" s="17">
        <f>IF(ISNA(VLOOKUP(A174,'Données projet'!$A$165:$I$185,7,0)),0%,VLOOKUP(A174,'Données projet'!$A$165:$I$185,7,0))</f>
        <v>0</v>
      </c>
      <c r="EA174" s="23">
        <f>EXP(-LN(2)/35)*EA173+(1-EXP(-LN(2)/35))/(LN(2)/35)*DW174*DX174*VLOOKUP('Données projet'!$B$9,Paramètres!$A$1:$I$88,3,0)*0.475*44/12</f>
        <v>0</v>
      </c>
      <c r="EB174" s="23">
        <f>EXP(-LN(2)/25)*EB173+(1-EXP(-LN(2)/25))/(LN(2)/25)*Calculateur!DW174*Calculateur!DY174*VLOOKUP('Données projet'!$B$9,Paramètres!$A$1:$I$88,3,0)*0.475*44/12</f>
        <v>0</v>
      </c>
      <c r="EC174" s="23">
        <f>EXP(-LN(2)/2)*EC173+(1-EXP(-LN(2)/2))/(LN(2)/2)*DW174*DZ174*VLOOKUP('Données projet'!$B$9,Paramètres!$A$1:$I$88,3,0)*0.475*44/12</f>
        <v>0</v>
      </c>
      <c r="ED174" s="24">
        <f t="shared" si="178"/>
        <v>0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IF(A174&lt;'Données projet'!$A$192,$EG$205^A174,IF(A174='Données projet'!$A$192,'Données projet'!$B$192,EJ173+EI174-ER173))</f>
        <v>-5.6843418860808015E-14</v>
      </c>
      <c r="EK174" s="18">
        <f>EJ174*VLOOKUP('Données projet'!$B$15,Paramètres!$A$1:$I$88,3,0)*VLOOKUP('Données projet'!$B$15,Paramètres!$A$1:$I$88,5,0)</f>
        <v>-2.6602720026858149E-14</v>
      </c>
      <c r="EL174" s="14" t="e">
        <f t="shared" si="179"/>
        <v>#NUM!</v>
      </c>
      <c r="EM174" s="22" t="e">
        <f t="shared" si="180"/>
        <v>#NUM!</v>
      </c>
      <c r="EN174" s="62" t="e">
        <f t="shared" si="134"/>
        <v>#NUM!</v>
      </c>
      <c r="EO174" s="62">
        <f ca="1">AVERAGE(OFFSET($EN$3,0,0,'Données projet'!$E$15+1,1))-AVERAGE(OFFSET($H$3,0,0,'Données projet'!$E$15+1,1))</f>
        <v>238.59014604384171</v>
      </c>
      <c r="EP174" s="62">
        <f t="shared" si="135"/>
        <v>90.841373219575217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projet'!$B$15,Paramètres!$A$1:$I$88,7,0))</f>
        <v>0</v>
      </c>
      <c r="ET174" s="17">
        <f>IF(ISNA(VLOOKUP(A174,'Données projet'!$A$191:$I$211,6,0)),0%,VLOOKUP(A174,'Données projet'!$A$191:$I$211,6,0)*VLOOKUP('Données projet'!$B$15,Paramètres!$A$1:$I$88,7,0))</f>
        <v>0</v>
      </c>
      <c r="EU174" s="17">
        <f>IF(ISNA(VLOOKUP(A174,'Données projet'!$A$191:$I$211,7,0)),0%,VLOOKUP(A174,'Données projet'!$A$191:$I$211,7,0))</f>
        <v>0</v>
      </c>
      <c r="EV174" s="23">
        <f>EXP(-LN(2)/35)*EV173+(1-EXP(-LN(2)/35))/(LN(2)/35)*ER174*ES174*VLOOKUP('Données projet'!$B$9,Paramètres!$A$1:$I$88,3,0)*0.475*44/12</f>
        <v>0</v>
      </c>
      <c r="EW174" s="23">
        <f>EXP(-LN(2)/25)*EW173+(1-EXP(-LN(2)/25))/(LN(2)/25)*Calculateur!ER174*Calculateur!ET174*VLOOKUP('Données projet'!$B$9,Paramètres!$A$1:$I$88,3,0)*0.475*44/12</f>
        <v>0</v>
      </c>
      <c r="EX174" s="23">
        <f>EXP(-LN(2)/2)*EX173+(1-EXP(-LN(2)/2))/(LN(2)/2)*ER174*EU174*VLOOKUP('Données projet'!$B$9,Paramètres!$A$1:$I$88,3,0)*0.475*44/12</f>
        <v>0</v>
      </c>
      <c r="EY174" s="24">
        <f t="shared" si="181"/>
        <v>0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IF(A174&lt;'Données projet'!$A$218,$FB$205^A174,IF(A174='Données projet'!$A$218,'Données projet'!$B$218,FE173+FD174-FM173))</f>
        <v>0</v>
      </c>
      <c r="FF174" s="18" t="e">
        <f>FE174*VLOOKUP('Données projet'!$B$16,Paramètres!$A$1:$I$88,3,0)*VLOOKUP('Données projet'!$B$16,Paramètres!$A$1:$I$88,5,0)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8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39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projet'!$B$16,Paramètres!$A$1:$I$88,7,0))</f>
        <v>0</v>
      </c>
      <c r="FO174" s="17">
        <f>IF(ISNA(VLOOKUP(A174,'Données projet'!$A$217:$I$237,6,0)),0%,VLOOKUP(A174,'Données projet'!$A$217:$I$237,6,0)*VLOOKUP('Données projet'!$B$16,Paramètres!$A$1:$I$88,7,0))</f>
        <v>0</v>
      </c>
      <c r="FP174" s="17">
        <f>IF(ISNA(VLOOKUP(A174,'Données projet'!$A$217:$I$237,7,0)),0%,VLOOKUP(A174,'Données projet'!$A$217:$I$237,7,0))</f>
        <v>0</v>
      </c>
      <c r="FQ174" s="23">
        <f>EXP(-LN(2)/35)*FQ173+(1-EXP(-LN(2)/35))/(LN(2)/35)*FM174*FN174*VLOOKUP('Données projet'!$B$9,Paramètres!$A$1:$I$88,3,0)*0.475*44/12</f>
        <v>0</v>
      </c>
      <c r="FR174" s="23">
        <f>EXP(-LN(2)/25)*FR173+(1-EXP(-LN(2)/25))/(LN(2)/25)*Calculateur!FM174*Calculateur!FO174*VLOOKUP('Données projet'!$B$9,Paramètres!$A$1:$I$88,3,0)*0.475*44/12</f>
        <v>0</v>
      </c>
      <c r="FS174" s="23">
        <f>EXP(-LN(2)/2)*FS173+(1-EXP(-LN(2)/2))/(LN(2)/2)*FM174*FP174*VLOOKUP('Données projet'!$B$9,Paramètres!$A$1:$I$88,3,0)*0.475*44/12</f>
        <v>0</v>
      </c>
      <c r="FT174" s="24">
        <f t="shared" si="184"/>
        <v>0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IF(A174&lt;'Données projet'!$A$244,$FW$205^A174,IF(A174='Données projet'!$A$244,'Données projet'!$B$244,FZ173+FY174-GH173))</f>
        <v>0</v>
      </c>
      <c r="GA174" s="18" t="e">
        <f>FZ174*VLOOKUP('Données projet'!$B$17,Paramètres!$A$1:$I$88,3,0)*VLOOKUP('Données projet'!$B$17,Paramètres!$A$1:$I$88,5,0)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42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43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projet'!$B$17,Paramètres!$A$1:$I$88,7,0))</f>
        <v>0</v>
      </c>
      <c r="GJ174" s="17">
        <f>IF(ISNA(VLOOKUP(A174,'Données projet'!$A$243:$I$263,6,0)),0%,VLOOKUP(A174,'Données projet'!$A$243:$I$263,6,0)*VLOOKUP('Données projet'!$B$17,Paramètres!$A$1:$I$88,7,0))</f>
        <v>0</v>
      </c>
      <c r="GK174" s="17">
        <f>IF(ISNA(VLOOKUP(A174,'Données projet'!$A$243:$I$263,7,0)),0%,VLOOKUP(A174,'Données projet'!$A$243:$I$263,7,0))</f>
        <v>0</v>
      </c>
      <c r="GL174" s="23">
        <f>EXP(-LN(2)/35)*GL173+(1-EXP(-LN(2)/35))/(LN(2)/35)*GH174*GI174*VLOOKUP('Données projet'!$B$9,Paramètres!$A$1:$I$88,3,0)*0.475*44/12</f>
        <v>0</v>
      </c>
      <c r="GM174" s="23">
        <f>EXP(-LN(2)/25)*GM173+(1-EXP(-LN(2)/25))/(LN(2)/25)*Calculateur!GH174*Calculateur!GJ174*VLOOKUP('Données projet'!$B$9,Paramètres!$A$1:$I$88,3,0)*0.475*44/12</f>
        <v>0</v>
      </c>
      <c r="GN174" s="23">
        <f>EXP(-LN(2)/2)*GN173+(1-EXP(-LN(2)/2))/(LN(2)/2)*GH174*GK174*VLOOKUP('Données projet'!$B$9,Paramètres!$A$1:$I$88,3,0)*0.475*44/12</f>
        <v>0</v>
      </c>
      <c r="GO174" s="23">
        <f t="shared" si="187"/>
        <v>0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IF(A174&lt;'Données projet'!$A$270,$GR$205^A174,IF(A174='Données projet'!$A$270,'Données projet'!$B$270,GU173+GT174-HC173))</f>
        <v>0</v>
      </c>
      <c r="GV174" s="18" t="e">
        <f>GU174*VLOOKUP('Données projet'!$B$18,Paramètres!$A$1:$I$88,3,0)*VLOOKUP('Données projet'!$B$18,Paramètres!$A$1:$I$88,5,0)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46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47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projet'!$B$18,Paramètres!$A$1:$I$88,7,0))</f>
        <v>0</v>
      </c>
      <c r="HE174" s="17">
        <f>IF(ISNA(VLOOKUP(A174,'Données projet'!$A$269:$I$289,6,0)),0%,VLOOKUP(A174,'Données projet'!$A$269:$I$289,6,0)*VLOOKUP('Données projet'!$B$18,Paramètres!$A$1:$I$88,7,0))</f>
        <v>0</v>
      </c>
      <c r="HF174" s="17">
        <f>IF(ISNA(VLOOKUP(A174,'Données projet'!$A$269:$I$289,7,0)),0%,VLOOKUP(A174,'Données projet'!$A$269:$I$289,7,0))</f>
        <v>0</v>
      </c>
      <c r="HG174" s="23">
        <f>EXP(-LN(2)/35)*HG173+(1-EXP(-LN(2)/35))/(LN(2)/35)*HC174*HD174*VLOOKUP('Données projet'!$B$9,Paramètres!$A$1:$I$88,3,0)*0.475*44/12</f>
        <v>0</v>
      </c>
      <c r="HH174" s="23">
        <f>EXP(-LN(2)/25)*HH173+(1-EXP(-LN(2)/25))/(LN(2)/25)*Calculateur!HC174*Calculateur!HE174*VLOOKUP('Données projet'!$B$9,Paramètres!$A$1:$I$88,3,0)*0.475*44/12</f>
        <v>0</v>
      </c>
      <c r="HI174" s="23">
        <f>EXP(-LN(2)/2)*HI173+(1-EXP(-LN(2)/2))/(LN(2)/2)*HC174*HF174*VLOOKUP('Données projet'!$B$9,Paramètres!$A$1:$I$88,3,0)*0.475*44/12</f>
        <v>0</v>
      </c>
      <c r="HJ174" s="24">
        <f t="shared" si="190"/>
        <v>0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5" s="12">
        <f t="shared" si="15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111"/>
        <v>135.66666666666666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IF(A175&lt;'Données projet'!$A$36,$K$205^A175,IF(A175='Données projet'!$A$36,'Données projet'!$B$36,N174+M175-V174))</f>
        <v>0</v>
      </c>
      <c r="O175" s="14">
        <f>N175*VLOOKUP('Données projet'!$B$9,Paramètres!$A$1:$I$88,3,0)*VLOOKUP('Données projet'!$B$9,Paramètres!$A$1:$I$88,5,0)</f>
        <v>0</v>
      </c>
      <c r="P175" s="14" t="e">
        <f t="shared" si="15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314.72063458462026</v>
      </c>
      <c r="T175" s="62">
        <f t="shared" si="110"/>
        <v>216.4380325968244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projet'!$B$9,Paramètres!$A$1:$I$88,7,0))</f>
        <v>0</v>
      </c>
      <c r="X175" s="17">
        <f>IF(ISNA(VLOOKUP(A175,'Données projet'!$A$35:$I$55,6,0)),0%,VLOOKUP(A175,'Données projet'!$A$35:$I$55,6,0)*VLOOKUP('Données projet'!$B$9,Paramètres!$A$1:$I$88,7,0))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projet'!$B$9,Paramètres!$A$1:$I$88,3,0)*0.475*44/12</f>
        <v>0</v>
      </c>
      <c r="AA175" s="23">
        <f>EXP(-LN(2)/25)*AA174+(1-EXP(-LN(2)/25))/(LN(2)/25)*Calculateur!V175*Calculateur!X175*VLOOKUP('Données projet'!$B$9,Paramètres!$A$1:$I$88,3,0)*0.475*44/12</f>
        <v>0</v>
      </c>
      <c r="AB175" s="23">
        <f>EXP(-LN(2)/2)*AB174+(1-EXP(-LN(2)/2))/(LN(2)/2)*V175*Y175*VLOOKUP('Données projet'!$B$9,Paramètres!$A$1:$I$88,3,0)*0.475*44/12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IF(A175&lt;'Données projet'!$A$62,$AF$205^A175,IF(A175='Données projet'!$A$62,'Données projet'!$B$62,AI174+AH175-AQ174))</f>
        <v>1.1368683772161603E-13</v>
      </c>
      <c r="AJ175" s="14">
        <f>AI175*VLOOKUP('Données projet'!$B$10,Paramètres!$A$1:$I$88,3,0)*VLOOKUP('Données projet'!$B$10,Paramètres!$A$1:$I$88,5,0)</f>
        <v>1.1882548278663309E-13</v>
      </c>
      <c r="AK175" s="14">
        <f t="shared" si="164"/>
        <v>1.7496137229198366E-12</v>
      </c>
      <c r="AL175" s="22">
        <f t="shared" si="165"/>
        <v>3.2541982832721012E-12</v>
      </c>
      <c r="AM175" s="62">
        <f t="shared" si="114"/>
        <v>286.46535942604555</v>
      </c>
      <c r="AN175" s="62">
        <f ca="1">AVERAGE(OFFSET($AM$3,0,0,'Données projet'!$E$10+1,1))-AVERAGE(OFFSET($H$3,0,0,'Données projet'!$E$10+1,1))</f>
        <v>458.33072853676879</v>
      </c>
      <c r="AO175" s="62">
        <f t="shared" si="115"/>
        <v>254.1734169352687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projet'!$B$10,Paramètres!$A$1:$I$88,7,0))</f>
        <v>0</v>
      </c>
      <c r="AS175" s="17">
        <f>IF(ISNA(VLOOKUP(A175,'Données projet'!$A$61:$I$81,6,0)),0%,VLOOKUP(A175,'Données projet'!$A$61:$I$81,6,0)*VLOOKUP('Données projet'!$B$10,Paramètres!$A$1:$I$88,7,0))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projet'!$B$9,Paramètres!$A$1:$I$88,3,0)*0.475*44/12</f>
        <v>0</v>
      </c>
      <c r="AV175" s="23">
        <f>EXP(-LN(2)/25)*AV174+(1-EXP(-LN(2)/25))/(LN(2)/25)*Calculateur!AQ175*Calculateur!AS175*VLOOKUP('Données projet'!$B$9,Paramètres!$A$1:$I$88,3,0)*0.475*44/12</f>
        <v>0</v>
      </c>
      <c r="AW175" s="23">
        <f>EXP(-LN(2)/2)*AW174+(1-EXP(-LN(2)/2))/(LN(2)/2)*AQ175*AT175*VLOOKUP('Données projet'!$B$9,Paramètres!$A$1:$I$88,3,0)*0.475*44/12</f>
        <v>0</v>
      </c>
      <c r="AX175" s="23">
        <f t="shared" si="166"/>
        <v>0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IF(A175&lt;'Données projet'!$A$88,$BA$205^A175,IF(A175='Données projet'!$A$88,'Données projet'!$B$88,BD174+BC175-BL174))</f>
        <v>1.1368683772161603E-13</v>
      </c>
      <c r="BE175" s="14">
        <f>BD175*VLOOKUP('Données projet'!$B$11,Paramètres!$A$1:$I$88,3,0)*VLOOKUP('Données projet'!$B$11,Paramètres!$A$1:$I$88,5,0)</f>
        <v>1.1527845344971866E-13</v>
      </c>
      <c r="BF175" s="14">
        <f t="shared" si="167"/>
        <v>1.7033846239409443E-12</v>
      </c>
      <c r="BG175" s="22">
        <f t="shared" si="168"/>
        <v>3.1675048597887374E-12</v>
      </c>
      <c r="BH175" s="62">
        <f t="shared" si="118"/>
        <v>286.4653594260455</v>
      </c>
      <c r="BI175" s="62">
        <f ca="1">AVERAGE(OFFSET($BH$3,0,0,'Données projet'!$E$11+1,1))-AVERAGE(OFFSET($H$3,0,0,'Données projet'!$E$11+1,1))</f>
        <v>447.82618173893104</v>
      </c>
      <c r="BJ175" s="62">
        <f t="shared" si="119"/>
        <v>248.96509970783379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projet'!$B$11,Paramètres!$A$1:$I$88,7,0))</f>
        <v>0</v>
      </c>
      <c r="BN175" s="17">
        <f>IF(ISNA(VLOOKUP(A175,'Données projet'!$A$87:$I$107,6,0)),0%,VLOOKUP(A175,'Données projet'!$A$87:$I$107,6,0)*VLOOKUP('Données projet'!$B$11,Paramètres!$A$1:$I$88,7,0))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projet'!$B$9,Paramètres!$A$1:$I$88,3,0)*0.475*44/12</f>
        <v>0</v>
      </c>
      <c r="BQ175" s="23">
        <f>EXP(-LN(2)/25)*BQ174+(1-EXP(-LN(2)/25))/(LN(2)/25)*Calculateur!BL175*Calculateur!BN175*VLOOKUP('Données projet'!$B$9,Paramètres!$A$1:$I$88,3,0)*0.475*44/12</f>
        <v>0</v>
      </c>
      <c r="BR175" s="23">
        <f>EXP(-LN(2)/2)*BR174+(1-EXP(-LN(2)/2))/(LN(2)/2)*BL175*BO175*VLOOKUP('Données projet'!$B$9,Paramètres!$A$1:$I$88,3,0)*0.475*44/12</f>
        <v>0</v>
      </c>
      <c r="BS175" s="24">
        <f t="shared" si="169"/>
        <v>0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IF(A175&lt;'Données projet'!$A$114,$BV$205^A175,IF(A175='Données projet'!$A$114,'Données projet'!$B$114,BY174+BX175-CG174))</f>
        <v>1.1368683772161603E-13</v>
      </c>
      <c r="BZ175" s="14">
        <f>BY175*VLOOKUP('Données projet'!$B$12,Paramètres!$A$1:$I$88,3,0)*VLOOKUP('Données projet'!$B$12,Paramètres!$A$1:$I$88,5,0)</f>
        <v>1.223725121235475E-13</v>
      </c>
      <c r="CA175" s="14">
        <f t="shared" si="170"/>
        <v>1.7956824466038182E-12</v>
      </c>
      <c r="CB175" s="22">
        <f t="shared" si="171"/>
        <v>3.3406123864501612E-12</v>
      </c>
      <c r="CC175" s="62">
        <f t="shared" si="122"/>
        <v>286.46535942604567</v>
      </c>
      <c r="CD175" s="62">
        <f ca="1">AVERAGE(OFFSET($CC$3,0,0,'Données projet'!$E$12+1,1))-AVERAGE(OFFSET($H$3,0,0,'Données projet'!$E$12+1,1))</f>
        <v>468.82871618425406</v>
      </c>
      <c r="CE175" s="62">
        <f t="shared" si="123"/>
        <v>259.37818128554397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projet'!$B$12,Paramètres!$A$1:$I$88,7,0))</f>
        <v>0</v>
      </c>
      <c r="CI175" s="17">
        <f>IF(ISNA(VLOOKUP(A175,'Données projet'!$A$113:$I$133,6,0)),0%,VLOOKUP(A175,'Données projet'!$A$113:$I$133,6,0)*VLOOKUP('Données projet'!$B$12,Paramètres!$A$1:$I$88,7,0))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projet'!$B$9,Paramètres!$A$1:$I$88,3,0)*0.475*44/12</f>
        <v>0</v>
      </c>
      <c r="CL175" s="23">
        <f>EXP(-LN(2)/25)*CL174+(1-EXP(-LN(2)/25))/(LN(2)/25)*Calculateur!CG175*Calculateur!CI175*VLOOKUP('Données projet'!$B$9,Paramètres!$A$1:$I$88,3,0)*0.475*44/12</f>
        <v>0</v>
      </c>
      <c r="CM175" s="23">
        <f>EXP(-LN(2)/2)*CM174+(1-EXP(-LN(2)/2))/(LN(2)/2)*CG175*CJ175*VLOOKUP('Données projet'!$B$9,Paramètres!$A$1:$I$88,3,0)*0.475*44/12</f>
        <v>0</v>
      </c>
      <c r="CN175" s="24">
        <f t="shared" si="172"/>
        <v>0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IF(A175&lt;'Données projet'!$A$140,$CQ$205^A175,IF(A175='Données projet'!$A$140,'Données projet'!$B$140,CT174+CS175-DB174))</f>
        <v>1.1368683772161603E-13</v>
      </c>
      <c r="CU175" s="18">
        <f>CT175*VLOOKUP('Données projet'!$B$13,Paramètres!$A$1:$I$88,3,0)*VLOOKUP('Données projet'!$B$13,Paramètres!$A$1:$I$88,5,0)</f>
        <v>9.7543306765146564E-14</v>
      </c>
      <c r="CV175" s="14">
        <f t="shared" si="173"/>
        <v>1.4696264278629426E-12</v>
      </c>
      <c r="CW175" s="22">
        <f t="shared" si="174"/>
        <v>2.7294872878105889E-12</v>
      </c>
      <c r="CX175" s="62">
        <f t="shared" si="126"/>
        <v>286.46535942604504</v>
      </c>
      <c r="CY175" s="62">
        <f ca="1">AVERAGE(OFFSET($CX$3,0,0,'Données projet'!$E$13+1,1))-AVERAGE(OFFSET($H$3,0,0,'Données projet'!$E$13+1,1))</f>
        <v>395.19659151668884</v>
      </c>
      <c r="CZ175" s="62">
        <f t="shared" si="127"/>
        <v>222.86563304507339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projet'!$B$13,Paramètres!$A$1:$I$88,7,0))</f>
        <v>0</v>
      </c>
      <c r="DD175" s="17">
        <f>IF(ISNA(VLOOKUP(A175,'Données projet'!$A$139:$I$159,6,0)),0%,VLOOKUP(A175,'Données projet'!$A$139:$I$159,6,0)*VLOOKUP('Données projet'!$B$13,Paramètres!$A$1:$I$88,7,0))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projet'!$B$9,Paramètres!$A$1:$I$88,3,0)*0.475*44/12</f>
        <v>0</v>
      </c>
      <c r="DG175" s="23">
        <f>EXP(-LN(2)/25)*DG174+(1-EXP(-LN(2)/25))/(LN(2)/25)*Calculateur!DB175*Calculateur!DD175*VLOOKUP('Données projet'!$B$9,Paramètres!$A$1:$I$88,3,0)*0.475*44/12</f>
        <v>0</v>
      </c>
      <c r="DH175" s="23">
        <f>EXP(-LN(2)/2)*DH174+(1-EXP(-LN(2)/2))/(LN(2)/2)*DB175*DE175*VLOOKUP('Données projet'!$B$9,Paramètres!$A$1:$I$88,3,0)*0.475*44/12</f>
        <v>0</v>
      </c>
      <c r="DI175" s="24">
        <f t="shared" si="175"/>
        <v>0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IF(A175&lt;'Données projet'!$A$166,$DL$205^A175,IF(A175='Données projet'!$A$166,'Données projet'!$B$166,DO174+DN175-DW174))</f>
        <v>-8.5265128291212022E-14</v>
      </c>
      <c r="DP175" s="18">
        <f>DO175*VLOOKUP('Données projet'!$B$14,Paramètres!$A$1:$I$88,3,0)*VLOOKUP('Données projet'!$B$14,Paramètres!$A$1:$I$88,5,0)</f>
        <v>-4.9880100050359036E-14</v>
      </c>
      <c r="DQ175" s="14" t="e">
        <f t="shared" si="176"/>
        <v>#NUM!</v>
      </c>
      <c r="DR175" s="22" t="e">
        <f t="shared" si="177"/>
        <v>#NUM!</v>
      </c>
      <c r="DS175" s="62" t="e">
        <f t="shared" si="130"/>
        <v>#NUM!</v>
      </c>
      <c r="DT175" s="62">
        <f ca="1">AVERAGE(OFFSET($DS$3,0,0,'Données projet'!$E$14+1,1))-AVERAGE(OFFSET($H$3,0,0,'Données projet'!$E$14+1,1))</f>
        <v>155.18073137151848</v>
      </c>
      <c r="DU175" s="62">
        <f t="shared" si="131"/>
        <v>115.19459155667272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projet'!$B$14,Paramètres!$A$1:$I$88,7,0))</f>
        <v>0</v>
      </c>
      <c r="DY175" s="17">
        <f>IF(ISNA(VLOOKUP(A175,'Données projet'!$A$165:$I$185,6,0)),0%,VLOOKUP(A175,'Données projet'!$A$165:$I$185,6,0)*VLOOKUP('Données projet'!$B$14,Paramètres!$A$1:$I$88,7,0))</f>
        <v>0</v>
      </c>
      <c r="DZ175" s="17">
        <f>IF(ISNA(VLOOKUP(A175,'Données projet'!$A$165:$I$185,7,0)),0%,VLOOKUP(A175,'Données projet'!$A$165:$I$185,7,0))</f>
        <v>0</v>
      </c>
      <c r="EA175" s="23">
        <f>EXP(-LN(2)/35)*EA174+(1-EXP(-LN(2)/35))/(LN(2)/35)*DW175*DX175*VLOOKUP('Données projet'!$B$9,Paramètres!$A$1:$I$88,3,0)*0.475*44/12</f>
        <v>0</v>
      </c>
      <c r="EB175" s="23">
        <f>EXP(-LN(2)/25)*EB174+(1-EXP(-LN(2)/25))/(LN(2)/25)*Calculateur!DW175*Calculateur!DY175*VLOOKUP('Données projet'!$B$9,Paramètres!$A$1:$I$88,3,0)*0.475*44/12</f>
        <v>0</v>
      </c>
      <c r="EC175" s="23">
        <f>EXP(-LN(2)/2)*EC174+(1-EXP(-LN(2)/2))/(LN(2)/2)*DW175*DZ175*VLOOKUP('Données projet'!$B$9,Paramètres!$A$1:$I$88,3,0)*0.475*44/12</f>
        <v>0</v>
      </c>
      <c r="ED175" s="24">
        <f t="shared" si="178"/>
        <v>0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IF(A175&lt;'Données projet'!$A$192,$EG$205^A175,IF(A175='Données projet'!$A$192,'Données projet'!$B$192,EJ174+EI175-ER174))</f>
        <v>-5.6843418860808015E-14</v>
      </c>
      <c r="EK175" s="18">
        <f>EJ175*VLOOKUP('Données projet'!$B$15,Paramètres!$A$1:$I$88,3,0)*VLOOKUP('Données projet'!$B$15,Paramètres!$A$1:$I$88,5,0)</f>
        <v>-2.6602720026858149E-14</v>
      </c>
      <c r="EL175" s="14" t="e">
        <f t="shared" si="179"/>
        <v>#NUM!</v>
      </c>
      <c r="EM175" s="22" t="e">
        <f t="shared" si="180"/>
        <v>#NUM!</v>
      </c>
      <c r="EN175" s="62" t="e">
        <f t="shared" si="134"/>
        <v>#NUM!</v>
      </c>
      <c r="EO175" s="62">
        <f ca="1">AVERAGE(OFFSET($EN$3,0,0,'Données projet'!$E$15+1,1))-AVERAGE(OFFSET($H$3,0,0,'Données projet'!$E$15+1,1))</f>
        <v>238.59014604384171</v>
      </c>
      <c r="EP175" s="62">
        <f t="shared" si="135"/>
        <v>90.841373219575217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projet'!$B$15,Paramètres!$A$1:$I$88,7,0))</f>
        <v>0</v>
      </c>
      <c r="ET175" s="17">
        <f>IF(ISNA(VLOOKUP(A175,'Données projet'!$A$191:$I$211,6,0)),0%,VLOOKUP(A175,'Données projet'!$A$191:$I$211,6,0)*VLOOKUP('Données projet'!$B$15,Paramètres!$A$1:$I$88,7,0))</f>
        <v>0</v>
      </c>
      <c r="EU175" s="17">
        <f>IF(ISNA(VLOOKUP(A175,'Données projet'!$A$191:$I$211,7,0)),0%,VLOOKUP(A175,'Données projet'!$A$191:$I$211,7,0))</f>
        <v>0</v>
      </c>
      <c r="EV175" s="23">
        <f>EXP(-LN(2)/35)*EV174+(1-EXP(-LN(2)/35))/(LN(2)/35)*ER175*ES175*VLOOKUP('Données projet'!$B$9,Paramètres!$A$1:$I$88,3,0)*0.475*44/12</f>
        <v>0</v>
      </c>
      <c r="EW175" s="23">
        <f>EXP(-LN(2)/25)*EW174+(1-EXP(-LN(2)/25))/(LN(2)/25)*Calculateur!ER175*Calculateur!ET175*VLOOKUP('Données projet'!$B$9,Paramètres!$A$1:$I$88,3,0)*0.475*44/12</f>
        <v>0</v>
      </c>
      <c r="EX175" s="23">
        <f>EXP(-LN(2)/2)*EX174+(1-EXP(-LN(2)/2))/(LN(2)/2)*ER175*EU175*VLOOKUP('Données projet'!$B$9,Paramètres!$A$1:$I$88,3,0)*0.475*44/12</f>
        <v>0</v>
      </c>
      <c r="EY175" s="24">
        <f t="shared" si="181"/>
        <v>0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IF(A175&lt;'Données projet'!$A$218,$FB$205^A175,IF(A175='Données projet'!$A$218,'Données projet'!$B$218,FE174+FD175-FM174))</f>
        <v>0</v>
      </c>
      <c r="FF175" s="18" t="e">
        <f>FE175*VLOOKUP('Données projet'!$B$16,Paramètres!$A$1:$I$88,3,0)*VLOOKUP('Données projet'!$B$16,Paramètres!$A$1:$I$88,5,0)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8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39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projet'!$B$16,Paramètres!$A$1:$I$88,7,0))</f>
        <v>0</v>
      </c>
      <c r="FO175" s="17">
        <f>IF(ISNA(VLOOKUP(A175,'Données projet'!$A$217:$I$237,6,0)),0%,VLOOKUP(A175,'Données projet'!$A$217:$I$237,6,0)*VLOOKUP('Données projet'!$B$16,Paramètres!$A$1:$I$88,7,0))</f>
        <v>0</v>
      </c>
      <c r="FP175" s="17">
        <f>IF(ISNA(VLOOKUP(A175,'Données projet'!$A$217:$I$237,7,0)),0%,VLOOKUP(A175,'Données projet'!$A$217:$I$237,7,0))</f>
        <v>0</v>
      </c>
      <c r="FQ175" s="23">
        <f>EXP(-LN(2)/35)*FQ174+(1-EXP(-LN(2)/35))/(LN(2)/35)*FM175*FN175*VLOOKUP('Données projet'!$B$9,Paramètres!$A$1:$I$88,3,0)*0.475*44/12</f>
        <v>0</v>
      </c>
      <c r="FR175" s="23">
        <f>EXP(-LN(2)/25)*FR174+(1-EXP(-LN(2)/25))/(LN(2)/25)*Calculateur!FM175*Calculateur!FO175*VLOOKUP('Données projet'!$B$9,Paramètres!$A$1:$I$88,3,0)*0.475*44/12</f>
        <v>0</v>
      </c>
      <c r="FS175" s="23">
        <f>EXP(-LN(2)/2)*FS174+(1-EXP(-LN(2)/2))/(LN(2)/2)*FM175*FP175*VLOOKUP('Données projet'!$B$9,Paramètres!$A$1:$I$88,3,0)*0.475*44/12</f>
        <v>0</v>
      </c>
      <c r="FT175" s="24">
        <f t="shared" si="184"/>
        <v>0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IF(A175&lt;'Données projet'!$A$244,$FW$205^A175,IF(A175='Données projet'!$A$244,'Données projet'!$B$244,FZ174+FY175-GH174))</f>
        <v>0</v>
      </c>
      <c r="GA175" s="18" t="e">
        <f>FZ175*VLOOKUP('Données projet'!$B$17,Paramètres!$A$1:$I$88,3,0)*VLOOKUP('Données projet'!$B$17,Paramètres!$A$1:$I$88,5,0)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42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43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projet'!$B$17,Paramètres!$A$1:$I$88,7,0))</f>
        <v>0</v>
      </c>
      <c r="GJ175" s="17">
        <f>IF(ISNA(VLOOKUP(A175,'Données projet'!$A$243:$I$263,6,0)),0%,VLOOKUP(A175,'Données projet'!$A$243:$I$263,6,0)*VLOOKUP('Données projet'!$B$17,Paramètres!$A$1:$I$88,7,0))</f>
        <v>0</v>
      </c>
      <c r="GK175" s="17">
        <f>IF(ISNA(VLOOKUP(A175,'Données projet'!$A$243:$I$263,7,0)),0%,VLOOKUP(A175,'Données projet'!$A$243:$I$263,7,0))</f>
        <v>0</v>
      </c>
      <c r="GL175" s="23">
        <f>EXP(-LN(2)/35)*GL174+(1-EXP(-LN(2)/35))/(LN(2)/35)*GH175*GI175*VLOOKUP('Données projet'!$B$9,Paramètres!$A$1:$I$88,3,0)*0.475*44/12</f>
        <v>0</v>
      </c>
      <c r="GM175" s="23">
        <f>EXP(-LN(2)/25)*GM174+(1-EXP(-LN(2)/25))/(LN(2)/25)*Calculateur!GH175*Calculateur!GJ175*VLOOKUP('Données projet'!$B$9,Paramètres!$A$1:$I$88,3,0)*0.475*44/12</f>
        <v>0</v>
      </c>
      <c r="GN175" s="23">
        <f>EXP(-LN(2)/2)*GN174+(1-EXP(-LN(2)/2))/(LN(2)/2)*GH175*GK175*VLOOKUP('Données projet'!$B$9,Paramètres!$A$1:$I$88,3,0)*0.475*44/12</f>
        <v>0</v>
      </c>
      <c r="GO175" s="23">
        <f t="shared" si="187"/>
        <v>0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IF(A175&lt;'Données projet'!$A$270,$GR$205^A175,IF(A175='Données projet'!$A$270,'Données projet'!$B$270,GU174+GT175-HC174))</f>
        <v>0</v>
      </c>
      <c r="GV175" s="18" t="e">
        <f>GU175*VLOOKUP('Données projet'!$B$18,Paramètres!$A$1:$I$88,3,0)*VLOOKUP('Données projet'!$B$18,Paramètres!$A$1:$I$88,5,0)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46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47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projet'!$B$18,Paramètres!$A$1:$I$88,7,0))</f>
        <v>0</v>
      </c>
      <c r="HE175" s="17">
        <f>IF(ISNA(VLOOKUP(A175,'Données projet'!$A$269:$I$289,6,0)),0%,VLOOKUP(A175,'Données projet'!$A$269:$I$289,6,0)*VLOOKUP('Données projet'!$B$18,Paramètres!$A$1:$I$88,7,0))</f>
        <v>0</v>
      </c>
      <c r="HF175" s="17">
        <f>IF(ISNA(VLOOKUP(A175,'Données projet'!$A$269:$I$289,7,0)),0%,VLOOKUP(A175,'Données projet'!$A$269:$I$289,7,0))</f>
        <v>0</v>
      </c>
      <c r="HG175" s="23">
        <f>EXP(-LN(2)/35)*HG174+(1-EXP(-LN(2)/35))/(LN(2)/35)*HC175*HD175*VLOOKUP('Données projet'!$B$9,Paramètres!$A$1:$I$88,3,0)*0.475*44/12</f>
        <v>0</v>
      </c>
      <c r="HH175" s="23">
        <f>EXP(-LN(2)/25)*HH174+(1-EXP(-LN(2)/25))/(LN(2)/25)*Calculateur!HC175*Calculateur!HE175*VLOOKUP('Données projet'!$B$9,Paramètres!$A$1:$I$88,3,0)*0.475*44/12</f>
        <v>0</v>
      </c>
      <c r="HI175" s="23">
        <f>EXP(-LN(2)/2)*HI174+(1-EXP(-LN(2)/2))/(LN(2)/2)*HC175*HF175*VLOOKUP('Données projet'!$B$9,Paramètres!$A$1:$I$88,3,0)*0.475*44/12</f>
        <v>0</v>
      </c>
      <c r="HJ175" s="24">
        <f t="shared" si="190"/>
        <v>0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6" s="12">
        <f t="shared" si="15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111"/>
        <v>135.66666666666666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IF(A176&lt;'Données projet'!$A$36,$K$205^A176,IF(A176='Données projet'!$A$36,'Données projet'!$B$36,N175+M176-V175))</f>
        <v>0</v>
      </c>
      <c r="O176" s="14">
        <f>N176*VLOOKUP('Données projet'!$B$9,Paramètres!$A$1:$I$88,3,0)*VLOOKUP('Données projet'!$B$9,Paramètres!$A$1:$I$88,5,0)</f>
        <v>0</v>
      </c>
      <c r="P176" s="14" t="e">
        <f t="shared" si="15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314.72063458462026</v>
      </c>
      <c r="T176" s="62">
        <f t="shared" si="110"/>
        <v>216.4380325968244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projet'!$B$9,Paramètres!$A$1:$I$88,7,0))</f>
        <v>0</v>
      </c>
      <c r="X176" s="17">
        <f>IF(ISNA(VLOOKUP(A176,'Données projet'!$A$35:$I$55,6,0)),0%,VLOOKUP(A176,'Données projet'!$A$35:$I$55,6,0)*VLOOKUP('Données projet'!$B$9,Paramètres!$A$1:$I$88,7,0))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projet'!$B$9,Paramètres!$A$1:$I$88,3,0)*0.475*44/12</f>
        <v>0</v>
      </c>
      <c r="AA176" s="23">
        <f>EXP(-LN(2)/25)*AA175+(1-EXP(-LN(2)/25))/(LN(2)/25)*Calculateur!V176*Calculateur!X176*VLOOKUP('Données projet'!$B$9,Paramètres!$A$1:$I$88,3,0)*0.475*44/12</f>
        <v>0</v>
      </c>
      <c r="AB176" s="23">
        <f>EXP(-LN(2)/2)*AB175+(1-EXP(-LN(2)/2))/(LN(2)/2)*V176*Y176*VLOOKUP('Données projet'!$B$9,Paramètres!$A$1:$I$88,3,0)*0.475*44/12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IF(A176&lt;'Données projet'!$A$62,$AF$205^A176,IF(A176='Données projet'!$A$62,'Données projet'!$B$62,AI175+AH176-AQ175))</f>
        <v>1.1368683772161603E-13</v>
      </c>
      <c r="AJ176" s="14">
        <f>AI176*VLOOKUP('Données projet'!$B$10,Paramètres!$A$1:$I$88,3,0)*VLOOKUP('Données projet'!$B$10,Paramètres!$A$1:$I$88,5,0)</f>
        <v>1.1882548278663309E-13</v>
      </c>
      <c r="AK176" s="14">
        <f t="shared" si="164"/>
        <v>1.7496137229198366E-12</v>
      </c>
      <c r="AL176" s="22">
        <f t="shared" si="165"/>
        <v>3.2541982832721012E-12</v>
      </c>
      <c r="AM176" s="62">
        <f t="shared" si="114"/>
        <v>286.58450341884759</v>
      </c>
      <c r="AN176" s="62">
        <f ca="1">AVERAGE(OFFSET($AM$3,0,0,'Données projet'!$E$10+1,1))-AVERAGE(OFFSET($H$3,0,0,'Données projet'!$E$10+1,1))</f>
        <v>458.33072853676879</v>
      </c>
      <c r="AO176" s="62">
        <f t="shared" si="115"/>
        <v>254.1734169352687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projet'!$B$10,Paramètres!$A$1:$I$88,7,0))</f>
        <v>0</v>
      </c>
      <c r="AS176" s="17">
        <f>IF(ISNA(VLOOKUP(A176,'Données projet'!$A$61:$I$81,6,0)),0%,VLOOKUP(A176,'Données projet'!$A$61:$I$81,6,0)*VLOOKUP('Données projet'!$B$10,Paramètres!$A$1:$I$88,7,0))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projet'!$B$9,Paramètres!$A$1:$I$88,3,0)*0.475*44/12</f>
        <v>0</v>
      </c>
      <c r="AV176" s="23">
        <f>EXP(-LN(2)/25)*AV175+(1-EXP(-LN(2)/25))/(LN(2)/25)*Calculateur!AQ176*Calculateur!AS176*VLOOKUP('Données projet'!$B$9,Paramètres!$A$1:$I$88,3,0)*0.475*44/12</f>
        <v>0</v>
      </c>
      <c r="AW176" s="23">
        <f>EXP(-LN(2)/2)*AW175+(1-EXP(-LN(2)/2))/(LN(2)/2)*AQ176*AT176*VLOOKUP('Données projet'!$B$9,Paramètres!$A$1:$I$88,3,0)*0.475*44/12</f>
        <v>0</v>
      </c>
      <c r="AX176" s="23">
        <f t="shared" si="166"/>
        <v>0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IF(A176&lt;'Données projet'!$A$88,$BA$205^A176,IF(A176='Données projet'!$A$88,'Données projet'!$B$88,BD175+BC176-BL175))</f>
        <v>1.1368683772161603E-13</v>
      </c>
      <c r="BE176" s="14">
        <f>BD176*VLOOKUP('Données projet'!$B$11,Paramètres!$A$1:$I$88,3,0)*VLOOKUP('Données projet'!$B$11,Paramètres!$A$1:$I$88,5,0)</f>
        <v>1.1527845344971866E-13</v>
      </c>
      <c r="BF176" s="14">
        <f t="shared" si="167"/>
        <v>1.7033846239409443E-12</v>
      </c>
      <c r="BG176" s="22">
        <f t="shared" si="168"/>
        <v>3.1675048597887374E-12</v>
      </c>
      <c r="BH176" s="62">
        <f t="shared" si="118"/>
        <v>286.58450341884753</v>
      </c>
      <c r="BI176" s="62">
        <f ca="1">AVERAGE(OFFSET($BH$3,0,0,'Données projet'!$E$11+1,1))-AVERAGE(OFFSET($H$3,0,0,'Données projet'!$E$11+1,1))</f>
        <v>447.82618173893104</v>
      </c>
      <c r="BJ176" s="62">
        <f t="shared" si="119"/>
        <v>248.96509970783379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projet'!$B$11,Paramètres!$A$1:$I$88,7,0))</f>
        <v>0</v>
      </c>
      <c r="BN176" s="17">
        <f>IF(ISNA(VLOOKUP(A176,'Données projet'!$A$87:$I$107,6,0)),0%,VLOOKUP(A176,'Données projet'!$A$87:$I$107,6,0)*VLOOKUP('Données projet'!$B$11,Paramètres!$A$1:$I$88,7,0))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projet'!$B$9,Paramètres!$A$1:$I$88,3,0)*0.475*44/12</f>
        <v>0</v>
      </c>
      <c r="BQ176" s="23">
        <f>EXP(-LN(2)/25)*BQ175+(1-EXP(-LN(2)/25))/(LN(2)/25)*Calculateur!BL176*Calculateur!BN176*VLOOKUP('Données projet'!$B$9,Paramètres!$A$1:$I$88,3,0)*0.475*44/12</f>
        <v>0</v>
      </c>
      <c r="BR176" s="23">
        <f>EXP(-LN(2)/2)*BR175+(1-EXP(-LN(2)/2))/(LN(2)/2)*BL176*BO176*VLOOKUP('Données projet'!$B$9,Paramètres!$A$1:$I$88,3,0)*0.475*44/12</f>
        <v>0</v>
      </c>
      <c r="BS176" s="24">
        <f t="shared" si="169"/>
        <v>0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IF(A176&lt;'Données projet'!$A$114,$BV$205^A176,IF(A176='Données projet'!$A$114,'Données projet'!$B$114,BY175+BX176-CG175))</f>
        <v>1.1368683772161603E-13</v>
      </c>
      <c r="BZ176" s="14">
        <f>BY176*VLOOKUP('Données projet'!$B$12,Paramètres!$A$1:$I$88,3,0)*VLOOKUP('Données projet'!$B$12,Paramètres!$A$1:$I$88,5,0)</f>
        <v>1.223725121235475E-13</v>
      </c>
      <c r="CA176" s="14">
        <f t="shared" si="170"/>
        <v>1.7956824466038182E-12</v>
      </c>
      <c r="CB176" s="22">
        <f t="shared" si="171"/>
        <v>3.3406123864501612E-12</v>
      </c>
      <c r="CC176" s="62">
        <f t="shared" si="122"/>
        <v>286.5845034188477</v>
      </c>
      <c r="CD176" s="62">
        <f ca="1">AVERAGE(OFFSET($CC$3,0,0,'Données projet'!$E$12+1,1))-AVERAGE(OFFSET($H$3,0,0,'Données projet'!$E$12+1,1))</f>
        <v>468.82871618425406</v>
      </c>
      <c r="CE176" s="62">
        <f t="shared" si="123"/>
        <v>259.37818128554397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projet'!$B$12,Paramètres!$A$1:$I$88,7,0))</f>
        <v>0</v>
      </c>
      <c r="CI176" s="17">
        <f>IF(ISNA(VLOOKUP(A176,'Données projet'!$A$113:$I$133,6,0)),0%,VLOOKUP(A176,'Données projet'!$A$113:$I$133,6,0)*VLOOKUP('Données projet'!$B$12,Paramètres!$A$1:$I$88,7,0))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projet'!$B$9,Paramètres!$A$1:$I$88,3,0)*0.475*44/12</f>
        <v>0</v>
      </c>
      <c r="CL176" s="23">
        <f>EXP(-LN(2)/25)*CL175+(1-EXP(-LN(2)/25))/(LN(2)/25)*Calculateur!CG176*Calculateur!CI176*VLOOKUP('Données projet'!$B$9,Paramètres!$A$1:$I$88,3,0)*0.475*44/12</f>
        <v>0</v>
      </c>
      <c r="CM176" s="23">
        <f>EXP(-LN(2)/2)*CM175+(1-EXP(-LN(2)/2))/(LN(2)/2)*CG176*CJ176*VLOOKUP('Données projet'!$B$9,Paramètres!$A$1:$I$88,3,0)*0.475*44/12</f>
        <v>0</v>
      </c>
      <c r="CN176" s="24">
        <f t="shared" si="172"/>
        <v>0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IF(A176&lt;'Données projet'!$A$140,$CQ$205^A176,IF(A176='Données projet'!$A$140,'Données projet'!$B$140,CT175+CS176-DB175))</f>
        <v>1.1368683772161603E-13</v>
      </c>
      <c r="CU176" s="18">
        <f>CT176*VLOOKUP('Données projet'!$B$13,Paramètres!$A$1:$I$88,3,0)*VLOOKUP('Données projet'!$B$13,Paramètres!$A$1:$I$88,5,0)</f>
        <v>9.7543306765146564E-14</v>
      </c>
      <c r="CV176" s="14">
        <f t="shared" si="173"/>
        <v>1.4696264278629426E-12</v>
      </c>
      <c r="CW176" s="22">
        <f t="shared" si="174"/>
        <v>2.7294872878105889E-12</v>
      </c>
      <c r="CX176" s="62">
        <f t="shared" si="126"/>
        <v>286.58450341884708</v>
      </c>
      <c r="CY176" s="62">
        <f ca="1">AVERAGE(OFFSET($CX$3,0,0,'Données projet'!$E$13+1,1))-AVERAGE(OFFSET($H$3,0,0,'Données projet'!$E$13+1,1))</f>
        <v>395.19659151668884</v>
      </c>
      <c r="CZ176" s="62">
        <f t="shared" si="127"/>
        <v>222.86563304507339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projet'!$B$13,Paramètres!$A$1:$I$88,7,0))</f>
        <v>0</v>
      </c>
      <c r="DD176" s="17">
        <f>IF(ISNA(VLOOKUP(A176,'Données projet'!$A$139:$I$159,6,0)),0%,VLOOKUP(A176,'Données projet'!$A$139:$I$159,6,0)*VLOOKUP('Données projet'!$B$13,Paramètres!$A$1:$I$88,7,0))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projet'!$B$9,Paramètres!$A$1:$I$88,3,0)*0.475*44/12</f>
        <v>0</v>
      </c>
      <c r="DG176" s="23">
        <f>EXP(-LN(2)/25)*DG175+(1-EXP(-LN(2)/25))/(LN(2)/25)*Calculateur!DB176*Calculateur!DD176*VLOOKUP('Données projet'!$B$9,Paramètres!$A$1:$I$88,3,0)*0.475*44/12</f>
        <v>0</v>
      </c>
      <c r="DH176" s="23">
        <f>EXP(-LN(2)/2)*DH175+(1-EXP(-LN(2)/2))/(LN(2)/2)*DB176*DE176*VLOOKUP('Données projet'!$B$9,Paramètres!$A$1:$I$88,3,0)*0.475*44/12</f>
        <v>0</v>
      </c>
      <c r="DI176" s="24">
        <f t="shared" si="175"/>
        <v>0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IF(A176&lt;'Données projet'!$A$166,$DL$205^A176,IF(A176='Données projet'!$A$166,'Données projet'!$B$166,DO175+DN176-DW175))</f>
        <v>-8.5265128291212022E-14</v>
      </c>
      <c r="DP176" s="18">
        <f>DO176*VLOOKUP('Données projet'!$B$14,Paramètres!$A$1:$I$88,3,0)*VLOOKUP('Données projet'!$B$14,Paramètres!$A$1:$I$88,5,0)</f>
        <v>-4.9880100050359036E-14</v>
      </c>
      <c r="DQ176" s="14" t="e">
        <f t="shared" si="176"/>
        <v>#NUM!</v>
      </c>
      <c r="DR176" s="22" t="e">
        <f t="shared" si="177"/>
        <v>#NUM!</v>
      </c>
      <c r="DS176" s="62" t="e">
        <f t="shared" si="130"/>
        <v>#NUM!</v>
      </c>
      <c r="DT176" s="62">
        <f ca="1">AVERAGE(OFFSET($DS$3,0,0,'Données projet'!$E$14+1,1))-AVERAGE(OFFSET($H$3,0,0,'Données projet'!$E$14+1,1))</f>
        <v>155.18073137151848</v>
      </c>
      <c r="DU176" s="62">
        <f t="shared" si="131"/>
        <v>115.19459155667272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projet'!$B$14,Paramètres!$A$1:$I$88,7,0))</f>
        <v>0</v>
      </c>
      <c r="DY176" s="17">
        <f>IF(ISNA(VLOOKUP(A176,'Données projet'!$A$165:$I$185,6,0)),0%,VLOOKUP(A176,'Données projet'!$A$165:$I$185,6,0)*VLOOKUP('Données projet'!$B$14,Paramètres!$A$1:$I$88,7,0))</f>
        <v>0</v>
      </c>
      <c r="DZ176" s="17">
        <f>IF(ISNA(VLOOKUP(A176,'Données projet'!$A$165:$I$185,7,0)),0%,VLOOKUP(A176,'Données projet'!$A$165:$I$185,7,0))</f>
        <v>0</v>
      </c>
      <c r="EA176" s="23">
        <f>EXP(-LN(2)/35)*EA175+(1-EXP(-LN(2)/35))/(LN(2)/35)*DW176*DX176*VLOOKUP('Données projet'!$B$9,Paramètres!$A$1:$I$88,3,0)*0.475*44/12</f>
        <v>0</v>
      </c>
      <c r="EB176" s="23">
        <f>EXP(-LN(2)/25)*EB175+(1-EXP(-LN(2)/25))/(LN(2)/25)*Calculateur!DW176*Calculateur!DY176*VLOOKUP('Données projet'!$B$9,Paramètres!$A$1:$I$88,3,0)*0.475*44/12</f>
        <v>0</v>
      </c>
      <c r="EC176" s="23">
        <f>EXP(-LN(2)/2)*EC175+(1-EXP(-LN(2)/2))/(LN(2)/2)*DW176*DZ176*VLOOKUP('Données projet'!$B$9,Paramètres!$A$1:$I$88,3,0)*0.475*44/12</f>
        <v>0</v>
      </c>
      <c r="ED176" s="24">
        <f t="shared" si="178"/>
        <v>0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IF(A176&lt;'Données projet'!$A$192,$EG$205^A176,IF(A176='Données projet'!$A$192,'Données projet'!$B$192,EJ175+EI176-ER175))</f>
        <v>-5.6843418860808015E-14</v>
      </c>
      <c r="EK176" s="18">
        <f>EJ176*VLOOKUP('Données projet'!$B$15,Paramètres!$A$1:$I$88,3,0)*VLOOKUP('Données projet'!$B$15,Paramètres!$A$1:$I$88,5,0)</f>
        <v>-2.6602720026858149E-14</v>
      </c>
      <c r="EL176" s="14" t="e">
        <f t="shared" si="179"/>
        <v>#NUM!</v>
      </c>
      <c r="EM176" s="22" t="e">
        <f t="shared" si="180"/>
        <v>#NUM!</v>
      </c>
      <c r="EN176" s="62" t="e">
        <f t="shared" si="134"/>
        <v>#NUM!</v>
      </c>
      <c r="EO176" s="62">
        <f ca="1">AVERAGE(OFFSET($EN$3,0,0,'Données projet'!$E$15+1,1))-AVERAGE(OFFSET($H$3,0,0,'Données projet'!$E$15+1,1))</f>
        <v>238.59014604384171</v>
      </c>
      <c r="EP176" s="62">
        <f t="shared" si="135"/>
        <v>90.841373219575217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projet'!$B$15,Paramètres!$A$1:$I$88,7,0))</f>
        <v>0</v>
      </c>
      <c r="ET176" s="17">
        <f>IF(ISNA(VLOOKUP(A176,'Données projet'!$A$191:$I$211,6,0)),0%,VLOOKUP(A176,'Données projet'!$A$191:$I$211,6,0)*VLOOKUP('Données projet'!$B$15,Paramètres!$A$1:$I$88,7,0))</f>
        <v>0</v>
      </c>
      <c r="EU176" s="17">
        <f>IF(ISNA(VLOOKUP(A176,'Données projet'!$A$191:$I$211,7,0)),0%,VLOOKUP(A176,'Données projet'!$A$191:$I$211,7,0))</f>
        <v>0</v>
      </c>
      <c r="EV176" s="23">
        <f>EXP(-LN(2)/35)*EV175+(1-EXP(-LN(2)/35))/(LN(2)/35)*ER176*ES176*VLOOKUP('Données projet'!$B$9,Paramètres!$A$1:$I$88,3,0)*0.475*44/12</f>
        <v>0</v>
      </c>
      <c r="EW176" s="23">
        <f>EXP(-LN(2)/25)*EW175+(1-EXP(-LN(2)/25))/(LN(2)/25)*Calculateur!ER176*Calculateur!ET176*VLOOKUP('Données projet'!$B$9,Paramètres!$A$1:$I$88,3,0)*0.475*44/12</f>
        <v>0</v>
      </c>
      <c r="EX176" s="23">
        <f>EXP(-LN(2)/2)*EX175+(1-EXP(-LN(2)/2))/(LN(2)/2)*ER176*EU176*VLOOKUP('Données projet'!$B$9,Paramètres!$A$1:$I$88,3,0)*0.475*44/12</f>
        <v>0</v>
      </c>
      <c r="EY176" s="24">
        <f t="shared" si="181"/>
        <v>0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IF(A176&lt;'Données projet'!$A$218,$FB$205^A176,IF(A176='Données projet'!$A$218,'Données projet'!$B$218,FE175+FD176-FM175))</f>
        <v>0</v>
      </c>
      <c r="FF176" s="18" t="e">
        <f>FE176*VLOOKUP('Données projet'!$B$16,Paramètres!$A$1:$I$88,3,0)*VLOOKUP('Données projet'!$B$16,Paramètres!$A$1:$I$88,5,0)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8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39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projet'!$B$16,Paramètres!$A$1:$I$88,7,0))</f>
        <v>0</v>
      </c>
      <c r="FO176" s="17">
        <f>IF(ISNA(VLOOKUP(A176,'Données projet'!$A$217:$I$237,6,0)),0%,VLOOKUP(A176,'Données projet'!$A$217:$I$237,6,0)*VLOOKUP('Données projet'!$B$16,Paramètres!$A$1:$I$88,7,0))</f>
        <v>0</v>
      </c>
      <c r="FP176" s="17">
        <f>IF(ISNA(VLOOKUP(A176,'Données projet'!$A$217:$I$237,7,0)),0%,VLOOKUP(A176,'Données projet'!$A$217:$I$237,7,0))</f>
        <v>0</v>
      </c>
      <c r="FQ176" s="23">
        <f>EXP(-LN(2)/35)*FQ175+(1-EXP(-LN(2)/35))/(LN(2)/35)*FM176*FN176*VLOOKUP('Données projet'!$B$9,Paramètres!$A$1:$I$88,3,0)*0.475*44/12</f>
        <v>0</v>
      </c>
      <c r="FR176" s="23">
        <f>EXP(-LN(2)/25)*FR175+(1-EXP(-LN(2)/25))/(LN(2)/25)*Calculateur!FM176*Calculateur!FO176*VLOOKUP('Données projet'!$B$9,Paramètres!$A$1:$I$88,3,0)*0.475*44/12</f>
        <v>0</v>
      </c>
      <c r="FS176" s="23">
        <f>EXP(-LN(2)/2)*FS175+(1-EXP(-LN(2)/2))/(LN(2)/2)*FM176*FP176*VLOOKUP('Données projet'!$B$9,Paramètres!$A$1:$I$88,3,0)*0.475*44/12</f>
        <v>0</v>
      </c>
      <c r="FT176" s="24">
        <f t="shared" si="184"/>
        <v>0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IF(A176&lt;'Données projet'!$A$244,$FW$205^A176,IF(A176='Données projet'!$A$244,'Données projet'!$B$244,FZ175+FY176-GH175))</f>
        <v>0</v>
      </c>
      <c r="GA176" s="18" t="e">
        <f>FZ176*VLOOKUP('Données projet'!$B$17,Paramètres!$A$1:$I$88,3,0)*VLOOKUP('Données projet'!$B$17,Paramètres!$A$1:$I$88,5,0)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42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43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projet'!$B$17,Paramètres!$A$1:$I$88,7,0))</f>
        <v>0</v>
      </c>
      <c r="GJ176" s="17">
        <f>IF(ISNA(VLOOKUP(A176,'Données projet'!$A$243:$I$263,6,0)),0%,VLOOKUP(A176,'Données projet'!$A$243:$I$263,6,0)*VLOOKUP('Données projet'!$B$17,Paramètres!$A$1:$I$88,7,0))</f>
        <v>0</v>
      </c>
      <c r="GK176" s="17">
        <f>IF(ISNA(VLOOKUP(A176,'Données projet'!$A$243:$I$263,7,0)),0%,VLOOKUP(A176,'Données projet'!$A$243:$I$263,7,0))</f>
        <v>0</v>
      </c>
      <c r="GL176" s="23">
        <f>EXP(-LN(2)/35)*GL175+(1-EXP(-LN(2)/35))/(LN(2)/35)*GH176*GI176*VLOOKUP('Données projet'!$B$9,Paramètres!$A$1:$I$88,3,0)*0.475*44/12</f>
        <v>0</v>
      </c>
      <c r="GM176" s="23">
        <f>EXP(-LN(2)/25)*GM175+(1-EXP(-LN(2)/25))/(LN(2)/25)*Calculateur!GH176*Calculateur!GJ176*VLOOKUP('Données projet'!$B$9,Paramètres!$A$1:$I$88,3,0)*0.475*44/12</f>
        <v>0</v>
      </c>
      <c r="GN176" s="23">
        <f>EXP(-LN(2)/2)*GN175+(1-EXP(-LN(2)/2))/(LN(2)/2)*GH176*GK176*VLOOKUP('Données projet'!$B$9,Paramètres!$A$1:$I$88,3,0)*0.475*44/12</f>
        <v>0</v>
      </c>
      <c r="GO176" s="23">
        <f t="shared" si="187"/>
        <v>0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IF(A176&lt;'Données projet'!$A$270,$GR$205^A176,IF(A176='Données projet'!$A$270,'Données projet'!$B$270,GU175+GT176-HC175))</f>
        <v>0</v>
      </c>
      <c r="GV176" s="18" t="e">
        <f>GU176*VLOOKUP('Données projet'!$B$18,Paramètres!$A$1:$I$88,3,0)*VLOOKUP('Données projet'!$B$18,Paramètres!$A$1:$I$88,5,0)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46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47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projet'!$B$18,Paramètres!$A$1:$I$88,7,0))</f>
        <v>0</v>
      </c>
      <c r="HE176" s="17">
        <f>IF(ISNA(VLOOKUP(A176,'Données projet'!$A$269:$I$289,6,0)),0%,VLOOKUP(A176,'Données projet'!$A$269:$I$289,6,0)*VLOOKUP('Données projet'!$B$18,Paramètres!$A$1:$I$88,7,0))</f>
        <v>0</v>
      </c>
      <c r="HF176" s="17">
        <f>IF(ISNA(VLOOKUP(A176,'Données projet'!$A$269:$I$289,7,0)),0%,VLOOKUP(A176,'Données projet'!$A$269:$I$289,7,0))</f>
        <v>0</v>
      </c>
      <c r="HG176" s="23">
        <f>EXP(-LN(2)/35)*HG175+(1-EXP(-LN(2)/35))/(LN(2)/35)*HC176*HD176*VLOOKUP('Données projet'!$B$9,Paramètres!$A$1:$I$88,3,0)*0.475*44/12</f>
        <v>0</v>
      </c>
      <c r="HH176" s="23">
        <f>EXP(-LN(2)/25)*HH175+(1-EXP(-LN(2)/25))/(LN(2)/25)*Calculateur!HC176*Calculateur!HE176*VLOOKUP('Données projet'!$B$9,Paramètres!$A$1:$I$88,3,0)*0.475*44/12</f>
        <v>0</v>
      </c>
      <c r="HI176" s="23">
        <f>EXP(-LN(2)/2)*HI175+(1-EXP(-LN(2)/2))/(LN(2)/2)*HC176*HF176*VLOOKUP('Données projet'!$B$9,Paramètres!$A$1:$I$88,3,0)*0.475*44/12</f>
        <v>0</v>
      </c>
      <c r="HJ176" s="24">
        <f t="shared" si="190"/>
        <v>0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7" s="12">
        <f t="shared" si="15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111"/>
        <v>135.66666666666666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IF(A177&lt;'Données projet'!$A$36,$K$205^A177,IF(A177='Données projet'!$A$36,'Données projet'!$B$36,N176+M177-V176))</f>
        <v>0</v>
      </c>
      <c r="O177" s="14">
        <f>N177*VLOOKUP('Données projet'!$B$9,Paramètres!$A$1:$I$88,3,0)*VLOOKUP('Données projet'!$B$9,Paramètres!$A$1:$I$88,5,0)</f>
        <v>0</v>
      </c>
      <c r="P177" s="14" t="e">
        <f t="shared" si="15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314.72063458462026</v>
      </c>
      <c r="T177" s="62">
        <f t="shared" si="110"/>
        <v>216.4380325968244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projet'!$B$9,Paramètres!$A$1:$I$88,7,0))</f>
        <v>0</v>
      </c>
      <c r="X177" s="17">
        <f>IF(ISNA(VLOOKUP(A177,'Données projet'!$A$35:$I$55,6,0)),0%,VLOOKUP(A177,'Données projet'!$A$35:$I$55,6,0)*VLOOKUP('Données projet'!$B$9,Paramètres!$A$1:$I$88,7,0))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projet'!$B$9,Paramètres!$A$1:$I$88,3,0)*0.475*44/12</f>
        <v>0</v>
      </c>
      <c r="AA177" s="23">
        <f>EXP(-LN(2)/25)*AA176+(1-EXP(-LN(2)/25))/(LN(2)/25)*Calculateur!V177*Calculateur!X177*VLOOKUP('Données projet'!$B$9,Paramètres!$A$1:$I$88,3,0)*0.475*44/12</f>
        <v>0</v>
      </c>
      <c r="AB177" s="23">
        <f>EXP(-LN(2)/2)*AB176+(1-EXP(-LN(2)/2))/(LN(2)/2)*V177*Y177*VLOOKUP('Données projet'!$B$9,Paramètres!$A$1:$I$88,3,0)*0.475*44/12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IF(A177&lt;'Données projet'!$A$62,$AF$205^A177,IF(A177='Données projet'!$A$62,'Données projet'!$B$62,AI176+AH177-AQ176))</f>
        <v>1.1368683772161603E-13</v>
      </c>
      <c r="AJ177" s="14">
        <f>AI177*VLOOKUP('Données projet'!$B$10,Paramètres!$A$1:$I$88,3,0)*VLOOKUP('Données projet'!$B$10,Paramètres!$A$1:$I$88,5,0)</f>
        <v>1.1882548278663309E-13</v>
      </c>
      <c r="AK177" s="14">
        <f t="shared" si="164"/>
        <v>1.7496137229198366E-12</v>
      </c>
      <c r="AL177" s="22">
        <f t="shared" si="165"/>
        <v>3.2541982832721012E-12</v>
      </c>
      <c r="AM177" s="62">
        <f t="shared" si="114"/>
        <v>286.70158052974068</v>
      </c>
      <c r="AN177" s="62">
        <f ca="1">AVERAGE(OFFSET($AM$3,0,0,'Données projet'!$E$10+1,1))-AVERAGE(OFFSET($H$3,0,0,'Données projet'!$E$10+1,1))</f>
        <v>458.33072853676879</v>
      </c>
      <c r="AO177" s="62">
        <f t="shared" si="115"/>
        <v>254.1734169352687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projet'!$B$10,Paramètres!$A$1:$I$88,7,0))</f>
        <v>0</v>
      </c>
      <c r="AS177" s="17">
        <f>IF(ISNA(VLOOKUP(A177,'Données projet'!$A$61:$I$81,6,0)),0%,VLOOKUP(A177,'Données projet'!$A$61:$I$81,6,0)*VLOOKUP('Données projet'!$B$10,Paramètres!$A$1:$I$88,7,0))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projet'!$B$9,Paramètres!$A$1:$I$88,3,0)*0.475*44/12</f>
        <v>0</v>
      </c>
      <c r="AV177" s="23">
        <f>EXP(-LN(2)/25)*AV176+(1-EXP(-LN(2)/25))/(LN(2)/25)*Calculateur!AQ177*Calculateur!AS177*VLOOKUP('Données projet'!$B$9,Paramètres!$A$1:$I$88,3,0)*0.475*44/12</f>
        <v>0</v>
      </c>
      <c r="AW177" s="23">
        <f>EXP(-LN(2)/2)*AW176+(1-EXP(-LN(2)/2))/(LN(2)/2)*AQ177*AT177*VLOOKUP('Données projet'!$B$9,Paramètres!$A$1:$I$88,3,0)*0.475*44/12</f>
        <v>0</v>
      </c>
      <c r="AX177" s="23">
        <f t="shared" si="166"/>
        <v>0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IF(A177&lt;'Données projet'!$A$88,$BA$205^A177,IF(A177='Données projet'!$A$88,'Données projet'!$B$88,BD176+BC177-BL176))</f>
        <v>1.1368683772161603E-13</v>
      </c>
      <c r="BE177" s="14">
        <f>BD177*VLOOKUP('Données projet'!$B$11,Paramètres!$A$1:$I$88,3,0)*VLOOKUP('Données projet'!$B$11,Paramètres!$A$1:$I$88,5,0)</f>
        <v>1.1527845344971866E-13</v>
      </c>
      <c r="BF177" s="14">
        <f t="shared" si="167"/>
        <v>1.7033846239409443E-12</v>
      </c>
      <c r="BG177" s="22">
        <f t="shared" si="168"/>
        <v>3.1675048597887374E-12</v>
      </c>
      <c r="BH177" s="62">
        <f t="shared" si="118"/>
        <v>286.70158052974062</v>
      </c>
      <c r="BI177" s="62">
        <f ca="1">AVERAGE(OFFSET($BH$3,0,0,'Données projet'!$E$11+1,1))-AVERAGE(OFFSET($H$3,0,0,'Données projet'!$E$11+1,1))</f>
        <v>447.82618173893104</v>
      </c>
      <c r="BJ177" s="62">
        <f t="shared" si="119"/>
        <v>248.96509970783379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projet'!$B$11,Paramètres!$A$1:$I$88,7,0))</f>
        <v>0</v>
      </c>
      <c r="BN177" s="17">
        <f>IF(ISNA(VLOOKUP(A177,'Données projet'!$A$87:$I$107,6,0)),0%,VLOOKUP(A177,'Données projet'!$A$87:$I$107,6,0)*VLOOKUP('Données projet'!$B$11,Paramètres!$A$1:$I$88,7,0))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projet'!$B$9,Paramètres!$A$1:$I$88,3,0)*0.475*44/12</f>
        <v>0</v>
      </c>
      <c r="BQ177" s="23">
        <f>EXP(-LN(2)/25)*BQ176+(1-EXP(-LN(2)/25))/(LN(2)/25)*Calculateur!BL177*Calculateur!BN177*VLOOKUP('Données projet'!$B$9,Paramètres!$A$1:$I$88,3,0)*0.475*44/12</f>
        <v>0</v>
      </c>
      <c r="BR177" s="23">
        <f>EXP(-LN(2)/2)*BR176+(1-EXP(-LN(2)/2))/(LN(2)/2)*BL177*BO177*VLOOKUP('Données projet'!$B$9,Paramètres!$A$1:$I$88,3,0)*0.475*44/12</f>
        <v>0</v>
      </c>
      <c r="BS177" s="24">
        <f t="shared" si="169"/>
        <v>0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IF(A177&lt;'Données projet'!$A$114,$BV$205^A177,IF(A177='Données projet'!$A$114,'Données projet'!$B$114,BY176+BX177-CG176))</f>
        <v>1.1368683772161603E-13</v>
      </c>
      <c r="BZ177" s="14">
        <f>BY177*VLOOKUP('Données projet'!$B$12,Paramètres!$A$1:$I$88,3,0)*VLOOKUP('Données projet'!$B$12,Paramètres!$A$1:$I$88,5,0)</f>
        <v>1.223725121235475E-13</v>
      </c>
      <c r="CA177" s="14">
        <f t="shared" si="170"/>
        <v>1.7956824466038182E-12</v>
      </c>
      <c r="CB177" s="22">
        <f t="shared" si="171"/>
        <v>3.3406123864501612E-12</v>
      </c>
      <c r="CC177" s="62">
        <f t="shared" si="122"/>
        <v>286.7015805297408</v>
      </c>
      <c r="CD177" s="62">
        <f ca="1">AVERAGE(OFFSET($CC$3,0,0,'Données projet'!$E$12+1,1))-AVERAGE(OFFSET($H$3,0,0,'Données projet'!$E$12+1,1))</f>
        <v>468.82871618425406</v>
      </c>
      <c r="CE177" s="62">
        <f t="shared" si="123"/>
        <v>259.37818128554397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projet'!$B$12,Paramètres!$A$1:$I$88,7,0))</f>
        <v>0</v>
      </c>
      <c r="CI177" s="17">
        <f>IF(ISNA(VLOOKUP(A177,'Données projet'!$A$113:$I$133,6,0)),0%,VLOOKUP(A177,'Données projet'!$A$113:$I$133,6,0)*VLOOKUP('Données projet'!$B$12,Paramètres!$A$1:$I$88,7,0))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projet'!$B$9,Paramètres!$A$1:$I$88,3,0)*0.475*44/12</f>
        <v>0</v>
      </c>
      <c r="CL177" s="23">
        <f>EXP(-LN(2)/25)*CL176+(1-EXP(-LN(2)/25))/(LN(2)/25)*Calculateur!CG177*Calculateur!CI177*VLOOKUP('Données projet'!$B$9,Paramètres!$A$1:$I$88,3,0)*0.475*44/12</f>
        <v>0</v>
      </c>
      <c r="CM177" s="23">
        <f>EXP(-LN(2)/2)*CM176+(1-EXP(-LN(2)/2))/(LN(2)/2)*CG177*CJ177*VLOOKUP('Données projet'!$B$9,Paramètres!$A$1:$I$88,3,0)*0.475*44/12</f>
        <v>0</v>
      </c>
      <c r="CN177" s="24">
        <f t="shared" si="172"/>
        <v>0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IF(A177&lt;'Données projet'!$A$140,$CQ$205^A177,IF(A177='Données projet'!$A$140,'Données projet'!$B$140,CT176+CS177-DB176))</f>
        <v>1.1368683772161603E-13</v>
      </c>
      <c r="CU177" s="18">
        <f>CT177*VLOOKUP('Données projet'!$B$13,Paramètres!$A$1:$I$88,3,0)*VLOOKUP('Données projet'!$B$13,Paramètres!$A$1:$I$88,5,0)</f>
        <v>9.7543306765146564E-14</v>
      </c>
      <c r="CV177" s="14">
        <f t="shared" si="173"/>
        <v>1.4696264278629426E-12</v>
      </c>
      <c r="CW177" s="22">
        <f t="shared" si="174"/>
        <v>2.7294872878105889E-12</v>
      </c>
      <c r="CX177" s="62">
        <f t="shared" si="126"/>
        <v>286.70158052974017</v>
      </c>
      <c r="CY177" s="62">
        <f ca="1">AVERAGE(OFFSET($CX$3,0,0,'Données projet'!$E$13+1,1))-AVERAGE(OFFSET($H$3,0,0,'Données projet'!$E$13+1,1))</f>
        <v>395.19659151668884</v>
      </c>
      <c r="CZ177" s="62">
        <f t="shared" si="127"/>
        <v>222.86563304507339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projet'!$B$13,Paramètres!$A$1:$I$88,7,0))</f>
        <v>0</v>
      </c>
      <c r="DD177" s="17">
        <f>IF(ISNA(VLOOKUP(A177,'Données projet'!$A$139:$I$159,6,0)),0%,VLOOKUP(A177,'Données projet'!$A$139:$I$159,6,0)*VLOOKUP('Données projet'!$B$13,Paramètres!$A$1:$I$88,7,0))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projet'!$B$9,Paramètres!$A$1:$I$88,3,0)*0.475*44/12</f>
        <v>0</v>
      </c>
      <c r="DG177" s="23">
        <f>EXP(-LN(2)/25)*DG176+(1-EXP(-LN(2)/25))/(LN(2)/25)*Calculateur!DB177*Calculateur!DD177*VLOOKUP('Données projet'!$B$9,Paramètres!$A$1:$I$88,3,0)*0.475*44/12</f>
        <v>0</v>
      </c>
      <c r="DH177" s="23">
        <f>EXP(-LN(2)/2)*DH176+(1-EXP(-LN(2)/2))/(LN(2)/2)*DB177*DE177*VLOOKUP('Données projet'!$B$9,Paramètres!$A$1:$I$88,3,0)*0.475*44/12</f>
        <v>0</v>
      </c>
      <c r="DI177" s="24">
        <f t="shared" si="175"/>
        <v>0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IF(A177&lt;'Données projet'!$A$166,$DL$205^A177,IF(A177='Données projet'!$A$166,'Données projet'!$B$166,DO176+DN177-DW176))</f>
        <v>-8.5265128291212022E-14</v>
      </c>
      <c r="DP177" s="18">
        <f>DO177*VLOOKUP('Données projet'!$B$14,Paramètres!$A$1:$I$88,3,0)*VLOOKUP('Données projet'!$B$14,Paramètres!$A$1:$I$88,5,0)</f>
        <v>-4.9880100050359036E-14</v>
      </c>
      <c r="DQ177" s="14" t="e">
        <f t="shared" si="176"/>
        <v>#NUM!</v>
      </c>
      <c r="DR177" s="22" t="e">
        <f t="shared" si="177"/>
        <v>#NUM!</v>
      </c>
      <c r="DS177" s="62" t="e">
        <f t="shared" si="130"/>
        <v>#NUM!</v>
      </c>
      <c r="DT177" s="62">
        <f ca="1">AVERAGE(OFFSET($DS$3,0,0,'Données projet'!$E$14+1,1))-AVERAGE(OFFSET($H$3,0,0,'Données projet'!$E$14+1,1))</f>
        <v>155.18073137151848</v>
      </c>
      <c r="DU177" s="62">
        <f t="shared" si="131"/>
        <v>115.19459155667272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projet'!$B$14,Paramètres!$A$1:$I$88,7,0))</f>
        <v>0</v>
      </c>
      <c r="DY177" s="17">
        <f>IF(ISNA(VLOOKUP(A177,'Données projet'!$A$165:$I$185,6,0)),0%,VLOOKUP(A177,'Données projet'!$A$165:$I$185,6,0)*VLOOKUP('Données projet'!$B$14,Paramètres!$A$1:$I$88,7,0))</f>
        <v>0</v>
      </c>
      <c r="DZ177" s="17">
        <f>IF(ISNA(VLOOKUP(A177,'Données projet'!$A$165:$I$185,7,0)),0%,VLOOKUP(A177,'Données projet'!$A$165:$I$185,7,0))</f>
        <v>0</v>
      </c>
      <c r="EA177" s="23">
        <f>EXP(-LN(2)/35)*EA176+(1-EXP(-LN(2)/35))/(LN(2)/35)*DW177*DX177*VLOOKUP('Données projet'!$B$9,Paramètres!$A$1:$I$88,3,0)*0.475*44/12</f>
        <v>0</v>
      </c>
      <c r="EB177" s="23">
        <f>EXP(-LN(2)/25)*EB176+(1-EXP(-LN(2)/25))/(LN(2)/25)*Calculateur!DW177*Calculateur!DY177*VLOOKUP('Données projet'!$B$9,Paramètres!$A$1:$I$88,3,0)*0.475*44/12</f>
        <v>0</v>
      </c>
      <c r="EC177" s="23">
        <f>EXP(-LN(2)/2)*EC176+(1-EXP(-LN(2)/2))/(LN(2)/2)*DW177*DZ177*VLOOKUP('Données projet'!$B$9,Paramètres!$A$1:$I$88,3,0)*0.475*44/12</f>
        <v>0</v>
      </c>
      <c r="ED177" s="24">
        <f t="shared" si="178"/>
        <v>0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IF(A177&lt;'Données projet'!$A$192,$EG$205^A177,IF(A177='Données projet'!$A$192,'Données projet'!$B$192,EJ176+EI177-ER176))</f>
        <v>-5.6843418860808015E-14</v>
      </c>
      <c r="EK177" s="18">
        <f>EJ177*VLOOKUP('Données projet'!$B$15,Paramètres!$A$1:$I$88,3,0)*VLOOKUP('Données projet'!$B$15,Paramètres!$A$1:$I$88,5,0)</f>
        <v>-2.6602720026858149E-14</v>
      </c>
      <c r="EL177" s="14" t="e">
        <f t="shared" si="179"/>
        <v>#NUM!</v>
      </c>
      <c r="EM177" s="22" t="e">
        <f t="shared" si="180"/>
        <v>#NUM!</v>
      </c>
      <c r="EN177" s="62" t="e">
        <f t="shared" si="134"/>
        <v>#NUM!</v>
      </c>
      <c r="EO177" s="62">
        <f ca="1">AVERAGE(OFFSET($EN$3,0,0,'Données projet'!$E$15+1,1))-AVERAGE(OFFSET($H$3,0,0,'Données projet'!$E$15+1,1))</f>
        <v>238.59014604384171</v>
      </c>
      <c r="EP177" s="62">
        <f t="shared" si="135"/>
        <v>90.841373219575217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projet'!$B$15,Paramètres!$A$1:$I$88,7,0))</f>
        <v>0</v>
      </c>
      <c r="ET177" s="17">
        <f>IF(ISNA(VLOOKUP(A177,'Données projet'!$A$191:$I$211,6,0)),0%,VLOOKUP(A177,'Données projet'!$A$191:$I$211,6,0)*VLOOKUP('Données projet'!$B$15,Paramètres!$A$1:$I$88,7,0))</f>
        <v>0</v>
      </c>
      <c r="EU177" s="17">
        <f>IF(ISNA(VLOOKUP(A177,'Données projet'!$A$191:$I$211,7,0)),0%,VLOOKUP(A177,'Données projet'!$A$191:$I$211,7,0))</f>
        <v>0</v>
      </c>
      <c r="EV177" s="23">
        <f>EXP(-LN(2)/35)*EV176+(1-EXP(-LN(2)/35))/(LN(2)/35)*ER177*ES177*VLOOKUP('Données projet'!$B$9,Paramètres!$A$1:$I$88,3,0)*0.475*44/12</f>
        <v>0</v>
      </c>
      <c r="EW177" s="23">
        <f>EXP(-LN(2)/25)*EW176+(1-EXP(-LN(2)/25))/(LN(2)/25)*Calculateur!ER177*Calculateur!ET177*VLOOKUP('Données projet'!$B$9,Paramètres!$A$1:$I$88,3,0)*0.475*44/12</f>
        <v>0</v>
      </c>
      <c r="EX177" s="23">
        <f>EXP(-LN(2)/2)*EX176+(1-EXP(-LN(2)/2))/(LN(2)/2)*ER177*EU177*VLOOKUP('Données projet'!$B$9,Paramètres!$A$1:$I$88,3,0)*0.475*44/12</f>
        <v>0</v>
      </c>
      <c r="EY177" s="24">
        <f t="shared" si="181"/>
        <v>0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IF(A177&lt;'Données projet'!$A$218,$FB$205^A177,IF(A177='Données projet'!$A$218,'Données projet'!$B$218,FE176+FD177-FM176))</f>
        <v>0</v>
      </c>
      <c r="FF177" s="18" t="e">
        <f>FE177*VLOOKUP('Données projet'!$B$16,Paramètres!$A$1:$I$88,3,0)*VLOOKUP('Données projet'!$B$16,Paramètres!$A$1:$I$88,5,0)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8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39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projet'!$B$16,Paramètres!$A$1:$I$88,7,0))</f>
        <v>0</v>
      </c>
      <c r="FO177" s="17">
        <f>IF(ISNA(VLOOKUP(A177,'Données projet'!$A$217:$I$237,6,0)),0%,VLOOKUP(A177,'Données projet'!$A$217:$I$237,6,0)*VLOOKUP('Données projet'!$B$16,Paramètres!$A$1:$I$88,7,0))</f>
        <v>0</v>
      </c>
      <c r="FP177" s="17">
        <f>IF(ISNA(VLOOKUP(A177,'Données projet'!$A$217:$I$237,7,0)),0%,VLOOKUP(A177,'Données projet'!$A$217:$I$237,7,0))</f>
        <v>0</v>
      </c>
      <c r="FQ177" s="23">
        <f>EXP(-LN(2)/35)*FQ176+(1-EXP(-LN(2)/35))/(LN(2)/35)*FM177*FN177*VLOOKUP('Données projet'!$B$9,Paramètres!$A$1:$I$88,3,0)*0.475*44/12</f>
        <v>0</v>
      </c>
      <c r="FR177" s="23">
        <f>EXP(-LN(2)/25)*FR176+(1-EXP(-LN(2)/25))/(LN(2)/25)*Calculateur!FM177*Calculateur!FO177*VLOOKUP('Données projet'!$B$9,Paramètres!$A$1:$I$88,3,0)*0.475*44/12</f>
        <v>0</v>
      </c>
      <c r="FS177" s="23">
        <f>EXP(-LN(2)/2)*FS176+(1-EXP(-LN(2)/2))/(LN(2)/2)*FM177*FP177*VLOOKUP('Données projet'!$B$9,Paramètres!$A$1:$I$88,3,0)*0.475*44/12</f>
        <v>0</v>
      </c>
      <c r="FT177" s="24">
        <f t="shared" si="184"/>
        <v>0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IF(A177&lt;'Données projet'!$A$244,$FW$205^A177,IF(A177='Données projet'!$A$244,'Données projet'!$B$244,FZ176+FY177-GH176))</f>
        <v>0</v>
      </c>
      <c r="GA177" s="18" t="e">
        <f>FZ177*VLOOKUP('Données projet'!$B$17,Paramètres!$A$1:$I$88,3,0)*VLOOKUP('Données projet'!$B$17,Paramètres!$A$1:$I$88,5,0)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42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43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projet'!$B$17,Paramètres!$A$1:$I$88,7,0))</f>
        <v>0</v>
      </c>
      <c r="GJ177" s="17">
        <f>IF(ISNA(VLOOKUP(A177,'Données projet'!$A$243:$I$263,6,0)),0%,VLOOKUP(A177,'Données projet'!$A$243:$I$263,6,0)*VLOOKUP('Données projet'!$B$17,Paramètres!$A$1:$I$88,7,0))</f>
        <v>0</v>
      </c>
      <c r="GK177" s="17">
        <f>IF(ISNA(VLOOKUP(A177,'Données projet'!$A$243:$I$263,7,0)),0%,VLOOKUP(A177,'Données projet'!$A$243:$I$263,7,0))</f>
        <v>0</v>
      </c>
      <c r="GL177" s="23">
        <f>EXP(-LN(2)/35)*GL176+(1-EXP(-LN(2)/35))/(LN(2)/35)*GH177*GI177*VLOOKUP('Données projet'!$B$9,Paramètres!$A$1:$I$88,3,0)*0.475*44/12</f>
        <v>0</v>
      </c>
      <c r="GM177" s="23">
        <f>EXP(-LN(2)/25)*GM176+(1-EXP(-LN(2)/25))/(LN(2)/25)*Calculateur!GH177*Calculateur!GJ177*VLOOKUP('Données projet'!$B$9,Paramètres!$A$1:$I$88,3,0)*0.475*44/12</f>
        <v>0</v>
      </c>
      <c r="GN177" s="23">
        <f>EXP(-LN(2)/2)*GN176+(1-EXP(-LN(2)/2))/(LN(2)/2)*GH177*GK177*VLOOKUP('Données projet'!$B$9,Paramètres!$A$1:$I$88,3,0)*0.475*44/12</f>
        <v>0</v>
      </c>
      <c r="GO177" s="23">
        <f t="shared" si="187"/>
        <v>0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IF(A177&lt;'Données projet'!$A$270,$GR$205^A177,IF(A177='Données projet'!$A$270,'Données projet'!$B$270,GU176+GT177-HC176))</f>
        <v>0</v>
      </c>
      <c r="GV177" s="18" t="e">
        <f>GU177*VLOOKUP('Données projet'!$B$18,Paramètres!$A$1:$I$88,3,0)*VLOOKUP('Données projet'!$B$18,Paramètres!$A$1:$I$88,5,0)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46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47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projet'!$B$18,Paramètres!$A$1:$I$88,7,0))</f>
        <v>0</v>
      </c>
      <c r="HE177" s="17">
        <f>IF(ISNA(VLOOKUP(A177,'Données projet'!$A$269:$I$289,6,0)),0%,VLOOKUP(A177,'Données projet'!$A$269:$I$289,6,0)*VLOOKUP('Données projet'!$B$18,Paramètres!$A$1:$I$88,7,0))</f>
        <v>0</v>
      </c>
      <c r="HF177" s="17">
        <f>IF(ISNA(VLOOKUP(A177,'Données projet'!$A$269:$I$289,7,0)),0%,VLOOKUP(A177,'Données projet'!$A$269:$I$289,7,0))</f>
        <v>0</v>
      </c>
      <c r="HG177" s="23">
        <f>EXP(-LN(2)/35)*HG176+(1-EXP(-LN(2)/35))/(LN(2)/35)*HC177*HD177*VLOOKUP('Données projet'!$B$9,Paramètres!$A$1:$I$88,3,0)*0.475*44/12</f>
        <v>0</v>
      </c>
      <c r="HH177" s="23">
        <f>EXP(-LN(2)/25)*HH176+(1-EXP(-LN(2)/25))/(LN(2)/25)*Calculateur!HC177*Calculateur!HE177*VLOOKUP('Données projet'!$B$9,Paramètres!$A$1:$I$88,3,0)*0.475*44/12</f>
        <v>0</v>
      </c>
      <c r="HI177" s="23">
        <f>EXP(-LN(2)/2)*HI176+(1-EXP(-LN(2)/2))/(LN(2)/2)*HC177*HF177*VLOOKUP('Données projet'!$B$9,Paramètres!$A$1:$I$88,3,0)*0.475*44/12</f>
        <v>0</v>
      </c>
      <c r="HJ177" s="24">
        <f t="shared" si="190"/>
        <v>0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8" s="12">
        <f t="shared" si="15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111"/>
        <v>135.66666666666666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IF(A178&lt;'Données projet'!$A$36,$K$205^A178,IF(A178='Données projet'!$A$36,'Données projet'!$B$36,N177+M178-V177))</f>
        <v>0</v>
      </c>
      <c r="O178" s="14">
        <f>N178*VLOOKUP('Données projet'!$B$9,Paramètres!$A$1:$I$88,3,0)*VLOOKUP('Données projet'!$B$9,Paramètres!$A$1:$I$88,5,0)</f>
        <v>0</v>
      </c>
      <c r="P178" s="14" t="e">
        <f t="shared" si="15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314.72063458462026</v>
      </c>
      <c r="T178" s="62">
        <f t="shared" si="110"/>
        <v>216.4380325968244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projet'!$B$9,Paramètres!$A$1:$I$88,7,0))</f>
        <v>0</v>
      </c>
      <c r="X178" s="17">
        <f>IF(ISNA(VLOOKUP(A178,'Données projet'!$A$35:$I$55,6,0)),0%,VLOOKUP(A178,'Données projet'!$A$35:$I$55,6,0)*VLOOKUP('Données projet'!$B$9,Paramètres!$A$1:$I$88,7,0))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projet'!$B$9,Paramètres!$A$1:$I$88,3,0)*0.475*44/12</f>
        <v>0</v>
      </c>
      <c r="AA178" s="23">
        <f>EXP(-LN(2)/25)*AA177+(1-EXP(-LN(2)/25))/(LN(2)/25)*Calculateur!V178*Calculateur!X178*VLOOKUP('Données projet'!$B$9,Paramètres!$A$1:$I$88,3,0)*0.475*44/12</f>
        <v>0</v>
      </c>
      <c r="AB178" s="23">
        <f>EXP(-LN(2)/2)*AB177+(1-EXP(-LN(2)/2))/(LN(2)/2)*V178*Y178*VLOOKUP('Données projet'!$B$9,Paramètres!$A$1:$I$88,3,0)*0.475*44/12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IF(A178&lt;'Données projet'!$A$62,$AF$205^A178,IF(A178='Données projet'!$A$62,'Données projet'!$B$62,AI177+AH178-AQ177))</f>
        <v>1.1368683772161603E-13</v>
      </c>
      <c r="AJ178" s="14">
        <f>AI178*VLOOKUP('Données projet'!$B$10,Paramètres!$A$1:$I$88,3,0)*VLOOKUP('Données projet'!$B$10,Paramètres!$A$1:$I$88,5,0)</f>
        <v>1.1882548278663309E-13</v>
      </c>
      <c r="AK178" s="14">
        <f t="shared" si="164"/>
        <v>1.7496137229198366E-12</v>
      </c>
      <c r="AL178" s="22">
        <f t="shared" si="165"/>
        <v>3.2541982832721012E-12</v>
      </c>
      <c r="AM178" s="62">
        <f t="shared" si="114"/>
        <v>286.81662661450491</v>
      </c>
      <c r="AN178" s="62">
        <f ca="1">AVERAGE(OFFSET($AM$3,0,0,'Données projet'!$E$10+1,1))-AVERAGE(OFFSET($H$3,0,0,'Données projet'!$E$10+1,1))</f>
        <v>458.33072853676879</v>
      </c>
      <c r="AO178" s="62">
        <f t="shared" si="115"/>
        <v>254.1734169352687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projet'!$B$10,Paramètres!$A$1:$I$88,7,0))</f>
        <v>0</v>
      </c>
      <c r="AS178" s="17">
        <f>IF(ISNA(VLOOKUP(A178,'Données projet'!$A$61:$I$81,6,0)),0%,VLOOKUP(A178,'Données projet'!$A$61:$I$81,6,0)*VLOOKUP('Données projet'!$B$10,Paramètres!$A$1:$I$88,7,0))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projet'!$B$9,Paramètres!$A$1:$I$88,3,0)*0.475*44/12</f>
        <v>0</v>
      </c>
      <c r="AV178" s="23">
        <f>EXP(-LN(2)/25)*AV177+(1-EXP(-LN(2)/25))/(LN(2)/25)*Calculateur!AQ178*Calculateur!AS178*VLOOKUP('Données projet'!$B$9,Paramètres!$A$1:$I$88,3,0)*0.475*44/12</f>
        <v>0</v>
      </c>
      <c r="AW178" s="23">
        <f>EXP(-LN(2)/2)*AW177+(1-EXP(-LN(2)/2))/(LN(2)/2)*AQ178*AT178*VLOOKUP('Données projet'!$B$9,Paramètres!$A$1:$I$88,3,0)*0.475*44/12</f>
        <v>0</v>
      </c>
      <c r="AX178" s="23">
        <f t="shared" si="166"/>
        <v>0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IF(A178&lt;'Données projet'!$A$88,$BA$205^A178,IF(A178='Données projet'!$A$88,'Données projet'!$B$88,BD177+BC178-BL177))</f>
        <v>1.1368683772161603E-13</v>
      </c>
      <c r="BE178" s="14">
        <f>BD178*VLOOKUP('Données projet'!$B$11,Paramètres!$A$1:$I$88,3,0)*VLOOKUP('Données projet'!$B$11,Paramètres!$A$1:$I$88,5,0)</f>
        <v>1.1527845344971866E-13</v>
      </c>
      <c r="BF178" s="14">
        <f t="shared" si="167"/>
        <v>1.7033846239409443E-12</v>
      </c>
      <c r="BG178" s="22">
        <f t="shared" si="168"/>
        <v>3.1675048597887374E-12</v>
      </c>
      <c r="BH178" s="62">
        <f t="shared" si="118"/>
        <v>286.81662661450486</v>
      </c>
      <c r="BI178" s="62">
        <f ca="1">AVERAGE(OFFSET($BH$3,0,0,'Données projet'!$E$11+1,1))-AVERAGE(OFFSET($H$3,0,0,'Données projet'!$E$11+1,1))</f>
        <v>447.82618173893104</v>
      </c>
      <c r="BJ178" s="62">
        <f t="shared" si="119"/>
        <v>248.96509970783379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projet'!$B$11,Paramètres!$A$1:$I$88,7,0))</f>
        <v>0</v>
      </c>
      <c r="BN178" s="17">
        <f>IF(ISNA(VLOOKUP(A178,'Données projet'!$A$87:$I$107,6,0)),0%,VLOOKUP(A178,'Données projet'!$A$87:$I$107,6,0)*VLOOKUP('Données projet'!$B$11,Paramètres!$A$1:$I$88,7,0))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projet'!$B$9,Paramètres!$A$1:$I$88,3,0)*0.475*44/12</f>
        <v>0</v>
      </c>
      <c r="BQ178" s="23">
        <f>EXP(-LN(2)/25)*BQ177+(1-EXP(-LN(2)/25))/(LN(2)/25)*Calculateur!BL178*Calculateur!BN178*VLOOKUP('Données projet'!$B$9,Paramètres!$A$1:$I$88,3,0)*0.475*44/12</f>
        <v>0</v>
      </c>
      <c r="BR178" s="23">
        <f>EXP(-LN(2)/2)*BR177+(1-EXP(-LN(2)/2))/(LN(2)/2)*BL178*BO178*VLOOKUP('Données projet'!$B$9,Paramètres!$A$1:$I$88,3,0)*0.475*44/12</f>
        <v>0</v>
      </c>
      <c r="BS178" s="24">
        <f t="shared" si="169"/>
        <v>0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IF(A178&lt;'Données projet'!$A$114,$BV$205^A178,IF(A178='Données projet'!$A$114,'Données projet'!$B$114,BY177+BX178-CG177))</f>
        <v>1.1368683772161603E-13</v>
      </c>
      <c r="BZ178" s="14">
        <f>BY178*VLOOKUP('Données projet'!$B$12,Paramètres!$A$1:$I$88,3,0)*VLOOKUP('Données projet'!$B$12,Paramètres!$A$1:$I$88,5,0)</f>
        <v>1.223725121235475E-13</v>
      </c>
      <c r="CA178" s="14">
        <f t="shared" si="170"/>
        <v>1.7956824466038182E-12</v>
      </c>
      <c r="CB178" s="22">
        <f t="shared" si="171"/>
        <v>3.3406123864501612E-12</v>
      </c>
      <c r="CC178" s="62">
        <f t="shared" si="122"/>
        <v>286.81662661450503</v>
      </c>
      <c r="CD178" s="62">
        <f ca="1">AVERAGE(OFFSET($CC$3,0,0,'Données projet'!$E$12+1,1))-AVERAGE(OFFSET($H$3,0,0,'Données projet'!$E$12+1,1))</f>
        <v>468.82871618425406</v>
      </c>
      <c r="CE178" s="62">
        <f t="shared" si="123"/>
        <v>259.37818128554397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projet'!$B$12,Paramètres!$A$1:$I$88,7,0))</f>
        <v>0</v>
      </c>
      <c r="CI178" s="17">
        <f>IF(ISNA(VLOOKUP(A178,'Données projet'!$A$113:$I$133,6,0)),0%,VLOOKUP(A178,'Données projet'!$A$113:$I$133,6,0)*VLOOKUP('Données projet'!$B$12,Paramètres!$A$1:$I$88,7,0))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projet'!$B$9,Paramètres!$A$1:$I$88,3,0)*0.475*44/12</f>
        <v>0</v>
      </c>
      <c r="CL178" s="23">
        <f>EXP(-LN(2)/25)*CL177+(1-EXP(-LN(2)/25))/(LN(2)/25)*Calculateur!CG178*Calculateur!CI178*VLOOKUP('Données projet'!$B$9,Paramètres!$A$1:$I$88,3,0)*0.475*44/12</f>
        <v>0</v>
      </c>
      <c r="CM178" s="23">
        <f>EXP(-LN(2)/2)*CM177+(1-EXP(-LN(2)/2))/(LN(2)/2)*CG178*CJ178*VLOOKUP('Données projet'!$B$9,Paramètres!$A$1:$I$88,3,0)*0.475*44/12</f>
        <v>0</v>
      </c>
      <c r="CN178" s="24">
        <f t="shared" si="172"/>
        <v>0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IF(A178&lt;'Données projet'!$A$140,$CQ$205^A178,IF(A178='Données projet'!$A$140,'Données projet'!$B$140,CT177+CS178-DB177))</f>
        <v>1.1368683772161603E-13</v>
      </c>
      <c r="CU178" s="18">
        <f>CT178*VLOOKUP('Données projet'!$B$13,Paramètres!$A$1:$I$88,3,0)*VLOOKUP('Données projet'!$B$13,Paramètres!$A$1:$I$88,5,0)</f>
        <v>9.7543306765146564E-14</v>
      </c>
      <c r="CV178" s="14">
        <f t="shared" si="173"/>
        <v>1.4696264278629426E-12</v>
      </c>
      <c r="CW178" s="22">
        <f t="shared" si="174"/>
        <v>2.7294872878105889E-12</v>
      </c>
      <c r="CX178" s="62">
        <f t="shared" si="126"/>
        <v>286.8166266145044</v>
      </c>
      <c r="CY178" s="62">
        <f ca="1">AVERAGE(OFFSET($CX$3,0,0,'Données projet'!$E$13+1,1))-AVERAGE(OFFSET($H$3,0,0,'Données projet'!$E$13+1,1))</f>
        <v>395.19659151668884</v>
      </c>
      <c r="CZ178" s="62">
        <f t="shared" si="127"/>
        <v>222.86563304507339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projet'!$B$13,Paramètres!$A$1:$I$88,7,0))</f>
        <v>0</v>
      </c>
      <c r="DD178" s="17">
        <f>IF(ISNA(VLOOKUP(A178,'Données projet'!$A$139:$I$159,6,0)),0%,VLOOKUP(A178,'Données projet'!$A$139:$I$159,6,0)*VLOOKUP('Données projet'!$B$13,Paramètres!$A$1:$I$88,7,0))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projet'!$B$9,Paramètres!$A$1:$I$88,3,0)*0.475*44/12</f>
        <v>0</v>
      </c>
      <c r="DG178" s="23">
        <f>EXP(-LN(2)/25)*DG177+(1-EXP(-LN(2)/25))/(LN(2)/25)*Calculateur!DB178*Calculateur!DD178*VLOOKUP('Données projet'!$B$9,Paramètres!$A$1:$I$88,3,0)*0.475*44/12</f>
        <v>0</v>
      </c>
      <c r="DH178" s="23">
        <f>EXP(-LN(2)/2)*DH177+(1-EXP(-LN(2)/2))/(LN(2)/2)*DB178*DE178*VLOOKUP('Données projet'!$B$9,Paramètres!$A$1:$I$88,3,0)*0.475*44/12</f>
        <v>0</v>
      </c>
      <c r="DI178" s="24">
        <f t="shared" si="175"/>
        <v>0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IF(A178&lt;'Données projet'!$A$166,$DL$205^A178,IF(A178='Données projet'!$A$166,'Données projet'!$B$166,DO177+DN178-DW177))</f>
        <v>-8.5265128291212022E-14</v>
      </c>
      <c r="DP178" s="18">
        <f>DO178*VLOOKUP('Données projet'!$B$14,Paramètres!$A$1:$I$88,3,0)*VLOOKUP('Données projet'!$B$14,Paramètres!$A$1:$I$88,5,0)</f>
        <v>-4.9880100050359036E-14</v>
      </c>
      <c r="DQ178" s="14" t="e">
        <f t="shared" si="176"/>
        <v>#NUM!</v>
      </c>
      <c r="DR178" s="22" t="e">
        <f t="shared" si="177"/>
        <v>#NUM!</v>
      </c>
      <c r="DS178" s="62" t="e">
        <f t="shared" si="130"/>
        <v>#NUM!</v>
      </c>
      <c r="DT178" s="62">
        <f ca="1">AVERAGE(OFFSET($DS$3,0,0,'Données projet'!$E$14+1,1))-AVERAGE(OFFSET($H$3,0,0,'Données projet'!$E$14+1,1))</f>
        <v>155.18073137151848</v>
      </c>
      <c r="DU178" s="62">
        <f t="shared" si="131"/>
        <v>115.19459155667272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projet'!$B$14,Paramètres!$A$1:$I$88,7,0))</f>
        <v>0</v>
      </c>
      <c r="DY178" s="17">
        <f>IF(ISNA(VLOOKUP(A178,'Données projet'!$A$165:$I$185,6,0)),0%,VLOOKUP(A178,'Données projet'!$A$165:$I$185,6,0)*VLOOKUP('Données projet'!$B$14,Paramètres!$A$1:$I$88,7,0))</f>
        <v>0</v>
      </c>
      <c r="DZ178" s="17">
        <f>IF(ISNA(VLOOKUP(A178,'Données projet'!$A$165:$I$185,7,0)),0%,VLOOKUP(A178,'Données projet'!$A$165:$I$185,7,0))</f>
        <v>0</v>
      </c>
      <c r="EA178" s="23">
        <f>EXP(-LN(2)/35)*EA177+(1-EXP(-LN(2)/35))/(LN(2)/35)*DW178*DX178*VLOOKUP('Données projet'!$B$9,Paramètres!$A$1:$I$88,3,0)*0.475*44/12</f>
        <v>0</v>
      </c>
      <c r="EB178" s="23">
        <f>EXP(-LN(2)/25)*EB177+(1-EXP(-LN(2)/25))/(LN(2)/25)*Calculateur!DW178*Calculateur!DY178*VLOOKUP('Données projet'!$B$9,Paramètres!$A$1:$I$88,3,0)*0.475*44/12</f>
        <v>0</v>
      </c>
      <c r="EC178" s="23">
        <f>EXP(-LN(2)/2)*EC177+(1-EXP(-LN(2)/2))/(LN(2)/2)*DW178*DZ178*VLOOKUP('Données projet'!$B$9,Paramètres!$A$1:$I$88,3,0)*0.475*44/12</f>
        <v>0</v>
      </c>
      <c r="ED178" s="24">
        <f t="shared" si="178"/>
        <v>0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IF(A178&lt;'Données projet'!$A$192,$EG$205^A178,IF(A178='Données projet'!$A$192,'Données projet'!$B$192,EJ177+EI178-ER177))</f>
        <v>-5.6843418860808015E-14</v>
      </c>
      <c r="EK178" s="18">
        <f>EJ178*VLOOKUP('Données projet'!$B$15,Paramètres!$A$1:$I$88,3,0)*VLOOKUP('Données projet'!$B$15,Paramètres!$A$1:$I$88,5,0)</f>
        <v>-2.6602720026858149E-14</v>
      </c>
      <c r="EL178" s="14" t="e">
        <f t="shared" si="179"/>
        <v>#NUM!</v>
      </c>
      <c r="EM178" s="22" t="e">
        <f t="shared" si="180"/>
        <v>#NUM!</v>
      </c>
      <c r="EN178" s="62" t="e">
        <f t="shared" si="134"/>
        <v>#NUM!</v>
      </c>
      <c r="EO178" s="62">
        <f ca="1">AVERAGE(OFFSET($EN$3,0,0,'Données projet'!$E$15+1,1))-AVERAGE(OFFSET($H$3,0,0,'Données projet'!$E$15+1,1))</f>
        <v>238.59014604384171</v>
      </c>
      <c r="EP178" s="62">
        <f t="shared" si="135"/>
        <v>90.841373219575217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projet'!$B$15,Paramètres!$A$1:$I$88,7,0))</f>
        <v>0</v>
      </c>
      <c r="ET178" s="17">
        <f>IF(ISNA(VLOOKUP(A178,'Données projet'!$A$191:$I$211,6,0)),0%,VLOOKUP(A178,'Données projet'!$A$191:$I$211,6,0)*VLOOKUP('Données projet'!$B$15,Paramètres!$A$1:$I$88,7,0))</f>
        <v>0</v>
      </c>
      <c r="EU178" s="17">
        <f>IF(ISNA(VLOOKUP(A178,'Données projet'!$A$191:$I$211,7,0)),0%,VLOOKUP(A178,'Données projet'!$A$191:$I$211,7,0))</f>
        <v>0</v>
      </c>
      <c r="EV178" s="23">
        <f>EXP(-LN(2)/35)*EV177+(1-EXP(-LN(2)/35))/(LN(2)/35)*ER178*ES178*VLOOKUP('Données projet'!$B$9,Paramètres!$A$1:$I$88,3,0)*0.475*44/12</f>
        <v>0</v>
      </c>
      <c r="EW178" s="23">
        <f>EXP(-LN(2)/25)*EW177+(1-EXP(-LN(2)/25))/(LN(2)/25)*Calculateur!ER178*Calculateur!ET178*VLOOKUP('Données projet'!$B$9,Paramètres!$A$1:$I$88,3,0)*0.475*44/12</f>
        <v>0</v>
      </c>
      <c r="EX178" s="23">
        <f>EXP(-LN(2)/2)*EX177+(1-EXP(-LN(2)/2))/(LN(2)/2)*ER178*EU178*VLOOKUP('Données projet'!$B$9,Paramètres!$A$1:$I$88,3,0)*0.475*44/12</f>
        <v>0</v>
      </c>
      <c r="EY178" s="24">
        <f t="shared" si="181"/>
        <v>0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IF(A178&lt;'Données projet'!$A$218,$FB$205^A178,IF(A178='Données projet'!$A$218,'Données projet'!$B$218,FE177+FD178-FM177))</f>
        <v>0</v>
      </c>
      <c r="FF178" s="18" t="e">
        <f>FE178*VLOOKUP('Données projet'!$B$16,Paramètres!$A$1:$I$88,3,0)*VLOOKUP('Données projet'!$B$16,Paramètres!$A$1:$I$88,5,0)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8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39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projet'!$B$16,Paramètres!$A$1:$I$88,7,0))</f>
        <v>0</v>
      </c>
      <c r="FO178" s="17">
        <f>IF(ISNA(VLOOKUP(A178,'Données projet'!$A$217:$I$237,6,0)),0%,VLOOKUP(A178,'Données projet'!$A$217:$I$237,6,0)*VLOOKUP('Données projet'!$B$16,Paramètres!$A$1:$I$88,7,0))</f>
        <v>0</v>
      </c>
      <c r="FP178" s="17">
        <f>IF(ISNA(VLOOKUP(A178,'Données projet'!$A$217:$I$237,7,0)),0%,VLOOKUP(A178,'Données projet'!$A$217:$I$237,7,0))</f>
        <v>0</v>
      </c>
      <c r="FQ178" s="23">
        <f>EXP(-LN(2)/35)*FQ177+(1-EXP(-LN(2)/35))/(LN(2)/35)*FM178*FN178*VLOOKUP('Données projet'!$B$9,Paramètres!$A$1:$I$88,3,0)*0.475*44/12</f>
        <v>0</v>
      </c>
      <c r="FR178" s="23">
        <f>EXP(-LN(2)/25)*FR177+(1-EXP(-LN(2)/25))/(LN(2)/25)*Calculateur!FM178*Calculateur!FO178*VLOOKUP('Données projet'!$B$9,Paramètres!$A$1:$I$88,3,0)*0.475*44/12</f>
        <v>0</v>
      </c>
      <c r="FS178" s="23">
        <f>EXP(-LN(2)/2)*FS177+(1-EXP(-LN(2)/2))/(LN(2)/2)*FM178*FP178*VLOOKUP('Données projet'!$B$9,Paramètres!$A$1:$I$88,3,0)*0.475*44/12</f>
        <v>0</v>
      </c>
      <c r="FT178" s="24">
        <f t="shared" si="184"/>
        <v>0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IF(A178&lt;'Données projet'!$A$244,$FW$205^A178,IF(A178='Données projet'!$A$244,'Données projet'!$B$244,FZ177+FY178-GH177))</f>
        <v>0</v>
      </c>
      <c r="GA178" s="18" t="e">
        <f>FZ178*VLOOKUP('Données projet'!$B$17,Paramètres!$A$1:$I$88,3,0)*VLOOKUP('Données projet'!$B$17,Paramètres!$A$1:$I$88,5,0)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42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43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projet'!$B$17,Paramètres!$A$1:$I$88,7,0))</f>
        <v>0</v>
      </c>
      <c r="GJ178" s="17">
        <f>IF(ISNA(VLOOKUP(A178,'Données projet'!$A$243:$I$263,6,0)),0%,VLOOKUP(A178,'Données projet'!$A$243:$I$263,6,0)*VLOOKUP('Données projet'!$B$17,Paramètres!$A$1:$I$88,7,0))</f>
        <v>0</v>
      </c>
      <c r="GK178" s="17">
        <f>IF(ISNA(VLOOKUP(A178,'Données projet'!$A$243:$I$263,7,0)),0%,VLOOKUP(A178,'Données projet'!$A$243:$I$263,7,0))</f>
        <v>0</v>
      </c>
      <c r="GL178" s="23">
        <f>EXP(-LN(2)/35)*GL177+(1-EXP(-LN(2)/35))/(LN(2)/35)*GH178*GI178*VLOOKUP('Données projet'!$B$9,Paramètres!$A$1:$I$88,3,0)*0.475*44/12</f>
        <v>0</v>
      </c>
      <c r="GM178" s="23">
        <f>EXP(-LN(2)/25)*GM177+(1-EXP(-LN(2)/25))/(LN(2)/25)*Calculateur!GH178*Calculateur!GJ178*VLOOKUP('Données projet'!$B$9,Paramètres!$A$1:$I$88,3,0)*0.475*44/12</f>
        <v>0</v>
      </c>
      <c r="GN178" s="23">
        <f>EXP(-LN(2)/2)*GN177+(1-EXP(-LN(2)/2))/(LN(2)/2)*GH178*GK178*VLOOKUP('Données projet'!$B$9,Paramètres!$A$1:$I$88,3,0)*0.475*44/12</f>
        <v>0</v>
      </c>
      <c r="GO178" s="23">
        <f t="shared" si="187"/>
        <v>0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IF(A178&lt;'Données projet'!$A$270,$GR$205^A178,IF(A178='Données projet'!$A$270,'Données projet'!$B$270,GU177+GT178-HC177))</f>
        <v>0</v>
      </c>
      <c r="GV178" s="18" t="e">
        <f>GU178*VLOOKUP('Données projet'!$B$18,Paramètres!$A$1:$I$88,3,0)*VLOOKUP('Données projet'!$B$18,Paramètres!$A$1:$I$88,5,0)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46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47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projet'!$B$18,Paramètres!$A$1:$I$88,7,0))</f>
        <v>0</v>
      </c>
      <c r="HE178" s="17">
        <f>IF(ISNA(VLOOKUP(A178,'Données projet'!$A$269:$I$289,6,0)),0%,VLOOKUP(A178,'Données projet'!$A$269:$I$289,6,0)*VLOOKUP('Données projet'!$B$18,Paramètres!$A$1:$I$88,7,0))</f>
        <v>0</v>
      </c>
      <c r="HF178" s="17">
        <f>IF(ISNA(VLOOKUP(A178,'Données projet'!$A$269:$I$289,7,0)),0%,VLOOKUP(A178,'Données projet'!$A$269:$I$289,7,0))</f>
        <v>0</v>
      </c>
      <c r="HG178" s="23">
        <f>EXP(-LN(2)/35)*HG177+(1-EXP(-LN(2)/35))/(LN(2)/35)*HC178*HD178*VLOOKUP('Données projet'!$B$9,Paramètres!$A$1:$I$88,3,0)*0.475*44/12</f>
        <v>0</v>
      </c>
      <c r="HH178" s="23">
        <f>EXP(-LN(2)/25)*HH177+(1-EXP(-LN(2)/25))/(LN(2)/25)*Calculateur!HC178*Calculateur!HE178*VLOOKUP('Données projet'!$B$9,Paramètres!$A$1:$I$88,3,0)*0.475*44/12</f>
        <v>0</v>
      </c>
      <c r="HI178" s="23">
        <f>EXP(-LN(2)/2)*HI177+(1-EXP(-LN(2)/2))/(LN(2)/2)*HC178*HF178*VLOOKUP('Données projet'!$B$9,Paramètres!$A$1:$I$88,3,0)*0.475*44/12</f>
        <v>0</v>
      </c>
      <c r="HJ178" s="24">
        <f t="shared" si="190"/>
        <v>0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79" s="12">
        <f t="shared" si="15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111"/>
        <v>135.66666666666666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IF(A179&lt;'Données projet'!$A$36,$K$205^A179,IF(A179='Données projet'!$A$36,'Données projet'!$B$36,N178+M179-V178))</f>
        <v>0</v>
      </c>
      <c r="O179" s="14">
        <f>N179*VLOOKUP('Données projet'!$B$9,Paramètres!$A$1:$I$88,3,0)*VLOOKUP('Données projet'!$B$9,Paramètres!$A$1:$I$88,5,0)</f>
        <v>0</v>
      </c>
      <c r="P179" s="14" t="e">
        <f t="shared" si="15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314.72063458462026</v>
      </c>
      <c r="T179" s="62">
        <f t="shared" si="110"/>
        <v>216.4380325968244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projet'!$B$9,Paramètres!$A$1:$I$88,7,0))</f>
        <v>0</v>
      </c>
      <c r="X179" s="17">
        <f>IF(ISNA(VLOOKUP(A179,'Données projet'!$A$35:$I$55,6,0)),0%,VLOOKUP(A179,'Données projet'!$A$35:$I$55,6,0)*VLOOKUP('Données projet'!$B$9,Paramètres!$A$1:$I$88,7,0))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projet'!$B$9,Paramètres!$A$1:$I$88,3,0)*0.475*44/12</f>
        <v>0</v>
      </c>
      <c r="AA179" s="23">
        <f>EXP(-LN(2)/25)*AA178+(1-EXP(-LN(2)/25))/(LN(2)/25)*Calculateur!V179*Calculateur!X179*VLOOKUP('Données projet'!$B$9,Paramètres!$A$1:$I$88,3,0)*0.475*44/12</f>
        <v>0</v>
      </c>
      <c r="AB179" s="23">
        <f>EXP(-LN(2)/2)*AB178+(1-EXP(-LN(2)/2))/(LN(2)/2)*V179*Y179*VLOOKUP('Données projet'!$B$9,Paramètres!$A$1:$I$88,3,0)*0.475*44/12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IF(A179&lt;'Données projet'!$A$62,$AF$205^A179,IF(A179='Données projet'!$A$62,'Données projet'!$B$62,AI178+AH179-AQ178))</f>
        <v>1.1368683772161603E-13</v>
      </c>
      <c r="AJ179" s="14">
        <f>AI179*VLOOKUP('Données projet'!$B$10,Paramètres!$A$1:$I$88,3,0)*VLOOKUP('Données projet'!$B$10,Paramètres!$A$1:$I$88,5,0)</f>
        <v>1.1882548278663309E-13</v>
      </c>
      <c r="AK179" s="14">
        <f t="shared" si="164"/>
        <v>1.7496137229198366E-12</v>
      </c>
      <c r="AL179" s="22">
        <f t="shared" si="165"/>
        <v>3.2541982832721012E-12</v>
      </c>
      <c r="AM179" s="62">
        <f t="shared" si="114"/>
        <v>286.92967690690307</v>
      </c>
      <c r="AN179" s="62">
        <f ca="1">AVERAGE(OFFSET($AM$3,0,0,'Données projet'!$E$10+1,1))-AVERAGE(OFFSET($H$3,0,0,'Données projet'!$E$10+1,1))</f>
        <v>458.33072853676879</v>
      </c>
      <c r="AO179" s="62">
        <f t="shared" si="115"/>
        <v>254.1734169352687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projet'!$B$10,Paramètres!$A$1:$I$88,7,0))</f>
        <v>0</v>
      </c>
      <c r="AS179" s="17">
        <f>IF(ISNA(VLOOKUP(A179,'Données projet'!$A$61:$I$81,6,0)),0%,VLOOKUP(A179,'Données projet'!$A$61:$I$81,6,0)*VLOOKUP('Données projet'!$B$10,Paramètres!$A$1:$I$88,7,0))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projet'!$B$9,Paramètres!$A$1:$I$88,3,0)*0.475*44/12</f>
        <v>0</v>
      </c>
      <c r="AV179" s="23">
        <f>EXP(-LN(2)/25)*AV178+(1-EXP(-LN(2)/25))/(LN(2)/25)*Calculateur!AQ179*Calculateur!AS179*VLOOKUP('Données projet'!$B$9,Paramètres!$A$1:$I$88,3,0)*0.475*44/12</f>
        <v>0</v>
      </c>
      <c r="AW179" s="23">
        <f>EXP(-LN(2)/2)*AW178+(1-EXP(-LN(2)/2))/(LN(2)/2)*AQ179*AT179*VLOOKUP('Données projet'!$B$9,Paramètres!$A$1:$I$88,3,0)*0.475*44/12</f>
        <v>0</v>
      </c>
      <c r="AX179" s="23">
        <f t="shared" si="166"/>
        <v>0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IF(A179&lt;'Données projet'!$A$88,$BA$205^A179,IF(A179='Données projet'!$A$88,'Données projet'!$B$88,BD178+BC179-BL178))</f>
        <v>1.1368683772161603E-13</v>
      </c>
      <c r="BE179" s="14">
        <f>BD179*VLOOKUP('Données projet'!$B$11,Paramètres!$A$1:$I$88,3,0)*VLOOKUP('Données projet'!$B$11,Paramètres!$A$1:$I$88,5,0)</f>
        <v>1.1527845344971866E-13</v>
      </c>
      <c r="BF179" s="14">
        <f t="shared" si="167"/>
        <v>1.7033846239409443E-12</v>
      </c>
      <c r="BG179" s="22">
        <f t="shared" si="168"/>
        <v>3.1675048597887374E-12</v>
      </c>
      <c r="BH179" s="62">
        <f t="shared" si="118"/>
        <v>286.92967690690301</v>
      </c>
      <c r="BI179" s="62">
        <f ca="1">AVERAGE(OFFSET($BH$3,0,0,'Données projet'!$E$11+1,1))-AVERAGE(OFFSET($H$3,0,0,'Données projet'!$E$11+1,1))</f>
        <v>447.82618173893104</v>
      </c>
      <c r="BJ179" s="62">
        <f t="shared" si="119"/>
        <v>248.96509970783379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projet'!$B$11,Paramètres!$A$1:$I$88,7,0))</f>
        <v>0</v>
      </c>
      <c r="BN179" s="17">
        <f>IF(ISNA(VLOOKUP(A179,'Données projet'!$A$87:$I$107,6,0)),0%,VLOOKUP(A179,'Données projet'!$A$87:$I$107,6,0)*VLOOKUP('Données projet'!$B$11,Paramètres!$A$1:$I$88,7,0))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projet'!$B$9,Paramètres!$A$1:$I$88,3,0)*0.475*44/12</f>
        <v>0</v>
      </c>
      <c r="BQ179" s="23">
        <f>EXP(-LN(2)/25)*BQ178+(1-EXP(-LN(2)/25))/(LN(2)/25)*Calculateur!BL179*Calculateur!BN179*VLOOKUP('Données projet'!$B$9,Paramètres!$A$1:$I$88,3,0)*0.475*44/12</f>
        <v>0</v>
      </c>
      <c r="BR179" s="23">
        <f>EXP(-LN(2)/2)*BR178+(1-EXP(-LN(2)/2))/(LN(2)/2)*BL179*BO179*VLOOKUP('Données projet'!$B$9,Paramètres!$A$1:$I$88,3,0)*0.475*44/12</f>
        <v>0</v>
      </c>
      <c r="BS179" s="24">
        <f t="shared" si="169"/>
        <v>0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IF(A179&lt;'Données projet'!$A$114,$BV$205^A179,IF(A179='Données projet'!$A$114,'Données projet'!$B$114,BY178+BX179-CG178))</f>
        <v>1.1368683772161603E-13</v>
      </c>
      <c r="BZ179" s="14">
        <f>BY179*VLOOKUP('Données projet'!$B$12,Paramètres!$A$1:$I$88,3,0)*VLOOKUP('Données projet'!$B$12,Paramètres!$A$1:$I$88,5,0)</f>
        <v>1.223725121235475E-13</v>
      </c>
      <c r="CA179" s="14">
        <f t="shared" si="170"/>
        <v>1.7956824466038182E-12</v>
      </c>
      <c r="CB179" s="22">
        <f t="shared" si="171"/>
        <v>3.3406123864501612E-12</v>
      </c>
      <c r="CC179" s="62">
        <f t="shared" si="122"/>
        <v>286.92967690690318</v>
      </c>
      <c r="CD179" s="62">
        <f ca="1">AVERAGE(OFFSET($CC$3,0,0,'Données projet'!$E$12+1,1))-AVERAGE(OFFSET($H$3,0,0,'Données projet'!$E$12+1,1))</f>
        <v>468.82871618425406</v>
      </c>
      <c r="CE179" s="62">
        <f t="shared" si="123"/>
        <v>259.37818128554397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projet'!$B$12,Paramètres!$A$1:$I$88,7,0))</f>
        <v>0</v>
      </c>
      <c r="CI179" s="17">
        <f>IF(ISNA(VLOOKUP(A179,'Données projet'!$A$113:$I$133,6,0)),0%,VLOOKUP(A179,'Données projet'!$A$113:$I$133,6,0)*VLOOKUP('Données projet'!$B$12,Paramètres!$A$1:$I$88,7,0))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projet'!$B$9,Paramètres!$A$1:$I$88,3,0)*0.475*44/12</f>
        <v>0</v>
      </c>
      <c r="CL179" s="23">
        <f>EXP(-LN(2)/25)*CL178+(1-EXP(-LN(2)/25))/(LN(2)/25)*Calculateur!CG179*Calculateur!CI179*VLOOKUP('Données projet'!$B$9,Paramètres!$A$1:$I$88,3,0)*0.475*44/12</f>
        <v>0</v>
      </c>
      <c r="CM179" s="23">
        <f>EXP(-LN(2)/2)*CM178+(1-EXP(-LN(2)/2))/(LN(2)/2)*CG179*CJ179*VLOOKUP('Données projet'!$B$9,Paramètres!$A$1:$I$88,3,0)*0.475*44/12</f>
        <v>0</v>
      </c>
      <c r="CN179" s="24">
        <f t="shared" si="172"/>
        <v>0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IF(A179&lt;'Données projet'!$A$140,$CQ$205^A179,IF(A179='Données projet'!$A$140,'Données projet'!$B$140,CT178+CS179-DB178))</f>
        <v>1.1368683772161603E-13</v>
      </c>
      <c r="CU179" s="18">
        <f>CT179*VLOOKUP('Données projet'!$B$13,Paramètres!$A$1:$I$88,3,0)*VLOOKUP('Données projet'!$B$13,Paramètres!$A$1:$I$88,5,0)</f>
        <v>9.7543306765146564E-14</v>
      </c>
      <c r="CV179" s="14">
        <f t="shared" si="173"/>
        <v>1.4696264278629426E-12</v>
      </c>
      <c r="CW179" s="22">
        <f t="shared" si="174"/>
        <v>2.7294872878105889E-12</v>
      </c>
      <c r="CX179" s="62">
        <f t="shared" si="126"/>
        <v>286.92967690690256</v>
      </c>
      <c r="CY179" s="62">
        <f ca="1">AVERAGE(OFFSET($CX$3,0,0,'Données projet'!$E$13+1,1))-AVERAGE(OFFSET($H$3,0,0,'Données projet'!$E$13+1,1))</f>
        <v>395.19659151668884</v>
      </c>
      <c r="CZ179" s="62">
        <f t="shared" si="127"/>
        <v>222.86563304507339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projet'!$B$13,Paramètres!$A$1:$I$88,7,0))</f>
        <v>0</v>
      </c>
      <c r="DD179" s="17">
        <f>IF(ISNA(VLOOKUP(A179,'Données projet'!$A$139:$I$159,6,0)),0%,VLOOKUP(A179,'Données projet'!$A$139:$I$159,6,0)*VLOOKUP('Données projet'!$B$13,Paramètres!$A$1:$I$88,7,0))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projet'!$B$9,Paramètres!$A$1:$I$88,3,0)*0.475*44/12</f>
        <v>0</v>
      </c>
      <c r="DG179" s="23">
        <f>EXP(-LN(2)/25)*DG178+(1-EXP(-LN(2)/25))/(LN(2)/25)*Calculateur!DB179*Calculateur!DD179*VLOOKUP('Données projet'!$B$9,Paramètres!$A$1:$I$88,3,0)*0.475*44/12</f>
        <v>0</v>
      </c>
      <c r="DH179" s="23">
        <f>EXP(-LN(2)/2)*DH178+(1-EXP(-LN(2)/2))/(LN(2)/2)*DB179*DE179*VLOOKUP('Données projet'!$B$9,Paramètres!$A$1:$I$88,3,0)*0.475*44/12</f>
        <v>0</v>
      </c>
      <c r="DI179" s="24">
        <f t="shared" si="175"/>
        <v>0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IF(A179&lt;'Données projet'!$A$166,$DL$205^A179,IF(A179='Données projet'!$A$166,'Données projet'!$B$166,DO178+DN179-DW178))</f>
        <v>-8.5265128291212022E-14</v>
      </c>
      <c r="DP179" s="18">
        <f>DO179*VLOOKUP('Données projet'!$B$14,Paramètres!$A$1:$I$88,3,0)*VLOOKUP('Données projet'!$B$14,Paramètres!$A$1:$I$88,5,0)</f>
        <v>-4.9880100050359036E-14</v>
      </c>
      <c r="DQ179" s="14" t="e">
        <f t="shared" si="176"/>
        <v>#NUM!</v>
      </c>
      <c r="DR179" s="22" t="e">
        <f t="shared" si="177"/>
        <v>#NUM!</v>
      </c>
      <c r="DS179" s="62" t="e">
        <f t="shared" si="130"/>
        <v>#NUM!</v>
      </c>
      <c r="DT179" s="62">
        <f ca="1">AVERAGE(OFFSET($DS$3,0,0,'Données projet'!$E$14+1,1))-AVERAGE(OFFSET($H$3,0,0,'Données projet'!$E$14+1,1))</f>
        <v>155.18073137151848</v>
      </c>
      <c r="DU179" s="62">
        <f t="shared" si="131"/>
        <v>115.19459155667272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projet'!$B$14,Paramètres!$A$1:$I$88,7,0))</f>
        <v>0</v>
      </c>
      <c r="DY179" s="17">
        <f>IF(ISNA(VLOOKUP(A179,'Données projet'!$A$165:$I$185,6,0)),0%,VLOOKUP(A179,'Données projet'!$A$165:$I$185,6,0)*VLOOKUP('Données projet'!$B$14,Paramètres!$A$1:$I$88,7,0))</f>
        <v>0</v>
      </c>
      <c r="DZ179" s="17">
        <f>IF(ISNA(VLOOKUP(A179,'Données projet'!$A$165:$I$185,7,0)),0%,VLOOKUP(A179,'Données projet'!$A$165:$I$185,7,0))</f>
        <v>0</v>
      </c>
      <c r="EA179" s="23">
        <f>EXP(-LN(2)/35)*EA178+(1-EXP(-LN(2)/35))/(LN(2)/35)*DW179*DX179*VLOOKUP('Données projet'!$B$9,Paramètres!$A$1:$I$88,3,0)*0.475*44/12</f>
        <v>0</v>
      </c>
      <c r="EB179" s="23">
        <f>EXP(-LN(2)/25)*EB178+(1-EXP(-LN(2)/25))/(LN(2)/25)*Calculateur!DW179*Calculateur!DY179*VLOOKUP('Données projet'!$B$9,Paramètres!$A$1:$I$88,3,0)*0.475*44/12</f>
        <v>0</v>
      </c>
      <c r="EC179" s="23">
        <f>EXP(-LN(2)/2)*EC178+(1-EXP(-LN(2)/2))/(LN(2)/2)*DW179*DZ179*VLOOKUP('Données projet'!$B$9,Paramètres!$A$1:$I$88,3,0)*0.475*44/12</f>
        <v>0</v>
      </c>
      <c r="ED179" s="24">
        <f t="shared" si="178"/>
        <v>0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IF(A179&lt;'Données projet'!$A$192,$EG$205^A179,IF(A179='Données projet'!$A$192,'Données projet'!$B$192,EJ178+EI179-ER178))</f>
        <v>-5.6843418860808015E-14</v>
      </c>
      <c r="EK179" s="18">
        <f>EJ179*VLOOKUP('Données projet'!$B$15,Paramètres!$A$1:$I$88,3,0)*VLOOKUP('Données projet'!$B$15,Paramètres!$A$1:$I$88,5,0)</f>
        <v>-2.6602720026858149E-14</v>
      </c>
      <c r="EL179" s="14" t="e">
        <f t="shared" si="179"/>
        <v>#NUM!</v>
      </c>
      <c r="EM179" s="22" t="e">
        <f t="shared" si="180"/>
        <v>#NUM!</v>
      </c>
      <c r="EN179" s="62" t="e">
        <f t="shared" si="134"/>
        <v>#NUM!</v>
      </c>
      <c r="EO179" s="62">
        <f ca="1">AVERAGE(OFFSET($EN$3,0,0,'Données projet'!$E$15+1,1))-AVERAGE(OFFSET($H$3,0,0,'Données projet'!$E$15+1,1))</f>
        <v>238.59014604384171</v>
      </c>
      <c r="EP179" s="62">
        <f t="shared" si="135"/>
        <v>90.841373219575217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projet'!$B$15,Paramètres!$A$1:$I$88,7,0))</f>
        <v>0</v>
      </c>
      <c r="ET179" s="17">
        <f>IF(ISNA(VLOOKUP(A179,'Données projet'!$A$191:$I$211,6,0)),0%,VLOOKUP(A179,'Données projet'!$A$191:$I$211,6,0)*VLOOKUP('Données projet'!$B$15,Paramètres!$A$1:$I$88,7,0))</f>
        <v>0</v>
      </c>
      <c r="EU179" s="17">
        <f>IF(ISNA(VLOOKUP(A179,'Données projet'!$A$191:$I$211,7,0)),0%,VLOOKUP(A179,'Données projet'!$A$191:$I$211,7,0))</f>
        <v>0</v>
      </c>
      <c r="EV179" s="23">
        <f>EXP(-LN(2)/35)*EV178+(1-EXP(-LN(2)/35))/(LN(2)/35)*ER179*ES179*VLOOKUP('Données projet'!$B$9,Paramètres!$A$1:$I$88,3,0)*0.475*44/12</f>
        <v>0</v>
      </c>
      <c r="EW179" s="23">
        <f>EXP(-LN(2)/25)*EW178+(1-EXP(-LN(2)/25))/(LN(2)/25)*Calculateur!ER179*Calculateur!ET179*VLOOKUP('Données projet'!$B$9,Paramètres!$A$1:$I$88,3,0)*0.475*44/12</f>
        <v>0</v>
      </c>
      <c r="EX179" s="23">
        <f>EXP(-LN(2)/2)*EX178+(1-EXP(-LN(2)/2))/(LN(2)/2)*ER179*EU179*VLOOKUP('Données projet'!$B$9,Paramètres!$A$1:$I$88,3,0)*0.475*44/12</f>
        <v>0</v>
      </c>
      <c r="EY179" s="24">
        <f t="shared" si="181"/>
        <v>0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IF(A179&lt;'Données projet'!$A$218,$FB$205^A179,IF(A179='Données projet'!$A$218,'Données projet'!$B$218,FE178+FD179-FM178))</f>
        <v>0</v>
      </c>
      <c r="FF179" s="18" t="e">
        <f>FE179*VLOOKUP('Données projet'!$B$16,Paramètres!$A$1:$I$88,3,0)*VLOOKUP('Données projet'!$B$16,Paramètres!$A$1:$I$88,5,0)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8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39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projet'!$B$16,Paramètres!$A$1:$I$88,7,0))</f>
        <v>0</v>
      </c>
      <c r="FO179" s="17">
        <f>IF(ISNA(VLOOKUP(A179,'Données projet'!$A$217:$I$237,6,0)),0%,VLOOKUP(A179,'Données projet'!$A$217:$I$237,6,0)*VLOOKUP('Données projet'!$B$16,Paramètres!$A$1:$I$88,7,0))</f>
        <v>0</v>
      </c>
      <c r="FP179" s="17">
        <f>IF(ISNA(VLOOKUP(A179,'Données projet'!$A$217:$I$237,7,0)),0%,VLOOKUP(A179,'Données projet'!$A$217:$I$237,7,0))</f>
        <v>0</v>
      </c>
      <c r="FQ179" s="23">
        <f>EXP(-LN(2)/35)*FQ178+(1-EXP(-LN(2)/35))/(LN(2)/35)*FM179*FN179*VLOOKUP('Données projet'!$B$9,Paramètres!$A$1:$I$88,3,0)*0.475*44/12</f>
        <v>0</v>
      </c>
      <c r="FR179" s="23">
        <f>EXP(-LN(2)/25)*FR178+(1-EXP(-LN(2)/25))/(LN(2)/25)*Calculateur!FM179*Calculateur!FO179*VLOOKUP('Données projet'!$B$9,Paramètres!$A$1:$I$88,3,0)*0.475*44/12</f>
        <v>0</v>
      </c>
      <c r="FS179" s="23">
        <f>EXP(-LN(2)/2)*FS178+(1-EXP(-LN(2)/2))/(LN(2)/2)*FM179*FP179*VLOOKUP('Données projet'!$B$9,Paramètres!$A$1:$I$88,3,0)*0.475*44/12</f>
        <v>0</v>
      </c>
      <c r="FT179" s="24">
        <f t="shared" si="184"/>
        <v>0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IF(A179&lt;'Données projet'!$A$244,$FW$205^A179,IF(A179='Données projet'!$A$244,'Données projet'!$B$244,FZ178+FY179-GH178))</f>
        <v>0</v>
      </c>
      <c r="GA179" s="18" t="e">
        <f>FZ179*VLOOKUP('Données projet'!$B$17,Paramètres!$A$1:$I$88,3,0)*VLOOKUP('Données projet'!$B$17,Paramètres!$A$1:$I$88,5,0)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42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43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projet'!$B$17,Paramètres!$A$1:$I$88,7,0))</f>
        <v>0</v>
      </c>
      <c r="GJ179" s="17">
        <f>IF(ISNA(VLOOKUP(A179,'Données projet'!$A$243:$I$263,6,0)),0%,VLOOKUP(A179,'Données projet'!$A$243:$I$263,6,0)*VLOOKUP('Données projet'!$B$17,Paramètres!$A$1:$I$88,7,0))</f>
        <v>0</v>
      </c>
      <c r="GK179" s="17">
        <f>IF(ISNA(VLOOKUP(A179,'Données projet'!$A$243:$I$263,7,0)),0%,VLOOKUP(A179,'Données projet'!$A$243:$I$263,7,0))</f>
        <v>0</v>
      </c>
      <c r="GL179" s="23">
        <f>EXP(-LN(2)/35)*GL178+(1-EXP(-LN(2)/35))/(LN(2)/35)*GH179*GI179*VLOOKUP('Données projet'!$B$9,Paramètres!$A$1:$I$88,3,0)*0.475*44/12</f>
        <v>0</v>
      </c>
      <c r="GM179" s="23">
        <f>EXP(-LN(2)/25)*GM178+(1-EXP(-LN(2)/25))/(LN(2)/25)*Calculateur!GH179*Calculateur!GJ179*VLOOKUP('Données projet'!$B$9,Paramètres!$A$1:$I$88,3,0)*0.475*44/12</f>
        <v>0</v>
      </c>
      <c r="GN179" s="23">
        <f>EXP(-LN(2)/2)*GN178+(1-EXP(-LN(2)/2))/(LN(2)/2)*GH179*GK179*VLOOKUP('Données projet'!$B$9,Paramètres!$A$1:$I$88,3,0)*0.475*44/12</f>
        <v>0</v>
      </c>
      <c r="GO179" s="23">
        <f t="shared" si="187"/>
        <v>0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IF(A179&lt;'Données projet'!$A$270,$GR$205^A179,IF(A179='Données projet'!$A$270,'Données projet'!$B$270,GU178+GT179-HC178))</f>
        <v>0</v>
      </c>
      <c r="GV179" s="18" t="e">
        <f>GU179*VLOOKUP('Données projet'!$B$18,Paramètres!$A$1:$I$88,3,0)*VLOOKUP('Données projet'!$B$18,Paramètres!$A$1:$I$88,5,0)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46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47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projet'!$B$18,Paramètres!$A$1:$I$88,7,0))</f>
        <v>0</v>
      </c>
      <c r="HE179" s="17">
        <f>IF(ISNA(VLOOKUP(A179,'Données projet'!$A$269:$I$289,6,0)),0%,VLOOKUP(A179,'Données projet'!$A$269:$I$289,6,0)*VLOOKUP('Données projet'!$B$18,Paramètres!$A$1:$I$88,7,0))</f>
        <v>0</v>
      </c>
      <c r="HF179" s="17">
        <f>IF(ISNA(VLOOKUP(A179,'Données projet'!$A$269:$I$289,7,0)),0%,VLOOKUP(A179,'Données projet'!$A$269:$I$289,7,0))</f>
        <v>0</v>
      </c>
      <c r="HG179" s="23">
        <f>EXP(-LN(2)/35)*HG178+(1-EXP(-LN(2)/35))/(LN(2)/35)*HC179*HD179*VLOOKUP('Données projet'!$B$9,Paramètres!$A$1:$I$88,3,0)*0.475*44/12</f>
        <v>0</v>
      </c>
      <c r="HH179" s="23">
        <f>EXP(-LN(2)/25)*HH178+(1-EXP(-LN(2)/25))/(LN(2)/25)*Calculateur!HC179*Calculateur!HE179*VLOOKUP('Données projet'!$B$9,Paramètres!$A$1:$I$88,3,0)*0.475*44/12</f>
        <v>0</v>
      </c>
      <c r="HI179" s="23">
        <f>EXP(-LN(2)/2)*HI178+(1-EXP(-LN(2)/2))/(LN(2)/2)*HC179*HF179*VLOOKUP('Données projet'!$B$9,Paramètres!$A$1:$I$88,3,0)*0.475*44/12</f>
        <v>0</v>
      </c>
      <c r="HJ179" s="24">
        <f t="shared" si="190"/>
        <v>0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0" s="12">
        <f t="shared" si="15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111"/>
        <v>135.66666666666666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IF(A180&lt;'Données projet'!$A$36,$K$205^A180,IF(A180='Données projet'!$A$36,'Données projet'!$B$36,N179+M180-V179))</f>
        <v>0</v>
      </c>
      <c r="O180" s="14">
        <f>N180*VLOOKUP('Données projet'!$B$9,Paramètres!$A$1:$I$88,3,0)*VLOOKUP('Données projet'!$B$9,Paramètres!$A$1:$I$88,5,0)</f>
        <v>0</v>
      </c>
      <c r="P180" s="14" t="e">
        <f t="shared" si="15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314.72063458462026</v>
      </c>
      <c r="T180" s="62">
        <f t="shared" si="110"/>
        <v>216.4380325968244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projet'!$B$9,Paramètres!$A$1:$I$88,7,0))</f>
        <v>0</v>
      </c>
      <c r="X180" s="17">
        <f>IF(ISNA(VLOOKUP(A180,'Données projet'!$A$35:$I$55,6,0)),0%,VLOOKUP(A180,'Données projet'!$A$35:$I$55,6,0)*VLOOKUP('Données projet'!$B$9,Paramètres!$A$1:$I$88,7,0))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projet'!$B$9,Paramètres!$A$1:$I$88,3,0)*0.475*44/12</f>
        <v>0</v>
      </c>
      <c r="AA180" s="23">
        <f>EXP(-LN(2)/25)*AA179+(1-EXP(-LN(2)/25))/(LN(2)/25)*Calculateur!V180*Calculateur!X180*VLOOKUP('Données projet'!$B$9,Paramètres!$A$1:$I$88,3,0)*0.475*44/12</f>
        <v>0</v>
      </c>
      <c r="AB180" s="23">
        <f>EXP(-LN(2)/2)*AB179+(1-EXP(-LN(2)/2))/(LN(2)/2)*V180*Y180*VLOOKUP('Données projet'!$B$9,Paramètres!$A$1:$I$88,3,0)*0.475*44/12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IF(A180&lt;'Données projet'!$A$62,$AF$205^A180,IF(A180='Données projet'!$A$62,'Données projet'!$B$62,AI179+AH180-AQ179))</f>
        <v>1.1368683772161603E-13</v>
      </c>
      <c r="AJ180" s="14">
        <f>AI180*VLOOKUP('Données projet'!$B$10,Paramètres!$A$1:$I$88,3,0)*VLOOKUP('Données projet'!$B$10,Paramètres!$A$1:$I$88,5,0)</f>
        <v>1.1882548278663309E-13</v>
      </c>
      <c r="AK180" s="14">
        <f t="shared" si="164"/>
        <v>1.7496137229198366E-12</v>
      </c>
      <c r="AL180" s="22">
        <f t="shared" si="165"/>
        <v>3.2541982832721012E-12</v>
      </c>
      <c r="AM180" s="62">
        <f t="shared" si="114"/>
        <v>287.04076602947066</v>
      </c>
      <c r="AN180" s="62">
        <f ca="1">AVERAGE(OFFSET($AM$3,0,0,'Données projet'!$E$10+1,1))-AVERAGE(OFFSET($H$3,0,0,'Données projet'!$E$10+1,1))</f>
        <v>458.33072853676879</v>
      </c>
      <c r="AO180" s="62">
        <f t="shared" si="115"/>
        <v>254.1734169352687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projet'!$B$10,Paramètres!$A$1:$I$88,7,0))</f>
        <v>0</v>
      </c>
      <c r="AS180" s="17">
        <f>IF(ISNA(VLOOKUP(A180,'Données projet'!$A$61:$I$81,6,0)),0%,VLOOKUP(A180,'Données projet'!$A$61:$I$81,6,0)*VLOOKUP('Données projet'!$B$10,Paramètres!$A$1:$I$88,7,0))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projet'!$B$9,Paramètres!$A$1:$I$88,3,0)*0.475*44/12</f>
        <v>0</v>
      </c>
      <c r="AV180" s="23">
        <f>EXP(-LN(2)/25)*AV179+(1-EXP(-LN(2)/25))/(LN(2)/25)*Calculateur!AQ180*Calculateur!AS180*VLOOKUP('Données projet'!$B$9,Paramètres!$A$1:$I$88,3,0)*0.475*44/12</f>
        <v>0</v>
      </c>
      <c r="AW180" s="23">
        <f>EXP(-LN(2)/2)*AW179+(1-EXP(-LN(2)/2))/(LN(2)/2)*AQ180*AT180*VLOOKUP('Données projet'!$B$9,Paramètres!$A$1:$I$88,3,0)*0.475*44/12</f>
        <v>0</v>
      </c>
      <c r="AX180" s="23">
        <f t="shared" si="166"/>
        <v>0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IF(A180&lt;'Données projet'!$A$88,$BA$205^A180,IF(A180='Données projet'!$A$88,'Données projet'!$B$88,BD179+BC180-BL179))</f>
        <v>1.1368683772161603E-13</v>
      </c>
      <c r="BE180" s="14">
        <f>BD180*VLOOKUP('Données projet'!$B$11,Paramètres!$A$1:$I$88,3,0)*VLOOKUP('Données projet'!$B$11,Paramètres!$A$1:$I$88,5,0)</f>
        <v>1.1527845344971866E-13</v>
      </c>
      <c r="BF180" s="14">
        <f t="shared" si="167"/>
        <v>1.7033846239409443E-12</v>
      </c>
      <c r="BG180" s="22">
        <f t="shared" si="168"/>
        <v>3.1675048597887374E-12</v>
      </c>
      <c r="BH180" s="62">
        <f t="shared" si="118"/>
        <v>287.0407660294706</v>
      </c>
      <c r="BI180" s="62">
        <f ca="1">AVERAGE(OFFSET($BH$3,0,0,'Données projet'!$E$11+1,1))-AVERAGE(OFFSET($H$3,0,0,'Données projet'!$E$11+1,1))</f>
        <v>447.82618173893104</v>
      </c>
      <c r="BJ180" s="62">
        <f t="shared" si="119"/>
        <v>248.96509970783379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projet'!$B$11,Paramètres!$A$1:$I$88,7,0))</f>
        <v>0</v>
      </c>
      <c r="BN180" s="17">
        <f>IF(ISNA(VLOOKUP(A180,'Données projet'!$A$87:$I$107,6,0)),0%,VLOOKUP(A180,'Données projet'!$A$87:$I$107,6,0)*VLOOKUP('Données projet'!$B$11,Paramètres!$A$1:$I$88,7,0))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projet'!$B$9,Paramètres!$A$1:$I$88,3,0)*0.475*44/12</f>
        <v>0</v>
      </c>
      <c r="BQ180" s="23">
        <f>EXP(-LN(2)/25)*BQ179+(1-EXP(-LN(2)/25))/(LN(2)/25)*Calculateur!BL180*Calculateur!BN180*VLOOKUP('Données projet'!$B$9,Paramètres!$A$1:$I$88,3,0)*0.475*44/12</f>
        <v>0</v>
      </c>
      <c r="BR180" s="23">
        <f>EXP(-LN(2)/2)*BR179+(1-EXP(-LN(2)/2))/(LN(2)/2)*BL180*BO180*VLOOKUP('Données projet'!$B$9,Paramètres!$A$1:$I$88,3,0)*0.475*44/12</f>
        <v>0</v>
      </c>
      <c r="BS180" s="24">
        <f t="shared" si="169"/>
        <v>0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IF(A180&lt;'Données projet'!$A$114,$BV$205^A180,IF(A180='Données projet'!$A$114,'Données projet'!$B$114,BY179+BX180-CG179))</f>
        <v>1.1368683772161603E-13</v>
      </c>
      <c r="BZ180" s="14">
        <f>BY180*VLOOKUP('Données projet'!$B$12,Paramètres!$A$1:$I$88,3,0)*VLOOKUP('Données projet'!$B$12,Paramètres!$A$1:$I$88,5,0)</f>
        <v>1.223725121235475E-13</v>
      </c>
      <c r="CA180" s="14">
        <f t="shared" si="170"/>
        <v>1.7956824466038182E-12</v>
      </c>
      <c r="CB180" s="22">
        <f t="shared" si="171"/>
        <v>3.3406123864501612E-12</v>
      </c>
      <c r="CC180" s="62">
        <f t="shared" si="122"/>
        <v>287.04076602947077</v>
      </c>
      <c r="CD180" s="62">
        <f ca="1">AVERAGE(OFFSET($CC$3,0,0,'Données projet'!$E$12+1,1))-AVERAGE(OFFSET($H$3,0,0,'Données projet'!$E$12+1,1))</f>
        <v>468.82871618425406</v>
      </c>
      <c r="CE180" s="62">
        <f t="shared" si="123"/>
        <v>259.37818128554397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projet'!$B$12,Paramètres!$A$1:$I$88,7,0))</f>
        <v>0</v>
      </c>
      <c r="CI180" s="17">
        <f>IF(ISNA(VLOOKUP(A180,'Données projet'!$A$113:$I$133,6,0)),0%,VLOOKUP(A180,'Données projet'!$A$113:$I$133,6,0)*VLOOKUP('Données projet'!$B$12,Paramètres!$A$1:$I$88,7,0))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projet'!$B$9,Paramètres!$A$1:$I$88,3,0)*0.475*44/12</f>
        <v>0</v>
      </c>
      <c r="CL180" s="23">
        <f>EXP(-LN(2)/25)*CL179+(1-EXP(-LN(2)/25))/(LN(2)/25)*Calculateur!CG180*Calculateur!CI180*VLOOKUP('Données projet'!$B$9,Paramètres!$A$1:$I$88,3,0)*0.475*44/12</f>
        <v>0</v>
      </c>
      <c r="CM180" s="23">
        <f>EXP(-LN(2)/2)*CM179+(1-EXP(-LN(2)/2))/(LN(2)/2)*CG180*CJ180*VLOOKUP('Données projet'!$B$9,Paramètres!$A$1:$I$88,3,0)*0.475*44/12</f>
        <v>0</v>
      </c>
      <c r="CN180" s="24">
        <f t="shared" si="172"/>
        <v>0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IF(A180&lt;'Données projet'!$A$140,$CQ$205^A180,IF(A180='Données projet'!$A$140,'Données projet'!$B$140,CT179+CS180-DB179))</f>
        <v>1.1368683772161603E-13</v>
      </c>
      <c r="CU180" s="18">
        <f>CT180*VLOOKUP('Données projet'!$B$13,Paramètres!$A$1:$I$88,3,0)*VLOOKUP('Données projet'!$B$13,Paramètres!$A$1:$I$88,5,0)</f>
        <v>9.7543306765146564E-14</v>
      </c>
      <c r="CV180" s="14">
        <f t="shared" si="173"/>
        <v>1.4696264278629426E-12</v>
      </c>
      <c r="CW180" s="22">
        <f t="shared" si="174"/>
        <v>2.7294872878105889E-12</v>
      </c>
      <c r="CX180" s="62">
        <f t="shared" si="126"/>
        <v>287.04076602947015</v>
      </c>
      <c r="CY180" s="62">
        <f ca="1">AVERAGE(OFFSET($CX$3,0,0,'Données projet'!$E$13+1,1))-AVERAGE(OFFSET($H$3,0,0,'Données projet'!$E$13+1,1))</f>
        <v>395.19659151668884</v>
      </c>
      <c r="CZ180" s="62">
        <f t="shared" si="127"/>
        <v>222.86563304507339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projet'!$B$13,Paramètres!$A$1:$I$88,7,0))</f>
        <v>0</v>
      </c>
      <c r="DD180" s="17">
        <f>IF(ISNA(VLOOKUP(A180,'Données projet'!$A$139:$I$159,6,0)),0%,VLOOKUP(A180,'Données projet'!$A$139:$I$159,6,0)*VLOOKUP('Données projet'!$B$13,Paramètres!$A$1:$I$88,7,0))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projet'!$B$9,Paramètres!$A$1:$I$88,3,0)*0.475*44/12</f>
        <v>0</v>
      </c>
      <c r="DG180" s="23">
        <f>EXP(-LN(2)/25)*DG179+(1-EXP(-LN(2)/25))/(LN(2)/25)*Calculateur!DB180*Calculateur!DD180*VLOOKUP('Données projet'!$B$9,Paramètres!$A$1:$I$88,3,0)*0.475*44/12</f>
        <v>0</v>
      </c>
      <c r="DH180" s="23">
        <f>EXP(-LN(2)/2)*DH179+(1-EXP(-LN(2)/2))/(LN(2)/2)*DB180*DE180*VLOOKUP('Données projet'!$B$9,Paramètres!$A$1:$I$88,3,0)*0.475*44/12</f>
        <v>0</v>
      </c>
      <c r="DI180" s="24">
        <f t="shared" si="175"/>
        <v>0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IF(A180&lt;'Données projet'!$A$166,$DL$205^A180,IF(A180='Données projet'!$A$166,'Données projet'!$B$166,DO179+DN180-DW179))</f>
        <v>-8.5265128291212022E-14</v>
      </c>
      <c r="DP180" s="18">
        <f>DO180*VLOOKUP('Données projet'!$B$14,Paramètres!$A$1:$I$88,3,0)*VLOOKUP('Données projet'!$B$14,Paramètres!$A$1:$I$88,5,0)</f>
        <v>-4.9880100050359036E-14</v>
      </c>
      <c r="DQ180" s="14" t="e">
        <f t="shared" si="176"/>
        <v>#NUM!</v>
      </c>
      <c r="DR180" s="22" t="e">
        <f t="shared" si="177"/>
        <v>#NUM!</v>
      </c>
      <c r="DS180" s="62" t="e">
        <f t="shared" si="130"/>
        <v>#NUM!</v>
      </c>
      <c r="DT180" s="62">
        <f ca="1">AVERAGE(OFFSET($DS$3,0,0,'Données projet'!$E$14+1,1))-AVERAGE(OFFSET($H$3,0,0,'Données projet'!$E$14+1,1))</f>
        <v>155.18073137151848</v>
      </c>
      <c r="DU180" s="62">
        <f t="shared" si="131"/>
        <v>115.19459155667272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projet'!$B$14,Paramètres!$A$1:$I$88,7,0))</f>
        <v>0</v>
      </c>
      <c r="DY180" s="17">
        <f>IF(ISNA(VLOOKUP(A180,'Données projet'!$A$165:$I$185,6,0)),0%,VLOOKUP(A180,'Données projet'!$A$165:$I$185,6,0)*VLOOKUP('Données projet'!$B$14,Paramètres!$A$1:$I$88,7,0))</f>
        <v>0</v>
      </c>
      <c r="DZ180" s="17">
        <f>IF(ISNA(VLOOKUP(A180,'Données projet'!$A$165:$I$185,7,0)),0%,VLOOKUP(A180,'Données projet'!$A$165:$I$185,7,0))</f>
        <v>0</v>
      </c>
      <c r="EA180" s="23">
        <f>EXP(-LN(2)/35)*EA179+(1-EXP(-LN(2)/35))/(LN(2)/35)*DW180*DX180*VLOOKUP('Données projet'!$B$9,Paramètres!$A$1:$I$88,3,0)*0.475*44/12</f>
        <v>0</v>
      </c>
      <c r="EB180" s="23">
        <f>EXP(-LN(2)/25)*EB179+(1-EXP(-LN(2)/25))/(LN(2)/25)*Calculateur!DW180*Calculateur!DY180*VLOOKUP('Données projet'!$B$9,Paramètres!$A$1:$I$88,3,0)*0.475*44/12</f>
        <v>0</v>
      </c>
      <c r="EC180" s="23">
        <f>EXP(-LN(2)/2)*EC179+(1-EXP(-LN(2)/2))/(LN(2)/2)*DW180*DZ180*VLOOKUP('Données projet'!$B$9,Paramètres!$A$1:$I$88,3,0)*0.475*44/12</f>
        <v>0</v>
      </c>
      <c r="ED180" s="24">
        <f t="shared" si="178"/>
        <v>0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IF(A180&lt;'Données projet'!$A$192,$EG$205^A180,IF(A180='Données projet'!$A$192,'Données projet'!$B$192,EJ179+EI180-ER179))</f>
        <v>-5.6843418860808015E-14</v>
      </c>
      <c r="EK180" s="18">
        <f>EJ180*VLOOKUP('Données projet'!$B$15,Paramètres!$A$1:$I$88,3,0)*VLOOKUP('Données projet'!$B$15,Paramètres!$A$1:$I$88,5,0)</f>
        <v>-2.6602720026858149E-14</v>
      </c>
      <c r="EL180" s="14" t="e">
        <f t="shared" si="179"/>
        <v>#NUM!</v>
      </c>
      <c r="EM180" s="22" t="e">
        <f t="shared" si="180"/>
        <v>#NUM!</v>
      </c>
      <c r="EN180" s="62" t="e">
        <f t="shared" si="134"/>
        <v>#NUM!</v>
      </c>
      <c r="EO180" s="62">
        <f ca="1">AVERAGE(OFFSET($EN$3,0,0,'Données projet'!$E$15+1,1))-AVERAGE(OFFSET($H$3,0,0,'Données projet'!$E$15+1,1))</f>
        <v>238.59014604384171</v>
      </c>
      <c r="EP180" s="62">
        <f t="shared" si="135"/>
        <v>90.841373219575217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projet'!$B$15,Paramètres!$A$1:$I$88,7,0))</f>
        <v>0</v>
      </c>
      <c r="ET180" s="17">
        <f>IF(ISNA(VLOOKUP(A180,'Données projet'!$A$191:$I$211,6,0)),0%,VLOOKUP(A180,'Données projet'!$A$191:$I$211,6,0)*VLOOKUP('Données projet'!$B$15,Paramètres!$A$1:$I$88,7,0))</f>
        <v>0</v>
      </c>
      <c r="EU180" s="17">
        <f>IF(ISNA(VLOOKUP(A180,'Données projet'!$A$191:$I$211,7,0)),0%,VLOOKUP(A180,'Données projet'!$A$191:$I$211,7,0))</f>
        <v>0</v>
      </c>
      <c r="EV180" s="23">
        <f>EXP(-LN(2)/35)*EV179+(1-EXP(-LN(2)/35))/(LN(2)/35)*ER180*ES180*VLOOKUP('Données projet'!$B$9,Paramètres!$A$1:$I$88,3,0)*0.475*44/12</f>
        <v>0</v>
      </c>
      <c r="EW180" s="23">
        <f>EXP(-LN(2)/25)*EW179+(1-EXP(-LN(2)/25))/(LN(2)/25)*Calculateur!ER180*Calculateur!ET180*VLOOKUP('Données projet'!$B$9,Paramètres!$A$1:$I$88,3,0)*0.475*44/12</f>
        <v>0</v>
      </c>
      <c r="EX180" s="23">
        <f>EXP(-LN(2)/2)*EX179+(1-EXP(-LN(2)/2))/(LN(2)/2)*ER180*EU180*VLOOKUP('Données projet'!$B$9,Paramètres!$A$1:$I$88,3,0)*0.475*44/12</f>
        <v>0</v>
      </c>
      <c r="EY180" s="24">
        <f t="shared" si="181"/>
        <v>0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IF(A180&lt;'Données projet'!$A$218,$FB$205^A180,IF(A180='Données projet'!$A$218,'Données projet'!$B$218,FE179+FD180-FM179))</f>
        <v>0</v>
      </c>
      <c r="FF180" s="18" t="e">
        <f>FE180*VLOOKUP('Données projet'!$B$16,Paramètres!$A$1:$I$88,3,0)*VLOOKUP('Données projet'!$B$16,Paramètres!$A$1:$I$88,5,0)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8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39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projet'!$B$16,Paramètres!$A$1:$I$88,7,0))</f>
        <v>0</v>
      </c>
      <c r="FO180" s="17">
        <f>IF(ISNA(VLOOKUP(A180,'Données projet'!$A$217:$I$237,6,0)),0%,VLOOKUP(A180,'Données projet'!$A$217:$I$237,6,0)*VLOOKUP('Données projet'!$B$16,Paramètres!$A$1:$I$88,7,0))</f>
        <v>0</v>
      </c>
      <c r="FP180" s="17">
        <f>IF(ISNA(VLOOKUP(A180,'Données projet'!$A$217:$I$237,7,0)),0%,VLOOKUP(A180,'Données projet'!$A$217:$I$237,7,0))</f>
        <v>0</v>
      </c>
      <c r="FQ180" s="23">
        <f>EXP(-LN(2)/35)*FQ179+(1-EXP(-LN(2)/35))/(LN(2)/35)*FM180*FN180*VLOOKUP('Données projet'!$B$9,Paramètres!$A$1:$I$88,3,0)*0.475*44/12</f>
        <v>0</v>
      </c>
      <c r="FR180" s="23">
        <f>EXP(-LN(2)/25)*FR179+(1-EXP(-LN(2)/25))/(LN(2)/25)*Calculateur!FM180*Calculateur!FO180*VLOOKUP('Données projet'!$B$9,Paramètres!$A$1:$I$88,3,0)*0.475*44/12</f>
        <v>0</v>
      </c>
      <c r="FS180" s="23">
        <f>EXP(-LN(2)/2)*FS179+(1-EXP(-LN(2)/2))/(LN(2)/2)*FM180*FP180*VLOOKUP('Données projet'!$B$9,Paramètres!$A$1:$I$88,3,0)*0.475*44/12</f>
        <v>0</v>
      </c>
      <c r="FT180" s="24">
        <f t="shared" si="184"/>
        <v>0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IF(A180&lt;'Données projet'!$A$244,$FW$205^A180,IF(A180='Données projet'!$A$244,'Données projet'!$B$244,FZ179+FY180-GH179))</f>
        <v>0</v>
      </c>
      <c r="GA180" s="18" t="e">
        <f>FZ180*VLOOKUP('Données projet'!$B$17,Paramètres!$A$1:$I$88,3,0)*VLOOKUP('Données projet'!$B$17,Paramètres!$A$1:$I$88,5,0)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42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43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projet'!$B$17,Paramètres!$A$1:$I$88,7,0))</f>
        <v>0</v>
      </c>
      <c r="GJ180" s="17">
        <f>IF(ISNA(VLOOKUP(A180,'Données projet'!$A$243:$I$263,6,0)),0%,VLOOKUP(A180,'Données projet'!$A$243:$I$263,6,0)*VLOOKUP('Données projet'!$B$17,Paramètres!$A$1:$I$88,7,0))</f>
        <v>0</v>
      </c>
      <c r="GK180" s="17">
        <f>IF(ISNA(VLOOKUP(A180,'Données projet'!$A$243:$I$263,7,0)),0%,VLOOKUP(A180,'Données projet'!$A$243:$I$263,7,0))</f>
        <v>0</v>
      </c>
      <c r="GL180" s="23">
        <f>EXP(-LN(2)/35)*GL179+(1-EXP(-LN(2)/35))/(LN(2)/35)*GH180*GI180*VLOOKUP('Données projet'!$B$9,Paramètres!$A$1:$I$88,3,0)*0.475*44/12</f>
        <v>0</v>
      </c>
      <c r="GM180" s="23">
        <f>EXP(-LN(2)/25)*GM179+(1-EXP(-LN(2)/25))/(LN(2)/25)*Calculateur!GH180*Calculateur!GJ180*VLOOKUP('Données projet'!$B$9,Paramètres!$A$1:$I$88,3,0)*0.475*44/12</f>
        <v>0</v>
      </c>
      <c r="GN180" s="23">
        <f>EXP(-LN(2)/2)*GN179+(1-EXP(-LN(2)/2))/(LN(2)/2)*GH180*GK180*VLOOKUP('Données projet'!$B$9,Paramètres!$A$1:$I$88,3,0)*0.475*44/12</f>
        <v>0</v>
      </c>
      <c r="GO180" s="23">
        <f t="shared" si="187"/>
        <v>0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IF(A180&lt;'Données projet'!$A$270,$GR$205^A180,IF(A180='Données projet'!$A$270,'Données projet'!$B$270,GU179+GT180-HC179))</f>
        <v>0</v>
      </c>
      <c r="GV180" s="18" t="e">
        <f>GU180*VLOOKUP('Données projet'!$B$18,Paramètres!$A$1:$I$88,3,0)*VLOOKUP('Données projet'!$B$18,Paramètres!$A$1:$I$88,5,0)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46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47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projet'!$B$18,Paramètres!$A$1:$I$88,7,0))</f>
        <v>0</v>
      </c>
      <c r="HE180" s="17">
        <f>IF(ISNA(VLOOKUP(A180,'Données projet'!$A$269:$I$289,6,0)),0%,VLOOKUP(A180,'Données projet'!$A$269:$I$289,6,0)*VLOOKUP('Données projet'!$B$18,Paramètres!$A$1:$I$88,7,0))</f>
        <v>0</v>
      </c>
      <c r="HF180" s="17">
        <f>IF(ISNA(VLOOKUP(A180,'Données projet'!$A$269:$I$289,7,0)),0%,VLOOKUP(A180,'Données projet'!$A$269:$I$289,7,0))</f>
        <v>0</v>
      </c>
      <c r="HG180" s="23">
        <f>EXP(-LN(2)/35)*HG179+(1-EXP(-LN(2)/35))/(LN(2)/35)*HC180*HD180*VLOOKUP('Données projet'!$B$9,Paramètres!$A$1:$I$88,3,0)*0.475*44/12</f>
        <v>0</v>
      </c>
      <c r="HH180" s="23">
        <f>EXP(-LN(2)/25)*HH179+(1-EXP(-LN(2)/25))/(LN(2)/25)*Calculateur!HC180*Calculateur!HE180*VLOOKUP('Données projet'!$B$9,Paramètres!$A$1:$I$88,3,0)*0.475*44/12</f>
        <v>0</v>
      </c>
      <c r="HI180" s="23">
        <f>EXP(-LN(2)/2)*HI179+(1-EXP(-LN(2)/2))/(LN(2)/2)*HC180*HF180*VLOOKUP('Données projet'!$B$9,Paramètres!$A$1:$I$88,3,0)*0.475*44/12</f>
        <v>0</v>
      </c>
      <c r="HJ180" s="24">
        <f t="shared" si="190"/>
        <v>0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1" s="12">
        <f t="shared" si="15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111"/>
        <v>135.66666666666666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IF(A181&lt;'Données projet'!$A$36,$K$205^A181,IF(A181='Données projet'!$A$36,'Données projet'!$B$36,N180+M181-V180))</f>
        <v>0</v>
      </c>
      <c r="O181" s="14">
        <f>N181*VLOOKUP('Données projet'!$B$9,Paramètres!$A$1:$I$88,3,0)*VLOOKUP('Données projet'!$B$9,Paramètres!$A$1:$I$88,5,0)</f>
        <v>0</v>
      </c>
      <c r="P181" s="14" t="e">
        <f t="shared" si="15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314.72063458462026</v>
      </c>
      <c r="T181" s="62">
        <f t="shared" si="110"/>
        <v>216.4380325968244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projet'!$B$9,Paramètres!$A$1:$I$88,7,0))</f>
        <v>0</v>
      </c>
      <c r="X181" s="17">
        <f>IF(ISNA(VLOOKUP(A181,'Données projet'!$A$35:$I$55,6,0)),0%,VLOOKUP(A181,'Données projet'!$A$35:$I$55,6,0)*VLOOKUP('Données projet'!$B$9,Paramètres!$A$1:$I$88,7,0))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projet'!$B$9,Paramètres!$A$1:$I$88,3,0)*0.475*44/12</f>
        <v>0</v>
      </c>
      <c r="AA181" s="23">
        <f>EXP(-LN(2)/25)*AA180+(1-EXP(-LN(2)/25))/(LN(2)/25)*Calculateur!V181*Calculateur!X181*VLOOKUP('Données projet'!$B$9,Paramètres!$A$1:$I$88,3,0)*0.475*44/12</f>
        <v>0</v>
      </c>
      <c r="AB181" s="23">
        <f>EXP(-LN(2)/2)*AB180+(1-EXP(-LN(2)/2))/(LN(2)/2)*V181*Y181*VLOOKUP('Données projet'!$B$9,Paramètres!$A$1:$I$88,3,0)*0.475*44/12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IF(A181&lt;'Données projet'!$A$62,$AF$205^A181,IF(A181='Données projet'!$A$62,'Données projet'!$B$62,AI180+AH181-AQ180))</f>
        <v>1.1368683772161603E-13</v>
      </c>
      <c r="AJ181" s="14">
        <f>AI181*VLOOKUP('Données projet'!$B$10,Paramètres!$A$1:$I$88,3,0)*VLOOKUP('Données projet'!$B$10,Paramètres!$A$1:$I$88,5,0)</f>
        <v>1.1882548278663309E-13</v>
      </c>
      <c r="AK181" s="14">
        <f t="shared" si="164"/>
        <v>1.7496137229198366E-12</v>
      </c>
      <c r="AL181" s="22">
        <f t="shared" si="165"/>
        <v>3.2541982832721012E-12</v>
      </c>
      <c r="AM181" s="62">
        <f t="shared" si="114"/>
        <v>287.14992800411983</v>
      </c>
      <c r="AN181" s="62">
        <f ca="1">AVERAGE(OFFSET($AM$3,0,0,'Données projet'!$E$10+1,1))-AVERAGE(OFFSET($H$3,0,0,'Données projet'!$E$10+1,1))</f>
        <v>458.33072853676879</v>
      </c>
      <c r="AO181" s="62">
        <f t="shared" si="115"/>
        <v>254.1734169352687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projet'!$B$10,Paramètres!$A$1:$I$88,7,0))</f>
        <v>0</v>
      </c>
      <c r="AS181" s="17">
        <f>IF(ISNA(VLOOKUP(A181,'Données projet'!$A$61:$I$81,6,0)),0%,VLOOKUP(A181,'Données projet'!$A$61:$I$81,6,0)*VLOOKUP('Données projet'!$B$10,Paramètres!$A$1:$I$88,7,0))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projet'!$B$9,Paramètres!$A$1:$I$88,3,0)*0.475*44/12</f>
        <v>0</v>
      </c>
      <c r="AV181" s="23">
        <f>EXP(-LN(2)/25)*AV180+(1-EXP(-LN(2)/25))/(LN(2)/25)*Calculateur!AQ181*Calculateur!AS181*VLOOKUP('Données projet'!$B$9,Paramètres!$A$1:$I$88,3,0)*0.475*44/12</f>
        <v>0</v>
      </c>
      <c r="AW181" s="23">
        <f>EXP(-LN(2)/2)*AW180+(1-EXP(-LN(2)/2))/(LN(2)/2)*AQ181*AT181*VLOOKUP('Données projet'!$B$9,Paramètres!$A$1:$I$88,3,0)*0.475*44/12</f>
        <v>0</v>
      </c>
      <c r="AX181" s="23">
        <f t="shared" si="166"/>
        <v>0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IF(A181&lt;'Données projet'!$A$88,$BA$205^A181,IF(A181='Données projet'!$A$88,'Données projet'!$B$88,BD180+BC181-BL180))</f>
        <v>1.1368683772161603E-13</v>
      </c>
      <c r="BE181" s="14">
        <f>BD181*VLOOKUP('Données projet'!$B$11,Paramètres!$A$1:$I$88,3,0)*VLOOKUP('Données projet'!$B$11,Paramètres!$A$1:$I$88,5,0)</f>
        <v>1.1527845344971866E-13</v>
      </c>
      <c r="BF181" s="14">
        <f t="shared" si="167"/>
        <v>1.7033846239409443E-12</v>
      </c>
      <c r="BG181" s="22">
        <f t="shared" si="168"/>
        <v>3.1675048597887374E-12</v>
      </c>
      <c r="BH181" s="62">
        <f t="shared" si="118"/>
        <v>287.14992800411977</v>
      </c>
      <c r="BI181" s="62">
        <f ca="1">AVERAGE(OFFSET($BH$3,0,0,'Données projet'!$E$11+1,1))-AVERAGE(OFFSET($H$3,0,0,'Données projet'!$E$11+1,1))</f>
        <v>447.82618173893104</v>
      </c>
      <c r="BJ181" s="62">
        <f t="shared" si="119"/>
        <v>248.96509970783379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projet'!$B$11,Paramètres!$A$1:$I$88,7,0))</f>
        <v>0</v>
      </c>
      <c r="BN181" s="17">
        <f>IF(ISNA(VLOOKUP(A181,'Données projet'!$A$87:$I$107,6,0)),0%,VLOOKUP(A181,'Données projet'!$A$87:$I$107,6,0)*VLOOKUP('Données projet'!$B$11,Paramètres!$A$1:$I$88,7,0))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projet'!$B$9,Paramètres!$A$1:$I$88,3,0)*0.475*44/12</f>
        <v>0</v>
      </c>
      <c r="BQ181" s="23">
        <f>EXP(-LN(2)/25)*BQ180+(1-EXP(-LN(2)/25))/(LN(2)/25)*Calculateur!BL181*Calculateur!BN181*VLOOKUP('Données projet'!$B$9,Paramètres!$A$1:$I$88,3,0)*0.475*44/12</f>
        <v>0</v>
      </c>
      <c r="BR181" s="23">
        <f>EXP(-LN(2)/2)*BR180+(1-EXP(-LN(2)/2))/(LN(2)/2)*BL181*BO181*VLOOKUP('Données projet'!$B$9,Paramètres!$A$1:$I$88,3,0)*0.475*44/12</f>
        <v>0</v>
      </c>
      <c r="BS181" s="24">
        <f t="shared" si="169"/>
        <v>0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IF(A181&lt;'Données projet'!$A$114,$BV$205^A181,IF(A181='Données projet'!$A$114,'Données projet'!$B$114,BY180+BX181-CG180))</f>
        <v>1.1368683772161603E-13</v>
      </c>
      <c r="BZ181" s="14">
        <f>BY181*VLOOKUP('Données projet'!$B$12,Paramètres!$A$1:$I$88,3,0)*VLOOKUP('Données projet'!$B$12,Paramètres!$A$1:$I$88,5,0)</f>
        <v>1.223725121235475E-13</v>
      </c>
      <c r="CA181" s="14">
        <f t="shared" si="170"/>
        <v>1.7956824466038182E-12</v>
      </c>
      <c r="CB181" s="22">
        <f t="shared" si="171"/>
        <v>3.3406123864501612E-12</v>
      </c>
      <c r="CC181" s="62">
        <f t="shared" si="122"/>
        <v>287.14992800411994</v>
      </c>
      <c r="CD181" s="62">
        <f ca="1">AVERAGE(OFFSET($CC$3,0,0,'Données projet'!$E$12+1,1))-AVERAGE(OFFSET($H$3,0,0,'Données projet'!$E$12+1,1))</f>
        <v>468.82871618425406</v>
      </c>
      <c r="CE181" s="62">
        <f t="shared" si="123"/>
        <v>259.37818128554397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projet'!$B$12,Paramètres!$A$1:$I$88,7,0))</f>
        <v>0</v>
      </c>
      <c r="CI181" s="17">
        <f>IF(ISNA(VLOOKUP(A181,'Données projet'!$A$113:$I$133,6,0)),0%,VLOOKUP(A181,'Données projet'!$A$113:$I$133,6,0)*VLOOKUP('Données projet'!$B$12,Paramètres!$A$1:$I$88,7,0))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projet'!$B$9,Paramètres!$A$1:$I$88,3,0)*0.475*44/12</f>
        <v>0</v>
      </c>
      <c r="CL181" s="23">
        <f>EXP(-LN(2)/25)*CL180+(1-EXP(-LN(2)/25))/(LN(2)/25)*Calculateur!CG181*Calculateur!CI181*VLOOKUP('Données projet'!$B$9,Paramètres!$A$1:$I$88,3,0)*0.475*44/12</f>
        <v>0</v>
      </c>
      <c r="CM181" s="23">
        <f>EXP(-LN(2)/2)*CM180+(1-EXP(-LN(2)/2))/(LN(2)/2)*CG181*CJ181*VLOOKUP('Données projet'!$B$9,Paramètres!$A$1:$I$88,3,0)*0.475*44/12</f>
        <v>0</v>
      </c>
      <c r="CN181" s="24">
        <f t="shared" si="172"/>
        <v>0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IF(A181&lt;'Données projet'!$A$140,$CQ$205^A181,IF(A181='Données projet'!$A$140,'Données projet'!$B$140,CT180+CS181-DB180))</f>
        <v>1.1368683772161603E-13</v>
      </c>
      <c r="CU181" s="18">
        <f>CT181*VLOOKUP('Données projet'!$B$13,Paramètres!$A$1:$I$88,3,0)*VLOOKUP('Données projet'!$B$13,Paramètres!$A$1:$I$88,5,0)</f>
        <v>9.7543306765146564E-14</v>
      </c>
      <c r="CV181" s="14">
        <f t="shared" si="173"/>
        <v>1.4696264278629426E-12</v>
      </c>
      <c r="CW181" s="22">
        <f t="shared" si="174"/>
        <v>2.7294872878105889E-12</v>
      </c>
      <c r="CX181" s="62">
        <f t="shared" si="126"/>
        <v>287.14992800411932</v>
      </c>
      <c r="CY181" s="62">
        <f ca="1">AVERAGE(OFFSET($CX$3,0,0,'Données projet'!$E$13+1,1))-AVERAGE(OFFSET($H$3,0,0,'Données projet'!$E$13+1,1))</f>
        <v>395.19659151668884</v>
      </c>
      <c r="CZ181" s="62">
        <f t="shared" si="127"/>
        <v>222.86563304507339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projet'!$B$13,Paramètres!$A$1:$I$88,7,0))</f>
        <v>0</v>
      </c>
      <c r="DD181" s="17">
        <f>IF(ISNA(VLOOKUP(A181,'Données projet'!$A$139:$I$159,6,0)),0%,VLOOKUP(A181,'Données projet'!$A$139:$I$159,6,0)*VLOOKUP('Données projet'!$B$13,Paramètres!$A$1:$I$88,7,0))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projet'!$B$9,Paramètres!$A$1:$I$88,3,0)*0.475*44/12</f>
        <v>0</v>
      </c>
      <c r="DG181" s="23">
        <f>EXP(-LN(2)/25)*DG180+(1-EXP(-LN(2)/25))/(LN(2)/25)*Calculateur!DB181*Calculateur!DD181*VLOOKUP('Données projet'!$B$9,Paramètres!$A$1:$I$88,3,0)*0.475*44/12</f>
        <v>0</v>
      </c>
      <c r="DH181" s="23">
        <f>EXP(-LN(2)/2)*DH180+(1-EXP(-LN(2)/2))/(LN(2)/2)*DB181*DE181*VLOOKUP('Données projet'!$B$9,Paramètres!$A$1:$I$88,3,0)*0.475*44/12</f>
        <v>0</v>
      </c>
      <c r="DI181" s="24">
        <f t="shared" si="175"/>
        <v>0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IF(A181&lt;'Données projet'!$A$166,$DL$205^A181,IF(A181='Données projet'!$A$166,'Données projet'!$B$166,DO180+DN181-DW180))</f>
        <v>-8.5265128291212022E-14</v>
      </c>
      <c r="DP181" s="18">
        <f>DO181*VLOOKUP('Données projet'!$B$14,Paramètres!$A$1:$I$88,3,0)*VLOOKUP('Données projet'!$B$14,Paramètres!$A$1:$I$88,5,0)</f>
        <v>-4.9880100050359036E-14</v>
      </c>
      <c r="DQ181" s="14" t="e">
        <f t="shared" si="176"/>
        <v>#NUM!</v>
      </c>
      <c r="DR181" s="22" t="e">
        <f t="shared" si="177"/>
        <v>#NUM!</v>
      </c>
      <c r="DS181" s="62" t="e">
        <f t="shared" si="130"/>
        <v>#NUM!</v>
      </c>
      <c r="DT181" s="62">
        <f ca="1">AVERAGE(OFFSET($DS$3,0,0,'Données projet'!$E$14+1,1))-AVERAGE(OFFSET($H$3,0,0,'Données projet'!$E$14+1,1))</f>
        <v>155.18073137151848</v>
      </c>
      <c r="DU181" s="62">
        <f t="shared" si="131"/>
        <v>115.19459155667272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projet'!$B$14,Paramètres!$A$1:$I$88,7,0))</f>
        <v>0</v>
      </c>
      <c r="DY181" s="17">
        <f>IF(ISNA(VLOOKUP(A181,'Données projet'!$A$165:$I$185,6,0)),0%,VLOOKUP(A181,'Données projet'!$A$165:$I$185,6,0)*VLOOKUP('Données projet'!$B$14,Paramètres!$A$1:$I$88,7,0))</f>
        <v>0</v>
      </c>
      <c r="DZ181" s="17">
        <f>IF(ISNA(VLOOKUP(A181,'Données projet'!$A$165:$I$185,7,0)),0%,VLOOKUP(A181,'Données projet'!$A$165:$I$185,7,0))</f>
        <v>0</v>
      </c>
      <c r="EA181" s="23">
        <f>EXP(-LN(2)/35)*EA180+(1-EXP(-LN(2)/35))/(LN(2)/35)*DW181*DX181*VLOOKUP('Données projet'!$B$9,Paramètres!$A$1:$I$88,3,0)*0.475*44/12</f>
        <v>0</v>
      </c>
      <c r="EB181" s="23">
        <f>EXP(-LN(2)/25)*EB180+(1-EXP(-LN(2)/25))/(LN(2)/25)*Calculateur!DW181*Calculateur!DY181*VLOOKUP('Données projet'!$B$9,Paramètres!$A$1:$I$88,3,0)*0.475*44/12</f>
        <v>0</v>
      </c>
      <c r="EC181" s="23">
        <f>EXP(-LN(2)/2)*EC180+(1-EXP(-LN(2)/2))/(LN(2)/2)*DW181*DZ181*VLOOKUP('Données projet'!$B$9,Paramètres!$A$1:$I$88,3,0)*0.475*44/12</f>
        <v>0</v>
      </c>
      <c r="ED181" s="24">
        <f t="shared" si="178"/>
        <v>0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IF(A181&lt;'Données projet'!$A$192,$EG$205^A181,IF(A181='Données projet'!$A$192,'Données projet'!$B$192,EJ180+EI181-ER180))</f>
        <v>-5.6843418860808015E-14</v>
      </c>
      <c r="EK181" s="18">
        <f>EJ181*VLOOKUP('Données projet'!$B$15,Paramètres!$A$1:$I$88,3,0)*VLOOKUP('Données projet'!$B$15,Paramètres!$A$1:$I$88,5,0)</f>
        <v>-2.6602720026858149E-14</v>
      </c>
      <c r="EL181" s="14" t="e">
        <f t="shared" si="179"/>
        <v>#NUM!</v>
      </c>
      <c r="EM181" s="22" t="e">
        <f t="shared" si="180"/>
        <v>#NUM!</v>
      </c>
      <c r="EN181" s="62" t="e">
        <f t="shared" si="134"/>
        <v>#NUM!</v>
      </c>
      <c r="EO181" s="62">
        <f ca="1">AVERAGE(OFFSET($EN$3,0,0,'Données projet'!$E$15+1,1))-AVERAGE(OFFSET($H$3,0,0,'Données projet'!$E$15+1,1))</f>
        <v>238.59014604384171</v>
      </c>
      <c r="EP181" s="62">
        <f t="shared" si="135"/>
        <v>90.841373219575217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projet'!$B$15,Paramètres!$A$1:$I$88,7,0))</f>
        <v>0</v>
      </c>
      <c r="ET181" s="17">
        <f>IF(ISNA(VLOOKUP(A181,'Données projet'!$A$191:$I$211,6,0)),0%,VLOOKUP(A181,'Données projet'!$A$191:$I$211,6,0)*VLOOKUP('Données projet'!$B$15,Paramètres!$A$1:$I$88,7,0))</f>
        <v>0</v>
      </c>
      <c r="EU181" s="17">
        <f>IF(ISNA(VLOOKUP(A181,'Données projet'!$A$191:$I$211,7,0)),0%,VLOOKUP(A181,'Données projet'!$A$191:$I$211,7,0))</f>
        <v>0</v>
      </c>
      <c r="EV181" s="23">
        <f>EXP(-LN(2)/35)*EV180+(1-EXP(-LN(2)/35))/(LN(2)/35)*ER181*ES181*VLOOKUP('Données projet'!$B$9,Paramètres!$A$1:$I$88,3,0)*0.475*44/12</f>
        <v>0</v>
      </c>
      <c r="EW181" s="23">
        <f>EXP(-LN(2)/25)*EW180+(1-EXP(-LN(2)/25))/(LN(2)/25)*Calculateur!ER181*Calculateur!ET181*VLOOKUP('Données projet'!$B$9,Paramètres!$A$1:$I$88,3,0)*0.475*44/12</f>
        <v>0</v>
      </c>
      <c r="EX181" s="23">
        <f>EXP(-LN(2)/2)*EX180+(1-EXP(-LN(2)/2))/(LN(2)/2)*ER181*EU181*VLOOKUP('Données projet'!$B$9,Paramètres!$A$1:$I$88,3,0)*0.475*44/12</f>
        <v>0</v>
      </c>
      <c r="EY181" s="24">
        <f t="shared" si="181"/>
        <v>0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IF(A181&lt;'Données projet'!$A$218,$FB$205^A181,IF(A181='Données projet'!$A$218,'Données projet'!$B$218,FE180+FD181-FM180))</f>
        <v>0</v>
      </c>
      <c r="FF181" s="18" t="e">
        <f>FE181*VLOOKUP('Données projet'!$B$16,Paramètres!$A$1:$I$88,3,0)*VLOOKUP('Données projet'!$B$16,Paramètres!$A$1:$I$88,5,0)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8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39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projet'!$B$16,Paramètres!$A$1:$I$88,7,0))</f>
        <v>0</v>
      </c>
      <c r="FO181" s="17">
        <f>IF(ISNA(VLOOKUP(A181,'Données projet'!$A$217:$I$237,6,0)),0%,VLOOKUP(A181,'Données projet'!$A$217:$I$237,6,0)*VLOOKUP('Données projet'!$B$16,Paramètres!$A$1:$I$88,7,0))</f>
        <v>0</v>
      </c>
      <c r="FP181" s="17">
        <f>IF(ISNA(VLOOKUP(A181,'Données projet'!$A$217:$I$237,7,0)),0%,VLOOKUP(A181,'Données projet'!$A$217:$I$237,7,0))</f>
        <v>0</v>
      </c>
      <c r="FQ181" s="23">
        <f>EXP(-LN(2)/35)*FQ180+(1-EXP(-LN(2)/35))/(LN(2)/35)*FM181*FN181*VLOOKUP('Données projet'!$B$9,Paramètres!$A$1:$I$88,3,0)*0.475*44/12</f>
        <v>0</v>
      </c>
      <c r="FR181" s="23">
        <f>EXP(-LN(2)/25)*FR180+(1-EXP(-LN(2)/25))/(LN(2)/25)*Calculateur!FM181*Calculateur!FO181*VLOOKUP('Données projet'!$B$9,Paramètres!$A$1:$I$88,3,0)*0.475*44/12</f>
        <v>0</v>
      </c>
      <c r="FS181" s="23">
        <f>EXP(-LN(2)/2)*FS180+(1-EXP(-LN(2)/2))/(LN(2)/2)*FM181*FP181*VLOOKUP('Données projet'!$B$9,Paramètres!$A$1:$I$88,3,0)*0.475*44/12</f>
        <v>0</v>
      </c>
      <c r="FT181" s="24">
        <f t="shared" si="184"/>
        <v>0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IF(A181&lt;'Données projet'!$A$244,$FW$205^A181,IF(A181='Données projet'!$A$244,'Données projet'!$B$244,FZ180+FY181-GH180))</f>
        <v>0</v>
      </c>
      <c r="GA181" s="18" t="e">
        <f>FZ181*VLOOKUP('Données projet'!$B$17,Paramètres!$A$1:$I$88,3,0)*VLOOKUP('Données projet'!$B$17,Paramètres!$A$1:$I$88,5,0)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42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43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projet'!$B$17,Paramètres!$A$1:$I$88,7,0))</f>
        <v>0</v>
      </c>
      <c r="GJ181" s="17">
        <f>IF(ISNA(VLOOKUP(A181,'Données projet'!$A$243:$I$263,6,0)),0%,VLOOKUP(A181,'Données projet'!$A$243:$I$263,6,0)*VLOOKUP('Données projet'!$B$17,Paramètres!$A$1:$I$88,7,0))</f>
        <v>0</v>
      </c>
      <c r="GK181" s="17">
        <f>IF(ISNA(VLOOKUP(A181,'Données projet'!$A$243:$I$263,7,0)),0%,VLOOKUP(A181,'Données projet'!$A$243:$I$263,7,0))</f>
        <v>0</v>
      </c>
      <c r="GL181" s="23">
        <f>EXP(-LN(2)/35)*GL180+(1-EXP(-LN(2)/35))/(LN(2)/35)*GH181*GI181*VLOOKUP('Données projet'!$B$9,Paramètres!$A$1:$I$88,3,0)*0.475*44/12</f>
        <v>0</v>
      </c>
      <c r="GM181" s="23">
        <f>EXP(-LN(2)/25)*GM180+(1-EXP(-LN(2)/25))/(LN(2)/25)*Calculateur!GH181*Calculateur!GJ181*VLOOKUP('Données projet'!$B$9,Paramètres!$A$1:$I$88,3,0)*0.475*44/12</f>
        <v>0</v>
      </c>
      <c r="GN181" s="23">
        <f>EXP(-LN(2)/2)*GN180+(1-EXP(-LN(2)/2))/(LN(2)/2)*GH181*GK181*VLOOKUP('Données projet'!$B$9,Paramètres!$A$1:$I$88,3,0)*0.475*44/12</f>
        <v>0</v>
      </c>
      <c r="GO181" s="23">
        <f t="shared" si="187"/>
        <v>0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IF(A181&lt;'Données projet'!$A$270,$GR$205^A181,IF(A181='Données projet'!$A$270,'Données projet'!$B$270,GU180+GT181-HC180))</f>
        <v>0</v>
      </c>
      <c r="GV181" s="18" t="e">
        <f>GU181*VLOOKUP('Données projet'!$B$18,Paramètres!$A$1:$I$88,3,0)*VLOOKUP('Données projet'!$B$18,Paramètres!$A$1:$I$88,5,0)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46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47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projet'!$B$18,Paramètres!$A$1:$I$88,7,0))</f>
        <v>0</v>
      </c>
      <c r="HE181" s="17">
        <f>IF(ISNA(VLOOKUP(A181,'Données projet'!$A$269:$I$289,6,0)),0%,VLOOKUP(A181,'Données projet'!$A$269:$I$289,6,0)*VLOOKUP('Données projet'!$B$18,Paramètres!$A$1:$I$88,7,0))</f>
        <v>0</v>
      </c>
      <c r="HF181" s="17">
        <f>IF(ISNA(VLOOKUP(A181,'Données projet'!$A$269:$I$289,7,0)),0%,VLOOKUP(A181,'Données projet'!$A$269:$I$289,7,0))</f>
        <v>0</v>
      </c>
      <c r="HG181" s="23">
        <f>EXP(-LN(2)/35)*HG180+(1-EXP(-LN(2)/35))/(LN(2)/35)*HC181*HD181*VLOOKUP('Données projet'!$B$9,Paramètres!$A$1:$I$88,3,0)*0.475*44/12</f>
        <v>0</v>
      </c>
      <c r="HH181" s="23">
        <f>EXP(-LN(2)/25)*HH180+(1-EXP(-LN(2)/25))/(LN(2)/25)*Calculateur!HC181*Calculateur!HE181*VLOOKUP('Données projet'!$B$9,Paramètres!$A$1:$I$88,3,0)*0.475*44/12</f>
        <v>0</v>
      </c>
      <c r="HI181" s="23">
        <f>EXP(-LN(2)/2)*HI180+(1-EXP(-LN(2)/2))/(LN(2)/2)*HC181*HF181*VLOOKUP('Données projet'!$B$9,Paramètres!$A$1:$I$88,3,0)*0.475*44/12</f>
        <v>0</v>
      </c>
      <c r="HJ181" s="24">
        <f t="shared" si="190"/>
        <v>0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2" s="12">
        <f t="shared" si="15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111"/>
        <v>135.66666666666666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IF(A182&lt;'Données projet'!$A$36,$K$205^A182,IF(A182='Données projet'!$A$36,'Données projet'!$B$36,N181+M182-V181))</f>
        <v>0</v>
      </c>
      <c r="O182" s="14">
        <f>N182*VLOOKUP('Données projet'!$B$9,Paramètres!$A$1:$I$88,3,0)*VLOOKUP('Données projet'!$B$9,Paramètres!$A$1:$I$88,5,0)</f>
        <v>0</v>
      </c>
      <c r="P182" s="14" t="e">
        <f t="shared" si="15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314.72063458462026</v>
      </c>
      <c r="T182" s="62">
        <f t="shared" si="110"/>
        <v>216.4380325968244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projet'!$B$9,Paramètres!$A$1:$I$88,7,0))</f>
        <v>0</v>
      </c>
      <c r="X182" s="17">
        <f>IF(ISNA(VLOOKUP(A182,'Données projet'!$A$35:$I$55,6,0)),0%,VLOOKUP(A182,'Données projet'!$A$35:$I$55,6,0)*VLOOKUP('Données projet'!$B$9,Paramètres!$A$1:$I$88,7,0))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projet'!$B$9,Paramètres!$A$1:$I$88,3,0)*0.475*44/12</f>
        <v>0</v>
      </c>
      <c r="AA182" s="23">
        <f>EXP(-LN(2)/25)*AA181+(1-EXP(-LN(2)/25))/(LN(2)/25)*Calculateur!V182*Calculateur!X182*VLOOKUP('Données projet'!$B$9,Paramètres!$A$1:$I$88,3,0)*0.475*44/12</f>
        <v>0</v>
      </c>
      <c r="AB182" s="23">
        <f>EXP(-LN(2)/2)*AB181+(1-EXP(-LN(2)/2))/(LN(2)/2)*V182*Y182*VLOOKUP('Données projet'!$B$9,Paramètres!$A$1:$I$88,3,0)*0.475*44/12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IF(A182&lt;'Données projet'!$A$62,$AF$205^A182,IF(A182='Données projet'!$A$62,'Données projet'!$B$62,AI181+AH182-AQ181))</f>
        <v>1.1368683772161603E-13</v>
      </c>
      <c r="AJ182" s="14">
        <f>AI182*VLOOKUP('Données projet'!$B$10,Paramètres!$A$1:$I$88,3,0)*VLOOKUP('Données projet'!$B$10,Paramètres!$A$1:$I$88,5,0)</f>
        <v>1.1882548278663309E-13</v>
      </c>
      <c r="AK182" s="14">
        <f t="shared" si="164"/>
        <v>1.7496137229198366E-12</v>
      </c>
      <c r="AL182" s="22">
        <f t="shared" si="165"/>
        <v>3.2541982832721012E-12</v>
      </c>
      <c r="AM182" s="62">
        <f t="shared" si="114"/>
        <v>287.25719626255835</v>
      </c>
      <c r="AN182" s="62">
        <f ca="1">AVERAGE(OFFSET($AM$3,0,0,'Données projet'!$E$10+1,1))-AVERAGE(OFFSET($H$3,0,0,'Données projet'!$E$10+1,1))</f>
        <v>458.33072853676879</v>
      </c>
      <c r="AO182" s="62">
        <f t="shared" si="115"/>
        <v>254.1734169352687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projet'!$B$10,Paramètres!$A$1:$I$88,7,0))</f>
        <v>0</v>
      </c>
      <c r="AS182" s="17">
        <f>IF(ISNA(VLOOKUP(A182,'Données projet'!$A$61:$I$81,6,0)),0%,VLOOKUP(A182,'Données projet'!$A$61:$I$81,6,0)*VLOOKUP('Données projet'!$B$10,Paramètres!$A$1:$I$88,7,0))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projet'!$B$9,Paramètres!$A$1:$I$88,3,0)*0.475*44/12</f>
        <v>0</v>
      </c>
      <c r="AV182" s="23">
        <f>EXP(-LN(2)/25)*AV181+(1-EXP(-LN(2)/25))/(LN(2)/25)*Calculateur!AQ182*Calculateur!AS182*VLOOKUP('Données projet'!$B$9,Paramètres!$A$1:$I$88,3,0)*0.475*44/12</f>
        <v>0</v>
      </c>
      <c r="AW182" s="23">
        <f>EXP(-LN(2)/2)*AW181+(1-EXP(-LN(2)/2))/(LN(2)/2)*AQ182*AT182*VLOOKUP('Données projet'!$B$9,Paramètres!$A$1:$I$88,3,0)*0.475*44/12</f>
        <v>0</v>
      </c>
      <c r="AX182" s="23">
        <f t="shared" si="166"/>
        <v>0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IF(A182&lt;'Données projet'!$A$88,$BA$205^A182,IF(A182='Données projet'!$A$88,'Données projet'!$B$88,BD181+BC182-BL181))</f>
        <v>1.1368683772161603E-13</v>
      </c>
      <c r="BE182" s="14">
        <f>BD182*VLOOKUP('Données projet'!$B$11,Paramètres!$A$1:$I$88,3,0)*VLOOKUP('Données projet'!$B$11,Paramètres!$A$1:$I$88,5,0)</f>
        <v>1.1527845344971866E-13</v>
      </c>
      <c r="BF182" s="14">
        <f t="shared" si="167"/>
        <v>1.7033846239409443E-12</v>
      </c>
      <c r="BG182" s="22">
        <f t="shared" si="168"/>
        <v>3.1675048597887374E-12</v>
      </c>
      <c r="BH182" s="62">
        <f t="shared" si="118"/>
        <v>287.2571962625583</v>
      </c>
      <c r="BI182" s="62">
        <f ca="1">AVERAGE(OFFSET($BH$3,0,0,'Données projet'!$E$11+1,1))-AVERAGE(OFFSET($H$3,0,0,'Données projet'!$E$11+1,1))</f>
        <v>447.82618173893104</v>
      </c>
      <c r="BJ182" s="62">
        <f t="shared" si="119"/>
        <v>248.96509970783379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projet'!$B$11,Paramètres!$A$1:$I$88,7,0))</f>
        <v>0</v>
      </c>
      <c r="BN182" s="17">
        <f>IF(ISNA(VLOOKUP(A182,'Données projet'!$A$87:$I$107,6,0)),0%,VLOOKUP(A182,'Données projet'!$A$87:$I$107,6,0)*VLOOKUP('Données projet'!$B$11,Paramètres!$A$1:$I$88,7,0))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projet'!$B$9,Paramètres!$A$1:$I$88,3,0)*0.475*44/12</f>
        <v>0</v>
      </c>
      <c r="BQ182" s="23">
        <f>EXP(-LN(2)/25)*BQ181+(1-EXP(-LN(2)/25))/(LN(2)/25)*Calculateur!BL182*Calculateur!BN182*VLOOKUP('Données projet'!$B$9,Paramètres!$A$1:$I$88,3,0)*0.475*44/12</f>
        <v>0</v>
      </c>
      <c r="BR182" s="23">
        <f>EXP(-LN(2)/2)*BR181+(1-EXP(-LN(2)/2))/(LN(2)/2)*BL182*BO182*VLOOKUP('Données projet'!$B$9,Paramètres!$A$1:$I$88,3,0)*0.475*44/12</f>
        <v>0</v>
      </c>
      <c r="BS182" s="24">
        <f t="shared" si="169"/>
        <v>0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IF(A182&lt;'Données projet'!$A$114,$BV$205^A182,IF(A182='Données projet'!$A$114,'Données projet'!$B$114,BY181+BX182-CG181))</f>
        <v>1.1368683772161603E-13</v>
      </c>
      <c r="BZ182" s="14">
        <f>BY182*VLOOKUP('Données projet'!$B$12,Paramètres!$A$1:$I$88,3,0)*VLOOKUP('Données projet'!$B$12,Paramètres!$A$1:$I$88,5,0)</f>
        <v>1.223725121235475E-13</v>
      </c>
      <c r="CA182" s="14">
        <f t="shared" si="170"/>
        <v>1.7956824466038182E-12</v>
      </c>
      <c r="CB182" s="22">
        <f t="shared" si="171"/>
        <v>3.3406123864501612E-12</v>
      </c>
      <c r="CC182" s="62">
        <f t="shared" si="122"/>
        <v>287.25719626255847</v>
      </c>
      <c r="CD182" s="62">
        <f ca="1">AVERAGE(OFFSET($CC$3,0,0,'Données projet'!$E$12+1,1))-AVERAGE(OFFSET($H$3,0,0,'Données projet'!$E$12+1,1))</f>
        <v>468.82871618425406</v>
      </c>
      <c r="CE182" s="62">
        <f t="shared" si="123"/>
        <v>259.37818128554397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projet'!$B$12,Paramètres!$A$1:$I$88,7,0))</f>
        <v>0</v>
      </c>
      <c r="CI182" s="17">
        <f>IF(ISNA(VLOOKUP(A182,'Données projet'!$A$113:$I$133,6,0)),0%,VLOOKUP(A182,'Données projet'!$A$113:$I$133,6,0)*VLOOKUP('Données projet'!$B$12,Paramètres!$A$1:$I$88,7,0))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projet'!$B$9,Paramètres!$A$1:$I$88,3,0)*0.475*44/12</f>
        <v>0</v>
      </c>
      <c r="CL182" s="23">
        <f>EXP(-LN(2)/25)*CL181+(1-EXP(-LN(2)/25))/(LN(2)/25)*Calculateur!CG182*Calculateur!CI182*VLOOKUP('Données projet'!$B$9,Paramètres!$A$1:$I$88,3,0)*0.475*44/12</f>
        <v>0</v>
      </c>
      <c r="CM182" s="23">
        <f>EXP(-LN(2)/2)*CM181+(1-EXP(-LN(2)/2))/(LN(2)/2)*CG182*CJ182*VLOOKUP('Données projet'!$B$9,Paramètres!$A$1:$I$88,3,0)*0.475*44/12</f>
        <v>0</v>
      </c>
      <c r="CN182" s="24">
        <f t="shared" si="172"/>
        <v>0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IF(A182&lt;'Données projet'!$A$140,$CQ$205^A182,IF(A182='Données projet'!$A$140,'Données projet'!$B$140,CT181+CS182-DB181))</f>
        <v>1.1368683772161603E-13</v>
      </c>
      <c r="CU182" s="18">
        <f>CT182*VLOOKUP('Données projet'!$B$13,Paramètres!$A$1:$I$88,3,0)*VLOOKUP('Données projet'!$B$13,Paramètres!$A$1:$I$88,5,0)</f>
        <v>9.7543306765146564E-14</v>
      </c>
      <c r="CV182" s="14">
        <f t="shared" si="173"/>
        <v>1.4696264278629426E-12</v>
      </c>
      <c r="CW182" s="22">
        <f t="shared" si="174"/>
        <v>2.7294872878105889E-12</v>
      </c>
      <c r="CX182" s="62">
        <f t="shared" si="126"/>
        <v>287.25719626255784</v>
      </c>
      <c r="CY182" s="62">
        <f ca="1">AVERAGE(OFFSET($CX$3,0,0,'Données projet'!$E$13+1,1))-AVERAGE(OFFSET($H$3,0,0,'Données projet'!$E$13+1,1))</f>
        <v>395.19659151668884</v>
      </c>
      <c r="CZ182" s="62">
        <f t="shared" si="127"/>
        <v>222.86563304507339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projet'!$B$13,Paramètres!$A$1:$I$88,7,0))</f>
        <v>0</v>
      </c>
      <c r="DD182" s="17">
        <f>IF(ISNA(VLOOKUP(A182,'Données projet'!$A$139:$I$159,6,0)),0%,VLOOKUP(A182,'Données projet'!$A$139:$I$159,6,0)*VLOOKUP('Données projet'!$B$13,Paramètres!$A$1:$I$88,7,0))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projet'!$B$9,Paramètres!$A$1:$I$88,3,0)*0.475*44/12</f>
        <v>0</v>
      </c>
      <c r="DG182" s="23">
        <f>EXP(-LN(2)/25)*DG181+(1-EXP(-LN(2)/25))/(LN(2)/25)*Calculateur!DB182*Calculateur!DD182*VLOOKUP('Données projet'!$B$9,Paramètres!$A$1:$I$88,3,0)*0.475*44/12</f>
        <v>0</v>
      </c>
      <c r="DH182" s="23">
        <f>EXP(-LN(2)/2)*DH181+(1-EXP(-LN(2)/2))/(LN(2)/2)*DB182*DE182*VLOOKUP('Données projet'!$B$9,Paramètres!$A$1:$I$88,3,0)*0.475*44/12</f>
        <v>0</v>
      </c>
      <c r="DI182" s="24">
        <f t="shared" si="175"/>
        <v>0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IF(A182&lt;'Données projet'!$A$166,$DL$205^A182,IF(A182='Données projet'!$A$166,'Données projet'!$B$166,DO181+DN182-DW181))</f>
        <v>-8.5265128291212022E-14</v>
      </c>
      <c r="DP182" s="18">
        <f>DO182*VLOOKUP('Données projet'!$B$14,Paramètres!$A$1:$I$88,3,0)*VLOOKUP('Données projet'!$B$14,Paramètres!$A$1:$I$88,5,0)</f>
        <v>-4.9880100050359036E-14</v>
      </c>
      <c r="DQ182" s="14" t="e">
        <f t="shared" si="176"/>
        <v>#NUM!</v>
      </c>
      <c r="DR182" s="22" t="e">
        <f t="shared" si="177"/>
        <v>#NUM!</v>
      </c>
      <c r="DS182" s="62" t="e">
        <f t="shared" si="130"/>
        <v>#NUM!</v>
      </c>
      <c r="DT182" s="62">
        <f ca="1">AVERAGE(OFFSET($DS$3,0,0,'Données projet'!$E$14+1,1))-AVERAGE(OFFSET($H$3,0,0,'Données projet'!$E$14+1,1))</f>
        <v>155.18073137151848</v>
      </c>
      <c r="DU182" s="62">
        <f t="shared" si="131"/>
        <v>115.19459155667272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projet'!$B$14,Paramètres!$A$1:$I$88,7,0))</f>
        <v>0</v>
      </c>
      <c r="DY182" s="17">
        <f>IF(ISNA(VLOOKUP(A182,'Données projet'!$A$165:$I$185,6,0)),0%,VLOOKUP(A182,'Données projet'!$A$165:$I$185,6,0)*VLOOKUP('Données projet'!$B$14,Paramètres!$A$1:$I$88,7,0))</f>
        <v>0</v>
      </c>
      <c r="DZ182" s="17">
        <f>IF(ISNA(VLOOKUP(A182,'Données projet'!$A$165:$I$185,7,0)),0%,VLOOKUP(A182,'Données projet'!$A$165:$I$185,7,0))</f>
        <v>0</v>
      </c>
      <c r="EA182" s="23">
        <f>EXP(-LN(2)/35)*EA181+(1-EXP(-LN(2)/35))/(LN(2)/35)*DW182*DX182*VLOOKUP('Données projet'!$B$9,Paramètres!$A$1:$I$88,3,0)*0.475*44/12</f>
        <v>0</v>
      </c>
      <c r="EB182" s="23">
        <f>EXP(-LN(2)/25)*EB181+(1-EXP(-LN(2)/25))/(LN(2)/25)*Calculateur!DW182*Calculateur!DY182*VLOOKUP('Données projet'!$B$9,Paramètres!$A$1:$I$88,3,0)*0.475*44/12</f>
        <v>0</v>
      </c>
      <c r="EC182" s="23">
        <f>EXP(-LN(2)/2)*EC181+(1-EXP(-LN(2)/2))/(LN(2)/2)*DW182*DZ182*VLOOKUP('Données projet'!$B$9,Paramètres!$A$1:$I$88,3,0)*0.475*44/12</f>
        <v>0</v>
      </c>
      <c r="ED182" s="24">
        <f t="shared" si="178"/>
        <v>0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IF(A182&lt;'Données projet'!$A$192,$EG$205^A182,IF(A182='Données projet'!$A$192,'Données projet'!$B$192,EJ181+EI182-ER181))</f>
        <v>-5.6843418860808015E-14</v>
      </c>
      <c r="EK182" s="18">
        <f>EJ182*VLOOKUP('Données projet'!$B$15,Paramètres!$A$1:$I$88,3,0)*VLOOKUP('Données projet'!$B$15,Paramètres!$A$1:$I$88,5,0)</f>
        <v>-2.6602720026858149E-14</v>
      </c>
      <c r="EL182" s="14" t="e">
        <f t="shared" si="179"/>
        <v>#NUM!</v>
      </c>
      <c r="EM182" s="22" t="e">
        <f t="shared" si="180"/>
        <v>#NUM!</v>
      </c>
      <c r="EN182" s="62" t="e">
        <f t="shared" si="134"/>
        <v>#NUM!</v>
      </c>
      <c r="EO182" s="62">
        <f ca="1">AVERAGE(OFFSET($EN$3,0,0,'Données projet'!$E$15+1,1))-AVERAGE(OFFSET($H$3,0,0,'Données projet'!$E$15+1,1))</f>
        <v>238.59014604384171</v>
      </c>
      <c r="EP182" s="62">
        <f t="shared" si="135"/>
        <v>90.841373219575217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projet'!$B$15,Paramètres!$A$1:$I$88,7,0))</f>
        <v>0</v>
      </c>
      <c r="ET182" s="17">
        <f>IF(ISNA(VLOOKUP(A182,'Données projet'!$A$191:$I$211,6,0)),0%,VLOOKUP(A182,'Données projet'!$A$191:$I$211,6,0)*VLOOKUP('Données projet'!$B$15,Paramètres!$A$1:$I$88,7,0))</f>
        <v>0</v>
      </c>
      <c r="EU182" s="17">
        <f>IF(ISNA(VLOOKUP(A182,'Données projet'!$A$191:$I$211,7,0)),0%,VLOOKUP(A182,'Données projet'!$A$191:$I$211,7,0))</f>
        <v>0</v>
      </c>
      <c r="EV182" s="23">
        <f>EXP(-LN(2)/35)*EV181+(1-EXP(-LN(2)/35))/(LN(2)/35)*ER182*ES182*VLOOKUP('Données projet'!$B$9,Paramètres!$A$1:$I$88,3,0)*0.475*44/12</f>
        <v>0</v>
      </c>
      <c r="EW182" s="23">
        <f>EXP(-LN(2)/25)*EW181+(1-EXP(-LN(2)/25))/(LN(2)/25)*Calculateur!ER182*Calculateur!ET182*VLOOKUP('Données projet'!$B$9,Paramètres!$A$1:$I$88,3,0)*0.475*44/12</f>
        <v>0</v>
      </c>
      <c r="EX182" s="23">
        <f>EXP(-LN(2)/2)*EX181+(1-EXP(-LN(2)/2))/(LN(2)/2)*ER182*EU182*VLOOKUP('Données projet'!$B$9,Paramètres!$A$1:$I$88,3,0)*0.475*44/12</f>
        <v>0</v>
      </c>
      <c r="EY182" s="24">
        <f t="shared" si="181"/>
        <v>0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IF(A182&lt;'Données projet'!$A$218,$FB$205^A182,IF(A182='Données projet'!$A$218,'Données projet'!$B$218,FE181+FD182-FM181))</f>
        <v>0</v>
      </c>
      <c r="FF182" s="18" t="e">
        <f>FE182*VLOOKUP('Données projet'!$B$16,Paramètres!$A$1:$I$88,3,0)*VLOOKUP('Données projet'!$B$16,Paramètres!$A$1:$I$88,5,0)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8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39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projet'!$B$16,Paramètres!$A$1:$I$88,7,0))</f>
        <v>0</v>
      </c>
      <c r="FO182" s="17">
        <f>IF(ISNA(VLOOKUP(A182,'Données projet'!$A$217:$I$237,6,0)),0%,VLOOKUP(A182,'Données projet'!$A$217:$I$237,6,0)*VLOOKUP('Données projet'!$B$16,Paramètres!$A$1:$I$88,7,0))</f>
        <v>0</v>
      </c>
      <c r="FP182" s="17">
        <f>IF(ISNA(VLOOKUP(A182,'Données projet'!$A$217:$I$237,7,0)),0%,VLOOKUP(A182,'Données projet'!$A$217:$I$237,7,0))</f>
        <v>0</v>
      </c>
      <c r="FQ182" s="23">
        <f>EXP(-LN(2)/35)*FQ181+(1-EXP(-LN(2)/35))/(LN(2)/35)*FM182*FN182*VLOOKUP('Données projet'!$B$9,Paramètres!$A$1:$I$88,3,0)*0.475*44/12</f>
        <v>0</v>
      </c>
      <c r="FR182" s="23">
        <f>EXP(-LN(2)/25)*FR181+(1-EXP(-LN(2)/25))/(LN(2)/25)*Calculateur!FM182*Calculateur!FO182*VLOOKUP('Données projet'!$B$9,Paramètres!$A$1:$I$88,3,0)*0.475*44/12</f>
        <v>0</v>
      </c>
      <c r="FS182" s="23">
        <f>EXP(-LN(2)/2)*FS181+(1-EXP(-LN(2)/2))/(LN(2)/2)*FM182*FP182*VLOOKUP('Données projet'!$B$9,Paramètres!$A$1:$I$88,3,0)*0.475*44/12</f>
        <v>0</v>
      </c>
      <c r="FT182" s="24">
        <f t="shared" si="184"/>
        <v>0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IF(A182&lt;'Données projet'!$A$244,$FW$205^A182,IF(A182='Données projet'!$A$244,'Données projet'!$B$244,FZ181+FY182-GH181))</f>
        <v>0</v>
      </c>
      <c r="GA182" s="18" t="e">
        <f>FZ182*VLOOKUP('Données projet'!$B$17,Paramètres!$A$1:$I$88,3,0)*VLOOKUP('Données projet'!$B$17,Paramètres!$A$1:$I$88,5,0)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42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43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projet'!$B$17,Paramètres!$A$1:$I$88,7,0))</f>
        <v>0</v>
      </c>
      <c r="GJ182" s="17">
        <f>IF(ISNA(VLOOKUP(A182,'Données projet'!$A$243:$I$263,6,0)),0%,VLOOKUP(A182,'Données projet'!$A$243:$I$263,6,0)*VLOOKUP('Données projet'!$B$17,Paramètres!$A$1:$I$88,7,0))</f>
        <v>0</v>
      </c>
      <c r="GK182" s="17">
        <f>IF(ISNA(VLOOKUP(A182,'Données projet'!$A$243:$I$263,7,0)),0%,VLOOKUP(A182,'Données projet'!$A$243:$I$263,7,0))</f>
        <v>0</v>
      </c>
      <c r="GL182" s="23">
        <f>EXP(-LN(2)/35)*GL181+(1-EXP(-LN(2)/35))/(LN(2)/35)*GH182*GI182*VLOOKUP('Données projet'!$B$9,Paramètres!$A$1:$I$88,3,0)*0.475*44/12</f>
        <v>0</v>
      </c>
      <c r="GM182" s="23">
        <f>EXP(-LN(2)/25)*GM181+(1-EXP(-LN(2)/25))/(LN(2)/25)*Calculateur!GH182*Calculateur!GJ182*VLOOKUP('Données projet'!$B$9,Paramètres!$A$1:$I$88,3,0)*0.475*44/12</f>
        <v>0</v>
      </c>
      <c r="GN182" s="23">
        <f>EXP(-LN(2)/2)*GN181+(1-EXP(-LN(2)/2))/(LN(2)/2)*GH182*GK182*VLOOKUP('Données projet'!$B$9,Paramètres!$A$1:$I$88,3,0)*0.475*44/12</f>
        <v>0</v>
      </c>
      <c r="GO182" s="23">
        <f t="shared" si="187"/>
        <v>0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IF(A182&lt;'Données projet'!$A$270,$GR$205^A182,IF(A182='Données projet'!$A$270,'Données projet'!$B$270,GU181+GT182-HC181))</f>
        <v>0</v>
      </c>
      <c r="GV182" s="18" t="e">
        <f>GU182*VLOOKUP('Données projet'!$B$18,Paramètres!$A$1:$I$88,3,0)*VLOOKUP('Données projet'!$B$18,Paramètres!$A$1:$I$88,5,0)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46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47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projet'!$B$18,Paramètres!$A$1:$I$88,7,0))</f>
        <v>0</v>
      </c>
      <c r="HE182" s="17">
        <f>IF(ISNA(VLOOKUP(A182,'Données projet'!$A$269:$I$289,6,0)),0%,VLOOKUP(A182,'Données projet'!$A$269:$I$289,6,0)*VLOOKUP('Données projet'!$B$18,Paramètres!$A$1:$I$88,7,0))</f>
        <v>0</v>
      </c>
      <c r="HF182" s="17">
        <f>IF(ISNA(VLOOKUP(A182,'Données projet'!$A$269:$I$289,7,0)),0%,VLOOKUP(A182,'Données projet'!$A$269:$I$289,7,0))</f>
        <v>0</v>
      </c>
      <c r="HG182" s="23">
        <f>EXP(-LN(2)/35)*HG181+(1-EXP(-LN(2)/35))/(LN(2)/35)*HC182*HD182*VLOOKUP('Données projet'!$B$9,Paramètres!$A$1:$I$88,3,0)*0.475*44/12</f>
        <v>0</v>
      </c>
      <c r="HH182" s="23">
        <f>EXP(-LN(2)/25)*HH181+(1-EXP(-LN(2)/25))/(LN(2)/25)*Calculateur!HC182*Calculateur!HE182*VLOOKUP('Données projet'!$B$9,Paramètres!$A$1:$I$88,3,0)*0.475*44/12</f>
        <v>0</v>
      </c>
      <c r="HI182" s="23">
        <f>EXP(-LN(2)/2)*HI181+(1-EXP(-LN(2)/2))/(LN(2)/2)*HC182*HF182*VLOOKUP('Données projet'!$B$9,Paramètres!$A$1:$I$88,3,0)*0.475*44/12</f>
        <v>0</v>
      </c>
      <c r="HJ182" s="24">
        <f t="shared" si="190"/>
        <v>0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3" s="12">
        <f t="shared" si="15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111"/>
        <v>135.66666666666666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IF(A183&lt;'Données projet'!$A$36,$K$205^A183,IF(A183='Données projet'!$A$36,'Données projet'!$B$36,N182+M183-V182))</f>
        <v>0</v>
      </c>
      <c r="O183" s="14">
        <f>N183*VLOOKUP('Données projet'!$B$9,Paramètres!$A$1:$I$88,3,0)*VLOOKUP('Données projet'!$B$9,Paramètres!$A$1:$I$88,5,0)</f>
        <v>0</v>
      </c>
      <c r="P183" s="14" t="e">
        <f t="shared" si="15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314.72063458462026</v>
      </c>
      <c r="T183" s="62">
        <f t="shared" si="110"/>
        <v>216.4380325968244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projet'!$B$9,Paramètres!$A$1:$I$88,7,0))</f>
        <v>0</v>
      </c>
      <c r="X183" s="17">
        <f>IF(ISNA(VLOOKUP(A183,'Données projet'!$A$35:$I$55,6,0)),0%,VLOOKUP(A183,'Données projet'!$A$35:$I$55,6,0)*VLOOKUP('Données projet'!$B$9,Paramètres!$A$1:$I$88,7,0))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projet'!$B$9,Paramètres!$A$1:$I$88,3,0)*0.475*44/12</f>
        <v>0</v>
      </c>
      <c r="AA183" s="23">
        <f>EXP(-LN(2)/25)*AA182+(1-EXP(-LN(2)/25))/(LN(2)/25)*Calculateur!V183*Calculateur!X183*VLOOKUP('Données projet'!$B$9,Paramètres!$A$1:$I$88,3,0)*0.475*44/12</f>
        <v>0</v>
      </c>
      <c r="AB183" s="23">
        <f>EXP(-LN(2)/2)*AB182+(1-EXP(-LN(2)/2))/(LN(2)/2)*V183*Y183*VLOOKUP('Données projet'!$B$9,Paramètres!$A$1:$I$88,3,0)*0.475*44/12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IF(A183&lt;'Données projet'!$A$62,$AF$205^A183,IF(A183='Données projet'!$A$62,'Données projet'!$B$62,AI182+AH183-AQ182))</f>
        <v>1.1368683772161603E-13</v>
      </c>
      <c r="AJ183" s="14">
        <f>AI183*VLOOKUP('Données projet'!$B$10,Paramètres!$A$1:$I$88,3,0)*VLOOKUP('Données projet'!$B$10,Paramètres!$A$1:$I$88,5,0)</f>
        <v>1.1882548278663309E-13</v>
      </c>
      <c r="AK183" s="14">
        <f t="shared" si="164"/>
        <v>1.7496137229198366E-12</v>
      </c>
      <c r="AL183" s="22">
        <f t="shared" si="165"/>
        <v>3.2541982832721012E-12</v>
      </c>
      <c r="AM183" s="62">
        <f t="shared" si="114"/>
        <v>287.36260365652896</v>
      </c>
      <c r="AN183" s="62">
        <f ca="1">AVERAGE(OFFSET($AM$3,0,0,'Données projet'!$E$10+1,1))-AVERAGE(OFFSET($H$3,0,0,'Données projet'!$E$10+1,1))</f>
        <v>458.33072853676879</v>
      </c>
      <c r="AO183" s="62">
        <f t="shared" si="115"/>
        <v>254.1734169352687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projet'!$B$10,Paramètres!$A$1:$I$88,7,0))</f>
        <v>0</v>
      </c>
      <c r="AS183" s="17">
        <f>IF(ISNA(VLOOKUP(A183,'Données projet'!$A$61:$I$81,6,0)),0%,VLOOKUP(A183,'Données projet'!$A$61:$I$81,6,0)*VLOOKUP('Données projet'!$B$10,Paramètres!$A$1:$I$88,7,0))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projet'!$B$9,Paramètres!$A$1:$I$88,3,0)*0.475*44/12</f>
        <v>0</v>
      </c>
      <c r="AV183" s="23">
        <f>EXP(-LN(2)/25)*AV182+(1-EXP(-LN(2)/25))/(LN(2)/25)*Calculateur!AQ183*Calculateur!AS183*VLOOKUP('Données projet'!$B$9,Paramètres!$A$1:$I$88,3,0)*0.475*44/12</f>
        <v>0</v>
      </c>
      <c r="AW183" s="23">
        <f>EXP(-LN(2)/2)*AW182+(1-EXP(-LN(2)/2))/(LN(2)/2)*AQ183*AT183*VLOOKUP('Données projet'!$B$9,Paramètres!$A$1:$I$88,3,0)*0.475*44/12</f>
        <v>0</v>
      </c>
      <c r="AX183" s="23">
        <f t="shared" si="166"/>
        <v>0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IF(A183&lt;'Données projet'!$A$88,$BA$205^A183,IF(A183='Données projet'!$A$88,'Données projet'!$B$88,BD182+BC183-BL182))</f>
        <v>1.1368683772161603E-13</v>
      </c>
      <c r="BE183" s="14">
        <f>BD183*VLOOKUP('Données projet'!$B$11,Paramètres!$A$1:$I$88,3,0)*VLOOKUP('Données projet'!$B$11,Paramètres!$A$1:$I$88,5,0)</f>
        <v>1.1527845344971866E-13</v>
      </c>
      <c r="BF183" s="14">
        <f t="shared" si="167"/>
        <v>1.7033846239409443E-12</v>
      </c>
      <c r="BG183" s="22">
        <f t="shared" si="168"/>
        <v>3.1675048597887374E-12</v>
      </c>
      <c r="BH183" s="62">
        <f t="shared" si="118"/>
        <v>287.3626036565289</v>
      </c>
      <c r="BI183" s="62">
        <f ca="1">AVERAGE(OFFSET($BH$3,0,0,'Données projet'!$E$11+1,1))-AVERAGE(OFFSET($H$3,0,0,'Données projet'!$E$11+1,1))</f>
        <v>447.82618173893104</v>
      </c>
      <c r="BJ183" s="62">
        <f t="shared" si="119"/>
        <v>248.96509970783379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projet'!$B$11,Paramètres!$A$1:$I$88,7,0))</f>
        <v>0</v>
      </c>
      <c r="BN183" s="17">
        <f>IF(ISNA(VLOOKUP(A183,'Données projet'!$A$87:$I$107,6,0)),0%,VLOOKUP(A183,'Données projet'!$A$87:$I$107,6,0)*VLOOKUP('Données projet'!$B$11,Paramètres!$A$1:$I$88,7,0))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projet'!$B$9,Paramètres!$A$1:$I$88,3,0)*0.475*44/12</f>
        <v>0</v>
      </c>
      <c r="BQ183" s="23">
        <f>EXP(-LN(2)/25)*BQ182+(1-EXP(-LN(2)/25))/(LN(2)/25)*Calculateur!BL183*Calculateur!BN183*VLOOKUP('Données projet'!$B$9,Paramètres!$A$1:$I$88,3,0)*0.475*44/12</f>
        <v>0</v>
      </c>
      <c r="BR183" s="23">
        <f>EXP(-LN(2)/2)*BR182+(1-EXP(-LN(2)/2))/(LN(2)/2)*BL183*BO183*VLOOKUP('Données projet'!$B$9,Paramètres!$A$1:$I$88,3,0)*0.475*44/12</f>
        <v>0</v>
      </c>
      <c r="BS183" s="24">
        <f t="shared" si="169"/>
        <v>0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IF(A183&lt;'Données projet'!$A$114,$BV$205^A183,IF(A183='Données projet'!$A$114,'Données projet'!$B$114,BY182+BX183-CG182))</f>
        <v>1.1368683772161603E-13</v>
      </c>
      <c r="BZ183" s="14">
        <f>BY183*VLOOKUP('Données projet'!$B$12,Paramètres!$A$1:$I$88,3,0)*VLOOKUP('Données projet'!$B$12,Paramètres!$A$1:$I$88,5,0)</f>
        <v>1.223725121235475E-13</v>
      </c>
      <c r="CA183" s="14">
        <f t="shared" si="170"/>
        <v>1.7956824466038182E-12</v>
      </c>
      <c r="CB183" s="22">
        <f t="shared" si="171"/>
        <v>3.3406123864501612E-12</v>
      </c>
      <c r="CC183" s="62">
        <f t="shared" si="122"/>
        <v>287.36260365652907</v>
      </c>
      <c r="CD183" s="62">
        <f ca="1">AVERAGE(OFFSET($CC$3,0,0,'Données projet'!$E$12+1,1))-AVERAGE(OFFSET($H$3,0,0,'Données projet'!$E$12+1,1))</f>
        <v>468.82871618425406</v>
      </c>
      <c r="CE183" s="62">
        <f t="shared" si="123"/>
        <v>259.37818128554397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projet'!$B$12,Paramètres!$A$1:$I$88,7,0))</f>
        <v>0</v>
      </c>
      <c r="CI183" s="17">
        <f>IF(ISNA(VLOOKUP(A183,'Données projet'!$A$113:$I$133,6,0)),0%,VLOOKUP(A183,'Données projet'!$A$113:$I$133,6,0)*VLOOKUP('Données projet'!$B$12,Paramètres!$A$1:$I$88,7,0))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projet'!$B$9,Paramètres!$A$1:$I$88,3,0)*0.475*44/12</f>
        <v>0</v>
      </c>
      <c r="CL183" s="23">
        <f>EXP(-LN(2)/25)*CL182+(1-EXP(-LN(2)/25))/(LN(2)/25)*Calculateur!CG183*Calculateur!CI183*VLOOKUP('Données projet'!$B$9,Paramètres!$A$1:$I$88,3,0)*0.475*44/12</f>
        <v>0</v>
      </c>
      <c r="CM183" s="23">
        <f>EXP(-LN(2)/2)*CM182+(1-EXP(-LN(2)/2))/(LN(2)/2)*CG183*CJ183*VLOOKUP('Données projet'!$B$9,Paramètres!$A$1:$I$88,3,0)*0.475*44/12</f>
        <v>0</v>
      </c>
      <c r="CN183" s="24">
        <f t="shared" si="172"/>
        <v>0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IF(A183&lt;'Données projet'!$A$140,$CQ$205^A183,IF(A183='Données projet'!$A$140,'Données projet'!$B$140,CT182+CS183-DB182))</f>
        <v>1.1368683772161603E-13</v>
      </c>
      <c r="CU183" s="18">
        <f>CT183*VLOOKUP('Données projet'!$B$13,Paramètres!$A$1:$I$88,3,0)*VLOOKUP('Données projet'!$B$13,Paramètres!$A$1:$I$88,5,0)</f>
        <v>9.7543306765146564E-14</v>
      </c>
      <c r="CV183" s="14">
        <f t="shared" si="173"/>
        <v>1.4696264278629426E-12</v>
      </c>
      <c r="CW183" s="22">
        <f t="shared" si="174"/>
        <v>2.7294872878105889E-12</v>
      </c>
      <c r="CX183" s="62">
        <f t="shared" si="126"/>
        <v>287.36260365652845</v>
      </c>
      <c r="CY183" s="62">
        <f ca="1">AVERAGE(OFFSET($CX$3,0,0,'Données projet'!$E$13+1,1))-AVERAGE(OFFSET($H$3,0,0,'Données projet'!$E$13+1,1))</f>
        <v>395.19659151668884</v>
      </c>
      <c r="CZ183" s="62">
        <f t="shared" si="127"/>
        <v>222.86563304507339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projet'!$B$13,Paramètres!$A$1:$I$88,7,0))</f>
        <v>0</v>
      </c>
      <c r="DD183" s="17">
        <f>IF(ISNA(VLOOKUP(A183,'Données projet'!$A$139:$I$159,6,0)),0%,VLOOKUP(A183,'Données projet'!$A$139:$I$159,6,0)*VLOOKUP('Données projet'!$B$13,Paramètres!$A$1:$I$88,7,0))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projet'!$B$9,Paramètres!$A$1:$I$88,3,0)*0.475*44/12</f>
        <v>0</v>
      </c>
      <c r="DG183" s="23">
        <f>EXP(-LN(2)/25)*DG182+(1-EXP(-LN(2)/25))/(LN(2)/25)*Calculateur!DB183*Calculateur!DD183*VLOOKUP('Données projet'!$B$9,Paramètres!$A$1:$I$88,3,0)*0.475*44/12</f>
        <v>0</v>
      </c>
      <c r="DH183" s="23">
        <f>EXP(-LN(2)/2)*DH182+(1-EXP(-LN(2)/2))/(LN(2)/2)*DB183*DE183*VLOOKUP('Données projet'!$B$9,Paramètres!$A$1:$I$88,3,0)*0.475*44/12</f>
        <v>0</v>
      </c>
      <c r="DI183" s="24">
        <f t="shared" si="175"/>
        <v>0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IF(A183&lt;'Données projet'!$A$166,$DL$205^A183,IF(A183='Données projet'!$A$166,'Données projet'!$B$166,DO182+DN183-DW182))</f>
        <v>-8.5265128291212022E-14</v>
      </c>
      <c r="DP183" s="18">
        <f>DO183*VLOOKUP('Données projet'!$B$14,Paramètres!$A$1:$I$88,3,0)*VLOOKUP('Données projet'!$B$14,Paramètres!$A$1:$I$88,5,0)</f>
        <v>-4.9880100050359036E-14</v>
      </c>
      <c r="DQ183" s="14" t="e">
        <f t="shared" si="176"/>
        <v>#NUM!</v>
      </c>
      <c r="DR183" s="22" t="e">
        <f t="shared" si="177"/>
        <v>#NUM!</v>
      </c>
      <c r="DS183" s="62" t="e">
        <f t="shared" si="130"/>
        <v>#NUM!</v>
      </c>
      <c r="DT183" s="62">
        <f ca="1">AVERAGE(OFFSET($DS$3,0,0,'Données projet'!$E$14+1,1))-AVERAGE(OFFSET($H$3,0,0,'Données projet'!$E$14+1,1))</f>
        <v>155.18073137151848</v>
      </c>
      <c r="DU183" s="62">
        <f t="shared" si="131"/>
        <v>115.19459155667272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projet'!$B$14,Paramètres!$A$1:$I$88,7,0))</f>
        <v>0</v>
      </c>
      <c r="DY183" s="17">
        <f>IF(ISNA(VLOOKUP(A183,'Données projet'!$A$165:$I$185,6,0)),0%,VLOOKUP(A183,'Données projet'!$A$165:$I$185,6,0)*VLOOKUP('Données projet'!$B$14,Paramètres!$A$1:$I$88,7,0))</f>
        <v>0</v>
      </c>
      <c r="DZ183" s="17">
        <f>IF(ISNA(VLOOKUP(A183,'Données projet'!$A$165:$I$185,7,0)),0%,VLOOKUP(A183,'Données projet'!$A$165:$I$185,7,0))</f>
        <v>0</v>
      </c>
      <c r="EA183" s="23">
        <f>EXP(-LN(2)/35)*EA182+(1-EXP(-LN(2)/35))/(LN(2)/35)*DW183*DX183*VLOOKUP('Données projet'!$B$9,Paramètres!$A$1:$I$88,3,0)*0.475*44/12</f>
        <v>0</v>
      </c>
      <c r="EB183" s="23">
        <f>EXP(-LN(2)/25)*EB182+(1-EXP(-LN(2)/25))/(LN(2)/25)*Calculateur!DW183*Calculateur!DY183*VLOOKUP('Données projet'!$B$9,Paramètres!$A$1:$I$88,3,0)*0.475*44/12</f>
        <v>0</v>
      </c>
      <c r="EC183" s="23">
        <f>EXP(-LN(2)/2)*EC182+(1-EXP(-LN(2)/2))/(LN(2)/2)*DW183*DZ183*VLOOKUP('Données projet'!$B$9,Paramètres!$A$1:$I$88,3,0)*0.475*44/12</f>
        <v>0</v>
      </c>
      <c r="ED183" s="24">
        <f t="shared" si="178"/>
        <v>0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IF(A183&lt;'Données projet'!$A$192,$EG$205^A183,IF(A183='Données projet'!$A$192,'Données projet'!$B$192,EJ182+EI183-ER182))</f>
        <v>-5.6843418860808015E-14</v>
      </c>
      <c r="EK183" s="18">
        <f>EJ183*VLOOKUP('Données projet'!$B$15,Paramètres!$A$1:$I$88,3,0)*VLOOKUP('Données projet'!$B$15,Paramètres!$A$1:$I$88,5,0)</f>
        <v>-2.6602720026858149E-14</v>
      </c>
      <c r="EL183" s="14" t="e">
        <f t="shared" si="179"/>
        <v>#NUM!</v>
      </c>
      <c r="EM183" s="22" t="e">
        <f t="shared" si="180"/>
        <v>#NUM!</v>
      </c>
      <c r="EN183" s="62" t="e">
        <f t="shared" si="134"/>
        <v>#NUM!</v>
      </c>
      <c r="EO183" s="62">
        <f ca="1">AVERAGE(OFFSET($EN$3,0,0,'Données projet'!$E$15+1,1))-AVERAGE(OFFSET($H$3,0,0,'Données projet'!$E$15+1,1))</f>
        <v>238.59014604384171</v>
      </c>
      <c r="EP183" s="62">
        <f t="shared" si="135"/>
        <v>90.841373219575217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projet'!$B$15,Paramètres!$A$1:$I$88,7,0))</f>
        <v>0</v>
      </c>
      <c r="ET183" s="17">
        <f>IF(ISNA(VLOOKUP(A183,'Données projet'!$A$191:$I$211,6,0)),0%,VLOOKUP(A183,'Données projet'!$A$191:$I$211,6,0)*VLOOKUP('Données projet'!$B$15,Paramètres!$A$1:$I$88,7,0))</f>
        <v>0</v>
      </c>
      <c r="EU183" s="17">
        <f>IF(ISNA(VLOOKUP(A183,'Données projet'!$A$191:$I$211,7,0)),0%,VLOOKUP(A183,'Données projet'!$A$191:$I$211,7,0))</f>
        <v>0</v>
      </c>
      <c r="EV183" s="23">
        <f>EXP(-LN(2)/35)*EV182+(1-EXP(-LN(2)/35))/(LN(2)/35)*ER183*ES183*VLOOKUP('Données projet'!$B$9,Paramètres!$A$1:$I$88,3,0)*0.475*44/12</f>
        <v>0</v>
      </c>
      <c r="EW183" s="23">
        <f>EXP(-LN(2)/25)*EW182+(1-EXP(-LN(2)/25))/(LN(2)/25)*Calculateur!ER183*Calculateur!ET183*VLOOKUP('Données projet'!$B$9,Paramètres!$A$1:$I$88,3,0)*0.475*44/12</f>
        <v>0</v>
      </c>
      <c r="EX183" s="23">
        <f>EXP(-LN(2)/2)*EX182+(1-EXP(-LN(2)/2))/(LN(2)/2)*ER183*EU183*VLOOKUP('Données projet'!$B$9,Paramètres!$A$1:$I$88,3,0)*0.475*44/12</f>
        <v>0</v>
      </c>
      <c r="EY183" s="24">
        <f t="shared" si="181"/>
        <v>0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IF(A183&lt;'Données projet'!$A$218,$FB$205^A183,IF(A183='Données projet'!$A$218,'Données projet'!$B$218,FE182+FD183-FM182))</f>
        <v>0</v>
      </c>
      <c r="FF183" s="18" t="e">
        <f>FE183*VLOOKUP('Données projet'!$B$16,Paramètres!$A$1:$I$88,3,0)*VLOOKUP('Données projet'!$B$16,Paramètres!$A$1:$I$88,5,0)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8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39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projet'!$B$16,Paramètres!$A$1:$I$88,7,0))</f>
        <v>0</v>
      </c>
      <c r="FO183" s="17">
        <f>IF(ISNA(VLOOKUP(A183,'Données projet'!$A$217:$I$237,6,0)),0%,VLOOKUP(A183,'Données projet'!$A$217:$I$237,6,0)*VLOOKUP('Données projet'!$B$16,Paramètres!$A$1:$I$88,7,0))</f>
        <v>0</v>
      </c>
      <c r="FP183" s="17">
        <f>IF(ISNA(VLOOKUP(A183,'Données projet'!$A$217:$I$237,7,0)),0%,VLOOKUP(A183,'Données projet'!$A$217:$I$237,7,0))</f>
        <v>0</v>
      </c>
      <c r="FQ183" s="23">
        <f>EXP(-LN(2)/35)*FQ182+(1-EXP(-LN(2)/35))/(LN(2)/35)*FM183*FN183*VLOOKUP('Données projet'!$B$9,Paramètres!$A$1:$I$88,3,0)*0.475*44/12</f>
        <v>0</v>
      </c>
      <c r="FR183" s="23">
        <f>EXP(-LN(2)/25)*FR182+(1-EXP(-LN(2)/25))/(LN(2)/25)*Calculateur!FM183*Calculateur!FO183*VLOOKUP('Données projet'!$B$9,Paramètres!$A$1:$I$88,3,0)*0.475*44/12</f>
        <v>0</v>
      </c>
      <c r="FS183" s="23">
        <f>EXP(-LN(2)/2)*FS182+(1-EXP(-LN(2)/2))/(LN(2)/2)*FM183*FP183*VLOOKUP('Données projet'!$B$9,Paramètres!$A$1:$I$88,3,0)*0.475*44/12</f>
        <v>0</v>
      </c>
      <c r="FT183" s="24">
        <f t="shared" si="184"/>
        <v>0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IF(A183&lt;'Données projet'!$A$244,$FW$205^A183,IF(A183='Données projet'!$A$244,'Données projet'!$B$244,FZ182+FY183-GH182))</f>
        <v>0</v>
      </c>
      <c r="GA183" s="18" t="e">
        <f>FZ183*VLOOKUP('Données projet'!$B$17,Paramètres!$A$1:$I$88,3,0)*VLOOKUP('Données projet'!$B$17,Paramètres!$A$1:$I$88,5,0)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42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43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projet'!$B$17,Paramètres!$A$1:$I$88,7,0))</f>
        <v>0</v>
      </c>
      <c r="GJ183" s="17">
        <f>IF(ISNA(VLOOKUP(A183,'Données projet'!$A$243:$I$263,6,0)),0%,VLOOKUP(A183,'Données projet'!$A$243:$I$263,6,0)*VLOOKUP('Données projet'!$B$17,Paramètres!$A$1:$I$88,7,0))</f>
        <v>0</v>
      </c>
      <c r="GK183" s="17">
        <f>IF(ISNA(VLOOKUP(A183,'Données projet'!$A$243:$I$263,7,0)),0%,VLOOKUP(A183,'Données projet'!$A$243:$I$263,7,0))</f>
        <v>0</v>
      </c>
      <c r="GL183" s="23">
        <f>EXP(-LN(2)/35)*GL182+(1-EXP(-LN(2)/35))/(LN(2)/35)*GH183*GI183*VLOOKUP('Données projet'!$B$9,Paramètres!$A$1:$I$88,3,0)*0.475*44/12</f>
        <v>0</v>
      </c>
      <c r="GM183" s="23">
        <f>EXP(-LN(2)/25)*GM182+(1-EXP(-LN(2)/25))/(LN(2)/25)*Calculateur!GH183*Calculateur!GJ183*VLOOKUP('Données projet'!$B$9,Paramètres!$A$1:$I$88,3,0)*0.475*44/12</f>
        <v>0</v>
      </c>
      <c r="GN183" s="23">
        <f>EXP(-LN(2)/2)*GN182+(1-EXP(-LN(2)/2))/(LN(2)/2)*GH183*GK183*VLOOKUP('Données projet'!$B$9,Paramètres!$A$1:$I$88,3,0)*0.475*44/12</f>
        <v>0</v>
      </c>
      <c r="GO183" s="23">
        <f t="shared" si="187"/>
        <v>0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IF(A183&lt;'Données projet'!$A$270,$GR$205^A183,IF(A183='Données projet'!$A$270,'Données projet'!$B$270,GU182+GT183-HC182))</f>
        <v>0</v>
      </c>
      <c r="GV183" s="18" t="e">
        <f>GU183*VLOOKUP('Données projet'!$B$18,Paramètres!$A$1:$I$88,3,0)*VLOOKUP('Données projet'!$B$18,Paramètres!$A$1:$I$88,5,0)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46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47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projet'!$B$18,Paramètres!$A$1:$I$88,7,0))</f>
        <v>0</v>
      </c>
      <c r="HE183" s="17">
        <f>IF(ISNA(VLOOKUP(A183,'Données projet'!$A$269:$I$289,6,0)),0%,VLOOKUP(A183,'Données projet'!$A$269:$I$289,6,0)*VLOOKUP('Données projet'!$B$18,Paramètres!$A$1:$I$88,7,0))</f>
        <v>0</v>
      </c>
      <c r="HF183" s="17">
        <f>IF(ISNA(VLOOKUP(A183,'Données projet'!$A$269:$I$289,7,0)),0%,VLOOKUP(A183,'Données projet'!$A$269:$I$289,7,0))</f>
        <v>0</v>
      </c>
      <c r="HG183" s="23">
        <f>EXP(-LN(2)/35)*HG182+(1-EXP(-LN(2)/35))/(LN(2)/35)*HC183*HD183*VLOOKUP('Données projet'!$B$9,Paramètres!$A$1:$I$88,3,0)*0.475*44/12</f>
        <v>0</v>
      </c>
      <c r="HH183" s="23">
        <f>EXP(-LN(2)/25)*HH182+(1-EXP(-LN(2)/25))/(LN(2)/25)*Calculateur!HC183*Calculateur!HE183*VLOOKUP('Données projet'!$B$9,Paramètres!$A$1:$I$88,3,0)*0.475*44/12</f>
        <v>0</v>
      </c>
      <c r="HI183" s="23">
        <f>EXP(-LN(2)/2)*HI182+(1-EXP(-LN(2)/2))/(LN(2)/2)*HC183*HF183*VLOOKUP('Données projet'!$B$9,Paramètres!$A$1:$I$88,3,0)*0.475*44/12</f>
        <v>0</v>
      </c>
      <c r="HJ183" s="24">
        <f t="shared" si="190"/>
        <v>0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4" s="12">
        <f t="shared" si="15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111"/>
        <v>135.66666666666666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IF(A184&lt;'Données projet'!$A$36,$K$205^A184,IF(A184='Données projet'!$A$36,'Données projet'!$B$36,N183+M184-V183))</f>
        <v>0</v>
      </c>
      <c r="O184" s="14">
        <f>N184*VLOOKUP('Données projet'!$B$9,Paramètres!$A$1:$I$88,3,0)*VLOOKUP('Données projet'!$B$9,Paramètres!$A$1:$I$88,5,0)</f>
        <v>0</v>
      </c>
      <c r="P184" s="14" t="e">
        <f t="shared" si="15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314.72063458462026</v>
      </c>
      <c r="T184" s="62">
        <f t="shared" si="110"/>
        <v>216.4380325968244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projet'!$B$9,Paramètres!$A$1:$I$88,7,0))</f>
        <v>0</v>
      </c>
      <c r="X184" s="17">
        <f>IF(ISNA(VLOOKUP(A184,'Données projet'!$A$35:$I$55,6,0)),0%,VLOOKUP(A184,'Données projet'!$A$35:$I$55,6,0)*VLOOKUP('Données projet'!$B$9,Paramètres!$A$1:$I$88,7,0))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projet'!$B$9,Paramètres!$A$1:$I$88,3,0)*0.475*44/12</f>
        <v>0</v>
      </c>
      <c r="AA184" s="23">
        <f>EXP(-LN(2)/25)*AA183+(1-EXP(-LN(2)/25))/(LN(2)/25)*Calculateur!V184*Calculateur!X184*VLOOKUP('Données projet'!$B$9,Paramètres!$A$1:$I$88,3,0)*0.475*44/12</f>
        <v>0</v>
      </c>
      <c r="AB184" s="23">
        <f>EXP(-LN(2)/2)*AB183+(1-EXP(-LN(2)/2))/(LN(2)/2)*V184*Y184*VLOOKUP('Données projet'!$B$9,Paramètres!$A$1:$I$88,3,0)*0.475*44/12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IF(A184&lt;'Données projet'!$A$62,$AF$205^A184,IF(A184='Données projet'!$A$62,'Données projet'!$B$62,AI183+AH184-AQ183))</f>
        <v>1.1368683772161603E-13</v>
      </c>
      <c r="AJ184" s="14">
        <f>AI184*VLOOKUP('Données projet'!$B$10,Paramètres!$A$1:$I$88,3,0)*VLOOKUP('Données projet'!$B$10,Paramètres!$A$1:$I$88,5,0)</f>
        <v>1.1882548278663309E-13</v>
      </c>
      <c r="AK184" s="14">
        <f t="shared" si="164"/>
        <v>1.7496137229198366E-12</v>
      </c>
      <c r="AL184" s="22">
        <f t="shared" si="165"/>
        <v>3.2541982832721012E-12</v>
      </c>
      <c r="AM184" s="62">
        <f t="shared" si="114"/>
        <v>287.46618246786977</v>
      </c>
      <c r="AN184" s="62">
        <f ca="1">AVERAGE(OFFSET($AM$3,0,0,'Données projet'!$E$10+1,1))-AVERAGE(OFFSET($H$3,0,0,'Données projet'!$E$10+1,1))</f>
        <v>458.33072853676879</v>
      </c>
      <c r="AO184" s="62">
        <f t="shared" si="115"/>
        <v>254.1734169352687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projet'!$B$10,Paramètres!$A$1:$I$88,7,0))</f>
        <v>0</v>
      </c>
      <c r="AS184" s="17">
        <f>IF(ISNA(VLOOKUP(A184,'Données projet'!$A$61:$I$81,6,0)),0%,VLOOKUP(A184,'Données projet'!$A$61:$I$81,6,0)*VLOOKUP('Données projet'!$B$10,Paramètres!$A$1:$I$88,7,0))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projet'!$B$9,Paramètres!$A$1:$I$88,3,0)*0.475*44/12</f>
        <v>0</v>
      </c>
      <c r="AV184" s="23">
        <f>EXP(-LN(2)/25)*AV183+(1-EXP(-LN(2)/25))/(LN(2)/25)*Calculateur!AQ184*Calculateur!AS184*VLOOKUP('Données projet'!$B$9,Paramètres!$A$1:$I$88,3,0)*0.475*44/12</f>
        <v>0</v>
      </c>
      <c r="AW184" s="23">
        <f>EXP(-LN(2)/2)*AW183+(1-EXP(-LN(2)/2))/(LN(2)/2)*AQ184*AT184*VLOOKUP('Données projet'!$B$9,Paramètres!$A$1:$I$88,3,0)*0.475*44/12</f>
        <v>0</v>
      </c>
      <c r="AX184" s="23">
        <f t="shared" si="166"/>
        <v>0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IF(A184&lt;'Données projet'!$A$88,$BA$205^A184,IF(A184='Données projet'!$A$88,'Données projet'!$B$88,BD183+BC184-BL183))</f>
        <v>1.1368683772161603E-13</v>
      </c>
      <c r="BE184" s="14">
        <f>BD184*VLOOKUP('Données projet'!$B$11,Paramètres!$A$1:$I$88,3,0)*VLOOKUP('Données projet'!$B$11,Paramètres!$A$1:$I$88,5,0)</f>
        <v>1.1527845344971866E-13</v>
      </c>
      <c r="BF184" s="14">
        <f t="shared" si="167"/>
        <v>1.7033846239409443E-12</v>
      </c>
      <c r="BG184" s="22">
        <f t="shared" si="168"/>
        <v>3.1675048597887374E-12</v>
      </c>
      <c r="BH184" s="62">
        <f t="shared" si="118"/>
        <v>287.46618246786971</v>
      </c>
      <c r="BI184" s="62">
        <f ca="1">AVERAGE(OFFSET($BH$3,0,0,'Données projet'!$E$11+1,1))-AVERAGE(OFFSET($H$3,0,0,'Données projet'!$E$11+1,1))</f>
        <v>447.82618173893104</v>
      </c>
      <c r="BJ184" s="62">
        <f t="shared" si="119"/>
        <v>248.96509970783379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projet'!$B$11,Paramètres!$A$1:$I$88,7,0))</f>
        <v>0</v>
      </c>
      <c r="BN184" s="17">
        <f>IF(ISNA(VLOOKUP(A184,'Données projet'!$A$87:$I$107,6,0)),0%,VLOOKUP(A184,'Données projet'!$A$87:$I$107,6,0)*VLOOKUP('Données projet'!$B$11,Paramètres!$A$1:$I$88,7,0))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projet'!$B$9,Paramètres!$A$1:$I$88,3,0)*0.475*44/12</f>
        <v>0</v>
      </c>
      <c r="BQ184" s="23">
        <f>EXP(-LN(2)/25)*BQ183+(1-EXP(-LN(2)/25))/(LN(2)/25)*Calculateur!BL184*Calculateur!BN184*VLOOKUP('Données projet'!$B$9,Paramètres!$A$1:$I$88,3,0)*0.475*44/12</f>
        <v>0</v>
      </c>
      <c r="BR184" s="23">
        <f>EXP(-LN(2)/2)*BR183+(1-EXP(-LN(2)/2))/(LN(2)/2)*BL184*BO184*VLOOKUP('Données projet'!$B$9,Paramètres!$A$1:$I$88,3,0)*0.475*44/12</f>
        <v>0</v>
      </c>
      <c r="BS184" s="24">
        <f t="shared" si="169"/>
        <v>0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IF(A184&lt;'Données projet'!$A$114,$BV$205^A184,IF(A184='Données projet'!$A$114,'Données projet'!$B$114,BY183+BX184-CG183))</f>
        <v>1.1368683772161603E-13</v>
      </c>
      <c r="BZ184" s="14">
        <f>BY184*VLOOKUP('Données projet'!$B$12,Paramètres!$A$1:$I$88,3,0)*VLOOKUP('Données projet'!$B$12,Paramètres!$A$1:$I$88,5,0)</f>
        <v>1.223725121235475E-13</v>
      </c>
      <c r="CA184" s="14">
        <f t="shared" si="170"/>
        <v>1.7956824466038182E-12</v>
      </c>
      <c r="CB184" s="22">
        <f t="shared" si="171"/>
        <v>3.3406123864501612E-12</v>
      </c>
      <c r="CC184" s="62">
        <f t="shared" si="122"/>
        <v>287.46618246786988</v>
      </c>
      <c r="CD184" s="62">
        <f ca="1">AVERAGE(OFFSET($CC$3,0,0,'Données projet'!$E$12+1,1))-AVERAGE(OFFSET($H$3,0,0,'Données projet'!$E$12+1,1))</f>
        <v>468.82871618425406</v>
      </c>
      <c r="CE184" s="62">
        <f t="shared" si="123"/>
        <v>259.37818128554397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projet'!$B$12,Paramètres!$A$1:$I$88,7,0))</f>
        <v>0</v>
      </c>
      <c r="CI184" s="17">
        <f>IF(ISNA(VLOOKUP(A184,'Données projet'!$A$113:$I$133,6,0)),0%,VLOOKUP(A184,'Données projet'!$A$113:$I$133,6,0)*VLOOKUP('Données projet'!$B$12,Paramètres!$A$1:$I$88,7,0))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projet'!$B$9,Paramètres!$A$1:$I$88,3,0)*0.475*44/12</f>
        <v>0</v>
      </c>
      <c r="CL184" s="23">
        <f>EXP(-LN(2)/25)*CL183+(1-EXP(-LN(2)/25))/(LN(2)/25)*Calculateur!CG184*Calculateur!CI184*VLOOKUP('Données projet'!$B$9,Paramètres!$A$1:$I$88,3,0)*0.475*44/12</f>
        <v>0</v>
      </c>
      <c r="CM184" s="23">
        <f>EXP(-LN(2)/2)*CM183+(1-EXP(-LN(2)/2))/(LN(2)/2)*CG184*CJ184*VLOOKUP('Données projet'!$B$9,Paramètres!$A$1:$I$88,3,0)*0.475*44/12</f>
        <v>0</v>
      </c>
      <c r="CN184" s="24">
        <f t="shared" si="172"/>
        <v>0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IF(A184&lt;'Données projet'!$A$140,$CQ$205^A184,IF(A184='Données projet'!$A$140,'Données projet'!$B$140,CT183+CS184-DB183))</f>
        <v>1.1368683772161603E-13</v>
      </c>
      <c r="CU184" s="18">
        <f>CT184*VLOOKUP('Données projet'!$B$13,Paramètres!$A$1:$I$88,3,0)*VLOOKUP('Données projet'!$B$13,Paramètres!$A$1:$I$88,5,0)</f>
        <v>9.7543306765146564E-14</v>
      </c>
      <c r="CV184" s="14">
        <f t="shared" si="173"/>
        <v>1.4696264278629426E-12</v>
      </c>
      <c r="CW184" s="22">
        <f t="shared" si="174"/>
        <v>2.7294872878105889E-12</v>
      </c>
      <c r="CX184" s="62">
        <f t="shared" si="126"/>
        <v>287.46618246786926</v>
      </c>
      <c r="CY184" s="62">
        <f ca="1">AVERAGE(OFFSET($CX$3,0,0,'Données projet'!$E$13+1,1))-AVERAGE(OFFSET($H$3,0,0,'Données projet'!$E$13+1,1))</f>
        <v>395.19659151668884</v>
      </c>
      <c r="CZ184" s="62">
        <f t="shared" si="127"/>
        <v>222.86563304507339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projet'!$B$13,Paramètres!$A$1:$I$88,7,0))</f>
        <v>0</v>
      </c>
      <c r="DD184" s="17">
        <f>IF(ISNA(VLOOKUP(A184,'Données projet'!$A$139:$I$159,6,0)),0%,VLOOKUP(A184,'Données projet'!$A$139:$I$159,6,0)*VLOOKUP('Données projet'!$B$13,Paramètres!$A$1:$I$88,7,0))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projet'!$B$9,Paramètres!$A$1:$I$88,3,0)*0.475*44/12</f>
        <v>0</v>
      </c>
      <c r="DG184" s="23">
        <f>EXP(-LN(2)/25)*DG183+(1-EXP(-LN(2)/25))/(LN(2)/25)*Calculateur!DB184*Calculateur!DD184*VLOOKUP('Données projet'!$B$9,Paramètres!$A$1:$I$88,3,0)*0.475*44/12</f>
        <v>0</v>
      </c>
      <c r="DH184" s="23">
        <f>EXP(-LN(2)/2)*DH183+(1-EXP(-LN(2)/2))/(LN(2)/2)*DB184*DE184*VLOOKUP('Données projet'!$B$9,Paramètres!$A$1:$I$88,3,0)*0.475*44/12</f>
        <v>0</v>
      </c>
      <c r="DI184" s="24">
        <f t="shared" si="175"/>
        <v>0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IF(A184&lt;'Données projet'!$A$166,$DL$205^A184,IF(A184='Données projet'!$A$166,'Données projet'!$B$166,DO183+DN184-DW183))</f>
        <v>-8.5265128291212022E-14</v>
      </c>
      <c r="DP184" s="18">
        <f>DO184*VLOOKUP('Données projet'!$B$14,Paramètres!$A$1:$I$88,3,0)*VLOOKUP('Données projet'!$B$14,Paramètres!$A$1:$I$88,5,0)</f>
        <v>-4.9880100050359036E-14</v>
      </c>
      <c r="DQ184" s="14" t="e">
        <f t="shared" si="176"/>
        <v>#NUM!</v>
      </c>
      <c r="DR184" s="22" t="e">
        <f t="shared" si="177"/>
        <v>#NUM!</v>
      </c>
      <c r="DS184" s="62" t="e">
        <f t="shared" si="130"/>
        <v>#NUM!</v>
      </c>
      <c r="DT184" s="62">
        <f ca="1">AVERAGE(OFFSET($DS$3,0,0,'Données projet'!$E$14+1,1))-AVERAGE(OFFSET($H$3,0,0,'Données projet'!$E$14+1,1))</f>
        <v>155.18073137151848</v>
      </c>
      <c r="DU184" s="62">
        <f t="shared" si="131"/>
        <v>115.19459155667272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projet'!$B$14,Paramètres!$A$1:$I$88,7,0))</f>
        <v>0</v>
      </c>
      <c r="DY184" s="17">
        <f>IF(ISNA(VLOOKUP(A184,'Données projet'!$A$165:$I$185,6,0)),0%,VLOOKUP(A184,'Données projet'!$A$165:$I$185,6,0)*VLOOKUP('Données projet'!$B$14,Paramètres!$A$1:$I$88,7,0))</f>
        <v>0</v>
      </c>
      <c r="DZ184" s="17">
        <f>IF(ISNA(VLOOKUP(A184,'Données projet'!$A$165:$I$185,7,0)),0%,VLOOKUP(A184,'Données projet'!$A$165:$I$185,7,0))</f>
        <v>0</v>
      </c>
      <c r="EA184" s="23">
        <f>EXP(-LN(2)/35)*EA183+(1-EXP(-LN(2)/35))/(LN(2)/35)*DW184*DX184*VLOOKUP('Données projet'!$B$9,Paramètres!$A$1:$I$88,3,0)*0.475*44/12</f>
        <v>0</v>
      </c>
      <c r="EB184" s="23">
        <f>EXP(-LN(2)/25)*EB183+(1-EXP(-LN(2)/25))/(LN(2)/25)*Calculateur!DW184*Calculateur!DY184*VLOOKUP('Données projet'!$B$9,Paramètres!$A$1:$I$88,3,0)*0.475*44/12</f>
        <v>0</v>
      </c>
      <c r="EC184" s="23">
        <f>EXP(-LN(2)/2)*EC183+(1-EXP(-LN(2)/2))/(LN(2)/2)*DW184*DZ184*VLOOKUP('Données projet'!$B$9,Paramètres!$A$1:$I$88,3,0)*0.475*44/12</f>
        <v>0</v>
      </c>
      <c r="ED184" s="24">
        <f t="shared" si="178"/>
        <v>0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IF(A184&lt;'Données projet'!$A$192,$EG$205^A184,IF(A184='Données projet'!$A$192,'Données projet'!$B$192,EJ183+EI184-ER183))</f>
        <v>-5.6843418860808015E-14</v>
      </c>
      <c r="EK184" s="18">
        <f>EJ184*VLOOKUP('Données projet'!$B$15,Paramètres!$A$1:$I$88,3,0)*VLOOKUP('Données projet'!$B$15,Paramètres!$A$1:$I$88,5,0)</f>
        <v>-2.6602720026858149E-14</v>
      </c>
      <c r="EL184" s="14" t="e">
        <f t="shared" si="179"/>
        <v>#NUM!</v>
      </c>
      <c r="EM184" s="22" t="e">
        <f t="shared" si="180"/>
        <v>#NUM!</v>
      </c>
      <c r="EN184" s="62" t="e">
        <f t="shared" si="134"/>
        <v>#NUM!</v>
      </c>
      <c r="EO184" s="62">
        <f ca="1">AVERAGE(OFFSET($EN$3,0,0,'Données projet'!$E$15+1,1))-AVERAGE(OFFSET($H$3,0,0,'Données projet'!$E$15+1,1))</f>
        <v>238.59014604384171</v>
      </c>
      <c r="EP184" s="62">
        <f t="shared" si="135"/>
        <v>90.841373219575217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projet'!$B$15,Paramètres!$A$1:$I$88,7,0))</f>
        <v>0</v>
      </c>
      <c r="ET184" s="17">
        <f>IF(ISNA(VLOOKUP(A184,'Données projet'!$A$191:$I$211,6,0)),0%,VLOOKUP(A184,'Données projet'!$A$191:$I$211,6,0)*VLOOKUP('Données projet'!$B$15,Paramètres!$A$1:$I$88,7,0))</f>
        <v>0</v>
      </c>
      <c r="EU184" s="17">
        <f>IF(ISNA(VLOOKUP(A184,'Données projet'!$A$191:$I$211,7,0)),0%,VLOOKUP(A184,'Données projet'!$A$191:$I$211,7,0))</f>
        <v>0</v>
      </c>
      <c r="EV184" s="23">
        <f>EXP(-LN(2)/35)*EV183+(1-EXP(-LN(2)/35))/(LN(2)/35)*ER184*ES184*VLOOKUP('Données projet'!$B$9,Paramètres!$A$1:$I$88,3,0)*0.475*44/12</f>
        <v>0</v>
      </c>
      <c r="EW184" s="23">
        <f>EXP(-LN(2)/25)*EW183+(1-EXP(-LN(2)/25))/(LN(2)/25)*Calculateur!ER184*Calculateur!ET184*VLOOKUP('Données projet'!$B$9,Paramètres!$A$1:$I$88,3,0)*0.475*44/12</f>
        <v>0</v>
      </c>
      <c r="EX184" s="23">
        <f>EXP(-LN(2)/2)*EX183+(1-EXP(-LN(2)/2))/(LN(2)/2)*ER184*EU184*VLOOKUP('Données projet'!$B$9,Paramètres!$A$1:$I$88,3,0)*0.475*44/12</f>
        <v>0</v>
      </c>
      <c r="EY184" s="24">
        <f t="shared" si="181"/>
        <v>0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IF(A184&lt;'Données projet'!$A$218,$FB$205^A184,IF(A184='Données projet'!$A$218,'Données projet'!$B$218,FE183+FD184-FM183))</f>
        <v>0</v>
      </c>
      <c r="FF184" s="18" t="e">
        <f>FE184*VLOOKUP('Données projet'!$B$16,Paramètres!$A$1:$I$88,3,0)*VLOOKUP('Données projet'!$B$16,Paramètres!$A$1:$I$88,5,0)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8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39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projet'!$B$16,Paramètres!$A$1:$I$88,7,0))</f>
        <v>0</v>
      </c>
      <c r="FO184" s="17">
        <f>IF(ISNA(VLOOKUP(A184,'Données projet'!$A$217:$I$237,6,0)),0%,VLOOKUP(A184,'Données projet'!$A$217:$I$237,6,0)*VLOOKUP('Données projet'!$B$16,Paramètres!$A$1:$I$88,7,0))</f>
        <v>0</v>
      </c>
      <c r="FP184" s="17">
        <f>IF(ISNA(VLOOKUP(A184,'Données projet'!$A$217:$I$237,7,0)),0%,VLOOKUP(A184,'Données projet'!$A$217:$I$237,7,0))</f>
        <v>0</v>
      </c>
      <c r="FQ184" s="23">
        <f>EXP(-LN(2)/35)*FQ183+(1-EXP(-LN(2)/35))/(LN(2)/35)*FM184*FN184*VLOOKUP('Données projet'!$B$9,Paramètres!$A$1:$I$88,3,0)*0.475*44/12</f>
        <v>0</v>
      </c>
      <c r="FR184" s="23">
        <f>EXP(-LN(2)/25)*FR183+(1-EXP(-LN(2)/25))/(LN(2)/25)*Calculateur!FM184*Calculateur!FO184*VLOOKUP('Données projet'!$B$9,Paramètres!$A$1:$I$88,3,0)*0.475*44/12</f>
        <v>0</v>
      </c>
      <c r="FS184" s="23">
        <f>EXP(-LN(2)/2)*FS183+(1-EXP(-LN(2)/2))/(LN(2)/2)*FM184*FP184*VLOOKUP('Données projet'!$B$9,Paramètres!$A$1:$I$88,3,0)*0.475*44/12</f>
        <v>0</v>
      </c>
      <c r="FT184" s="24">
        <f t="shared" si="184"/>
        <v>0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IF(A184&lt;'Données projet'!$A$244,$FW$205^A184,IF(A184='Données projet'!$A$244,'Données projet'!$B$244,FZ183+FY184-GH183))</f>
        <v>0</v>
      </c>
      <c r="GA184" s="18" t="e">
        <f>FZ184*VLOOKUP('Données projet'!$B$17,Paramètres!$A$1:$I$88,3,0)*VLOOKUP('Données projet'!$B$17,Paramètres!$A$1:$I$88,5,0)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42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43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projet'!$B$17,Paramètres!$A$1:$I$88,7,0))</f>
        <v>0</v>
      </c>
      <c r="GJ184" s="17">
        <f>IF(ISNA(VLOOKUP(A184,'Données projet'!$A$243:$I$263,6,0)),0%,VLOOKUP(A184,'Données projet'!$A$243:$I$263,6,0)*VLOOKUP('Données projet'!$B$17,Paramètres!$A$1:$I$88,7,0))</f>
        <v>0</v>
      </c>
      <c r="GK184" s="17">
        <f>IF(ISNA(VLOOKUP(A184,'Données projet'!$A$243:$I$263,7,0)),0%,VLOOKUP(A184,'Données projet'!$A$243:$I$263,7,0))</f>
        <v>0</v>
      </c>
      <c r="GL184" s="23">
        <f>EXP(-LN(2)/35)*GL183+(1-EXP(-LN(2)/35))/(LN(2)/35)*GH184*GI184*VLOOKUP('Données projet'!$B$9,Paramètres!$A$1:$I$88,3,0)*0.475*44/12</f>
        <v>0</v>
      </c>
      <c r="GM184" s="23">
        <f>EXP(-LN(2)/25)*GM183+(1-EXP(-LN(2)/25))/(LN(2)/25)*Calculateur!GH184*Calculateur!GJ184*VLOOKUP('Données projet'!$B$9,Paramètres!$A$1:$I$88,3,0)*0.475*44/12</f>
        <v>0</v>
      </c>
      <c r="GN184" s="23">
        <f>EXP(-LN(2)/2)*GN183+(1-EXP(-LN(2)/2))/(LN(2)/2)*GH184*GK184*VLOOKUP('Données projet'!$B$9,Paramètres!$A$1:$I$88,3,0)*0.475*44/12</f>
        <v>0</v>
      </c>
      <c r="GO184" s="23">
        <f t="shared" si="187"/>
        <v>0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IF(A184&lt;'Données projet'!$A$270,$GR$205^A184,IF(A184='Données projet'!$A$270,'Données projet'!$B$270,GU183+GT184-HC183))</f>
        <v>0</v>
      </c>
      <c r="GV184" s="18" t="e">
        <f>GU184*VLOOKUP('Données projet'!$B$18,Paramètres!$A$1:$I$88,3,0)*VLOOKUP('Données projet'!$B$18,Paramètres!$A$1:$I$88,5,0)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46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47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projet'!$B$18,Paramètres!$A$1:$I$88,7,0))</f>
        <v>0</v>
      </c>
      <c r="HE184" s="17">
        <f>IF(ISNA(VLOOKUP(A184,'Données projet'!$A$269:$I$289,6,0)),0%,VLOOKUP(A184,'Données projet'!$A$269:$I$289,6,0)*VLOOKUP('Données projet'!$B$18,Paramètres!$A$1:$I$88,7,0))</f>
        <v>0</v>
      </c>
      <c r="HF184" s="17">
        <f>IF(ISNA(VLOOKUP(A184,'Données projet'!$A$269:$I$289,7,0)),0%,VLOOKUP(A184,'Données projet'!$A$269:$I$289,7,0))</f>
        <v>0</v>
      </c>
      <c r="HG184" s="23">
        <f>EXP(-LN(2)/35)*HG183+(1-EXP(-LN(2)/35))/(LN(2)/35)*HC184*HD184*VLOOKUP('Données projet'!$B$9,Paramètres!$A$1:$I$88,3,0)*0.475*44/12</f>
        <v>0</v>
      </c>
      <c r="HH184" s="23">
        <f>EXP(-LN(2)/25)*HH183+(1-EXP(-LN(2)/25))/(LN(2)/25)*Calculateur!HC184*Calculateur!HE184*VLOOKUP('Données projet'!$B$9,Paramètres!$A$1:$I$88,3,0)*0.475*44/12</f>
        <v>0</v>
      </c>
      <c r="HI184" s="23">
        <f>EXP(-LN(2)/2)*HI183+(1-EXP(-LN(2)/2))/(LN(2)/2)*HC184*HF184*VLOOKUP('Données projet'!$B$9,Paramètres!$A$1:$I$88,3,0)*0.475*44/12</f>
        <v>0</v>
      </c>
      <c r="HJ184" s="24">
        <f t="shared" si="190"/>
        <v>0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5" s="12">
        <f t="shared" si="15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111"/>
        <v>135.66666666666666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IF(A185&lt;'Données projet'!$A$36,$K$205^A185,IF(A185='Données projet'!$A$36,'Données projet'!$B$36,N184+M185-V184))</f>
        <v>0</v>
      </c>
      <c r="O185" s="14">
        <f>N185*VLOOKUP('Données projet'!$B$9,Paramètres!$A$1:$I$88,3,0)*VLOOKUP('Données projet'!$B$9,Paramètres!$A$1:$I$88,5,0)</f>
        <v>0</v>
      </c>
      <c r="P185" s="14" t="e">
        <f t="shared" si="15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314.72063458462026</v>
      </c>
      <c r="T185" s="62">
        <f t="shared" si="110"/>
        <v>216.4380325968244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projet'!$B$9,Paramètres!$A$1:$I$88,7,0))</f>
        <v>0</v>
      </c>
      <c r="X185" s="17">
        <f>IF(ISNA(VLOOKUP(A185,'Données projet'!$A$35:$I$55,6,0)),0%,VLOOKUP(A185,'Données projet'!$A$35:$I$55,6,0)*VLOOKUP('Données projet'!$B$9,Paramètres!$A$1:$I$88,7,0))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projet'!$B$9,Paramètres!$A$1:$I$88,3,0)*0.475*44/12</f>
        <v>0</v>
      </c>
      <c r="AA185" s="23">
        <f>EXP(-LN(2)/25)*AA184+(1-EXP(-LN(2)/25))/(LN(2)/25)*Calculateur!V185*Calculateur!X185*VLOOKUP('Données projet'!$B$9,Paramètres!$A$1:$I$88,3,0)*0.475*44/12</f>
        <v>0</v>
      </c>
      <c r="AB185" s="23">
        <f>EXP(-LN(2)/2)*AB184+(1-EXP(-LN(2)/2))/(LN(2)/2)*V185*Y185*VLOOKUP('Données projet'!$B$9,Paramètres!$A$1:$I$88,3,0)*0.475*44/12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IF(A185&lt;'Données projet'!$A$62,$AF$205^A185,IF(A185='Données projet'!$A$62,'Données projet'!$B$62,AI184+AH185-AQ184))</f>
        <v>1.1368683772161603E-13</v>
      </c>
      <c r="AJ185" s="14">
        <f>AI185*VLOOKUP('Données projet'!$B$10,Paramètres!$A$1:$I$88,3,0)*VLOOKUP('Données projet'!$B$10,Paramètres!$A$1:$I$88,5,0)</f>
        <v>1.1882548278663309E-13</v>
      </c>
      <c r="AK185" s="14">
        <f t="shared" si="164"/>
        <v>1.7496137229198366E-12</v>
      </c>
      <c r="AL185" s="22">
        <f t="shared" si="165"/>
        <v>3.2541982832721012E-12</v>
      </c>
      <c r="AM185" s="62">
        <f t="shared" si="114"/>
        <v>287.56796441840135</v>
      </c>
      <c r="AN185" s="62">
        <f ca="1">AVERAGE(OFFSET($AM$3,0,0,'Données projet'!$E$10+1,1))-AVERAGE(OFFSET($H$3,0,0,'Données projet'!$E$10+1,1))</f>
        <v>458.33072853676879</v>
      </c>
      <c r="AO185" s="62">
        <f t="shared" si="115"/>
        <v>254.1734169352687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projet'!$B$10,Paramètres!$A$1:$I$88,7,0))</f>
        <v>0</v>
      </c>
      <c r="AS185" s="17">
        <f>IF(ISNA(VLOOKUP(A185,'Données projet'!$A$61:$I$81,6,0)),0%,VLOOKUP(A185,'Données projet'!$A$61:$I$81,6,0)*VLOOKUP('Données projet'!$B$10,Paramètres!$A$1:$I$88,7,0))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projet'!$B$9,Paramètres!$A$1:$I$88,3,0)*0.475*44/12</f>
        <v>0</v>
      </c>
      <c r="AV185" s="23">
        <f>EXP(-LN(2)/25)*AV184+(1-EXP(-LN(2)/25))/(LN(2)/25)*Calculateur!AQ185*Calculateur!AS185*VLOOKUP('Données projet'!$B$9,Paramètres!$A$1:$I$88,3,0)*0.475*44/12</f>
        <v>0</v>
      </c>
      <c r="AW185" s="23">
        <f>EXP(-LN(2)/2)*AW184+(1-EXP(-LN(2)/2))/(LN(2)/2)*AQ185*AT185*VLOOKUP('Données projet'!$B$9,Paramètres!$A$1:$I$88,3,0)*0.475*44/12</f>
        <v>0</v>
      </c>
      <c r="AX185" s="23">
        <f t="shared" si="166"/>
        <v>0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IF(A185&lt;'Données projet'!$A$88,$BA$205^A185,IF(A185='Données projet'!$A$88,'Données projet'!$B$88,BD184+BC185-BL184))</f>
        <v>1.1368683772161603E-13</v>
      </c>
      <c r="BE185" s="14">
        <f>BD185*VLOOKUP('Données projet'!$B$11,Paramètres!$A$1:$I$88,3,0)*VLOOKUP('Données projet'!$B$11,Paramètres!$A$1:$I$88,5,0)</f>
        <v>1.1527845344971866E-13</v>
      </c>
      <c r="BF185" s="14">
        <f t="shared" si="167"/>
        <v>1.7033846239409443E-12</v>
      </c>
      <c r="BG185" s="22">
        <f t="shared" si="168"/>
        <v>3.1675048597887374E-12</v>
      </c>
      <c r="BH185" s="62">
        <f t="shared" si="118"/>
        <v>287.56796441840129</v>
      </c>
      <c r="BI185" s="62">
        <f ca="1">AVERAGE(OFFSET($BH$3,0,0,'Données projet'!$E$11+1,1))-AVERAGE(OFFSET($H$3,0,0,'Données projet'!$E$11+1,1))</f>
        <v>447.82618173893104</v>
      </c>
      <c r="BJ185" s="62">
        <f t="shared" si="119"/>
        <v>248.96509970783379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projet'!$B$11,Paramètres!$A$1:$I$88,7,0))</f>
        <v>0</v>
      </c>
      <c r="BN185" s="17">
        <f>IF(ISNA(VLOOKUP(A185,'Données projet'!$A$87:$I$107,6,0)),0%,VLOOKUP(A185,'Données projet'!$A$87:$I$107,6,0)*VLOOKUP('Données projet'!$B$11,Paramètres!$A$1:$I$88,7,0))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projet'!$B$9,Paramètres!$A$1:$I$88,3,0)*0.475*44/12</f>
        <v>0</v>
      </c>
      <c r="BQ185" s="23">
        <f>EXP(-LN(2)/25)*BQ184+(1-EXP(-LN(2)/25))/(LN(2)/25)*Calculateur!BL185*Calculateur!BN185*VLOOKUP('Données projet'!$B$9,Paramètres!$A$1:$I$88,3,0)*0.475*44/12</f>
        <v>0</v>
      </c>
      <c r="BR185" s="23">
        <f>EXP(-LN(2)/2)*BR184+(1-EXP(-LN(2)/2))/(LN(2)/2)*BL185*BO185*VLOOKUP('Données projet'!$B$9,Paramètres!$A$1:$I$88,3,0)*0.475*44/12</f>
        <v>0</v>
      </c>
      <c r="BS185" s="24">
        <f t="shared" si="169"/>
        <v>0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IF(A185&lt;'Données projet'!$A$114,$BV$205^A185,IF(A185='Données projet'!$A$114,'Données projet'!$B$114,BY184+BX185-CG184))</f>
        <v>1.1368683772161603E-13</v>
      </c>
      <c r="BZ185" s="14">
        <f>BY185*VLOOKUP('Données projet'!$B$12,Paramètres!$A$1:$I$88,3,0)*VLOOKUP('Données projet'!$B$12,Paramètres!$A$1:$I$88,5,0)</f>
        <v>1.223725121235475E-13</v>
      </c>
      <c r="CA185" s="14">
        <f t="shared" si="170"/>
        <v>1.7956824466038182E-12</v>
      </c>
      <c r="CB185" s="22">
        <f t="shared" si="171"/>
        <v>3.3406123864501612E-12</v>
      </c>
      <c r="CC185" s="62">
        <f t="shared" si="122"/>
        <v>287.56796441840146</v>
      </c>
      <c r="CD185" s="62">
        <f ca="1">AVERAGE(OFFSET($CC$3,0,0,'Données projet'!$E$12+1,1))-AVERAGE(OFFSET($H$3,0,0,'Données projet'!$E$12+1,1))</f>
        <v>468.82871618425406</v>
      </c>
      <c r="CE185" s="62">
        <f t="shared" si="123"/>
        <v>259.37818128554397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projet'!$B$12,Paramètres!$A$1:$I$88,7,0))</f>
        <v>0</v>
      </c>
      <c r="CI185" s="17">
        <f>IF(ISNA(VLOOKUP(A185,'Données projet'!$A$113:$I$133,6,0)),0%,VLOOKUP(A185,'Données projet'!$A$113:$I$133,6,0)*VLOOKUP('Données projet'!$B$12,Paramètres!$A$1:$I$88,7,0))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projet'!$B$9,Paramètres!$A$1:$I$88,3,0)*0.475*44/12</f>
        <v>0</v>
      </c>
      <c r="CL185" s="23">
        <f>EXP(-LN(2)/25)*CL184+(1-EXP(-LN(2)/25))/(LN(2)/25)*Calculateur!CG185*Calculateur!CI185*VLOOKUP('Données projet'!$B$9,Paramètres!$A$1:$I$88,3,0)*0.475*44/12</f>
        <v>0</v>
      </c>
      <c r="CM185" s="23">
        <f>EXP(-LN(2)/2)*CM184+(1-EXP(-LN(2)/2))/(LN(2)/2)*CG185*CJ185*VLOOKUP('Données projet'!$B$9,Paramètres!$A$1:$I$88,3,0)*0.475*44/12</f>
        <v>0</v>
      </c>
      <c r="CN185" s="24">
        <f t="shared" si="172"/>
        <v>0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IF(A185&lt;'Données projet'!$A$140,$CQ$205^A185,IF(A185='Données projet'!$A$140,'Données projet'!$B$140,CT184+CS185-DB184))</f>
        <v>1.1368683772161603E-13</v>
      </c>
      <c r="CU185" s="18">
        <f>CT185*VLOOKUP('Données projet'!$B$13,Paramètres!$A$1:$I$88,3,0)*VLOOKUP('Données projet'!$B$13,Paramètres!$A$1:$I$88,5,0)</f>
        <v>9.7543306765146564E-14</v>
      </c>
      <c r="CV185" s="14">
        <f t="shared" si="173"/>
        <v>1.4696264278629426E-12</v>
      </c>
      <c r="CW185" s="22">
        <f t="shared" si="174"/>
        <v>2.7294872878105889E-12</v>
      </c>
      <c r="CX185" s="62">
        <f t="shared" si="126"/>
        <v>287.56796441840083</v>
      </c>
      <c r="CY185" s="62">
        <f ca="1">AVERAGE(OFFSET($CX$3,0,0,'Données projet'!$E$13+1,1))-AVERAGE(OFFSET($H$3,0,0,'Données projet'!$E$13+1,1))</f>
        <v>395.19659151668884</v>
      </c>
      <c r="CZ185" s="62">
        <f t="shared" si="127"/>
        <v>222.86563304507339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projet'!$B$13,Paramètres!$A$1:$I$88,7,0))</f>
        <v>0</v>
      </c>
      <c r="DD185" s="17">
        <f>IF(ISNA(VLOOKUP(A185,'Données projet'!$A$139:$I$159,6,0)),0%,VLOOKUP(A185,'Données projet'!$A$139:$I$159,6,0)*VLOOKUP('Données projet'!$B$13,Paramètres!$A$1:$I$88,7,0))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projet'!$B$9,Paramètres!$A$1:$I$88,3,0)*0.475*44/12</f>
        <v>0</v>
      </c>
      <c r="DG185" s="23">
        <f>EXP(-LN(2)/25)*DG184+(1-EXP(-LN(2)/25))/(LN(2)/25)*Calculateur!DB185*Calculateur!DD185*VLOOKUP('Données projet'!$B$9,Paramètres!$A$1:$I$88,3,0)*0.475*44/12</f>
        <v>0</v>
      </c>
      <c r="DH185" s="23">
        <f>EXP(-LN(2)/2)*DH184+(1-EXP(-LN(2)/2))/(LN(2)/2)*DB185*DE185*VLOOKUP('Données projet'!$B$9,Paramètres!$A$1:$I$88,3,0)*0.475*44/12</f>
        <v>0</v>
      </c>
      <c r="DI185" s="24">
        <f t="shared" si="175"/>
        <v>0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IF(A185&lt;'Données projet'!$A$166,$DL$205^A185,IF(A185='Données projet'!$A$166,'Données projet'!$B$166,DO184+DN185-DW184))</f>
        <v>-8.5265128291212022E-14</v>
      </c>
      <c r="DP185" s="18">
        <f>DO185*VLOOKUP('Données projet'!$B$14,Paramètres!$A$1:$I$88,3,0)*VLOOKUP('Données projet'!$B$14,Paramètres!$A$1:$I$88,5,0)</f>
        <v>-4.9880100050359036E-14</v>
      </c>
      <c r="DQ185" s="14" t="e">
        <f t="shared" si="176"/>
        <v>#NUM!</v>
      </c>
      <c r="DR185" s="22" t="e">
        <f t="shared" si="177"/>
        <v>#NUM!</v>
      </c>
      <c r="DS185" s="62" t="e">
        <f t="shared" si="130"/>
        <v>#NUM!</v>
      </c>
      <c r="DT185" s="62">
        <f ca="1">AVERAGE(OFFSET($DS$3,0,0,'Données projet'!$E$14+1,1))-AVERAGE(OFFSET($H$3,0,0,'Données projet'!$E$14+1,1))</f>
        <v>155.18073137151848</v>
      </c>
      <c r="DU185" s="62">
        <f t="shared" si="131"/>
        <v>115.19459155667272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projet'!$B$14,Paramètres!$A$1:$I$88,7,0))</f>
        <v>0</v>
      </c>
      <c r="DY185" s="17">
        <f>IF(ISNA(VLOOKUP(A185,'Données projet'!$A$165:$I$185,6,0)),0%,VLOOKUP(A185,'Données projet'!$A$165:$I$185,6,0)*VLOOKUP('Données projet'!$B$14,Paramètres!$A$1:$I$88,7,0))</f>
        <v>0</v>
      </c>
      <c r="DZ185" s="17">
        <f>IF(ISNA(VLOOKUP(A185,'Données projet'!$A$165:$I$185,7,0)),0%,VLOOKUP(A185,'Données projet'!$A$165:$I$185,7,0))</f>
        <v>0</v>
      </c>
      <c r="EA185" s="23">
        <f>EXP(-LN(2)/35)*EA184+(1-EXP(-LN(2)/35))/(LN(2)/35)*DW185*DX185*VLOOKUP('Données projet'!$B$9,Paramètres!$A$1:$I$88,3,0)*0.475*44/12</f>
        <v>0</v>
      </c>
      <c r="EB185" s="23">
        <f>EXP(-LN(2)/25)*EB184+(1-EXP(-LN(2)/25))/(LN(2)/25)*Calculateur!DW185*Calculateur!DY185*VLOOKUP('Données projet'!$B$9,Paramètres!$A$1:$I$88,3,0)*0.475*44/12</f>
        <v>0</v>
      </c>
      <c r="EC185" s="23">
        <f>EXP(-LN(2)/2)*EC184+(1-EXP(-LN(2)/2))/(LN(2)/2)*DW185*DZ185*VLOOKUP('Données projet'!$B$9,Paramètres!$A$1:$I$88,3,0)*0.475*44/12</f>
        <v>0</v>
      </c>
      <c r="ED185" s="24">
        <f t="shared" si="178"/>
        <v>0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IF(A185&lt;'Données projet'!$A$192,$EG$205^A185,IF(A185='Données projet'!$A$192,'Données projet'!$B$192,EJ184+EI185-ER184))</f>
        <v>-5.6843418860808015E-14</v>
      </c>
      <c r="EK185" s="18">
        <f>EJ185*VLOOKUP('Données projet'!$B$15,Paramètres!$A$1:$I$88,3,0)*VLOOKUP('Données projet'!$B$15,Paramètres!$A$1:$I$88,5,0)</f>
        <v>-2.6602720026858149E-14</v>
      </c>
      <c r="EL185" s="14" t="e">
        <f t="shared" si="179"/>
        <v>#NUM!</v>
      </c>
      <c r="EM185" s="22" t="e">
        <f t="shared" si="180"/>
        <v>#NUM!</v>
      </c>
      <c r="EN185" s="62" t="e">
        <f t="shared" si="134"/>
        <v>#NUM!</v>
      </c>
      <c r="EO185" s="62">
        <f ca="1">AVERAGE(OFFSET($EN$3,0,0,'Données projet'!$E$15+1,1))-AVERAGE(OFFSET($H$3,0,0,'Données projet'!$E$15+1,1))</f>
        <v>238.59014604384171</v>
      </c>
      <c r="EP185" s="62">
        <f t="shared" si="135"/>
        <v>90.841373219575217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projet'!$B$15,Paramètres!$A$1:$I$88,7,0))</f>
        <v>0</v>
      </c>
      <c r="ET185" s="17">
        <f>IF(ISNA(VLOOKUP(A185,'Données projet'!$A$191:$I$211,6,0)),0%,VLOOKUP(A185,'Données projet'!$A$191:$I$211,6,0)*VLOOKUP('Données projet'!$B$15,Paramètres!$A$1:$I$88,7,0))</f>
        <v>0</v>
      </c>
      <c r="EU185" s="17">
        <f>IF(ISNA(VLOOKUP(A185,'Données projet'!$A$191:$I$211,7,0)),0%,VLOOKUP(A185,'Données projet'!$A$191:$I$211,7,0))</f>
        <v>0</v>
      </c>
      <c r="EV185" s="23">
        <f>EXP(-LN(2)/35)*EV184+(1-EXP(-LN(2)/35))/(LN(2)/35)*ER185*ES185*VLOOKUP('Données projet'!$B$9,Paramètres!$A$1:$I$88,3,0)*0.475*44/12</f>
        <v>0</v>
      </c>
      <c r="EW185" s="23">
        <f>EXP(-LN(2)/25)*EW184+(1-EXP(-LN(2)/25))/(LN(2)/25)*Calculateur!ER185*Calculateur!ET185*VLOOKUP('Données projet'!$B$9,Paramètres!$A$1:$I$88,3,0)*0.475*44/12</f>
        <v>0</v>
      </c>
      <c r="EX185" s="23">
        <f>EXP(-LN(2)/2)*EX184+(1-EXP(-LN(2)/2))/(LN(2)/2)*ER185*EU185*VLOOKUP('Données projet'!$B$9,Paramètres!$A$1:$I$88,3,0)*0.475*44/12</f>
        <v>0</v>
      </c>
      <c r="EY185" s="24">
        <f t="shared" si="181"/>
        <v>0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IF(A185&lt;'Données projet'!$A$218,$FB$205^A185,IF(A185='Données projet'!$A$218,'Données projet'!$B$218,FE184+FD185-FM184))</f>
        <v>0</v>
      </c>
      <c r="FF185" s="18" t="e">
        <f>FE185*VLOOKUP('Données projet'!$B$16,Paramètres!$A$1:$I$88,3,0)*VLOOKUP('Données projet'!$B$16,Paramètres!$A$1:$I$88,5,0)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8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39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projet'!$B$16,Paramètres!$A$1:$I$88,7,0))</f>
        <v>0</v>
      </c>
      <c r="FO185" s="17">
        <f>IF(ISNA(VLOOKUP(A185,'Données projet'!$A$217:$I$237,6,0)),0%,VLOOKUP(A185,'Données projet'!$A$217:$I$237,6,0)*VLOOKUP('Données projet'!$B$16,Paramètres!$A$1:$I$88,7,0))</f>
        <v>0</v>
      </c>
      <c r="FP185" s="17">
        <f>IF(ISNA(VLOOKUP(A185,'Données projet'!$A$217:$I$237,7,0)),0%,VLOOKUP(A185,'Données projet'!$A$217:$I$237,7,0))</f>
        <v>0</v>
      </c>
      <c r="FQ185" s="23">
        <f>EXP(-LN(2)/35)*FQ184+(1-EXP(-LN(2)/35))/(LN(2)/35)*FM185*FN185*VLOOKUP('Données projet'!$B$9,Paramètres!$A$1:$I$88,3,0)*0.475*44/12</f>
        <v>0</v>
      </c>
      <c r="FR185" s="23">
        <f>EXP(-LN(2)/25)*FR184+(1-EXP(-LN(2)/25))/(LN(2)/25)*Calculateur!FM185*Calculateur!FO185*VLOOKUP('Données projet'!$B$9,Paramètres!$A$1:$I$88,3,0)*0.475*44/12</f>
        <v>0</v>
      </c>
      <c r="FS185" s="23">
        <f>EXP(-LN(2)/2)*FS184+(1-EXP(-LN(2)/2))/(LN(2)/2)*FM185*FP185*VLOOKUP('Données projet'!$B$9,Paramètres!$A$1:$I$88,3,0)*0.475*44/12</f>
        <v>0</v>
      </c>
      <c r="FT185" s="24">
        <f t="shared" si="184"/>
        <v>0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IF(A185&lt;'Données projet'!$A$244,$FW$205^A185,IF(A185='Données projet'!$A$244,'Données projet'!$B$244,FZ184+FY185-GH184))</f>
        <v>0</v>
      </c>
      <c r="GA185" s="18" t="e">
        <f>FZ185*VLOOKUP('Données projet'!$B$17,Paramètres!$A$1:$I$88,3,0)*VLOOKUP('Données projet'!$B$17,Paramètres!$A$1:$I$88,5,0)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42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43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projet'!$B$17,Paramètres!$A$1:$I$88,7,0))</f>
        <v>0</v>
      </c>
      <c r="GJ185" s="17">
        <f>IF(ISNA(VLOOKUP(A185,'Données projet'!$A$243:$I$263,6,0)),0%,VLOOKUP(A185,'Données projet'!$A$243:$I$263,6,0)*VLOOKUP('Données projet'!$B$17,Paramètres!$A$1:$I$88,7,0))</f>
        <v>0</v>
      </c>
      <c r="GK185" s="17">
        <f>IF(ISNA(VLOOKUP(A185,'Données projet'!$A$243:$I$263,7,0)),0%,VLOOKUP(A185,'Données projet'!$A$243:$I$263,7,0))</f>
        <v>0</v>
      </c>
      <c r="GL185" s="23">
        <f>EXP(-LN(2)/35)*GL184+(1-EXP(-LN(2)/35))/(LN(2)/35)*GH185*GI185*VLOOKUP('Données projet'!$B$9,Paramètres!$A$1:$I$88,3,0)*0.475*44/12</f>
        <v>0</v>
      </c>
      <c r="GM185" s="23">
        <f>EXP(-LN(2)/25)*GM184+(1-EXP(-LN(2)/25))/(LN(2)/25)*Calculateur!GH185*Calculateur!GJ185*VLOOKUP('Données projet'!$B$9,Paramètres!$A$1:$I$88,3,0)*0.475*44/12</f>
        <v>0</v>
      </c>
      <c r="GN185" s="23">
        <f>EXP(-LN(2)/2)*GN184+(1-EXP(-LN(2)/2))/(LN(2)/2)*GH185*GK185*VLOOKUP('Données projet'!$B$9,Paramètres!$A$1:$I$88,3,0)*0.475*44/12</f>
        <v>0</v>
      </c>
      <c r="GO185" s="23">
        <f t="shared" si="187"/>
        <v>0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IF(A185&lt;'Données projet'!$A$270,$GR$205^A185,IF(A185='Données projet'!$A$270,'Données projet'!$B$270,GU184+GT185-HC184))</f>
        <v>0</v>
      </c>
      <c r="GV185" s="18" t="e">
        <f>GU185*VLOOKUP('Données projet'!$B$18,Paramètres!$A$1:$I$88,3,0)*VLOOKUP('Données projet'!$B$18,Paramètres!$A$1:$I$88,5,0)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46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47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projet'!$B$18,Paramètres!$A$1:$I$88,7,0))</f>
        <v>0</v>
      </c>
      <c r="HE185" s="17">
        <f>IF(ISNA(VLOOKUP(A185,'Données projet'!$A$269:$I$289,6,0)),0%,VLOOKUP(A185,'Données projet'!$A$269:$I$289,6,0)*VLOOKUP('Données projet'!$B$18,Paramètres!$A$1:$I$88,7,0))</f>
        <v>0</v>
      </c>
      <c r="HF185" s="17">
        <f>IF(ISNA(VLOOKUP(A185,'Données projet'!$A$269:$I$289,7,0)),0%,VLOOKUP(A185,'Données projet'!$A$269:$I$289,7,0))</f>
        <v>0</v>
      </c>
      <c r="HG185" s="23">
        <f>EXP(-LN(2)/35)*HG184+(1-EXP(-LN(2)/35))/(LN(2)/35)*HC185*HD185*VLOOKUP('Données projet'!$B$9,Paramètres!$A$1:$I$88,3,0)*0.475*44/12</f>
        <v>0</v>
      </c>
      <c r="HH185" s="23">
        <f>EXP(-LN(2)/25)*HH184+(1-EXP(-LN(2)/25))/(LN(2)/25)*Calculateur!HC185*Calculateur!HE185*VLOOKUP('Données projet'!$B$9,Paramètres!$A$1:$I$88,3,0)*0.475*44/12</f>
        <v>0</v>
      </c>
      <c r="HI185" s="23">
        <f>EXP(-LN(2)/2)*HI184+(1-EXP(-LN(2)/2))/(LN(2)/2)*HC185*HF185*VLOOKUP('Données projet'!$B$9,Paramètres!$A$1:$I$88,3,0)*0.475*44/12</f>
        <v>0</v>
      </c>
      <c r="HJ185" s="24">
        <f t="shared" si="190"/>
        <v>0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6" s="12">
        <f t="shared" si="15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111"/>
        <v>135.66666666666666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IF(A186&lt;'Données projet'!$A$36,$K$205^A186,IF(A186='Données projet'!$A$36,'Données projet'!$B$36,N185+M186-V185))</f>
        <v>0</v>
      </c>
      <c r="O186" s="14">
        <f>N186*VLOOKUP('Données projet'!$B$9,Paramètres!$A$1:$I$88,3,0)*VLOOKUP('Données projet'!$B$9,Paramètres!$A$1:$I$88,5,0)</f>
        <v>0</v>
      </c>
      <c r="P186" s="14" t="e">
        <f t="shared" si="15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314.72063458462026</v>
      </c>
      <c r="T186" s="62">
        <f t="shared" si="110"/>
        <v>216.4380325968244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projet'!$B$9,Paramètres!$A$1:$I$88,7,0))</f>
        <v>0</v>
      </c>
      <c r="X186" s="17">
        <f>IF(ISNA(VLOOKUP(A186,'Données projet'!$A$35:$I$55,6,0)),0%,VLOOKUP(A186,'Données projet'!$A$35:$I$55,6,0)*VLOOKUP('Données projet'!$B$9,Paramètres!$A$1:$I$88,7,0))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projet'!$B$9,Paramètres!$A$1:$I$88,3,0)*0.475*44/12</f>
        <v>0</v>
      </c>
      <c r="AA186" s="23">
        <f>EXP(-LN(2)/25)*AA185+(1-EXP(-LN(2)/25))/(LN(2)/25)*Calculateur!V186*Calculateur!X186*VLOOKUP('Données projet'!$B$9,Paramètres!$A$1:$I$88,3,0)*0.475*44/12</f>
        <v>0</v>
      </c>
      <c r="AB186" s="23">
        <f>EXP(-LN(2)/2)*AB185+(1-EXP(-LN(2)/2))/(LN(2)/2)*V186*Y186*VLOOKUP('Données projet'!$B$9,Paramètres!$A$1:$I$88,3,0)*0.475*44/12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IF(A186&lt;'Données projet'!$A$62,$AF$205^A186,IF(A186='Données projet'!$A$62,'Données projet'!$B$62,AI185+AH186-AQ185))</f>
        <v>1.1368683772161603E-13</v>
      </c>
      <c r="AJ186" s="14">
        <f>AI186*VLOOKUP('Données projet'!$B$10,Paramètres!$A$1:$I$88,3,0)*VLOOKUP('Données projet'!$B$10,Paramètres!$A$1:$I$88,5,0)</f>
        <v>1.1882548278663309E-13</v>
      </c>
      <c r="AK186" s="14">
        <f t="shared" si="164"/>
        <v>1.7496137229198366E-12</v>
      </c>
      <c r="AL186" s="22">
        <f t="shared" si="165"/>
        <v>3.2541982832721012E-12</v>
      </c>
      <c r="AM186" s="62">
        <f t="shared" si="114"/>
        <v>287.66798067964157</v>
      </c>
      <c r="AN186" s="62">
        <f ca="1">AVERAGE(OFFSET($AM$3,0,0,'Données projet'!$E$10+1,1))-AVERAGE(OFFSET($H$3,0,0,'Données projet'!$E$10+1,1))</f>
        <v>458.33072853676879</v>
      </c>
      <c r="AO186" s="62">
        <f t="shared" si="115"/>
        <v>254.1734169352687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projet'!$B$10,Paramètres!$A$1:$I$88,7,0))</f>
        <v>0</v>
      </c>
      <c r="AS186" s="17">
        <f>IF(ISNA(VLOOKUP(A186,'Données projet'!$A$61:$I$81,6,0)),0%,VLOOKUP(A186,'Données projet'!$A$61:$I$81,6,0)*VLOOKUP('Données projet'!$B$10,Paramètres!$A$1:$I$88,7,0))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projet'!$B$9,Paramètres!$A$1:$I$88,3,0)*0.475*44/12</f>
        <v>0</v>
      </c>
      <c r="AV186" s="23">
        <f>EXP(-LN(2)/25)*AV185+(1-EXP(-LN(2)/25))/(LN(2)/25)*Calculateur!AQ186*Calculateur!AS186*VLOOKUP('Données projet'!$B$9,Paramètres!$A$1:$I$88,3,0)*0.475*44/12</f>
        <v>0</v>
      </c>
      <c r="AW186" s="23">
        <f>EXP(-LN(2)/2)*AW185+(1-EXP(-LN(2)/2))/(LN(2)/2)*AQ186*AT186*VLOOKUP('Données projet'!$B$9,Paramètres!$A$1:$I$88,3,0)*0.475*44/12</f>
        <v>0</v>
      </c>
      <c r="AX186" s="23">
        <f t="shared" si="166"/>
        <v>0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IF(A186&lt;'Données projet'!$A$88,$BA$205^A186,IF(A186='Données projet'!$A$88,'Données projet'!$B$88,BD185+BC186-BL185))</f>
        <v>1.1368683772161603E-13</v>
      </c>
      <c r="BE186" s="14">
        <f>BD186*VLOOKUP('Données projet'!$B$11,Paramètres!$A$1:$I$88,3,0)*VLOOKUP('Données projet'!$B$11,Paramètres!$A$1:$I$88,5,0)</f>
        <v>1.1527845344971866E-13</v>
      </c>
      <c r="BF186" s="14">
        <f t="shared" si="167"/>
        <v>1.7033846239409443E-12</v>
      </c>
      <c r="BG186" s="22">
        <f t="shared" si="168"/>
        <v>3.1675048597887374E-12</v>
      </c>
      <c r="BH186" s="62">
        <f t="shared" si="118"/>
        <v>287.66798067964152</v>
      </c>
      <c r="BI186" s="62">
        <f ca="1">AVERAGE(OFFSET($BH$3,0,0,'Données projet'!$E$11+1,1))-AVERAGE(OFFSET($H$3,0,0,'Données projet'!$E$11+1,1))</f>
        <v>447.82618173893104</v>
      </c>
      <c r="BJ186" s="62">
        <f t="shared" si="119"/>
        <v>248.96509970783379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projet'!$B$11,Paramètres!$A$1:$I$88,7,0))</f>
        <v>0</v>
      </c>
      <c r="BN186" s="17">
        <f>IF(ISNA(VLOOKUP(A186,'Données projet'!$A$87:$I$107,6,0)),0%,VLOOKUP(A186,'Données projet'!$A$87:$I$107,6,0)*VLOOKUP('Données projet'!$B$11,Paramètres!$A$1:$I$88,7,0))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projet'!$B$9,Paramètres!$A$1:$I$88,3,0)*0.475*44/12</f>
        <v>0</v>
      </c>
      <c r="BQ186" s="23">
        <f>EXP(-LN(2)/25)*BQ185+(1-EXP(-LN(2)/25))/(LN(2)/25)*Calculateur!BL186*Calculateur!BN186*VLOOKUP('Données projet'!$B$9,Paramètres!$A$1:$I$88,3,0)*0.475*44/12</f>
        <v>0</v>
      </c>
      <c r="BR186" s="23">
        <f>EXP(-LN(2)/2)*BR185+(1-EXP(-LN(2)/2))/(LN(2)/2)*BL186*BO186*VLOOKUP('Données projet'!$B$9,Paramètres!$A$1:$I$88,3,0)*0.475*44/12</f>
        <v>0</v>
      </c>
      <c r="BS186" s="24">
        <f t="shared" si="169"/>
        <v>0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IF(A186&lt;'Données projet'!$A$114,$BV$205^A186,IF(A186='Données projet'!$A$114,'Données projet'!$B$114,BY185+BX186-CG185))</f>
        <v>1.1368683772161603E-13</v>
      </c>
      <c r="BZ186" s="14">
        <f>BY186*VLOOKUP('Données projet'!$B$12,Paramètres!$A$1:$I$88,3,0)*VLOOKUP('Données projet'!$B$12,Paramètres!$A$1:$I$88,5,0)</f>
        <v>1.223725121235475E-13</v>
      </c>
      <c r="CA186" s="14">
        <f t="shared" si="170"/>
        <v>1.7956824466038182E-12</v>
      </c>
      <c r="CB186" s="22">
        <f t="shared" si="171"/>
        <v>3.3406123864501612E-12</v>
      </c>
      <c r="CC186" s="62">
        <f t="shared" si="122"/>
        <v>287.66798067964169</v>
      </c>
      <c r="CD186" s="62">
        <f ca="1">AVERAGE(OFFSET($CC$3,0,0,'Données projet'!$E$12+1,1))-AVERAGE(OFFSET($H$3,0,0,'Données projet'!$E$12+1,1))</f>
        <v>468.82871618425406</v>
      </c>
      <c r="CE186" s="62">
        <f t="shared" si="123"/>
        <v>259.37818128554397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projet'!$B$12,Paramètres!$A$1:$I$88,7,0))</f>
        <v>0</v>
      </c>
      <c r="CI186" s="17">
        <f>IF(ISNA(VLOOKUP(A186,'Données projet'!$A$113:$I$133,6,0)),0%,VLOOKUP(A186,'Données projet'!$A$113:$I$133,6,0)*VLOOKUP('Données projet'!$B$12,Paramètres!$A$1:$I$88,7,0))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projet'!$B$9,Paramètres!$A$1:$I$88,3,0)*0.475*44/12</f>
        <v>0</v>
      </c>
      <c r="CL186" s="23">
        <f>EXP(-LN(2)/25)*CL185+(1-EXP(-LN(2)/25))/(LN(2)/25)*Calculateur!CG186*Calculateur!CI186*VLOOKUP('Données projet'!$B$9,Paramètres!$A$1:$I$88,3,0)*0.475*44/12</f>
        <v>0</v>
      </c>
      <c r="CM186" s="23">
        <f>EXP(-LN(2)/2)*CM185+(1-EXP(-LN(2)/2))/(LN(2)/2)*CG186*CJ186*VLOOKUP('Données projet'!$B$9,Paramètres!$A$1:$I$88,3,0)*0.475*44/12</f>
        <v>0</v>
      </c>
      <c r="CN186" s="24">
        <f t="shared" si="172"/>
        <v>0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IF(A186&lt;'Données projet'!$A$140,$CQ$205^A186,IF(A186='Données projet'!$A$140,'Données projet'!$B$140,CT185+CS186-DB185))</f>
        <v>1.1368683772161603E-13</v>
      </c>
      <c r="CU186" s="18">
        <f>CT186*VLOOKUP('Données projet'!$B$13,Paramètres!$A$1:$I$88,3,0)*VLOOKUP('Données projet'!$B$13,Paramètres!$A$1:$I$88,5,0)</f>
        <v>9.7543306765146564E-14</v>
      </c>
      <c r="CV186" s="14">
        <f t="shared" si="173"/>
        <v>1.4696264278629426E-12</v>
      </c>
      <c r="CW186" s="22">
        <f t="shared" si="174"/>
        <v>2.7294872878105889E-12</v>
      </c>
      <c r="CX186" s="62">
        <f t="shared" si="126"/>
        <v>287.66798067964106</v>
      </c>
      <c r="CY186" s="62">
        <f ca="1">AVERAGE(OFFSET($CX$3,0,0,'Données projet'!$E$13+1,1))-AVERAGE(OFFSET($H$3,0,0,'Données projet'!$E$13+1,1))</f>
        <v>395.19659151668884</v>
      </c>
      <c r="CZ186" s="62">
        <f t="shared" si="127"/>
        <v>222.86563304507339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projet'!$B$13,Paramètres!$A$1:$I$88,7,0))</f>
        <v>0</v>
      </c>
      <c r="DD186" s="17">
        <f>IF(ISNA(VLOOKUP(A186,'Données projet'!$A$139:$I$159,6,0)),0%,VLOOKUP(A186,'Données projet'!$A$139:$I$159,6,0)*VLOOKUP('Données projet'!$B$13,Paramètres!$A$1:$I$88,7,0))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projet'!$B$9,Paramètres!$A$1:$I$88,3,0)*0.475*44/12</f>
        <v>0</v>
      </c>
      <c r="DG186" s="23">
        <f>EXP(-LN(2)/25)*DG185+(1-EXP(-LN(2)/25))/(LN(2)/25)*Calculateur!DB186*Calculateur!DD186*VLOOKUP('Données projet'!$B$9,Paramètres!$A$1:$I$88,3,0)*0.475*44/12</f>
        <v>0</v>
      </c>
      <c r="DH186" s="23">
        <f>EXP(-LN(2)/2)*DH185+(1-EXP(-LN(2)/2))/(LN(2)/2)*DB186*DE186*VLOOKUP('Données projet'!$B$9,Paramètres!$A$1:$I$88,3,0)*0.475*44/12</f>
        <v>0</v>
      </c>
      <c r="DI186" s="24">
        <f t="shared" si="175"/>
        <v>0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IF(A186&lt;'Données projet'!$A$166,$DL$205^A186,IF(A186='Données projet'!$A$166,'Données projet'!$B$166,DO185+DN186-DW185))</f>
        <v>-8.5265128291212022E-14</v>
      </c>
      <c r="DP186" s="18">
        <f>DO186*VLOOKUP('Données projet'!$B$14,Paramètres!$A$1:$I$88,3,0)*VLOOKUP('Données projet'!$B$14,Paramètres!$A$1:$I$88,5,0)</f>
        <v>-4.9880100050359036E-14</v>
      </c>
      <c r="DQ186" s="14" t="e">
        <f t="shared" si="176"/>
        <v>#NUM!</v>
      </c>
      <c r="DR186" s="22" t="e">
        <f t="shared" si="177"/>
        <v>#NUM!</v>
      </c>
      <c r="DS186" s="62" t="e">
        <f t="shared" si="130"/>
        <v>#NUM!</v>
      </c>
      <c r="DT186" s="62">
        <f ca="1">AVERAGE(OFFSET($DS$3,0,0,'Données projet'!$E$14+1,1))-AVERAGE(OFFSET($H$3,0,0,'Données projet'!$E$14+1,1))</f>
        <v>155.18073137151848</v>
      </c>
      <c r="DU186" s="62">
        <f t="shared" si="131"/>
        <v>115.19459155667272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projet'!$B$14,Paramètres!$A$1:$I$88,7,0))</f>
        <v>0</v>
      </c>
      <c r="DY186" s="17">
        <f>IF(ISNA(VLOOKUP(A186,'Données projet'!$A$165:$I$185,6,0)),0%,VLOOKUP(A186,'Données projet'!$A$165:$I$185,6,0)*VLOOKUP('Données projet'!$B$14,Paramètres!$A$1:$I$88,7,0))</f>
        <v>0</v>
      </c>
      <c r="DZ186" s="17">
        <f>IF(ISNA(VLOOKUP(A186,'Données projet'!$A$165:$I$185,7,0)),0%,VLOOKUP(A186,'Données projet'!$A$165:$I$185,7,0))</f>
        <v>0</v>
      </c>
      <c r="EA186" s="23">
        <f>EXP(-LN(2)/35)*EA185+(1-EXP(-LN(2)/35))/(LN(2)/35)*DW186*DX186*VLOOKUP('Données projet'!$B$9,Paramètres!$A$1:$I$88,3,0)*0.475*44/12</f>
        <v>0</v>
      </c>
      <c r="EB186" s="23">
        <f>EXP(-LN(2)/25)*EB185+(1-EXP(-LN(2)/25))/(LN(2)/25)*Calculateur!DW186*Calculateur!DY186*VLOOKUP('Données projet'!$B$9,Paramètres!$A$1:$I$88,3,0)*0.475*44/12</f>
        <v>0</v>
      </c>
      <c r="EC186" s="23">
        <f>EXP(-LN(2)/2)*EC185+(1-EXP(-LN(2)/2))/(LN(2)/2)*DW186*DZ186*VLOOKUP('Données projet'!$B$9,Paramètres!$A$1:$I$88,3,0)*0.475*44/12</f>
        <v>0</v>
      </c>
      <c r="ED186" s="24">
        <f t="shared" si="178"/>
        <v>0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IF(A186&lt;'Données projet'!$A$192,$EG$205^A186,IF(A186='Données projet'!$A$192,'Données projet'!$B$192,EJ185+EI186-ER185))</f>
        <v>-5.6843418860808015E-14</v>
      </c>
      <c r="EK186" s="18">
        <f>EJ186*VLOOKUP('Données projet'!$B$15,Paramètres!$A$1:$I$88,3,0)*VLOOKUP('Données projet'!$B$15,Paramètres!$A$1:$I$88,5,0)</f>
        <v>-2.6602720026858149E-14</v>
      </c>
      <c r="EL186" s="14" t="e">
        <f t="shared" si="179"/>
        <v>#NUM!</v>
      </c>
      <c r="EM186" s="22" t="e">
        <f t="shared" si="180"/>
        <v>#NUM!</v>
      </c>
      <c r="EN186" s="62" t="e">
        <f t="shared" si="134"/>
        <v>#NUM!</v>
      </c>
      <c r="EO186" s="62">
        <f ca="1">AVERAGE(OFFSET($EN$3,0,0,'Données projet'!$E$15+1,1))-AVERAGE(OFFSET($H$3,0,0,'Données projet'!$E$15+1,1))</f>
        <v>238.59014604384171</v>
      </c>
      <c r="EP186" s="62">
        <f t="shared" si="135"/>
        <v>90.841373219575217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projet'!$B$15,Paramètres!$A$1:$I$88,7,0))</f>
        <v>0</v>
      </c>
      <c r="ET186" s="17">
        <f>IF(ISNA(VLOOKUP(A186,'Données projet'!$A$191:$I$211,6,0)),0%,VLOOKUP(A186,'Données projet'!$A$191:$I$211,6,0)*VLOOKUP('Données projet'!$B$15,Paramètres!$A$1:$I$88,7,0))</f>
        <v>0</v>
      </c>
      <c r="EU186" s="17">
        <f>IF(ISNA(VLOOKUP(A186,'Données projet'!$A$191:$I$211,7,0)),0%,VLOOKUP(A186,'Données projet'!$A$191:$I$211,7,0))</f>
        <v>0</v>
      </c>
      <c r="EV186" s="23">
        <f>EXP(-LN(2)/35)*EV185+(1-EXP(-LN(2)/35))/(LN(2)/35)*ER186*ES186*VLOOKUP('Données projet'!$B$9,Paramètres!$A$1:$I$88,3,0)*0.475*44/12</f>
        <v>0</v>
      </c>
      <c r="EW186" s="23">
        <f>EXP(-LN(2)/25)*EW185+(1-EXP(-LN(2)/25))/(LN(2)/25)*Calculateur!ER186*Calculateur!ET186*VLOOKUP('Données projet'!$B$9,Paramètres!$A$1:$I$88,3,0)*0.475*44/12</f>
        <v>0</v>
      </c>
      <c r="EX186" s="23">
        <f>EXP(-LN(2)/2)*EX185+(1-EXP(-LN(2)/2))/(LN(2)/2)*ER186*EU186*VLOOKUP('Données projet'!$B$9,Paramètres!$A$1:$I$88,3,0)*0.475*44/12</f>
        <v>0</v>
      </c>
      <c r="EY186" s="24">
        <f t="shared" si="181"/>
        <v>0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IF(A186&lt;'Données projet'!$A$218,$FB$205^A186,IF(A186='Données projet'!$A$218,'Données projet'!$B$218,FE185+FD186-FM185))</f>
        <v>0</v>
      </c>
      <c r="FF186" s="18" t="e">
        <f>FE186*VLOOKUP('Données projet'!$B$16,Paramètres!$A$1:$I$88,3,0)*VLOOKUP('Données projet'!$B$16,Paramètres!$A$1:$I$88,5,0)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8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39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projet'!$B$16,Paramètres!$A$1:$I$88,7,0))</f>
        <v>0</v>
      </c>
      <c r="FO186" s="17">
        <f>IF(ISNA(VLOOKUP(A186,'Données projet'!$A$217:$I$237,6,0)),0%,VLOOKUP(A186,'Données projet'!$A$217:$I$237,6,0)*VLOOKUP('Données projet'!$B$16,Paramètres!$A$1:$I$88,7,0))</f>
        <v>0</v>
      </c>
      <c r="FP186" s="17">
        <f>IF(ISNA(VLOOKUP(A186,'Données projet'!$A$217:$I$237,7,0)),0%,VLOOKUP(A186,'Données projet'!$A$217:$I$237,7,0))</f>
        <v>0</v>
      </c>
      <c r="FQ186" s="23">
        <f>EXP(-LN(2)/35)*FQ185+(1-EXP(-LN(2)/35))/(LN(2)/35)*FM186*FN186*VLOOKUP('Données projet'!$B$9,Paramètres!$A$1:$I$88,3,0)*0.475*44/12</f>
        <v>0</v>
      </c>
      <c r="FR186" s="23">
        <f>EXP(-LN(2)/25)*FR185+(1-EXP(-LN(2)/25))/(LN(2)/25)*Calculateur!FM186*Calculateur!FO186*VLOOKUP('Données projet'!$B$9,Paramètres!$A$1:$I$88,3,0)*0.475*44/12</f>
        <v>0</v>
      </c>
      <c r="FS186" s="23">
        <f>EXP(-LN(2)/2)*FS185+(1-EXP(-LN(2)/2))/(LN(2)/2)*FM186*FP186*VLOOKUP('Données projet'!$B$9,Paramètres!$A$1:$I$88,3,0)*0.475*44/12</f>
        <v>0</v>
      </c>
      <c r="FT186" s="24">
        <f t="shared" si="184"/>
        <v>0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IF(A186&lt;'Données projet'!$A$244,$FW$205^A186,IF(A186='Données projet'!$A$244,'Données projet'!$B$244,FZ185+FY186-GH185))</f>
        <v>0</v>
      </c>
      <c r="GA186" s="18" t="e">
        <f>FZ186*VLOOKUP('Données projet'!$B$17,Paramètres!$A$1:$I$88,3,0)*VLOOKUP('Données projet'!$B$17,Paramètres!$A$1:$I$88,5,0)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42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43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projet'!$B$17,Paramètres!$A$1:$I$88,7,0))</f>
        <v>0</v>
      </c>
      <c r="GJ186" s="17">
        <f>IF(ISNA(VLOOKUP(A186,'Données projet'!$A$243:$I$263,6,0)),0%,VLOOKUP(A186,'Données projet'!$A$243:$I$263,6,0)*VLOOKUP('Données projet'!$B$17,Paramètres!$A$1:$I$88,7,0))</f>
        <v>0</v>
      </c>
      <c r="GK186" s="17">
        <f>IF(ISNA(VLOOKUP(A186,'Données projet'!$A$243:$I$263,7,0)),0%,VLOOKUP(A186,'Données projet'!$A$243:$I$263,7,0))</f>
        <v>0</v>
      </c>
      <c r="GL186" s="23">
        <f>EXP(-LN(2)/35)*GL185+(1-EXP(-LN(2)/35))/(LN(2)/35)*GH186*GI186*VLOOKUP('Données projet'!$B$9,Paramètres!$A$1:$I$88,3,0)*0.475*44/12</f>
        <v>0</v>
      </c>
      <c r="GM186" s="23">
        <f>EXP(-LN(2)/25)*GM185+(1-EXP(-LN(2)/25))/(LN(2)/25)*Calculateur!GH186*Calculateur!GJ186*VLOOKUP('Données projet'!$B$9,Paramètres!$A$1:$I$88,3,0)*0.475*44/12</f>
        <v>0</v>
      </c>
      <c r="GN186" s="23">
        <f>EXP(-LN(2)/2)*GN185+(1-EXP(-LN(2)/2))/(LN(2)/2)*GH186*GK186*VLOOKUP('Données projet'!$B$9,Paramètres!$A$1:$I$88,3,0)*0.475*44/12</f>
        <v>0</v>
      </c>
      <c r="GO186" s="23">
        <f t="shared" si="187"/>
        <v>0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IF(A186&lt;'Données projet'!$A$270,$GR$205^A186,IF(A186='Données projet'!$A$270,'Données projet'!$B$270,GU185+GT186-HC185))</f>
        <v>0</v>
      </c>
      <c r="GV186" s="18" t="e">
        <f>GU186*VLOOKUP('Données projet'!$B$18,Paramètres!$A$1:$I$88,3,0)*VLOOKUP('Données projet'!$B$18,Paramètres!$A$1:$I$88,5,0)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46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47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projet'!$B$18,Paramètres!$A$1:$I$88,7,0))</f>
        <v>0</v>
      </c>
      <c r="HE186" s="17">
        <f>IF(ISNA(VLOOKUP(A186,'Données projet'!$A$269:$I$289,6,0)),0%,VLOOKUP(A186,'Données projet'!$A$269:$I$289,6,0)*VLOOKUP('Données projet'!$B$18,Paramètres!$A$1:$I$88,7,0))</f>
        <v>0</v>
      </c>
      <c r="HF186" s="17">
        <f>IF(ISNA(VLOOKUP(A186,'Données projet'!$A$269:$I$289,7,0)),0%,VLOOKUP(A186,'Données projet'!$A$269:$I$289,7,0))</f>
        <v>0</v>
      </c>
      <c r="HG186" s="23">
        <f>EXP(-LN(2)/35)*HG185+(1-EXP(-LN(2)/35))/(LN(2)/35)*HC186*HD186*VLOOKUP('Données projet'!$B$9,Paramètres!$A$1:$I$88,3,0)*0.475*44/12</f>
        <v>0</v>
      </c>
      <c r="HH186" s="23">
        <f>EXP(-LN(2)/25)*HH185+(1-EXP(-LN(2)/25))/(LN(2)/25)*Calculateur!HC186*Calculateur!HE186*VLOOKUP('Données projet'!$B$9,Paramètres!$A$1:$I$88,3,0)*0.475*44/12</f>
        <v>0</v>
      </c>
      <c r="HI186" s="23">
        <f>EXP(-LN(2)/2)*HI185+(1-EXP(-LN(2)/2))/(LN(2)/2)*HC186*HF186*VLOOKUP('Données projet'!$B$9,Paramètres!$A$1:$I$88,3,0)*0.475*44/12</f>
        <v>0</v>
      </c>
      <c r="HJ186" s="24">
        <f t="shared" si="190"/>
        <v>0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7" s="12">
        <f t="shared" si="15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111"/>
        <v>135.66666666666666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IF(A187&lt;'Données projet'!$A$36,$K$205^A187,IF(A187='Données projet'!$A$36,'Données projet'!$B$36,N186+M187-V186))</f>
        <v>0</v>
      </c>
      <c r="O187" s="14">
        <f>N187*VLOOKUP('Données projet'!$B$9,Paramètres!$A$1:$I$88,3,0)*VLOOKUP('Données projet'!$B$9,Paramètres!$A$1:$I$88,5,0)</f>
        <v>0</v>
      </c>
      <c r="P187" s="14" t="e">
        <f t="shared" si="15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314.72063458462026</v>
      </c>
      <c r="T187" s="62">
        <f t="shared" si="110"/>
        <v>216.4380325968244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projet'!$B$9,Paramètres!$A$1:$I$88,7,0))</f>
        <v>0</v>
      </c>
      <c r="X187" s="17">
        <f>IF(ISNA(VLOOKUP(A187,'Données projet'!$A$35:$I$55,6,0)),0%,VLOOKUP(A187,'Données projet'!$A$35:$I$55,6,0)*VLOOKUP('Données projet'!$B$9,Paramètres!$A$1:$I$88,7,0))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projet'!$B$9,Paramètres!$A$1:$I$88,3,0)*0.475*44/12</f>
        <v>0</v>
      </c>
      <c r="AA187" s="23">
        <f>EXP(-LN(2)/25)*AA186+(1-EXP(-LN(2)/25))/(LN(2)/25)*Calculateur!V187*Calculateur!X187*VLOOKUP('Données projet'!$B$9,Paramètres!$A$1:$I$88,3,0)*0.475*44/12</f>
        <v>0</v>
      </c>
      <c r="AB187" s="23">
        <f>EXP(-LN(2)/2)*AB186+(1-EXP(-LN(2)/2))/(LN(2)/2)*V187*Y187*VLOOKUP('Données projet'!$B$9,Paramètres!$A$1:$I$88,3,0)*0.475*44/12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IF(A187&lt;'Données projet'!$A$62,$AF$205^A187,IF(A187='Données projet'!$A$62,'Données projet'!$B$62,AI186+AH187-AQ186))</f>
        <v>1.1368683772161603E-13</v>
      </c>
      <c r="AJ187" s="14">
        <f>AI187*VLOOKUP('Données projet'!$B$10,Paramètres!$A$1:$I$88,3,0)*VLOOKUP('Données projet'!$B$10,Paramètres!$A$1:$I$88,5,0)</f>
        <v>1.1882548278663309E-13</v>
      </c>
      <c r="AK187" s="14">
        <f t="shared" si="164"/>
        <v>1.7496137229198366E-12</v>
      </c>
      <c r="AL187" s="22">
        <f t="shared" si="165"/>
        <v>3.2541982832721012E-12</v>
      </c>
      <c r="AM187" s="62">
        <f t="shared" si="114"/>
        <v>287.76626188235207</v>
      </c>
      <c r="AN187" s="62">
        <f ca="1">AVERAGE(OFFSET($AM$3,0,0,'Données projet'!$E$10+1,1))-AVERAGE(OFFSET($H$3,0,0,'Données projet'!$E$10+1,1))</f>
        <v>458.33072853676879</v>
      </c>
      <c r="AO187" s="62">
        <f t="shared" si="115"/>
        <v>254.1734169352687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projet'!$B$10,Paramètres!$A$1:$I$88,7,0))</f>
        <v>0</v>
      </c>
      <c r="AS187" s="17">
        <f>IF(ISNA(VLOOKUP(A187,'Données projet'!$A$61:$I$81,6,0)),0%,VLOOKUP(A187,'Données projet'!$A$61:$I$81,6,0)*VLOOKUP('Données projet'!$B$10,Paramètres!$A$1:$I$88,7,0))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projet'!$B$9,Paramètres!$A$1:$I$88,3,0)*0.475*44/12</f>
        <v>0</v>
      </c>
      <c r="AV187" s="23">
        <f>EXP(-LN(2)/25)*AV186+(1-EXP(-LN(2)/25))/(LN(2)/25)*Calculateur!AQ187*Calculateur!AS187*VLOOKUP('Données projet'!$B$9,Paramètres!$A$1:$I$88,3,0)*0.475*44/12</f>
        <v>0</v>
      </c>
      <c r="AW187" s="23">
        <f>EXP(-LN(2)/2)*AW186+(1-EXP(-LN(2)/2))/(LN(2)/2)*AQ187*AT187*VLOOKUP('Données projet'!$B$9,Paramètres!$A$1:$I$88,3,0)*0.475*44/12</f>
        <v>0</v>
      </c>
      <c r="AX187" s="23">
        <f t="shared" si="166"/>
        <v>0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IF(A187&lt;'Données projet'!$A$88,$BA$205^A187,IF(A187='Données projet'!$A$88,'Données projet'!$B$88,BD186+BC187-BL186))</f>
        <v>1.1368683772161603E-13</v>
      </c>
      <c r="BE187" s="14">
        <f>BD187*VLOOKUP('Données projet'!$B$11,Paramètres!$A$1:$I$88,3,0)*VLOOKUP('Données projet'!$B$11,Paramètres!$A$1:$I$88,5,0)</f>
        <v>1.1527845344971866E-13</v>
      </c>
      <c r="BF187" s="14">
        <f t="shared" si="167"/>
        <v>1.7033846239409443E-12</v>
      </c>
      <c r="BG187" s="22">
        <f t="shared" si="168"/>
        <v>3.1675048597887374E-12</v>
      </c>
      <c r="BH187" s="62">
        <f t="shared" si="118"/>
        <v>287.76626188235201</v>
      </c>
      <c r="BI187" s="62">
        <f ca="1">AVERAGE(OFFSET($BH$3,0,0,'Données projet'!$E$11+1,1))-AVERAGE(OFFSET($H$3,0,0,'Données projet'!$E$11+1,1))</f>
        <v>447.82618173893104</v>
      </c>
      <c r="BJ187" s="62">
        <f t="shared" si="119"/>
        <v>248.96509970783379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projet'!$B$11,Paramètres!$A$1:$I$88,7,0))</f>
        <v>0</v>
      </c>
      <c r="BN187" s="17">
        <f>IF(ISNA(VLOOKUP(A187,'Données projet'!$A$87:$I$107,6,0)),0%,VLOOKUP(A187,'Données projet'!$A$87:$I$107,6,0)*VLOOKUP('Données projet'!$B$11,Paramètres!$A$1:$I$88,7,0))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projet'!$B$9,Paramètres!$A$1:$I$88,3,0)*0.475*44/12</f>
        <v>0</v>
      </c>
      <c r="BQ187" s="23">
        <f>EXP(-LN(2)/25)*BQ186+(1-EXP(-LN(2)/25))/(LN(2)/25)*Calculateur!BL187*Calculateur!BN187*VLOOKUP('Données projet'!$B$9,Paramètres!$A$1:$I$88,3,0)*0.475*44/12</f>
        <v>0</v>
      </c>
      <c r="BR187" s="23">
        <f>EXP(-LN(2)/2)*BR186+(1-EXP(-LN(2)/2))/(LN(2)/2)*BL187*BO187*VLOOKUP('Données projet'!$B$9,Paramètres!$A$1:$I$88,3,0)*0.475*44/12</f>
        <v>0</v>
      </c>
      <c r="BS187" s="24">
        <f t="shared" si="169"/>
        <v>0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IF(A187&lt;'Données projet'!$A$114,$BV$205^A187,IF(A187='Données projet'!$A$114,'Données projet'!$B$114,BY186+BX187-CG186))</f>
        <v>1.1368683772161603E-13</v>
      </c>
      <c r="BZ187" s="14">
        <f>BY187*VLOOKUP('Données projet'!$B$12,Paramètres!$A$1:$I$88,3,0)*VLOOKUP('Données projet'!$B$12,Paramètres!$A$1:$I$88,5,0)</f>
        <v>1.223725121235475E-13</v>
      </c>
      <c r="CA187" s="14">
        <f t="shared" si="170"/>
        <v>1.7956824466038182E-12</v>
      </c>
      <c r="CB187" s="22">
        <f t="shared" si="171"/>
        <v>3.3406123864501612E-12</v>
      </c>
      <c r="CC187" s="62">
        <f t="shared" si="122"/>
        <v>287.76626188235218</v>
      </c>
      <c r="CD187" s="62">
        <f ca="1">AVERAGE(OFFSET($CC$3,0,0,'Données projet'!$E$12+1,1))-AVERAGE(OFFSET($H$3,0,0,'Données projet'!$E$12+1,1))</f>
        <v>468.82871618425406</v>
      </c>
      <c r="CE187" s="62">
        <f t="shared" si="123"/>
        <v>259.37818128554397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projet'!$B$12,Paramètres!$A$1:$I$88,7,0))</f>
        <v>0</v>
      </c>
      <c r="CI187" s="17">
        <f>IF(ISNA(VLOOKUP(A187,'Données projet'!$A$113:$I$133,6,0)),0%,VLOOKUP(A187,'Données projet'!$A$113:$I$133,6,0)*VLOOKUP('Données projet'!$B$12,Paramètres!$A$1:$I$88,7,0))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projet'!$B$9,Paramètres!$A$1:$I$88,3,0)*0.475*44/12</f>
        <v>0</v>
      </c>
      <c r="CL187" s="23">
        <f>EXP(-LN(2)/25)*CL186+(1-EXP(-LN(2)/25))/(LN(2)/25)*Calculateur!CG187*Calculateur!CI187*VLOOKUP('Données projet'!$B$9,Paramètres!$A$1:$I$88,3,0)*0.475*44/12</f>
        <v>0</v>
      </c>
      <c r="CM187" s="23">
        <f>EXP(-LN(2)/2)*CM186+(1-EXP(-LN(2)/2))/(LN(2)/2)*CG187*CJ187*VLOOKUP('Données projet'!$B$9,Paramètres!$A$1:$I$88,3,0)*0.475*44/12</f>
        <v>0</v>
      </c>
      <c r="CN187" s="24">
        <f t="shared" si="172"/>
        <v>0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IF(A187&lt;'Données projet'!$A$140,$CQ$205^A187,IF(A187='Données projet'!$A$140,'Données projet'!$B$140,CT186+CS187-DB186))</f>
        <v>1.1368683772161603E-13</v>
      </c>
      <c r="CU187" s="18">
        <f>CT187*VLOOKUP('Données projet'!$B$13,Paramètres!$A$1:$I$88,3,0)*VLOOKUP('Données projet'!$B$13,Paramètres!$A$1:$I$88,5,0)</f>
        <v>9.7543306765146564E-14</v>
      </c>
      <c r="CV187" s="14">
        <f t="shared" si="173"/>
        <v>1.4696264278629426E-12</v>
      </c>
      <c r="CW187" s="22">
        <f t="shared" si="174"/>
        <v>2.7294872878105889E-12</v>
      </c>
      <c r="CX187" s="62">
        <f t="shared" si="126"/>
        <v>287.76626188235156</v>
      </c>
      <c r="CY187" s="62">
        <f ca="1">AVERAGE(OFFSET($CX$3,0,0,'Données projet'!$E$13+1,1))-AVERAGE(OFFSET($H$3,0,0,'Données projet'!$E$13+1,1))</f>
        <v>395.19659151668884</v>
      </c>
      <c r="CZ187" s="62">
        <f t="shared" si="127"/>
        <v>222.86563304507339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projet'!$B$13,Paramètres!$A$1:$I$88,7,0))</f>
        <v>0</v>
      </c>
      <c r="DD187" s="17">
        <f>IF(ISNA(VLOOKUP(A187,'Données projet'!$A$139:$I$159,6,0)),0%,VLOOKUP(A187,'Données projet'!$A$139:$I$159,6,0)*VLOOKUP('Données projet'!$B$13,Paramètres!$A$1:$I$88,7,0))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projet'!$B$9,Paramètres!$A$1:$I$88,3,0)*0.475*44/12</f>
        <v>0</v>
      </c>
      <c r="DG187" s="23">
        <f>EXP(-LN(2)/25)*DG186+(1-EXP(-LN(2)/25))/(LN(2)/25)*Calculateur!DB187*Calculateur!DD187*VLOOKUP('Données projet'!$B$9,Paramètres!$A$1:$I$88,3,0)*0.475*44/12</f>
        <v>0</v>
      </c>
      <c r="DH187" s="23">
        <f>EXP(-LN(2)/2)*DH186+(1-EXP(-LN(2)/2))/(LN(2)/2)*DB187*DE187*VLOOKUP('Données projet'!$B$9,Paramètres!$A$1:$I$88,3,0)*0.475*44/12</f>
        <v>0</v>
      </c>
      <c r="DI187" s="24">
        <f t="shared" si="175"/>
        <v>0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IF(A187&lt;'Données projet'!$A$166,$DL$205^A187,IF(A187='Données projet'!$A$166,'Données projet'!$B$166,DO186+DN187-DW186))</f>
        <v>-8.5265128291212022E-14</v>
      </c>
      <c r="DP187" s="18">
        <f>DO187*VLOOKUP('Données projet'!$B$14,Paramètres!$A$1:$I$88,3,0)*VLOOKUP('Données projet'!$B$14,Paramètres!$A$1:$I$88,5,0)</f>
        <v>-4.9880100050359036E-14</v>
      </c>
      <c r="DQ187" s="14" t="e">
        <f t="shared" si="176"/>
        <v>#NUM!</v>
      </c>
      <c r="DR187" s="22" t="e">
        <f t="shared" si="177"/>
        <v>#NUM!</v>
      </c>
      <c r="DS187" s="62" t="e">
        <f t="shared" si="130"/>
        <v>#NUM!</v>
      </c>
      <c r="DT187" s="62">
        <f ca="1">AVERAGE(OFFSET($DS$3,0,0,'Données projet'!$E$14+1,1))-AVERAGE(OFFSET($H$3,0,0,'Données projet'!$E$14+1,1))</f>
        <v>155.18073137151848</v>
      </c>
      <c r="DU187" s="62">
        <f t="shared" si="131"/>
        <v>115.19459155667272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projet'!$B$14,Paramètres!$A$1:$I$88,7,0))</f>
        <v>0</v>
      </c>
      <c r="DY187" s="17">
        <f>IF(ISNA(VLOOKUP(A187,'Données projet'!$A$165:$I$185,6,0)),0%,VLOOKUP(A187,'Données projet'!$A$165:$I$185,6,0)*VLOOKUP('Données projet'!$B$14,Paramètres!$A$1:$I$88,7,0))</f>
        <v>0</v>
      </c>
      <c r="DZ187" s="17">
        <f>IF(ISNA(VLOOKUP(A187,'Données projet'!$A$165:$I$185,7,0)),0%,VLOOKUP(A187,'Données projet'!$A$165:$I$185,7,0))</f>
        <v>0</v>
      </c>
      <c r="EA187" s="23">
        <f>EXP(-LN(2)/35)*EA186+(1-EXP(-LN(2)/35))/(LN(2)/35)*DW187*DX187*VLOOKUP('Données projet'!$B$9,Paramètres!$A$1:$I$88,3,0)*0.475*44/12</f>
        <v>0</v>
      </c>
      <c r="EB187" s="23">
        <f>EXP(-LN(2)/25)*EB186+(1-EXP(-LN(2)/25))/(LN(2)/25)*Calculateur!DW187*Calculateur!DY187*VLOOKUP('Données projet'!$B$9,Paramètres!$A$1:$I$88,3,0)*0.475*44/12</f>
        <v>0</v>
      </c>
      <c r="EC187" s="23">
        <f>EXP(-LN(2)/2)*EC186+(1-EXP(-LN(2)/2))/(LN(2)/2)*DW187*DZ187*VLOOKUP('Données projet'!$B$9,Paramètres!$A$1:$I$88,3,0)*0.475*44/12</f>
        <v>0</v>
      </c>
      <c r="ED187" s="24">
        <f t="shared" si="178"/>
        <v>0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IF(A187&lt;'Données projet'!$A$192,$EG$205^A187,IF(A187='Données projet'!$A$192,'Données projet'!$B$192,EJ186+EI187-ER186))</f>
        <v>-5.6843418860808015E-14</v>
      </c>
      <c r="EK187" s="18">
        <f>EJ187*VLOOKUP('Données projet'!$B$15,Paramètres!$A$1:$I$88,3,0)*VLOOKUP('Données projet'!$B$15,Paramètres!$A$1:$I$88,5,0)</f>
        <v>-2.6602720026858149E-14</v>
      </c>
      <c r="EL187" s="14" t="e">
        <f t="shared" si="179"/>
        <v>#NUM!</v>
      </c>
      <c r="EM187" s="22" t="e">
        <f t="shared" si="180"/>
        <v>#NUM!</v>
      </c>
      <c r="EN187" s="62" t="e">
        <f t="shared" si="134"/>
        <v>#NUM!</v>
      </c>
      <c r="EO187" s="62">
        <f ca="1">AVERAGE(OFFSET($EN$3,0,0,'Données projet'!$E$15+1,1))-AVERAGE(OFFSET($H$3,0,0,'Données projet'!$E$15+1,1))</f>
        <v>238.59014604384171</v>
      </c>
      <c r="EP187" s="62">
        <f t="shared" si="135"/>
        <v>90.841373219575217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projet'!$B$15,Paramètres!$A$1:$I$88,7,0))</f>
        <v>0</v>
      </c>
      <c r="ET187" s="17">
        <f>IF(ISNA(VLOOKUP(A187,'Données projet'!$A$191:$I$211,6,0)),0%,VLOOKUP(A187,'Données projet'!$A$191:$I$211,6,0)*VLOOKUP('Données projet'!$B$15,Paramètres!$A$1:$I$88,7,0))</f>
        <v>0</v>
      </c>
      <c r="EU187" s="17">
        <f>IF(ISNA(VLOOKUP(A187,'Données projet'!$A$191:$I$211,7,0)),0%,VLOOKUP(A187,'Données projet'!$A$191:$I$211,7,0))</f>
        <v>0</v>
      </c>
      <c r="EV187" s="23">
        <f>EXP(-LN(2)/35)*EV186+(1-EXP(-LN(2)/35))/(LN(2)/35)*ER187*ES187*VLOOKUP('Données projet'!$B$9,Paramètres!$A$1:$I$88,3,0)*0.475*44/12</f>
        <v>0</v>
      </c>
      <c r="EW187" s="23">
        <f>EXP(-LN(2)/25)*EW186+(1-EXP(-LN(2)/25))/(LN(2)/25)*Calculateur!ER187*Calculateur!ET187*VLOOKUP('Données projet'!$B$9,Paramètres!$A$1:$I$88,3,0)*0.475*44/12</f>
        <v>0</v>
      </c>
      <c r="EX187" s="23">
        <f>EXP(-LN(2)/2)*EX186+(1-EXP(-LN(2)/2))/(LN(2)/2)*ER187*EU187*VLOOKUP('Données projet'!$B$9,Paramètres!$A$1:$I$88,3,0)*0.475*44/12</f>
        <v>0</v>
      </c>
      <c r="EY187" s="24">
        <f t="shared" si="181"/>
        <v>0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IF(A187&lt;'Données projet'!$A$218,$FB$205^A187,IF(A187='Données projet'!$A$218,'Données projet'!$B$218,FE186+FD187-FM186))</f>
        <v>0</v>
      </c>
      <c r="FF187" s="18" t="e">
        <f>FE187*VLOOKUP('Données projet'!$B$16,Paramètres!$A$1:$I$88,3,0)*VLOOKUP('Données projet'!$B$16,Paramètres!$A$1:$I$88,5,0)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8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39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projet'!$B$16,Paramètres!$A$1:$I$88,7,0))</f>
        <v>0</v>
      </c>
      <c r="FO187" s="17">
        <f>IF(ISNA(VLOOKUP(A187,'Données projet'!$A$217:$I$237,6,0)),0%,VLOOKUP(A187,'Données projet'!$A$217:$I$237,6,0)*VLOOKUP('Données projet'!$B$16,Paramètres!$A$1:$I$88,7,0))</f>
        <v>0</v>
      </c>
      <c r="FP187" s="17">
        <f>IF(ISNA(VLOOKUP(A187,'Données projet'!$A$217:$I$237,7,0)),0%,VLOOKUP(A187,'Données projet'!$A$217:$I$237,7,0))</f>
        <v>0</v>
      </c>
      <c r="FQ187" s="23">
        <f>EXP(-LN(2)/35)*FQ186+(1-EXP(-LN(2)/35))/(LN(2)/35)*FM187*FN187*VLOOKUP('Données projet'!$B$9,Paramètres!$A$1:$I$88,3,0)*0.475*44/12</f>
        <v>0</v>
      </c>
      <c r="FR187" s="23">
        <f>EXP(-LN(2)/25)*FR186+(1-EXP(-LN(2)/25))/(LN(2)/25)*Calculateur!FM187*Calculateur!FO187*VLOOKUP('Données projet'!$B$9,Paramètres!$A$1:$I$88,3,0)*0.475*44/12</f>
        <v>0</v>
      </c>
      <c r="FS187" s="23">
        <f>EXP(-LN(2)/2)*FS186+(1-EXP(-LN(2)/2))/(LN(2)/2)*FM187*FP187*VLOOKUP('Données projet'!$B$9,Paramètres!$A$1:$I$88,3,0)*0.475*44/12</f>
        <v>0</v>
      </c>
      <c r="FT187" s="24">
        <f t="shared" si="184"/>
        <v>0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IF(A187&lt;'Données projet'!$A$244,$FW$205^A187,IF(A187='Données projet'!$A$244,'Données projet'!$B$244,FZ186+FY187-GH186))</f>
        <v>0</v>
      </c>
      <c r="GA187" s="18" t="e">
        <f>FZ187*VLOOKUP('Données projet'!$B$17,Paramètres!$A$1:$I$88,3,0)*VLOOKUP('Données projet'!$B$17,Paramètres!$A$1:$I$88,5,0)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42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43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projet'!$B$17,Paramètres!$A$1:$I$88,7,0))</f>
        <v>0</v>
      </c>
      <c r="GJ187" s="17">
        <f>IF(ISNA(VLOOKUP(A187,'Données projet'!$A$243:$I$263,6,0)),0%,VLOOKUP(A187,'Données projet'!$A$243:$I$263,6,0)*VLOOKUP('Données projet'!$B$17,Paramètres!$A$1:$I$88,7,0))</f>
        <v>0</v>
      </c>
      <c r="GK187" s="17">
        <f>IF(ISNA(VLOOKUP(A187,'Données projet'!$A$243:$I$263,7,0)),0%,VLOOKUP(A187,'Données projet'!$A$243:$I$263,7,0))</f>
        <v>0</v>
      </c>
      <c r="GL187" s="23">
        <f>EXP(-LN(2)/35)*GL186+(1-EXP(-LN(2)/35))/(LN(2)/35)*GH187*GI187*VLOOKUP('Données projet'!$B$9,Paramètres!$A$1:$I$88,3,0)*0.475*44/12</f>
        <v>0</v>
      </c>
      <c r="GM187" s="23">
        <f>EXP(-LN(2)/25)*GM186+(1-EXP(-LN(2)/25))/(LN(2)/25)*Calculateur!GH187*Calculateur!GJ187*VLOOKUP('Données projet'!$B$9,Paramètres!$A$1:$I$88,3,0)*0.475*44/12</f>
        <v>0</v>
      </c>
      <c r="GN187" s="23">
        <f>EXP(-LN(2)/2)*GN186+(1-EXP(-LN(2)/2))/(LN(2)/2)*GH187*GK187*VLOOKUP('Données projet'!$B$9,Paramètres!$A$1:$I$88,3,0)*0.475*44/12</f>
        <v>0</v>
      </c>
      <c r="GO187" s="23">
        <f t="shared" si="187"/>
        <v>0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IF(A187&lt;'Données projet'!$A$270,$GR$205^A187,IF(A187='Données projet'!$A$270,'Données projet'!$B$270,GU186+GT187-HC186))</f>
        <v>0</v>
      </c>
      <c r="GV187" s="18" t="e">
        <f>GU187*VLOOKUP('Données projet'!$B$18,Paramètres!$A$1:$I$88,3,0)*VLOOKUP('Données projet'!$B$18,Paramètres!$A$1:$I$88,5,0)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46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47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projet'!$B$18,Paramètres!$A$1:$I$88,7,0))</f>
        <v>0</v>
      </c>
      <c r="HE187" s="17">
        <f>IF(ISNA(VLOOKUP(A187,'Données projet'!$A$269:$I$289,6,0)),0%,VLOOKUP(A187,'Données projet'!$A$269:$I$289,6,0)*VLOOKUP('Données projet'!$B$18,Paramètres!$A$1:$I$88,7,0))</f>
        <v>0</v>
      </c>
      <c r="HF187" s="17">
        <f>IF(ISNA(VLOOKUP(A187,'Données projet'!$A$269:$I$289,7,0)),0%,VLOOKUP(A187,'Données projet'!$A$269:$I$289,7,0))</f>
        <v>0</v>
      </c>
      <c r="HG187" s="23">
        <f>EXP(-LN(2)/35)*HG186+(1-EXP(-LN(2)/35))/(LN(2)/35)*HC187*HD187*VLOOKUP('Données projet'!$B$9,Paramètres!$A$1:$I$88,3,0)*0.475*44/12</f>
        <v>0</v>
      </c>
      <c r="HH187" s="23">
        <f>EXP(-LN(2)/25)*HH186+(1-EXP(-LN(2)/25))/(LN(2)/25)*Calculateur!HC187*Calculateur!HE187*VLOOKUP('Données projet'!$B$9,Paramètres!$A$1:$I$88,3,0)*0.475*44/12</f>
        <v>0</v>
      </c>
      <c r="HI187" s="23">
        <f>EXP(-LN(2)/2)*HI186+(1-EXP(-LN(2)/2))/(LN(2)/2)*HC187*HF187*VLOOKUP('Données projet'!$B$9,Paramètres!$A$1:$I$88,3,0)*0.475*44/12</f>
        <v>0</v>
      </c>
      <c r="HJ187" s="24">
        <f t="shared" si="190"/>
        <v>0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8" s="12">
        <f t="shared" si="15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111"/>
        <v>135.66666666666666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IF(A188&lt;'Données projet'!$A$36,$K$205^A188,IF(A188='Données projet'!$A$36,'Données projet'!$B$36,N187+M188-V187))</f>
        <v>0</v>
      </c>
      <c r="O188" s="14">
        <f>N188*VLOOKUP('Données projet'!$B$9,Paramètres!$A$1:$I$88,3,0)*VLOOKUP('Données projet'!$B$9,Paramètres!$A$1:$I$88,5,0)</f>
        <v>0</v>
      </c>
      <c r="P188" s="14" t="e">
        <f t="shared" si="15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314.72063458462026</v>
      </c>
      <c r="T188" s="62">
        <f t="shared" si="110"/>
        <v>216.4380325968244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projet'!$B$9,Paramètres!$A$1:$I$88,7,0))</f>
        <v>0</v>
      </c>
      <c r="X188" s="17">
        <f>IF(ISNA(VLOOKUP(A188,'Données projet'!$A$35:$I$55,6,0)),0%,VLOOKUP(A188,'Données projet'!$A$35:$I$55,6,0)*VLOOKUP('Données projet'!$B$9,Paramètres!$A$1:$I$88,7,0))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projet'!$B$9,Paramètres!$A$1:$I$88,3,0)*0.475*44/12</f>
        <v>0</v>
      </c>
      <c r="AA188" s="23">
        <f>EXP(-LN(2)/25)*AA187+(1-EXP(-LN(2)/25))/(LN(2)/25)*Calculateur!V188*Calculateur!X188*VLOOKUP('Données projet'!$B$9,Paramètres!$A$1:$I$88,3,0)*0.475*44/12</f>
        <v>0</v>
      </c>
      <c r="AB188" s="23">
        <f>EXP(-LN(2)/2)*AB187+(1-EXP(-LN(2)/2))/(LN(2)/2)*V188*Y188*VLOOKUP('Données projet'!$B$9,Paramètres!$A$1:$I$88,3,0)*0.475*44/12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IF(A188&lt;'Données projet'!$A$62,$AF$205^A188,IF(A188='Données projet'!$A$62,'Données projet'!$B$62,AI187+AH188-AQ187))</f>
        <v>1.1368683772161603E-13</v>
      </c>
      <c r="AJ188" s="14">
        <f>AI188*VLOOKUP('Données projet'!$B$10,Paramètres!$A$1:$I$88,3,0)*VLOOKUP('Données projet'!$B$10,Paramètres!$A$1:$I$88,5,0)</f>
        <v>1.1882548278663309E-13</v>
      </c>
      <c r="AK188" s="14">
        <f t="shared" si="164"/>
        <v>1.7496137229198366E-12</v>
      </c>
      <c r="AL188" s="22">
        <f t="shared" si="165"/>
        <v>3.2541982832721012E-12</v>
      </c>
      <c r="AM188" s="62">
        <f t="shared" si="114"/>
        <v>287.8628381259195</v>
      </c>
      <c r="AN188" s="62">
        <f ca="1">AVERAGE(OFFSET($AM$3,0,0,'Données projet'!$E$10+1,1))-AVERAGE(OFFSET($H$3,0,0,'Données projet'!$E$10+1,1))</f>
        <v>458.33072853676879</v>
      </c>
      <c r="AO188" s="62">
        <f t="shared" si="115"/>
        <v>254.1734169352687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projet'!$B$10,Paramètres!$A$1:$I$88,7,0))</f>
        <v>0</v>
      </c>
      <c r="AS188" s="17">
        <f>IF(ISNA(VLOOKUP(A188,'Données projet'!$A$61:$I$81,6,0)),0%,VLOOKUP(A188,'Données projet'!$A$61:$I$81,6,0)*VLOOKUP('Données projet'!$B$10,Paramètres!$A$1:$I$88,7,0))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projet'!$B$9,Paramètres!$A$1:$I$88,3,0)*0.475*44/12</f>
        <v>0</v>
      </c>
      <c r="AV188" s="23">
        <f>EXP(-LN(2)/25)*AV187+(1-EXP(-LN(2)/25))/(LN(2)/25)*Calculateur!AQ188*Calculateur!AS188*VLOOKUP('Données projet'!$B$9,Paramètres!$A$1:$I$88,3,0)*0.475*44/12</f>
        <v>0</v>
      </c>
      <c r="AW188" s="23">
        <f>EXP(-LN(2)/2)*AW187+(1-EXP(-LN(2)/2))/(LN(2)/2)*AQ188*AT188*VLOOKUP('Données projet'!$B$9,Paramètres!$A$1:$I$88,3,0)*0.475*44/12</f>
        <v>0</v>
      </c>
      <c r="AX188" s="23">
        <f t="shared" si="166"/>
        <v>0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IF(A188&lt;'Données projet'!$A$88,$BA$205^A188,IF(A188='Données projet'!$A$88,'Données projet'!$B$88,BD187+BC188-BL187))</f>
        <v>1.1368683772161603E-13</v>
      </c>
      <c r="BE188" s="14">
        <f>BD188*VLOOKUP('Données projet'!$B$11,Paramètres!$A$1:$I$88,3,0)*VLOOKUP('Données projet'!$B$11,Paramètres!$A$1:$I$88,5,0)</f>
        <v>1.1527845344971866E-13</v>
      </c>
      <c r="BF188" s="14">
        <f t="shared" si="167"/>
        <v>1.7033846239409443E-12</v>
      </c>
      <c r="BG188" s="22">
        <f t="shared" si="168"/>
        <v>3.1675048597887374E-12</v>
      </c>
      <c r="BH188" s="62">
        <f t="shared" si="118"/>
        <v>287.86283812591944</v>
      </c>
      <c r="BI188" s="62">
        <f ca="1">AVERAGE(OFFSET($BH$3,0,0,'Données projet'!$E$11+1,1))-AVERAGE(OFFSET($H$3,0,0,'Données projet'!$E$11+1,1))</f>
        <v>447.82618173893104</v>
      </c>
      <c r="BJ188" s="62">
        <f t="shared" si="119"/>
        <v>248.96509970783379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projet'!$B$11,Paramètres!$A$1:$I$88,7,0))</f>
        <v>0</v>
      </c>
      <c r="BN188" s="17">
        <f>IF(ISNA(VLOOKUP(A188,'Données projet'!$A$87:$I$107,6,0)),0%,VLOOKUP(A188,'Données projet'!$A$87:$I$107,6,0)*VLOOKUP('Données projet'!$B$11,Paramètres!$A$1:$I$88,7,0))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projet'!$B$9,Paramètres!$A$1:$I$88,3,0)*0.475*44/12</f>
        <v>0</v>
      </c>
      <c r="BQ188" s="23">
        <f>EXP(-LN(2)/25)*BQ187+(1-EXP(-LN(2)/25))/(LN(2)/25)*Calculateur!BL188*Calculateur!BN188*VLOOKUP('Données projet'!$B$9,Paramètres!$A$1:$I$88,3,0)*0.475*44/12</f>
        <v>0</v>
      </c>
      <c r="BR188" s="23">
        <f>EXP(-LN(2)/2)*BR187+(1-EXP(-LN(2)/2))/(LN(2)/2)*BL188*BO188*VLOOKUP('Données projet'!$B$9,Paramètres!$A$1:$I$88,3,0)*0.475*44/12</f>
        <v>0</v>
      </c>
      <c r="BS188" s="24">
        <f t="shared" si="169"/>
        <v>0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IF(A188&lt;'Données projet'!$A$114,$BV$205^A188,IF(A188='Données projet'!$A$114,'Données projet'!$B$114,BY187+BX188-CG187))</f>
        <v>1.1368683772161603E-13</v>
      </c>
      <c r="BZ188" s="14">
        <f>BY188*VLOOKUP('Données projet'!$B$12,Paramètres!$A$1:$I$88,3,0)*VLOOKUP('Données projet'!$B$12,Paramètres!$A$1:$I$88,5,0)</f>
        <v>1.223725121235475E-13</v>
      </c>
      <c r="CA188" s="14">
        <f t="shared" si="170"/>
        <v>1.7956824466038182E-12</v>
      </c>
      <c r="CB188" s="22">
        <f t="shared" si="171"/>
        <v>3.3406123864501612E-12</v>
      </c>
      <c r="CC188" s="62">
        <f t="shared" si="122"/>
        <v>287.86283812591961</v>
      </c>
      <c r="CD188" s="62">
        <f ca="1">AVERAGE(OFFSET($CC$3,0,0,'Données projet'!$E$12+1,1))-AVERAGE(OFFSET($H$3,0,0,'Données projet'!$E$12+1,1))</f>
        <v>468.82871618425406</v>
      </c>
      <c r="CE188" s="62">
        <f t="shared" si="123"/>
        <v>259.37818128554397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projet'!$B$12,Paramètres!$A$1:$I$88,7,0))</f>
        <v>0</v>
      </c>
      <c r="CI188" s="17">
        <f>IF(ISNA(VLOOKUP(A188,'Données projet'!$A$113:$I$133,6,0)),0%,VLOOKUP(A188,'Données projet'!$A$113:$I$133,6,0)*VLOOKUP('Données projet'!$B$12,Paramètres!$A$1:$I$88,7,0))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projet'!$B$9,Paramètres!$A$1:$I$88,3,0)*0.475*44/12</f>
        <v>0</v>
      </c>
      <c r="CL188" s="23">
        <f>EXP(-LN(2)/25)*CL187+(1-EXP(-LN(2)/25))/(LN(2)/25)*Calculateur!CG188*Calculateur!CI188*VLOOKUP('Données projet'!$B$9,Paramètres!$A$1:$I$88,3,0)*0.475*44/12</f>
        <v>0</v>
      </c>
      <c r="CM188" s="23">
        <f>EXP(-LN(2)/2)*CM187+(1-EXP(-LN(2)/2))/(LN(2)/2)*CG188*CJ188*VLOOKUP('Données projet'!$B$9,Paramètres!$A$1:$I$88,3,0)*0.475*44/12</f>
        <v>0</v>
      </c>
      <c r="CN188" s="24">
        <f t="shared" si="172"/>
        <v>0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IF(A188&lt;'Données projet'!$A$140,$CQ$205^A188,IF(A188='Données projet'!$A$140,'Données projet'!$B$140,CT187+CS188-DB187))</f>
        <v>1.1368683772161603E-13</v>
      </c>
      <c r="CU188" s="18">
        <f>CT188*VLOOKUP('Données projet'!$B$13,Paramètres!$A$1:$I$88,3,0)*VLOOKUP('Données projet'!$B$13,Paramètres!$A$1:$I$88,5,0)</f>
        <v>9.7543306765146564E-14</v>
      </c>
      <c r="CV188" s="14">
        <f t="shared" si="173"/>
        <v>1.4696264278629426E-12</v>
      </c>
      <c r="CW188" s="22">
        <f t="shared" si="174"/>
        <v>2.7294872878105889E-12</v>
      </c>
      <c r="CX188" s="62">
        <f t="shared" si="126"/>
        <v>287.86283812591898</v>
      </c>
      <c r="CY188" s="62">
        <f ca="1">AVERAGE(OFFSET($CX$3,0,0,'Données projet'!$E$13+1,1))-AVERAGE(OFFSET($H$3,0,0,'Données projet'!$E$13+1,1))</f>
        <v>395.19659151668884</v>
      </c>
      <c r="CZ188" s="62">
        <f t="shared" si="127"/>
        <v>222.86563304507339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projet'!$B$13,Paramètres!$A$1:$I$88,7,0))</f>
        <v>0</v>
      </c>
      <c r="DD188" s="17">
        <f>IF(ISNA(VLOOKUP(A188,'Données projet'!$A$139:$I$159,6,0)),0%,VLOOKUP(A188,'Données projet'!$A$139:$I$159,6,0)*VLOOKUP('Données projet'!$B$13,Paramètres!$A$1:$I$88,7,0))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projet'!$B$9,Paramètres!$A$1:$I$88,3,0)*0.475*44/12</f>
        <v>0</v>
      </c>
      <c r="DG188" s="23">
        <f>EXP(-LN(2)/25)*DG187+(1-EXP(-LN(2)/25))/(LN(2)/25)*Calculateur!DB188*Calculateur!DD188*VLOOKUP('Données projet'!$B$9,Paramètres!$A$1:$I$88,3,0)*0.475*44/12</f>
        <v>0</v>
      </c>
      <c r="DH188" s="23">
        <f>EXP(-LN(2)/2)*DH187+(1-EXP(-LN(2)/2))/(LN(2)/2)*DB188*DE188*VLOOKUP('Données projet'!$B$9,Paramètres!$A$1:$I$88,3,0)*0.475*44/12</f>
        <v>0</v>
      </c>
      <c r="DI188" s="24">
        <f t="shared" si="175"/>
        <v>0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IF(A188&lt;'Données projet'!$A$166,$DL$205^A188,IF(A188='Données projet'!$A$166,'Données projet'!$B$166,DO187+DN188-DW187))</f>
        <v>-8.5265128291212022E-14</v>
      </c>
      <c r="DP188" s="18">
        <f>DO188*VLOOKUP('Données projet'!$B$14,Paramètres!$A$1:$I$88,3,0)*VLOOKUP('Données projet'!$B$14,Paramètres!$A$1:$I$88,5,0)</f>
        <v>-4.9880100050359036E-14</v>
      </c>
      <c r="DQ188" s="14" t="e">
        <f t="shared" si="176"/>
        <v>#NUM!</v>
      </c>
      <c r="DR188" s="22" t="e">
        <f t="shared" si="177"/>
        <v>#NUM!</v>
      </c>
      <c r="DS188" s="62" t="e">
        <f t="shared" si="130"/>
        <v>#NUM!</v>
      </c>
      <c r="DT188" s="62">
        <f ca="1">AVERAGE(OFFSET($DS$3,0,0,'Données projet'!$E$14+1,1))-AVERAGE(OFFSET($H$3,0,0,'Données projet'!$E$14+1,1))</f>
        <v>155.18073137151848</v>
      </c>
      <c r="DU188" s="62">
        <f t="shared" si="131"/>
        <v>115.19459155667272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projet'!$B$14,Paramètres!$A$1:$I$88,7,0))</f>
        <v>0</v>
      </c>
      <c r="DY188" s="17">
        <f>IF(ISNA(VLOOKUP(A188,'Données projet'!$A$165:$I$185,6,0)),0%,VLOOKUP(A188,'Données projet'!$A$165:$I$185,6,0)*VLOOKUP('Données projet'!$B$14,Paramètres!$A$1:$I$88,7,0))</f>
        <v>0</v>
      </c>
      <c r="DZ188" s="17">
        <f>IF(ISNA(VLOOKUP(A188,'Données projet'!$A$165:$I$185,7,0)),0%,VLOOKUP(A188,'Données projet'!$A$165:$I$185,7,0))</f>
        <v>0</v>
      </c>
      <c r="EA188" s="23">
        <f>EXP(-LN(2)/35)*EA187+(1-EXP(-LN(2)/35))/(LN(2)/35)*DW188*DX188*VLOOKUP('Données projet'!$B$9,Paramètres!$A$1:$I$88,3,0)*0.475*44/12</f>
        <v>0</v>
      </c>
      <c r="EB188" s="23">
        <f>EXP(-LN(2)/25)*EB187+(1-EXP(-LN(2)/25))/(LN(2)/25)*Calculateur!DW188*Calculateur!DY188*VLOOKUP('Données projet'!$B$9,Paramètres!$A$1:$I$88,3,0)*0.475*44/12</f>
        <v>0</v>
      </c>
      <c r="EC188" s="23">
        <f>EXP(-LN(2)/2)*EC187+(1-EXP(-LN(2)/2))/(LN(2)/2)*DW188*DZ188*VLOOKUP('Données projet'!$B$9,Paramètres!$A$1:$I$88,3,0)*0.475*44/12</f>
        <v>0</v>
      </c>
      <c r="ED188" s="24">
        <f t="shared" si="178"/>
        <v>0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IF(A188&lt;'Données projet'!$A$192,$EG$205^A188,IF(A188='Données projet'!$A$192,'Données projet'!$B$192,EJ187+EI188-ER187))</f>
        <v>-5.6843418860808015E-14</v>
      </c>
      <c r="EK188" s="18">
        <f>EJ188*VLOOKUP('Données projet'!$B$15,Paramètres!$A$1:$I$88,3,0)*VLOOKUP('Données projet'!$B$15,Paramètres!$A$1:$I$88,5,0)</f>
        <v>-2.6602720026858149E-14</v>
      </c>
      <c r="EL188" s="14" t="e">
        <f t="shared" si="179"/>
        <v>#NUM!</v>
      </c>
      <c r="EM188" s="22" t="e">
        <f t="shared" si="180"/>
        <v>#NUM!</v>
      </c>
      <c r="EN188" s="62" t="e">
        <f t="shared" si="134"/>
        <v>#NUM!</v>
      </c>
      <c r="EO188" s="62">
        <f ca="1">AVERAGE(OFFSET($EN$3,0,0,'Données projet'!$E$15+1,1))-AVERAGE(OFFSET($H$3,0,0,'Données projet'!$E$15+1,1))</f>
        <v>238.59014604384171</v>
      </c>
      <c r="EP188" s="62">
        <f t="shared" si="135"/>
        <v>90.841373219575217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projet'!$B$15,Paramètres!$A$1:$I$88,7,0))</f>
        <v>0</v>
      </c>
      <c r="ET188" s="17">
        <f>IF(ISNA(VLOOKUP(A188,'Données projet'!$A$191:$I$211,6,0)),0%,VLOOKUP(A188,'Données projet'!$A$191:$I$211,6,0)*VLOOKUP('Données projet'!$B$15,Paramètres!$A$1:$I$88,7,0))</f>
        <v>0</v>
      </c>
      <c r="EU188" s="17">
        <f>IF(ISNA(VLOOKUP(A188,'Données projet'!$A$191:$I$211,7,0)),0%,VLOOKUP(A188,'Données projet'!$A$191:$I$211,7,0))</f>
        <v>0</v>
      </c>
      <c r="EV188" s="23">
        <f>EXP(-LN(2)/35)*EV187+(1-EXP(-LN(2)/35))/(LN(2)/35)*ER188*ES188*VLOOKUP('Données projet'!$B$9,Paramètres!$A$1:$I$88,3,0)*0.475*44/12</f>
        <v>0</v>
      </c>
      <c r="EW188" s="23">
        <f>EXP(-LN(2)/25)*EW187+(1-EXP(-LN(2)/25))/(LN(2)/25)*Calculateur!ER188*Calculateur!ET188*VLOOKUP('Données projet'!$B$9,Paramètres!$A$1:$I$88,3,0)*0.475*44/12</f>
        <v>0</v>
      </c>
      <c r="EX188" s="23">
        <f>EXP(-LN(2)/2)*EX187+(1-EXP(-LN(2)/2))/(LN(2)/2)*ER188*EU188*VLOOKUP('Données projet'!$B$9,Paramètres!$A$1:$I$88,3,0)*0.475*44/12</f>
        <v>0</v>
      </c>
      <c r="EY188" s="24">
        <f t="shared" si="181"/>
        <v>0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IF(A188&lt;'Données projet'!$A$218,$FB$205^A188,IF(A188='Données projet'!$A$218,'Données projet'!$B$218,FE187+FD188-FM187))</f>
        <v>0</v>
      </c>
      <c r="FF188" s="18" t="e">
        <f>FE188*VLOOKUP('Données projet'!$B$16,Paramètres!$A$1:$I$88,3,0)*VLOOKUP('Données projet'!$B$16,Paramètres!$A$1:$I$88,5,0)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8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39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projet'!$B$16,Paramètres!$A$1:$I$88,7,0))</f>
        <v>0</v>
      </c>
      <c r="FO188" s="17">
        <f>IF(ISNA(VLOOKUP(A188,'Données projet'!$A$217:$I$237,6,0)),0%,VLOOKUP(A188,'Données projet'!$A$217:$I$237,6,0)*VLOOKUP('Données projet'!$B$16,Paramètres!$A$1:$I$88,7,0))</f>
        <v>0</v>
      </c>
      <c r="FP188" s="17">
        <f>IF(ISNA(VLOOKUP(A188,'Données projet'!$A$217:$I$237,7,0)),0%,VLOOKUP(A188,'Données projet'!$A$217:$I$237,7,0))</f>
        <v>0</v>
      </c>
      <c r="FQ188" s="23">
        <f>EXP(-LN(2)/35)*FQ187+(1-EXP(-LN(2)/35))/(LN(2)/35)*FM188*FN188*VLOOKUP('Données projet'!$B$9,Paramètres!$A$1:$I$88,3,0)*0.475*44/12</f>
        <v>0</v>
      </c>
      <c r="FR188" s="23">
        <f>EXP(-LN(2)/25)*FR187+(1-EXP(-LN(2)/25))/(LN(2)/25)*Calculateur!FM188*Calculateur!FO188*VLOOKUP('Données projet'!$B$9,Paramètres!$A$1:$I$88,3,0)*0.475*44/12</f>
        <v>0</v>
      </c>
      <c r="FS188" s="23">
        <f>EXP(-LN(2)/2)*FS187+(1-EXP(-LN(2)/2))/(LN(2)/2)*FM188*FP188*VLOOKUP('Données projet'!$B$9,Paramètres!$A$1:$I$88,3,0)*0.475*44/12</f>
        <v>0</v>
      </c>
      <c r="FT188" s="24">
        <f t="shared" si="184"/>
        <v>0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IF(A188&lt;'Données projet'!$A$244,$FW$205^A188,IF(A188='Données projet'!$A$244,'Données projet'!$B$244,FZ187+FY188-GH187))</f>
        <v>0</v>
      </c>
      <c r="GA188" s="18" t="e">
        <f>FZ188*VLOOKUP('Données projet'!$B$17,Paramètres!$A$1:$I$88,3,0)*VLOOKUP('Données projet'!$B$17,Paramètres!$A$1:$I$88,5,0)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42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43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projet'!$B$17,Paramètres!$A$1:$I$88,7,0))</f>
        <v>0</v>
      </c>
      <c r="GJ188" s="17">
        <f>IF(ISNA(VLOOKUP(A188,'Données projet'!$A$243:$I$263,6,0)),0%,VLOOKUP(A188,'Données projet'!$A$243:$I$263,6,0)*VLOOKUP('Données projet'!$B$17,Paramètres!$A$1:$I$88,7,0))</f>
        <v>0</v>
      </c>
      <c r="GK188" s="17">
        <f>IF(ISNA(VLOOKUP(A188,'Données projet'!$A$243:$I$263,7,0)),0%,VLOOKUP(A188,'Données projet'!$A$243:$I$263,7,0))</f>
        <v>0</v>
      </c>
      <c r="GL188" s="23">
        <f>EXP(-LN(2)/35)*GL187+(1-EXP(-LN(2)/35))/(LN(2)/35)*GH188*GI188*VLOOKUP('Données projet'!$B$9,Paramètres!$A$1:$I$88,3,0)*0.475*44/12</f>
        <v>0</v>
      </c>
      <c r="GM188" s="23">
        <f>EXP(-LN(2)/25)*GM187+(1-EXP(-LN(2)/25))/(LN(2)/25)*Calculateur!GH188*Calculateur!GJ188*VLOOKUP('Données projet'!$B$9,Paramètres!$A$1:$I$88,3,0)*0.475*44/12</f>
        <v>0</v>
      </c>
      <c r="GN188" s="23">
        <f>EXP(-LN(2)/2)*GN187+(1-EXP(-LN(2)/2))/(LN(2)/2)*GH188*GK188*VLOOKUP('Données projet'!$B$9,Paramètres!$A$1:$I$88,3,0)*0.475*44/12</f>
        <v>0</v>
      </c>
      <c r="GO188" s="23">
        <f t="shared" si="187"/>
        <v>0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IF(A188&lt;'Données projet'!$A$270,$GR$205^A188,IF(A188='Données projet'!$A$270,'Données projet'!$B$270,GU187+GT188-HC187))</f>
        <v>0</v>
      </c>
      <c r="GV188" s="18" t="e">
        <f>GU188*VLOOKUP('Données projet'!$B$18,Paramètres!$A$1:$I$88,3,0)*VLOOKUP('Données projet'!$B$18,Paramètres!$A$1:$I$88,5,0)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46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47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projet'!$B$18,Paramètres!$A$1:$I$88,7,0))</f>
        <v>0</v>
      </c>
      <c r="HE188" s="17">
        <f>IF(ISNA(VLOOKUP(A188,'Données projet'!$A$269:$I$289,6,0)),0%,VLOOKUP(A188,'Données projet'!$A$269:$I$289,6,0)*VLOOKUP('Données projet'!$B$18,Paramètres!$A$1:$I$88,7,0))</f>
        <v>0</v>
      </c>
      <c r="HF188" s="17">
        <f>IF(ISNA(VLOOKUP(A188,'Données projet'!$A$269:$I$289,7,0)),0%,VLOOKUP(A188,'Données projet'!$A$269:$I$289,7,0))</f>
        <v>0</v>
      </c>
      <c r="HG188" s="23">
        <f>EXP(-LN(2)/35)*HG187+(1-EXP(-LN(2)/35))/(LN(2)/35)*HC188*HD188*VLOOKUP('Données projet'!$B$9,Paramètres!$A$1:$I$88,3,0)*0.475*44/12</f>
        <v>0</v>
      </c>
      <c r="HH188" s="23">
        <f>EXP(-LN(2)/25)*HH187+(1-EXP(-LN(2)/25))/(LN(2)/25)*Calculateur!HC188*Calculateur!HE188*VLOOKUP('Données projet'!$B$9,Paramètres!$A$1:$I$88,3,0)*0.475*44/12</f>
        <v>0</v>
      </c>
      <c r="HI188" s="23">
        <f>EXP(-LN(2)/2)*HI187+(1-EXP(-LN(2)/2))/(LN(2)/2)*HC188*HF188*VLOOKUP('Données projet'!$B$9,Paramètres!$A$1:$I$88,3,0)*0.475*44/12</f>
        <v>0</v>
      </c>
      <c r="HJ188" s="24">
        <f t="shared" si="190"/>
        <v>0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89" s="12">
        <f t="shared" si="15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111"/>
        <v>135.66666666666666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IF(A189&lt;'Données projet'!$A$36,$K$205^A189,IF(A189='Données projet'!$A$36,'Données projet'!$B$36,N188+M189-V188))</f>
        <v>0</v>
      </c>
      <c r="O189" s="14">
        <f>N189*VLOOKUP('Données projet'!$B$9,Paramètres!$A$1:$I$88,3,0)*VLOOKUP('Données projet'!$B$9,Paramètres!$A$1:$I$88,5,0)</f>
        <v>0</v>
      </c>
      <c r="P189" s="14" t="e">
        <f t="shared" si="15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314.72063458462026</v>
      </c>
      <c r="T189" s="62">
        <f t="shared" si="110"/>
        <v>216.4380325968244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projet'!$B$9,Paramètres!$A$1:$I$88,7,0))</f>
        <v>0</v>
      </c>
      <c r="X189" s="17">
        <f>IF(ISNA(VLOOKUP(A189,'Données projet'!$A$35:$I$55,6,0)),0%,VLOOKUP(A189,'Données projet'!$A$35:$I$55,6,0)*VLOOKUP('Données projet'!$B$9,Paramètres!$A$1:$I$88,7,0))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projet'!$B$9,Paramètres!$A$1:$I$88,3,0)*0.475*44/12</f>
        <v>0</v>
      </c>
      <c r="AA189" s="23">
        <f>EXP(-LN(2)/25)*AA188+(1-EXP(-LN(2)/25))/(LN(2)/25)*Calculateur!V189*Calculateur!X189*VLOOKUP('Données projet'!$B$9,Paramètres!$A$1:$I$88,3,0)*0.475*44/12</f>
        <v>0</v>
      </c>
      <c r="AB189" s="23">
        <f>EXP(-LN(2)/2)*AB188+(1-EXP(-LN(2)/2))/(LN(2)/2)*V189*Y189*VLOOKUP('Données projet'!$B$9,Paramètres!$A$1:$I$88,3,0)*0.475*44/12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IF(A189&lt;'Données projet'!$A$62,$AF$205^A189,IF(A189='Données projet'!$A$62,'Données projet'!$B$62,AI188+AH189-AQ188))</f>
        <v>1.1368683772161603E-13</v>
      </c>
      <c r="AJ189" s="14">
        <f>AI189*VLOOKUP('Données projet'!$B$10,Paramètres!$A$1:$I$88,3,0)*VLOOKUP('Données projet'!$B$10,Paramètres!$A$1:$I$88,5,0)</f>
        <v>1.1882548278663309E-13</v>
      </c>
      <c r="AK189" s="14">
        <f t="shared" si="164"/>
        <v>1.7496137229198366E-12</v>
      </c>
      <c r="AL189" s="22">
        <f t="shared" si="165"/>
        <v>3.2541982832721012E-12</v>
      </c>
      <c r="AM189" s="62">
        <f t="shared" si="114"/>
        <v>287.95773898757307</v>
      </c>
      <c r="AN189" s="62">
        <f ca="1">AVERAGE(OFFSET($AM$3,0,0,'Données projet'!$E$10+1,1))-AVERAGE(OFFSET($H$3,0,0,'Données projet'!$E$10+1,1))</f>
        <v>458.33072853676879</v>
      </c>
      <c r="AO189" s="62">
        <f t="shared" si="115"/>
        <v>254.1734169352687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projet'!$B$10,Paramètres!$A$1:$I$88,7,0))</f>
        <v>0</v>
      </c>
      <c r="AS189" s="17">
        <f>IF(ISNA(VLOOKUP(A189,'Données projet'!$A$61:$I$81,6,0)),0%,VLOOKUP(A189,'Données projet'!$A$61:$I$81,6,0)*VLOOKUP('Données projet'!$B$10,Paramètres!$A$1:$I$88,7,0))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projet'!$B$9,Paramètres!$A$1:$I$88,3,0)*0.475*44/12</f>
        <v>0</v>
      </c>
      <c r="AV189" s="23">
        <f>EXP(-LN(2)/25)*AV188+(1-EXP(-LN(2)/25))/(LN(2)/25)*Calculateur!AQ189*Calculateur!AS189*VLOOKUP('Données projet'!$B$9,Paramètres!$A$1:$I$88,3,0)*0.475*44/12</f>
        <v>0</v>
      </c>
      <c r="AW189" s="23">
        <f>EXP(-LN(2)/2)*AW188+(1-EXP(-LN(2)/2))/(LN(2)/2)*AQ189*AT189*VLOOKUP('Données projet'!$B$9,Paramètres!$A$1:$I$88,3,0)*0.475*44/12</f>
        <v>0</v>
      </c>
      <c r="AX189" s="23">
        <f t="shared" si="166"/>
        <v>0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IF(A189&lt;'Données projet'!$A$88,$BA$205^A189,IF(A189='Données projet'!$A$88,'Données projet'!$B$88,BD188+BC189-BL188))</f>
        <v>1.1368683772161603E-13</v>
      </c>
      <c r="BE189" s="14">
        <f>BD189*VLOOKUP('Données projet'!$B$11,Paramètres!$A$1:$I$88,3,0)*VLOOKUP('Données projet'!$B$11,Paramètres!$A$1:$I$88,5,0)</f>
        <v>1.1527845344971866E-13</v>
      </c>
      <c r="BF189" s="14">
        <f t="shared" si="167"/>
        <v>1.7033846239409443E-12</v>
      </c>
      <c r="BG189" s="22">
        <f t="shared" si="168"/>
        <v>3.1675048597887374E-12</v>
      </c>
      <c r="BH189" s="62">
        <f t="shared" si="118"/>
        <v>287.95773898757301</v>
      </c>
      <c r="BI189" s="62">
        <f ca="1">AVERAGE(OFFSET($BH$3,0,0,'Données projet'!$E$11+1,1))-AVERAGE(OFFSET($H$3,0,0,'Données projet'!$E$11+1,1))</f>
        <v>447.82618173893104</v>
      </c>
      <c r="BJ189" s="62">
        <f t="shared" si="119"/>
        <v>248.96509970783379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projet'!$B$11,Paramètres!$A$1:$I$88,7,0))</f>
        <v>0</v>
      </c>
      <c r="BN189" s="17">
        <f>IF(ISNA(VLOOKUP(A189,'Données projet'!$A$87:$I$107,6,0)),0%,VLOOKUP(A189,'Données projet'!$A$87:$I$107,6,0)*VLOOKUP('Données projet'!$B$11,Paramètres!$A$1:$I$88,7,0))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projet'!$B$9,Paramètres!$A$1:$I$88,3,0)*0.475*44/12</f>
        <v>0</v>
      </c>
      <c r="BQ189" s="23">
        <f>EXP(-LN(2)/25)*BQ188+(1-EXP(-LN(2)/25))/(LN(2)/25)*Calculateur!BL189*Calculateur!BN189*VLOOKUP('Données projet'!$B$9,Paramètres!$A$1:$I$88,3,0)*0.475*44/12</f>
        <v>0</v>
      </c>
      <c r="BR189" s="23">
        <f>EXP(-LN(2)/2)*BR188+(1-EXP(-LN(2)/2))/(LN(2)/2)*BL189*BO189*VLOOKUP('Données projet'!$B$9,Paramètres!$A$1:$I$88,3,0)*0.475*44/12</f>
        <v>0</v>
      </c>
      <c r="BS189" s="24">
        <f t="shared" si="169"/>
        <v>0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IF(A189&lt;'Données projet'!$A$114,$BV$205^A189,IF(A189='Données projet'!$A$114,'Données projet'!$B$114,BY188+BX189-CG188))</f>
        <v>1.1368683772161603E-13</v>
      </c>
      <c r="BZ189" s="14">
        <f>BY189*VLOOKUP('Données projet'!$B$12,Paramètres!$A$1:$I$88,3,0)*VLOOKUP('Données projet'!$B$12,Paramètres!$A$1:$I$88,5,0)</f>
        <v>1.223725121235475E-13</v>
      </c>
      <c r="CA189" s="14">
        <f t="shared" si="170"/>
        <v>1.7956824466038182E-12</v>
      </c>
      <c r="CB189" s="22">
        <f t="shared" si="171"/>
        <v>3.3406123864501612E-12</v>
      </c>
      <c r="CC189" s="62">
        <f t="shared" si="122"/>
        <v>287.95773898757318</v>
      </c>
      <c r="CD189" s="62">
        <f ca="1">AVERAGE(OFFSET($CC$3,0,0,'Données projet'!$E$12+1,1))-AVERAGE(OFFSET($H$3,0,0,'Données projet'!$E$12+1,1))</f>
        <v>468.82871618425406</v>
      </c>
      <c r="CE189" s="62">
        <f t="shared" si="123"/>
        <v>259.37818128554397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projet'!$B$12,Paramètres!$A$1:$I$88,7,0))</f>
        <v>0</v>
      </c>
      <c r="CI189" s="17">
        <f>IF(ISNA(VLOOKUP(A189,'Données projet'!$A$113:$I$133,6,0)),0%,VLOOKUP(A189,'Données projet'!$A$113:$I$133,6,0)*VLOOKUP('Données projet'!$B$12,Paramètres!$A$1:$I$88,7,0))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projet'!$B$9,Paramètres!$A$1:$I$88,3,0)*0.475*44/12</f>
        <v>0</v>
      </c>
      <c r="CL189" s="23">
        <f>EXP(-LN(2)/25)*CL188+(1-EXP(-LN(2)/25))/(LN(2)/25)*Calculateur!CG189*Calculateur!CI189*VLOOKUP('Données projet'!$B$9,Paramètres!$A$1:$I$88,3,0)*0.475*44/12</f>
        <v>0</v>
      </c>
      <c r="CM189" s="23">
        <f>EXP(-LN(2)/2)*CM188+(1-EXP(-LN(2)/2))/(LN(2)/2)*CG189*CJ189*VLOOKUP('Données projet'!$B$9,Paramètres!$A$1:$I$88,3,0)*0.475*44/12</f>
        <v>0</v>
      </c>
      <c r="CN189" s="24">
        <f t="shared" si="172"/>
        <v>0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IF(A189&lt;'Données projet'!$A$140,$CQ$205^A189,IF(A189='Données projet'!$A$140,'Données projet'!$B$140,CT188+CS189-DB188))</f>
        <v>1.1368683772161603E-13</v>
      </c>
      <c r="CU189" s="18">
        <f>CT189*VLOOKUP('Données projet'!$B$13,Paramètres!$A$1:$I$88,3,0)*VLOOKUP('Données projet'!$B$13,Paramètres!$A$1:$I$88,5,0)</f>
        <v>9.7543306765146564E-14</v>
      </c>
      <c r="CV189" s="14">
        <f t="shared" si="173"/>
        <v>1.4696264278629426E-12</v>
      </c>
      <c r="CW189" s="22">
        <f t="shared" si="174"/>
        <v>2.7294872878105889E-12</v>
      </c>
      <c r="CX189" s="62">
        <f t="shared" si="126"/>
        <v>287.95773898757255</v>
      </c>
      <c r="CY189" s="62">
        <f ca="1">AVERAGE(OFFSET($CX$3,0,0,'Données projet'!$E$13+1,1))-AVERAGE(OFFSET($H$3,0,0,'Données projet'!$E$13+1,1))</f>
        <v>395.19659151668884</v>
      </c>
      <c r="CZ189" s="62">
        <f t="shared" si="127"/>
        <v>222.86563304507339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projet'!$B$13,Paramètres!$A$1:$I$88,7,0))</f>
        <v>0</v>
      </c>
      <c r="DD189" s="17">
        <f>IF(ISNA(VLOOKUP(A189,'Données projet'!$A$139:$I$159,6,0)),0%,VLOOKUP(A189,'Données projet'!$A$139:$I$159,6,0)*VLOOKUP('Données projet'!$B$13,Paramètres!$A$1:$I$88,7,0))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projet'!$B$9,Paramètres!$A$1:$I$88,3,0)*0.475*44/12</f>
        <v>0</v>
      </c>
      <c r="DG189" s="23">
        <f>EXP(-LN(2)/25)*DG188+(1-EXP(-LN(2)/25))/(LN(2)/25)*Calculateur!DB189*Calculateur!DD189*VLOOKUP('Données projet'!$B$9,Paramètres!$A$1:$I$88,3,0)*0.475*44/12</f>
        <v>0</v>
      </c>
      <c r="DH189" s="23">
        <f>EXP(-LN(2)/2)*DH188+(1-EXP(-LN(2)/2))/(LN(2)/2)*DB189*DE189*VLOOKUP('Données projet'!$B$9,Paramètres!$A$1:$I$88,3,0)*0.475*44/12</f>
        <v>0</v>
      </c>
      <c r="DI189" s="24">
        <f t="shared" si="175"/>
        <v>0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IF(A189&lt;'Données projet'!$A$166,$DL$205^A189,IF(A189='Données projet'!$A$166,'Données projet'!$B$166,DO188+DN189-DW188))</f>
        <v>-8.5265128291212022E-14</v>
      </c>
      <c r="DP189" s="18">
        <f>DO189*VLOOKUP('Données projet'!$B$14,Paramètres!$A$1:$I$88,3,0)*VLOOKUP('Données projet'!$B$14,Paramètres!$A$1:$I$88,5,0)</f>
        <v>-4.9880100050359036E-14</v>
      </c>
      <c r="DQ189" s="14" t="e">
        <f t="shared" si="176"/>
        <v>#NUM!</v>
      </c>
      <c r="DR189" s="22" t="e">
        <f t="shared" si="177"/>
        <v>#NUM!</v>
      </c>
      <c r="DS189" s="62" t="e">
        <f t="shared" si="130"/>
        <v>#NUM!</v>
      </c>
      <c r="DT189" s="62">
        <f ca="1">AVERAGE(OFFSET($DS$3,0,0,'Données projet'!$E$14+1,1))-AVERAGE(OFFSET($H$3,0,0,'Données projet'!$E$14+1,1))</f>
        <v>155.18073137151848</v>
      </c>
      <c r="DU189" s="62">
        <f t="shared" si="131"/>
        <v>115.19459155667272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projet'!$B$14,Paramètres!$A$1:$I$88,7,0))</f>
        <v>0</v>
      </c>
      <c r="DY189" s="17">
        <f>IF(ISNA(VLOOKUP(A189,'Données projet'!$A$165:$I$185,6,0)),0%,VLOOKUP(A189,'Données projet'!$A$165:$I$185,6,0)*VLOOKUP('Données projet'!$B$14,Paramètres!$A$1:$I$88,7,0))</f>
        <v>0</v>
      </c>
      <c r="DZ189" s="17">
        <f>IF(ISNA(VLOOKUP(A189,'Données projet'!$A$165:$I$185,7,0)),0%,VLOOKUP(A189,'Données projet'!$A$165:$I$185,7,0))</f>
        <v>0</v>
      </c>
      <c r="EA189" s="23">
        <f>EXP(-LN(2)/35)*EA188+(1-EXP(-LN(2)/35))/(LN(2)/35)*DW189*DX189*VLOOKUP('Données projet'!$B$9,Paramètres!$A$1:$I$88,3,0)*0.475*44/12</f>
        <v>0</v>
      </c>
      <c r="EB189" s="23">
        <f>EXP(-LN(2)/25)*EB188+(1-EXP(-LN(2)/25))/(LN(2)/25)*Calculateur!DW189*Calculateur!DY189*VLOOKUP('Données projet'!$B$9,Paramètres!$A$1:$I$88,3,0)*0.475*44/12</f>
        <v>0</v>
      </c>
      <c r="EC189" s="23">
        <f>EXP(-LN(2)/2)*EC188+(1-EXP(-LN(2)/2))/(LN(2)/2)*DW189*DZ189*VLOOKUP('Données projet'!$B$9,Paramètres!$A$1:$I$88,3,0)*0.475*44/12</f>
        <v>0</v>
      </c>
      <c r="ED189" s="24">
        <f t="shared" si="178"/>
        <v>0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IF(A189&lt;'Données projet'!$A$192,$EG$205^A189,IF(A189='Données projet'!$A$192,'Données projet'!$B$192,EJ188+EI189-ER188))</f>
        <v>-5.6843418860808015E-14</v>
      </c>
      <c r="EK189" s="18">
        <f>EJ189*VLOOKUP('Données projet'!$B$15,Paramètres!$A$1:$I$88,3,0)*VLOOKUP('Données projet'!$B$15,Paramètres!$A$1:$I$88,5,0)</f>
        <v>-2.6602720026858149E-14</v>
      </c>
      <c r="EL189" s="14" t="e">
        <f t="shared" si="179"/>
        <v>#NUM!</v>
      </c>
      <c r="EM189" s="22" t="e">
        <f t="shared" si="180"/>
        <v>#NUM!</v>
      </c>
      <c r="EN189" s="62" t="e">
        <f t="shared" si="134"/>
        <v>#NUM!</v>
      </c>
      <c r="EO189" s="62">
        <f ca="1">AVERAGE(OFFSET($EN$3,0,0,'Données projet'!$E$15+1,1))-AVERAGE(OFFSET($H$3,0,0,'Données projet'!$E$15+1,1))</f>
        <v>238.59014604384171</v>
      </c>
      <c r="EP189" s="62">
        <f t="shared" si="135"/>
        <v>90.841373219575217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projet'!$B$15,Paramètres!$A$1:$I$88,7,0))</f>
        <v>0</v>
      </c>
      <c r="ET189" s="17">
        <f>IF(ISNA(VLOOKUP(A189,'Données projet'!$A$191:$I$211,6,0)),0%,VLOOKUP(A189,'Données projet'!$A$191:$I$211,6,0)*VLOOKUP('Données projet'!$B$15,Paramètres!$A$1:$I$88,7,0))</f>
        <v>0</v>
      </c>
      <c r="EU189" s="17">
        <f>IF(ISNA(VLOOKUP(A189,'Données projet'!$A$191:$I$211,7,0)),0%,VLOOKUP(A189,'Données projet'!$A$191:$I$211,7,0))</f>
        <v>0</v>
      </c>
      <c r="EV189" s="23">
        <f>EXP(-LN(2)/35)*EV188+(1-EXP(-LN(2)/35))/(LN(2)/35)*ER189*ES189*VLOOKUP('Données projet'!$B$9,Paramètres!$A$1:$I$88,3,0)*0.475*44/12</f>
        <v>0</v>
      </c>
      <c r="EW189" s="23">
        <f>EXP(-LN(2)/25)*EW188+(1-EXP(-LN(2)/25))/(LN(2)/25)*Calculateur!ER189*Calculateur!ET189*VLOOKUP('Données projet'!$B$9,Paramètres!$A$1:$I$88,3,0)*0.475*44/12</f>
        <v>0</v>
      </c>
      <c r="EX189" s="23">
        <f>EXP(-LN(2)/2)*EX188+(1-EXP(-LN(2)/2))/(LN(2)/2)*ER189*EU189*VLOOKUP('Données projet'!$B$9,Paramètres!$A$1:$I$88,3,0)*0.475*44/12</f>
        <v>0</v>
      </c>
      <c r="EY189" s="24">
        <f t="shared" si="181"/>
        <v>0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IF(A189&lt;'Données projet'!$A$218,$FB$205^A189,IF(A189='Données projet'!$A$218,'Données projet'!$B$218,FE188+FD189-FM188))</f>
        <v>0</v>
      </c>
      <c r="FF189" s="18" t="e">
        <f>FE189*VLOOKUP('Données projet'!$B$16,Paramètres!$A$1:$I$88,3,0)*VLOOKUP('Données projet'!$B$16,Paramètres!$A$1:$I$88,5,0)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8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39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projet'!$B$16,Paramètres!$A$1:$I$88,7,0))</f>
        <v>0</v>
      </c>
      <c r="FO189" s="17">
        <f>IF(ISNA(VLOOKUP(A189,'Données projet'!$A$217:$I$237,6,0)),0%,VLOOKUP(A189,'Données projet'!$A$217:$I$237,6,0)*VLOOKUP('Données projet'!$B$16,Paramètres!$A$1:$I$88,7,0))</f>
        <v>0</v>
      </c>
      <c r="FP189" s="17">
        <f>IF(ISNA(VLOOKUP(A189,'Données projet'!$A$217:$I$237,7,0)),0%,VLOOKUP(A189,'Données projet'!$A$217:$I$237,7,0))</f>
        <v>0</v>
      </c>
      <c r="FQ189" s="23">
        <f>EXP(-LN(2)/35)*FQ188+(1-EXP(-LN(2)/35))/(LN(2)/35)*FM189*FN189*VLOOKUP('Données projet'!$B$9,Paramètres!$A$1:$I$88,3,0)*0.475*44/12</f>
        <v>0</v>
      </c>
      <c r="FR189" s="23">
        <f>EXP(-LN(2)/25)*FR188+(1-EXP(-LN(2)/25))/(LN(2)/25)*Calculateur!FM189*Calculateur!FO189*VLOOKUP('Données projet'!$B$9,Paramètres!$A$1:$I$88,3,0)*0.475*44/12</f>
        <v>0</v>
      </c>
      <c r="FS189" s="23">
        <f>EXP(-LN(2)/2)*FS188+(1-EXP(-LN(2)/2))/(LN(2)/2)*FM189*FP189*VLOOKUP('Données projet'!$B$9,Paramètres!$A$1:$I$88,3,0)*0.475*44/12</f>
        <v>0</v>
      </c>
      <c r="FT189" s="24">
        <f t="shared" si="184"/>
        <v>0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IF(A189&lt;'Données projet'!$A$244,$FW$205^A189,IF(A189='Données projet'!$A$244,'Données projet'!$B$244,FZ188+FY189-GH188))</f>
        <v>0</v>
      </c>
      <c r="GA189" s="18" t="e">
        <f>FZ189*VLOOKUP('Données projet'!$B$17,Paramètres!$A$1:$I$88,3,0)*VLOOKUP('Données projet'!$B$17,Paramètres!$A$1:$I$88,5,0)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42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43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projet'!$B$17,Paramètres!$A$1:$I$88,7,0))</f>
        <v>0</v>
      </c>
      <c r="GJ189" s="17">
        <f>IF(ISNA(VLOOKUP(A189,'Données projet'!$A$243:$I$263,6,0)),0%,VLOOKUP(A189,'Données projet'!$A$243:$I$263,6,0)*VLOOKUP('Données projet'!$B$17,Paramètres!$A$1:$I$88,7,0))</f>
        <v>0</v>
      </c>
      <c r="GK189" s="17">
        <f>IF(ISNA(VLOOKUP(A189,'Données projet'!$A$243:$I$263,7,0)),0%,VLOOKUP(A189,'Données projet'!$A$243:$I$263,7,0))</f>
        <v>0</v>
      </c>
      <c r="GL189" s="23">
        <f>EXP(-LN(2)/35)*GL188+(1-EXP(-LN(2)/35))/(LN(2)/35)*GH189*GI189*VLOOKUP('Données projet'!$B$9,Paramètres!$A$1:$I$88,3,0)*0.475*44/12</f>
        <v>0</v>
      </c>
      <c r="GM189" s="23">
        <f>EXP(-LN(2)/25)*GM188+(1-EXP(-LN(2)/25))/(LN(2)/25)*Calculateur!GH189*Calculateur!GJ189*VLOOKUP('Données projet'!$B$9,Paramètres!$A$1:$I$88,3,0)*0.475*44/12</f>
        <v>0</v>
      </c>
      <c r="GN189" s="23">
        <f>EXP(-LN(2)/2)*GN188+(1-EXP(-LN(2)/2))/(LN(2)/2)*GH189*GK189*VLOOKUP('Données projet'!$B$9,Paramètres!$A$1:$I$88,3,0)*0.475*44/12</f>
        <v>0</v>
      </c>
      <c r="GO189" s="23">
        <f t="shared" si="187"/>
        <v>0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IF(A189&lt;'Données projet'!$A$270,$GR$205^A189,IF(A189='Données projet'!$A$270,'Données projet'!$B$270,GU188+GT189-HC188))</f>
        <v>0</v>
      </c>
      <c r="GV189" s="18" t="e">
        <f>GU189*VLOOKUP('Données projet'!$B$18,Paramètres!$A$1:$I$88,3,0)*VLOOKUP('Données projet'!$B$18,Paramètres!$A$1:$I$88,5,0)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46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47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projet'!$B$18,Paramètres!$A$1:$I$88,7,0))</f>
        <v>0</v>
      </c>
      <c r="HE189" s="17">
        <f>IF(ISNA(VLOOKUP(A189,'Données projet'!$A$269:$I$289,6,0)),0%,VLOOKUP(A189,'Données projet'!$A$269:$I$289,6,0)*VLOOKUP('Données projet'!$B$18,Paramètres!$A$1:$I$88,7,0))</f>
        <v>0</v>
      </c>
      <c r="HF189" s="17">
        <f>IF(ISNA(VLOOKUP(A189,'Données projet'!$A$269:$I$289,7,0)),0%,VLOOKUP(A189,'Données projet'!$A$269:$I$289,7,0))</f>
        <v>0</v>
      </c>
      <c r="HG189" s="23">
        <f>EXP(-LN(2)/35)*HG188+(1-EXP(-LN(2)/35))/(LN(2)/35)*HC189*HD189*VLOOKUP('Données projet'!$B$9,Paramètres!$A$1:$I$88,3,0)*0.475*44/12</f>
        <v>0</v>
      </c>
      <c r="HH189" s="23">
        <f>EXP(-LN(2)/25)*HH188+(1-EXP(-LN(2)/25))/(LN(2)/25)*Calculateur!HC189*Calculateur!HE189*VLOOKUP('Données projet'!$B$9,Paramètres!$A$1:$I$88,3,0)*0.475*44/12</f>
        <v>0</v>
      </c>
      <c r="HI189" s="23">
        <f>EXP(-LN(2)/2)*HI188+(1-EXP(-LN(2)/2))/(LN(2)/2)*HC189*HF189*VLOOKUP('Données projet'!$B$9,Paramètres!$A$1:$I$88,3,0)*0.475*44/12</f>
        <v>0</v>
      </c>
      <c r="HJ189" s="24">
        <f t="shared" si="190"/>
        <v>0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0" s="12">
        <f t="shared" si="15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111"/>
        <v>135.66666666666666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IF(A190&lt;'Données projet'!$A$36,$K$205^A190,IF(A190='Données projet'!$A$36,'Données projet'!$B$36,N189+M190-V189))</f>
        <v>0</v>
      </c>
      <c r="O190" s="14">
        <f>N190*VLOOKUP('Données projet'!$B$9,Paramètres!$A$1:$I$88,3,0)*VLOOKUP('Données projet'!$B$9,Paramètres!$A$1:$I$88,5,0)</f>
        <v>0</v>
      </c>
      <c r="P190" s="14" t="e">
        <f t="shared" si="15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314.72063458462026</v>
      </c>
      <c r="T190" s="62">
        <f t="shared" si="110"/>
        <v>216.4380325968244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projet'!$B$9,Paramètres!$A$1:$I$88,7,0))</f>
        <v>0</v>
      </c>
      <c r="X190" s="17">
        <f>IF(ISNA(VLOOKUP(A190,'Données projet'!$A$35:$I$55,6,0)),0%,VLOOKUP(A190,'Données projet'!$A$35:$I$55,6,0)*VLOOKUP('Données projet'!$B$9,Paramètres!$A$1:$I$88,7,0))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projet'!$B$9,Paramètres!$A$1:$I$88,3,0)*0.475*44/12</f>
        <v>0</v>
      </c>
      <c r="AA190" s="23">
        <f>EXP(-LN(2)/25)*AA189+(1-EXP(-LN(2)/25))/(LN(2)/25)*Calculateur!V190*Calculateur!X190*VLOOKUP('Données projet'!$B$9,Paramètres!$A$1:$I$88,3,0)*0.475*44/12</f>
        <v>0</v>
      </c>
      <c r="AB190" s="23">
        <f>EXP(-LN(2)/2)*AB189+(1-EXP(-LN(2)/2))/(LN(2)/2)*V190*Y190*VLOOKUP('Données projet'!$B$9,Paramètres!$A$1:$I$88,3,0)*0.475*44/12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IF(A190&lt;'Données projet'!$A$62,$AF$205^A190,IF(A190='Données projet'!$A$62,'Données projet'!$B$62,AI189+AH190-AQ189))</f>
        <v>1.1368683772161603E-13</v>
      </c>
      <c r="AJ190" s="14">
        <f>AI190*VLOOKUP('Données projet'!$B$10,Paramètres!$A$1:$I$88,3,0)*VLOOKUP('Données projet'!$B$10,Paramètres!$A$1:$I$88,5,0)</f>
        <v>1.1882548278663309E-13</v>
      </c>
      <c r="AK190" s="14">
        <f t="shared" si="164"/>
        <v>1.7496137229198366E-12</v>
      </c>
      <c r="AL190" s="22">
        <f t="shared" si="165"/>
        <v>3.2541982832721012E-12</v>
      </c>
      <c r="AM190" s="62">
        <f t="shared" si="114"/>
        <v>288.05099353144362</v>
      </c>
      <c r="AN190" s="62">
        <f ca="1">AVERAGE(OFFSET($AM$3,0,0,'Données projet'!$E$10+1,1))-AVERAGE(OFFSET($H$3,0,0,'Données projet'!$E$10+1,1))</f>
        <v>458.33072853676879</v>
      </c>
      <c r="AO190" s="62">
        <f t="shared" si="115"/>
        <v>254.1734169352687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projet'!$B$10,Paramètres!$A$1:$I$88,7,0))</f>
        <v>0</v>
      </c>
      <c r="AS190" s="17">
        <f>IF(ISNA(VLOOKUP(A190,'Données projet'!$A$61:$I$81,6,0)),0%,VLOOKUP(A190,'Données projet'!$A$61:$I$81,6,0)*VLOOKUP('Données projet'!$B$10,Paramètres!$A$1:$I$88,7,0))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projet'!$B$9,Paramètres!$A$1:$I$88,3,0)*0.475*44/12</f>
        <v>0</v>
      </c>
      <c r="AV190" s="23">
        <f>EXP(-LN(2)/25)*AV189+(1-EXP(-LN(2)/25))/(LN(2)/25)*Calculateur!AQ190*Calculateur!AS190*VLOOKUP('Données projet'!$B$9,Paramètres!$A$1:$I$88,3,0)*0.475*44/12</f>
        <v>0</v>
      </c>
      <c r="AW190" s="23">
        <f>EXP(-LN(2)/2)*AW189+(1-EXP(-LN(2)/2))/(LN(2)/2)*AQ190*AT190*VLOOKUP('Données projet'!$B$9,Paramètres!$A$1:$I$88,3,0)*0.475*44/12</f>
        <v>0</v>
      </c>
      <c r="AX190" s="23">
        <f t="shared" si="166"/>
        <v>0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IF(A190&lt;'Données projet'!$A$88,$BA$205^A190,IF(A190='Données projet'!$A$88,'Données projet'!$B$88,BD189+BC190-BL189))</f>
        <v>1.1368683772161603E-13</v>
      </c>
      <c r="BE190" s="14">
        <f>BD190*VLOOKUP('Données projet'!$B$11,Paramètres!$A$1:$I$88,3,0)*VLOOKUP('Données projet'!$B$11,Paramètres!$A$1:$I$88,5,0)</f>
        <v>1.1527845344971866E-13</v>
      </c>
      <c r="BF190" s="14">
        <f t="shared" si="167"/>
        <v>1.7033846239409443E-12</v>
      </c>
      <c r="BG190" s="22">
        <f t="shared" si="168"/>
        <v>3.1675048597887374E-12</v>
      </c>
      <c r="BH190" s="62">
        <f t="shared" si="118"/>
        <v>288.05099353144357</v>
      </c>
      <c r="BI190" s="62">
        <f ca="1">AVERAGE(OFFSET($BH$3,0,0,'Données projet'!$E$11+1,1))-AVERAGE(OFFSET($H$3,0,0,'Données projet'!$E$11+1,1))</f>
        <v>447.82618173893104</v>
      </c>
      <c r="BJ190" s="62">
        <f t="shared" si="119"/>
        <v>248.96509970783379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projet'!$B$11,Paramètres!$A$1:$I$88,7,0))</f>
        <v>0</v>
      </c>
      <c r="BN190" s="17">
        <f>IF(ISNA(VLOOKUP(A190,'Données projet'!$A$87:$I$107,6,0)),0%,VLOOKUP(A190,'Données projet'!$A$87:$I$107,6,0)*VLOOKUP('Données projet'!$B$11,Paramètres!$A$1:$I$88,7,0))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projet'!$B$9,Paramètres!$A$1:$I$88,3,0)*0.475*44/12</f>
        <v>0</v>
      </c>
      <c r="BQ190" s="23">
        <f>EXP(-LN(2)/25)*BQ189+(1-EXP(-LN(2)/25))/(LN(2)/25)*Calculateur!BL190*Calculateur!BN190*VLOOKUP('Données projet'!$B$9,Paramètres!$A$1:$I$88,3,0)*0.475*44/12</f>
        <v>0</v>
      </c>
      <c r="BR190" s="23">
        <f>EXP(-LN(2)/2)*BR189+(1-EXP(-LN(2)/2))/(LN(2)/2)*BL190*BO190*VLOOKUP('Données projet'!$B$9,Paramètres!$A$1:$I$88,3,0)*0.475*44/12</f>
        <v>0</v>
      </c>
      <c r="BS190" s="24">
        <f t="shared" si="169"/>
        <v>0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IF(A190&lt;'Données projet'!$A$114,$BV$205^A190,IF(A190='Données projet'!$A$114,'Données projet'!$B$114,BY189+BX190-CG189))</f>
        <v>1.1368683772161603E-13</v>
      </c>
      <c r="BZ190" s="14">
        <f>BY190*VLOOKUP('Données projet'!$B$12,Paramètres!$A$1:$I$88,3,0)*VLOOKUP('Données projet'!$B$12,Paramètres!$A$1:$I$88,5,0)</f>
        <v>1.223725121235475E-13</v>
      </c>
      <c r="CA190" s="14">
        <f t="shared" si="170"/>
        <v>1.7956824466038182E-12</v>
      </c>
      <c r="CB190" s="22">
        <f t="shared" si="171"/>
        <v>3.3406123864501612E-12</v>
      </c>
      <c r="CC190" s="62">
        <f t="shared" si="122"/>
        <v>288.05099353144374</v>
      </c>
      <c r="CD190" s="62">
        <f ca="1">AVERAGE(OFFSET($CC$3,0,0,'Données projet'!$E$12+1,1))-AVERAGE(OFFSET($H$3,0,0,'Données projet'!$E$12+1,1))</f>
        <v>468.82871618425406</v>
      </c>
      <c r="CE190" s="62">
        <f t="shared" si="123"/>
        <v>259.37818128554397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projet'!$B$12,Paramètres!$A$1:$I$88,7,0))</f>
        <v>0</v>
      </c>
      <c r="CI190" s="17">
        <f>IF(ISNA(VLOOKUP(A190,'Données projet'!$A$113:$I$133,6,0)),0%,VLOOKUP(A190,'Données projet'!$A$113:$I$133,6,0)*VLOOKUP('Données projet'!$B$12,Paramètres!$A$1:$I$88,7,0))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projet'!$B$9,Paramètres!$A$1:$I$88,3,0)*0.475*44/12</f>
        <v>0</v>
      </c>
      <c r="CL190" s="23">
        <f>EXP(-LN(2)/25)*CL189+(1-EXP(-LN(2)/25))/(LN(2)/25)*Calculateur!CG190*Calculateur!CI190*VLOOKUP('Données projet'!$B$9,Paramètres!$A$1:$I$88,3,0)*0.475*44/12</f>
        <v>0</v>
      </c>
      <c r="CM190" s="23">
        <f>EXP(-LN(2)/2)*CM189+(1-EXP(-LN(2)/2))/(LN(2)/2)*CG190*CJ190*VLOOKUP('Données projet'!$B$9,Paramètres!$A$1:$I$88,3,0)*0.475*44/12</f>
        <v>0</v>
      </c>
      <c r="CN190" s="24">
        <f t="shared" si="172"/>
        <v>0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IF(A190&lt;'Données projet'!$A$140,$CQ$205^A190,IF(A190='Données projet'!$A$140,'Données projet'!$B$140,CT189+CS190-DB189))</f>
        <v>1.1368683772161603E-13</v>
      </c>
      <c r="CU190" s="18">
        <f>CT190*VLOOKUP('Données projet'!$B$13,Paramètres!$A$1:$I$88,3,0)*VLOOKUP('Données projet'!$B$13,Paramètres!$A$1:$I$88,5,0)</f>
        <v>9.7543306765146564E-14</v>
      </c>
      <c r="CV190" s="14">
        <f t="shared" si="173"/>
        <v>1.4696264278629426E-12</v>
      </c>
      <c r="CW190" s="22">
        <f t="shared" si="174"/>
        <v>2.7294872878105889E-12</v>
      </c>
      <c r="CX190" s="62">
        <f t="shared" si="126"/>
        <v>288.05099353144311</v>
      </c>
      <c r="CY190" s="62">
        <f ca="1">AVERAGE(OFFSET($CX$3,0,0,'Données projet'!$E$13+1,1))-AVERAGE(OFFSET($H$3,0,0,'Données projet'!$E$13+1,1))</f>
        <v>395.19659151668884</v>
      </c>
      <c r="CZ190" s="62">
        <f t="shared" si="127"/>
        <v>222.86563304507339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projet'!$B$13,Paramètres!$A$1:$I$88,7,0))</f>
        <v>0</v>
      </c>
      <c r="DD190" s="17">
        <f>IF(ISNA(VLOOKUP(A190,'Données projet'!$A$139:$I$159,6,0)),0%,VLOOKUP(A190,'Données projet'!$A$139:$I$159,6,0)*VLOOKUP('Données projet'!$B$13,Paramètres!$A$1:$I$88,7,0))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projet'!$B$9,Paramètres!$A$1:$I$88,3,0)*0.475*44/12</f>
        <v>0</v>
      </c>
      <c r="DG190" s="23">
        <f>EXP(-LN(2)/25)*DG189+(1-EXP(-LN(2)/25))/(LN(2)/25)*Calculateur!DB190*Calculateur!DD190*VLOOKUP('Données projet'!$B$9,Paramètres!$A$1:$I$88,3,0)*0.475*44/12</f>
        <v>0</v>
      </c>
      <c r="DH190" s="23">
        <f>EXP(-LN(2)/2)*DH189+(1-EXP(-LN(2)/2))/(LN(2)/2)*DB190*DE190*VLOOKUP('Données projet'!$B$9,Paramètres!$A$1:$I$88,3,0)*0.475*44/12</f>
        <v>0</v>
      </c>
      <c r="DI190" s="24">
        <f t="shared" si="175"/>
        <v>0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IF(A190&lt;'Données projet'!$A$166,$DL$205^A190,IF(A190='Données projet'!$A$166,'Données projet'!$B$166,DO189+DN190-DW189))</f>
        <v>-8.5265128291212022E-14</v>
      </c>
      <c r="DP190" s="18">
        <f>DO190*VLOOKUP('Données projet'!$B$14,Paramètres!$A$1:$I$88,3,0)*VLOOKUP('Données projet'!$B$14,Paramètres!$A$1:$I$88,5,0)</f>
        <v>-4.9880100050359036E-14</v>
      </c>
      <c r="DQ190" s="14" t="e">
        <f t="shared" si="176"/>
        <v>#NUM!</v>
      </c>
      <c r="DR190" s="22" t="e">
        <f t="shared" si="177"/>
        <v>#NUM!</v>
      </c>
      <c r="DS190" s="62" t="e">
        <f t="shared" si="130"/>
        <v>#NUM!</v>
      </c>
      <c r="DT190" s="62">
        <f ca="1">AVERAGE(OFFSET($DS$3,0,0,'Données projet'!$E$14+1,1))-AVERAGE(OFFSET($H$3,0,0,'Données projet'!$E$14+1,1))</f>
        <v>155.18073137151848</v>
      </c>
      <c r="DU190" s="62">
        <f t="shared" si="131"/>
        <v>115.19459155667272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projet'!$B$14,Paramètres!$A$1:$I$88,7,0))</f>
        <v>0</v>
      </c>
      <c r="DY190" s="17">
        <f>IF(ISNA(VLOOKUP(A190,'Données projet'!$A$165:$I$185,6,0)),0%,VLOOKUP(A190,'Données projet'!$A$165:$I$185,6,0)*VLOOKUP('Données projet'!$B$14,Paramètres!$A$1:$I$88,7,0))</f>
        <v>0</v>
      </c>
      <c r="DZ190" s="17">
        <f>IF(ISNA(VLOOKUP(A190,'Données projet'!$A$165:$I$185,7,0)),0%,VLOOKUP(A190,'Données projet'!$A$165:$I$185,7,0))</f>
        <v>0</v>
      </c>
      <c r="EA190" s="23">
        <f>EXP(-LN(2)/35)*EA189+(1-EXP(-LN(2)/35))/(LN(2)/35)*DW190*DX190*VLOOKUP('Données projet'!$B$9,Paramètres!$A$1:$I$88,3,0)*0.475*44/12</f>
        <v>0</v>
      </c>
      <c r="EB190" s="23">
        <f>EXP(-LN(2)/25)*EB189+(1-EXP(-LN(2)/25))/(LN(2)/25)*Calculateur!DW190*Calculateur!DY190*VLOOKUP('Données projet'!$B$9,Paramètres!$A$1:$I$88,3,0)*0.475*44/12</f>
        <v>0</v>
      </c>
      <c r="EC190" s="23">
        <f>EXP(-LN(2)/2)*EC189+(1-EXP(-LN(2)/2))/(LN(2)/2)*DW190*DZ190*VLOOKUP('Données projet'!$B$9,Paramètres!$A$1:$I$88,3,0)*0.475*44/12</f>
        <v>0</v>
      </c>
      <c r="ED190" s="24">
        <f t="shared" si="178"/>
        <v>0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IF(A190&lt;'Données projet'!$A$192,$EG$205^A190,IF(A190='Données projet'!$A$192,'Données projet'!$B$192,EJ189+EI190-ER189))</f>
        <v>-5.6843418860808015E-14</v>
      </c>
      <c r="EK190" s="18">
        <f>EJ190*VLOOKUP('Données projet'!$B$15,Paramètres!$A$1:$I$88,3,0)*VLOOKUP('Données projet'!$B$15,Paramètres!$A$1:$I$88,5,0)</f>
        <v>-2.6602720026858149E-14</v>
      </c>
      <c r="EL190" s="14" t="e">
        <f t="shared" si="179"/>
        <v>#NUM!</v>
      </c>
      <c r="EM190" s="22" t="e">
        <f t="shared" si="180"/>
        <v>#NUM!</v>
      </c>
      <c r="EN190" s="62" t="e">
        <f t="shared" si="134"/>
        <v>#NUM!</v>
      </c>
      <c r="EO190" s="62">
        <f ca="1">AVERAGE(OFFSET($EN$3,0,0,'Données projet'!$E$15+1,1))-AVERAGE(OFFSET($H$3,0,0,'Données projet'!$E$15+1,1))</f>
        <v>238.59014604384171</v>
      </c>
      <c r="EP190" s="62">
        <f t="shared" si="135"/>
        <v>90.841373219575217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projet'!$B$15,Paramètres!$A$1:$I$88,7,0))</f>
        <v>0</v>
      </c>
      <c r="ET190" s="17">
        <f>IF(ISNA(VLOOKUP(A190,'Données projet'!$A$191:$I$211,6,0)),0%,VLOOKUP(A190,'Données projet'!$A$191:$I$211,6,0)*VLOOKUP('Données projet'!$B$15,Paramètres!$A$1:$I$88,7,0))</f>
        <v>0</v>
      </c>
      <c r="EU190" s="17">
        <f>IF(ISNA(VLOOKUP(A190,'Données projet'!$A$191:$I$211,7,0)),0%,VLOOKUP(A190,'Données projet'!$A$191:$I$211,7,0))</f>
        <v>0</v>
      </c>
      <c r="EV190" s="23">
        <f>EXP(-LN(2)/35)*EV189+(1-EXP(-LN(2)/35))/(LN(2)/35)*ER190*ES190*VLOOKUP('Données projet'!$B$9,Paramètres!$A$1:$I$88,3,0)*0.475*44/12</f>
        <v>0</v>
      </c>
      <c r="EW190" s="23">
        <f>EXP(-LN(2)/25)*EW189+(1-EXP(-LN(2)/25))/(LN(2)/25)*Calculateur!ER190*Calculateur!ET190*VLOOKUP('Données projet'!$B$9,Paramètres!$A$1:$I$88,3,0)*0.475*44/12</f>
        <v>0</v>
      </c>
      <c r="EX190" s="23">
        <f>EXP(-LN(2)/2)*EX189+(1-EXP(-LN(2)/2))/(LN(2)/2)*ER190*EU190*VLOOKUP('Données projet'!$B$9,Paramètres!$A$1:$I$88,3,0)*0.475*44/12</f>
        <v>0</v>
      </c>
      <c r="EY190" s="24">
        <f t="shared" si="181"/>
        <v>0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IF(A190&lt;'Données projet'!$A$218,$FB$205^A190,IF(A190='Données projet'!$A$218,'Données projet'!$B$218,FE189+FD190-FM189))</f>
        <v>0</v>
      </c>
      <c r="FF190" s="18" t="e">
        <f>FE190*VLOOKUP('Données projet'!$B$16,Paramètres!$A$1:$I$88,3,0)*VLOOKUP('Données projet'!$B$16,Paramètres!$A$1:$I$88,5,0)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8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39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projet'!$B$16,Paramètres!$A$1:$I$88,7,0))</f>
        <v>0</v>
      </c>
      <c r="FO190" s="17">
        <f>IF(ISNA(VLOOKUP(A190,'Données projet'!$A$217:$I$237,6,0)),0%,VLOOKUP(A190,'Données projet'!$A$217:$I$237,6,0)*VLOOKUP('Données projet'!$B$16,Paramètres!$A$1:$I$88,7,0))</f>
        <v>0</v>
      </c>
      <c r="FP190" s="17">
        <f>IF(ISNA(VLOOKUP(A190,'Données projet'!$A$217:$I$237,7,0)),0%,VLOOKUP(A190,'Données projet'!$A$217:$I$237,7,0))</f>
        <v>0</v>
      </c>
      <c r="FQ190" s="23">
        <f>EXP(-LN(2)/35)*FQ189+(1-EXP(-LN(2)/35))/(LN(2)/35)*FM190*FN190*VLOOKUP('Données projet'!$B$9,Paramètres!$A$1:$I$88,3,0)*0.475*44/12</f>
        <v>0</v>
      </c>
      <c r="FR190" s="23">
        <f>EXP(-LN(2)/25)*FR189+(1-EXP(-LN(2)/25))/(LN(2)/25)*Calculateur!FM190*Calculateur!FO190*VLOOKUP('Données projet'!$B$9,Paramètres!$A$1:$I$88,3,0)*0.475*44/12</f>
        <v>0</v>
      </c>
      <c r="FS190" s="23">
        <f>EXP(-LN(2)/2)*FS189+(1-EXP(-LN(2)/2))/(LN(2)/2)*FM190*FP190*VLOOKUP('Données projet'!$B$9,Paramètres!$A$1:$I$88,3,0)*0.475*44/12</f>
        <v>0</v>
      </c>
      <c r="FT190" s="24">
        <f t="shared" si="184"/>
        <v>0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IF(A190&lt;'Données projet'!$A$244,$FW$205^A190,IF(A190='Données projet'!$A$244,'Données projet'!$B$244,FZ189+FY190-GH189))</f>
        <v>0</v>
      </c>
      <c r="GA190" s="18" t="e">
        <f>FZ190*VLOOKUP('Données projet'!$B$17,Paramètres!$A$1:$I$88,3,0)*VLOOKUP('Données projet'!$B$17,Paramètres!$A$1:$I$88,5,0)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42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43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projet'!$B$17,Paramètres!$A$1:$I$88,7,0))</f>
        <v>0</v>
      </c>
      <c r="GJ190" s="17">
        <f>IF(ISNA(VLOOKUP(A190,'Données projet'!$A$243:$I$263,6,0)),0%,VLOOKUP(A190,'Données projet'!$A$243:$I$263,6,0)*VLOOKUP('Données projet'!$B$17,Paramètres!$A$1:$I$88,7,0))</f>
        <v>0</v>
      </c>
      <c r="GK190" s="17">
        <f>IF(ISNA(VLOOKUP(A190,'Données projet'!$A$243:$I$263,7,0)),0%,VLOOKUP(A190,'Données projet'!$A$243:$I$263,7,0))</f>
        <v>0</v>
      </c>
      <c r="GL190" s="23">
        <f>EXP(-LN(2)/35)*GL189+(1-EXP(-LN(2)/35))/(LN(2)/35)*GH190*GI190*VLOOKUP('Données projet'!$B$9,Paramètres!$A$1:$I$88,3,0)*0.475*44/12</f>
        <v>0</v>
      </c>
      <c r="GM190" s="23">
        <f>EXP(-LN(2)/25)*GM189+(1-EXP(-LN(2)/25))/(LN(2)/25)*Calculateur!GH190*Calculateur!GJ190*VLOOKUP('Données projet'!$B$9,Paramètres!$A$1:$I$88,3,0)*0.475*44/12</f>
        <v>0</v>
      </c>
      <c r="GN190" s="23">
        <f>EXP(-LN(2)/2)*GN189+(1-EXP(-LN(2)/2))/(LN(2)/2)*GH190*GK190*VLOOKUP('Données projet'!$B$9,Paramètres!$A$1:$I$88,3,0)*0.475*44/12</f>
        <v>0</v>
      </c>
      <c r="GO190" s="23">
        <f t="shared" si="187"/>
        <v>0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IF(A190&lt;'Données projet'!$A$270,$GR$205^A190,IF(A190='Données projet'!$A$270,'Données projet'!$B$270,GU189+GT190-HC189))</f>
        <v>0</v>
      </c>
      <c r="GV190" s="18" t="e">
        <f>GU190*VLOOKUP('Données projet'!$B$18,Paramètres!$A$1:$I$88,3,0)*VLOOKUP('Données projet'!$B$18,Paramètres!$A$1:$I$88,5,0)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46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47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projet'!$B$18,Paramètres!$A$1:$I$88,7,0))</f>
        <v>0</v>
      </c>
      <c r="HE190" s="17">
        <f>IF(ISNA(VLOOKUP(A190,'Données projet'!$A$269:$I$289,6,0)),0%,VLOOKUP(A190,'Données projet'!$A$269:$I$289,6,0)*VLOOKUP('Données projet'!$B$18,Paramètres!$A$1:$I$88,7,0))</f>
        <v>0</v>
      </c>
      <c r="HF190" s="17">
        <f>IF(ISNA(VLOOKUP(A190,'Données projet'!$A$269:$I$289,7,0)),0%,VLOOKUP(A190,'Données projet'!$A$269:$I$289,7,0))</f>
        <v>0</v>
      </c>
      <c r="HG190" s="23">
        <f>EXP(-LN(2)/35)*HG189+(1-EXP(-LN(2)/35))/(LN(2)/35)*HC190*HD190*VLOOKUP('Données projet'!$B$9,Paramètres!$A$1:$I$88,3,0)*0.475*44/12</f>
        <v>0</v>
      </c>
      <c r="HH190" s="23">
        <f>EXP(-LN(2)/25)*HH189+(1-EXP(-LN(2)/25))/(LN(2)/25)*Calculateur!HC190*Calculateur!HE190*VLOOKUP('Données projet'!$B$9,Paramètres!$A$1:$I$88,3,0)*0.475*44/12</f>
        <v>0</v>
      </c>
      <c r="HI190" s="23">
        <f>EXP(-LN(2)/2)*HI189+(1-EXP(-LN(2)/2))/(LN(2)/2)*HC190*HF190*VLOOKUP('Données projet'!$B$9,Paramètres!$A$1:$I$88,3,0)*0.475*44/12</f>
        <v>0</v>
      </c>
      <c r="HJ190" s="24">
        <f t="shared" si="190"/>
        <v>0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1" s="12">
        <f t="shared" si="15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111"/>
        <v>135.66666666666666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IF(A191&lt;'Données projet'!$A$36,$K$205^A191,IF(A191='Données projet'!$A$36,'Données projet'!$B$36,N190+M191-V190))</f>
        <v>0</v>
      </c>
      <c r="O191" s="14">
        <f>N191*VLOOKUP('Données projet'!$B$9,Paramètres!$A$1:$I$88,3,0)*VLOOKUP('Données projet'!$B$9,Paramètres!$A$1:$I$88,5,0)</f>
        <v>0</v>
      </c>
      <c r="P191" s="14" t="e">
        <f t="shared" si="15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314.72063458462026</v>
      </c>
      <c r="T191" s="62">
        <f t="shared" si="110"/>
        <v>216.4380325968244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projet'!$B$9,Paramètres!$A$1:$I$88,7,0))</f>
        <v>0</v>
      </c>
      <c r="X191" s="17">
        <f>IF(ISNA(VLOOKUP(A191,'Données projet'!$A$35:$I$55,6,0)),0%,VLOOKUP(A191,'Données projet'!$A$35:$I$55,6,0)*VLOOKUP('Données projet'!$B$9,Paramètres!$A$1:$I$88,7,0))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projet'!$B$9,Paramètres!$A$1:$I$88,3,0)*0.475*44/12</f>
        <v>0</v>
      </c>
      <c r="AA191" s="23">
        <f>EXP(-LN(2)/25)*AA190+(1-EXP(-LN(2)/25))/(LN(2)/25)*Calculateur!V191*Calculateur!X191*VLOOKUP('Données projet'!$B$9,Paramètres!$A$1:$I$88,3,0)*0.475*44/12</f>
        <v>0</v>
      </c>
      <c r="AB191" s="23">
        <f>EXP(-LN(2)/2)*AB190+(1-EXP(-LN(2)/2))/(LN(2)/2)*V191*Y191*VLOOKUP('Données projet'!$B$9,Paramètres!$A$1:$I$88,3,0)*0.475*44/12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IF(A191&lt;'Données projet'!$A$62,$AF$205^A191,IF(A191='Données projet'!$A$62,'Données projet'!$B$62,AI190+AH191-AQ190))</f>
        <v>1.1368683772161603E-13</v>
      </c>
      <c r="AJ191" s="14">
        <f>AI191*VLOOKUP('Données projet'!$B$10,Paramètres!$A$1:$I$88,3,0)*VLOOKUP('Données projet'!$B$10,Paramètres!$A$1:$I$88,5,0)</f>
        <v>1.1882548278663309E-13</v>
      </c>
      <c r="AK191" s="14">
        <f t="shared" si="164"/>
        <v>1.7496137229198366E-12</v>
      </c>
      <c r="AL191" s="22">
        <f t="shared" si="165"/>
        <v>3.2541982832721012E-12</v>
      </c>
      <c r="AM191" s="62">
        <f t="shared" si="114"/>
        <v>288.14263031746384</v>
      </c>
      <c r="AN191" s="62">
        <f ca="1">AVERAGE(OFFSET($AM$3,0,0,'Données projet'!$E$10+1,1))-AVERAGE(OFFSET($H$3,0,0,'Données projet'!$E$10+1,1))</f>
        <v>458.33072853676879</v>
      </c>
      <c r="AO191" s="62">
        <f t="shared" si="115"/>
        <v>254.1734169352687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projet'!$B$10,Paramètres!$A$1:$I$88,7,0))</f>
        <v>0</v>
      </c>
      <c r="AS191" s="17">
        <f>IF(ISNA(VLOOKUP(A191,'Données projet'!$A$61:$I$81,6,0)),0%,VLOOKUP(A191,'Données projet'!$A$61:$I$81,6,0)*VLOOKUP('Données projet'!$B$10,Paramètres!$A$1:$I$88,7,0))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projet'!$B$9,Paramètres!$A$1:$I$88,3,0)*0.475*44/12</f>
        <v>0</v>
      </c>
      <c r="AV191" s="23">
        <f>EXP(-LN(2)/25)*AV190+(1-EXP(-LN(2)/25))/(LN(2)/25)*Calculateur!AQ191*Calculateur!AS191*VLOOKUP('Données projet'!$B$9,Paramètres!$A$1:$I$88,3,0)*0.475*44/12</f>
        <v>0</v>
      </c>
      <c r="AW191" s="23">
        <f>EXP(-LN(2)/2)*AW190+(1-EXP(-LN(2)/2))/(LN(2)/2)*AQ191*AT191*VLOOKUP('Données projet'!$B$9,Paramètres!$A$1:$I$88,3,0)*0.475*44/12</f>
        <v>0</v>
      </c>
      <c r="AX191" s="23">
        <f t="shared" si="166"/>
        <v>0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IF(A191&lt;'Données projet'!$A$88,$BA$205^A191,IF(A191='Données projet'!$A$88,'Données projet'!$B$88,BD190+BC191-BL190))</f>
        <v>1.1368683772161603E-13</v>
      </c>
      <c r="BE191" s="14">
        <f>BD191*VLOOKUP('Données projet'!$B$11,Paramètres!$A$1:$I$88,3,0)*VLOOKUP('Données projet'!$B$11,Paramètres!$A$1:$I$88,5,0)</f>
        <v>1.1527845344971866E-13</v>
      </c>
      <c r="BF191" s="14">
        <f t="shared" si="167"/>
        <v>1.7033846239409443E-12</v>
      </c>
      <c r="BG191" s="22">
        <f t="shared" si="168"/>
        <v>3.1675048597887374E-12</v>
      </c>
      <c r="BH191" s="62">
        <f t="shared" si="118"/>
        <v>288.14263031746378</v>
      </c>
      <c r="BI191" s="62">
        <f ca="1">AVERAGE(OFFSET($BH$3,0,0,'Données projet'!$E$11+1,1))-AVERAGE(OFFSET($H$3,0,0,'Données projet'!$E$11+1,1))</f>
        <v>447.82618173893104</v>
      </c>
      <c r="BJ191" s="62">
        <f t="shared" si="119"/>
        <v>248.96509970783379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projet'!$B$11,Paramètres!$A$1:$I$88,7,0))</f>
        <v>0</v>
      </c>
      <c r="BN191" s="17">
        <f>IF(ISNA(VLOOKUP(A191,'Données projet'!$A$87:$I$107,6,0)),0%,VLOOKUP(A191,'Données projet'!$A$87:$I$107,6,0)*VLOOKUP('Données projet'!$B$11,Paramètres!$A$1:$I$88,7,0))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projet'!$B$9,Paramètres!$A$1:$I$88,3,0)*0.475*44/12</f>
        <v>0</v>
      </c>
      <c r="BQ191" s="23">
        <f>EXP(-LN(2)/25)*BQ190+(1-EXP(-LN(2)/25))/(LN(2)/25)*Calculateur!BL191*Calculateur!BN191*VLOOKUP('Données projet'!$B$9,Paramètres!$A$1:$I$88,3,0)*0.475*44/12</f>
        <v>0</v>
      </c>
      <c r="BR191" s="23">
        <f>EXP(-LN(2)/2)*BR190+(1-EXP(-LN(2)/2))/(LN(2)/2)*BL191*BO191*VLOOKUP('Données projet'!$B$9,Paramètres!$A$1:$I$88,3,0)*0.475*44/12</f>
        <v>0</v>
      </c>
      <c r="BS191" s="24">
        <f t="shared" si="169"/>
        <v>0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IF(A191&lt;'Données projet'!$A$114,$BV$205^A191,IF(A191='Données projet'!$A$114,'Données projet'!$B$114,BY190+BX191-CG190))</f>
        <v>1.1368683772161603E-13</v>
      </c>
      <c r="BZ191" s="14">
        <f>BY191*VLOOKUP('Données projet'!$B$12,Paramètres!$A$1:$I$88,3,0)*VLOOKUP('Données projet'!$B$12,Paramètres!$A$1:$I$88,5,0)</f>
        <v>1.223725121235475E-13</v>
      </c>
      <c r="CA191" s="14">
        <f t="shared" si="170"/>
        <v>1.7956824466038182E-12</v>
      </c>
      <c r="CB191" s="22">
        <f t="shared" si="171"/>
        <v>3.3406123864501612E-12</v>
      </c>
      <c r="CC191" s="62">
        <f t="shared" si="122"/>
        <v>288.14263031746395</v>
      </c>
      <c r="CD191" s="62">
        <f ca="1">AVERAGE(OFFSET($CC$3,0,0,'Données projet'!$E$12+1,1))-AVERAGE(OFFSET($H$3,0,0,'Données projet'!$E$12+1,1))</f>
        <v>468.82871618425406</v>
      </c>
      <c r="CE191" s="62">
        <f t="shared" si="123"/>
        <v>259.37818128554397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projet'!$B$12,Paramètres!$A$1:$I$88,7,0))</f>
        <v>0</v>
      </c>
      <c r="CI191" s="17">
        <f>IF(ISNA(VLOOKUP(A191,'Données projet'!$A$113:$I$133,6,0)),0%,VLOOKUP(A191,'Données projet'!$A$113:$I$133,6,0)*VLOOKUP('Données projet'!$B$12,Paramètres!$A$1:$I$88,7,0))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projet'!$B$9,Paramètres!$A$1:$I$88,3,0)*0.475*44/12</f>
        <v>0</v>
      </c>
      <c r="CL191" s="23">
        <f>EXP(-LN(2)/25)*CL190+(1-EXP(-LN(2)/25))/(LN(2)/25)*Calculateur!CG191*Calculateur!CI191*VLOOKUP('Données projet'!$B$9,Paramètres!$A$1:$I$88,3,0)*0.475*44/12</f>
        <v>0</v>
      </c>
      <c r="CM191" s="23">
        <f>EXP(-LN(2)/2)*CM190+(1-EXP(-LN(2)/2))/(LN(2)/2)*CG191*CJ191*VLOOKUP('Données projet'!$B$9,Paramètres!$A$1:$I$88,3,0)*0.475*44/12</f>
        <v>0</v>
      </c>
      <c r="CN191" s="24">
        <f t="shared" si="172"/>
        <v>0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IF(A191&lt;'Données projet'!$A$140,$CQ$205^A191,IF(A191='Données projet'!$A$140,'Données projet'!$B$140,CT190+CS191-DB190))</f>
        <v>1.1368683772161603E-13</v>
      </c>
      <c r="CU191" s="18">
        <f>CT191*VLOOKUP('Données projet'!$B$13,Paramètres!$A$1:$I$88,3,0)*VLOOKUP('Données projet'!$B$13,Paramètres!$A$1:$I$88,5,0)</f>
        <v>9.7543306765146564E-14</v>
      </c>
      <c r="CV191" s="14">
        <f t="shared" si="173"/>
        <v>1.4696264278629426E-12</v>
      </c>
      <c r="CW191" s="22">
        <f t="shared" si="174"/>
        <v>2.7294872878105889E-12</v>
      </c>
      <c r="CX191" s="62">
        <f t="shared" si="126"/>
        <v>288.14263031746333</v>
      </c>
      <c r="CY191" s="62">
        <f ca="1">AVERAGE(OFFSET($CX$3,0,0,'Données projet'!$E$13+1,1))-AVERAGE(OFFSET($H$3,0,0,'Données projet'!$E$13+1,1))</f>
        <v>395.19659151668884</v>
      </c>
      <c r="CZ191" s="62">
        <f t="shared" si="127"/>
        <v>222.86563304507339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projet'!$B$13,Paramètres!$A$1:$I$88,7,0))</f>
        <v>0</v>
      </c>
      <c r="DD191" s="17">
        <f>IF(ISNA(VLOOKUP(A191,'Données projet'!$A$139:$I$159,6,0)),0%,VLOOKUP(A191,'Données projet'!$A$139:$I$159,6,0)*VLOOKUP('Données projet'!$B$13,Paramètres!$A$1:$I$88,7,0))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projet'!$B$9,Paramètres!$A$1:$I$88,3,0)*0.475*44/12</f>
        <v>0</v>
      </c>
      <c r="DG191" s="23">
        <f>EXP(-LN(2)/25)*DG190+(1-EXP(-LN(2)/25))/(LN(2)/25)*Calculateur!DB191*Calculateur!DD191*VLOOKUP('Données projet'!$B$9,Paramètres!$A$1:$I$88,3,0)*0.475*44/12</f>
        <v>0</v>
      </c>
      <c r="DH191" s="23">
        <f>EXP(-LN(2)/2)*DH190+(1-EXP(-LN(2)/2))/(LN(2)/2)*DB191*DE191*VLOOKUP('Données projet'!$B$9,Paramètres!$A$1:$I$88,3,0)*0.475*44/12</f>
        <v>0</v>
      </c>
      <c r="DI191" s="24">
        <f t="shared" si="175"/>
        <v>0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IF(A191&lt;'Données projet'!$A$166,$DL$205^A191,IF(A191='Données projet'!$A$166,'Données projet'!$B$166,DO190+DN191-DW190))</f>
        <v>-8.5265128291212022E-14</v>
      </c>
      <c r="DP191" s="18">
        <f>DO191*VLOOKUP('Données projet'!$B$14,Paramètres!$A$1:$I$88,3,0)*VLOOKUP('Données projet'!$B$14,Paramètres!$A$1:$I$88,5,0)</f>
        <v>-4.9880100050359036E-14</v>
      </c>
      <c r="DQ191" s="14" t="e">
        <f t="shared" si="176"/>
        <v>#NUM!</v>
      </c>
      <c r="DR191" s="22" t="e">
        <f t="shared" si="177"/>
        <v>#NUM!</v>
      </c>
      <c r="DS191" s="62" t="e">
        <f t="shared" si="130"/>
        <v>#NUM!</v>
      </c>
      <c r="DT191" s="62">
        <f ca="1">AVERAGE(OFFSET($DS$3,0,0,'Données projet'!$E$14+1,1))-AVERAGE(OFFSET($H$3,0,0,'Données projet'!$E$14+1,1))</f>
        <v>155.18073137151848</v>
      </c>
      <c r="DU191" s="62">
        <f t="shared" si="131"/>
        <v>115.19459155667272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projet'!$B$14,Paramètres!$A$1:$I$88,7,0))</f>
        <v>0</v>
      </c>
      <c r="DY191" s="17">
        <f>IF(ISNA(VLOOKUP(A191,'Données projet'!$A$165:$I$185,6,0)),0%,VLOOKUP(A191,'Données projet'!$A$165:$I$185,6,0)*VLOOKUP('Données projet'!$B$14,Paramètres!$A$1:$I$88,7,0))</f>
        <v>0</v>
      </c>
      <c r="DZ191" s="17">
        <f>IF(ISNA(VLOOKUP(A191,'Données projet'!$A$165:$I$185,7,0)),0%,VLOOKUP(A191,'Données projet'!$A$165:$I$185,7,0))</f>
        <v>0</v>
      </c>
      <c r="EA191" s="23">
        <f>EXP(-LN(2)/35)*EA190+(1-EXP(-LN(2)/35))/(LN(2)/35)*DW191*DX191*VLOOKUP('Données projet'!$B$9,Paramètres!$A$1:$I$88,3,0)*0.475*44/12</f>
        <v>0</v>
      </c>
      <c r="EB191" s="23">
        <f>EXP(-LN(2)/25)*EB190+(1-EXP(-LN(2)/25))/(LN(2)/25)*Calculateur!DW191*Calculateur!DY191*VLOOKUP('Données projet'!$B$9,Paramètres!$A$1:$I$88,3,0)*0.475*44/12</f>
        <v>0</v>
      </c>
      <c r="EC191" s="23">
        <f>EXP(-LN(2)/2)*EC190+(1-EXP(-LN(2)/2))/(LN(2)/2)*DW191*DZ191*VLOOKUP('Données projet'!$B$9,Paramètres!$A$1:$I$88,3,0)*0.475*44/12</f>
        <v>0</v>
      </c>
      <c r="ED191" s="24">
        <f t="shared" si="178"/>
        <v>0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IF(A191&lt;'Données projet'!$A$192,$EG$205^A191,IF(A191='Données projet'!$A$192,'Données projet'!$B$192,EJ190+EI191-ER190))</f>
        <v>-5.6843418860808015E-14</v>
      </c>
      <c r="EK191" s="18">
        <f>EJ191*VLOOKUP('Données projet'!$B$15,Paramètres!$A$1:$I$88,3,0)*VLOOKUP('Données projet'!$B$15,Paramètres!$A$1:$I$88,5,0)</f>
        <v>-2.6602720026858149E-14</v>
      </c>
      <c r="EL191" s="14" t="e">
        <f t="shared" si="179"/>
        <v>#NUM!</v>
      </c>
      <c r="EM191" s="22" t="e">
        <f t="shared" si="180"/>
        <v>#NUM!</v>
      </c>
      <c r="EN191" s="62" t="e">
        <f t="shared" si="134"/>
        <v>#NUM!</v>
      </c>
      <c r="EO191" s="62">
        <f ca="1">AVERAGE(OFFSET($EN$3,0,0,'Données projet'!$E$15+1,1))-AVERAGE(OFFSET($H$3,0,0,'Données projet'!$E$15+1,1))</f>
        <v>238.59014604384171</v>
      </c>
      <c r="EP191" s="62">
        <f t="shared" si="135"/>
        <v>90.841373219575217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projet'!$B$15,Paramètres!$A$1:$I$88,7,0))</f>
        <v>0</v>
      </c>
      <c r="ET191" s="17">
        <f>IF(ISNA(VLOOKUP(A191,'Données projet'!$A$191:$I$211,6,0)),0%,VLOOKUP(A191,'Données projet'!$A$191:$I$211,6,0)*VLOOKUP('Données projet'!$B$15,Paramètres!$A$1:$I$88,7,0))</f>
        <v>0</v>
      </c>
      <c r="EU191" s="17">
        <f>IF(ISNA(VLOOKUP(A191,'Données projet'!$A$191:$I$211,7,0)),0%,VLOOKUP(A191,'Données projet'!$A$191:$I$211,7,0))</f>
        <v>0</v>
      </c>
      <c r="EV191" s="23">
        <f>EXP(-LN(2)/35)*EV190+(1-EXP(-LN(2)/35))/(LN(2)/35)*ER191*ES191*VLOOKUP('Données projet'!$B$9,Paramètres!$A$1:$I$88,3,0)*0.475*44/12</f>
        <v>0</v>
      </c>
      <c r="EW191" s="23">
        <f>EXP(-LN(2)/25)*EW190+(1-EXP(-LN(2)/25))/(LN(2)/25)*Calculateur!ER191*Calculateur!ET191*VLOOKUP('Données projet'!$B$9,Paramètres!$A$1:$I$88,3,0)*0.475*44/12</f>
        <v>0</v>
      </c>
      <c r="EX191" s="23">
        <f>EXP(-LN(2)/2)*EX190+(1-EXP(-LN(2)/2))/(LN(2)/2)*ER191*EU191*VLOOKUP('Données projet'!$B$9,Paramètres!$A$1:$I$88,3,0)*0.475*44/12</f>
        <v>0</v>
      </c>
      <c r="EY191" s="24">
        <f t="shared" si="181"/>
        <v>0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IF(A191&lt;'Données projet'!$A$218,$FB$205^A191,IF(A191='Données projet'!$A$218,'Données projet'!$B$218,FE190+FD191-FM190))</f>
        <v>0</v>
      </c>
      <c r="FF191" s="18" t="e">
        <f>FE191*VLOOKUP('Données projet'!$B$16,Paramètres!$A$1:$I$88,3,0)*VLOOKUP('Données projet'!$B$16,Paramètres!$A$1:$I$88,5,0)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8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39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projet'!$B$16,Paramètres!$A$1:$I$88,7,0))</f>
        <v>0</v>
      </c>
      <c r="FO191" s="17">
        <f>IF(ISNA(VLOOKUP(A191,'Données projet'!$A$217:$I$237,6,0)),0%,VLOOKUP(A191,'Données projet'!$A$217:$I$237,6,0)*VLOOKUP('Données projet'!$B$16,Paramètres!$A$1:$I$88,7,0))</f>
        <v>0</v>
      </c>
      <c r="FP191" s="17">
        <f>IF(ISNA(VLOOKUP(A191,'Données projet'!$A$217:$I$237,7,0)),0%,VLOOKUP(A191,'Données projet'!$A$217:$I$237,7,0))</f>
        <v>0</v>
      </c>
      <c r="FQ191" s="23">
        <f>EXP(-LN(2)/35)*FQ190+(1-EXP(-LN(2)/35))/(LN(2)/35)*FM191*FN191*VLOOKUP('Données projet'!$B$9,Paramètres!$A$1:$I$88,3,0)*0.475*44/12</f>
        <v>0</v>
      </c>
      <c r="FR191" s="23">
        <f>EXP(-LN(2)/25)*FR190+(1-EXP(-LN(2)/25))/(LN(2)/25)*Calculateur!FM191*Calculateur!FO191*VLOOKUP('Données projet'!$B$9,Paramètres!$A$1:$I$88,3,0)*0.475*44/12</f>
        <v>0</v>
      </c>
      <c r="FS191" s="23">
        <f>EXP(-LN(2)/2)*FS190+(1-EXP(-LN(2)/2))/(LN(2)/2)*FM191*FP191*VLOOKUP('Données projet'!$B$9,Paramètres!$A$1:$I$88,3,0)*0.475*44/12</f>
        <v>0</v>
      </c>
      <c r="FT191" s="24">
        <f t="shared" si="184"/>
        <v>0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IF(A191&lt;'Données projet'!$A$244,$FW$205^A191,IF(A191='Données projet'!$A$244,'Données projet'!$B$244,FZ190+FY191-GH190))</f>
        <v>0</v>
      </c>
      <c r="GA191" s="18" t="e">
        <f>FZ191*VLOOKUP('Données projet'!$B$17,Paramètres!$A$1:$I$88,3,0)*VLOOKUP('Données projet'!$B$17,Paramètres!$A$1:$I$88,5,0)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42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43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projet'!$B$17,Paramètres!$A$1:$I$88,7,0))</f>
        <v>0</v>
      </c>
      <c r="GJ191" s="17">
        <f>IF(ISNA(VLOOKUP(A191,'Données projet'!$A$243:$I$263,6,0)),0%,VLOOKUP(A191,'Données projet'!$A$243:$I$263,6,0)*VLOOKUP('Données projet'!$B$17,Paramètres!$A$1:$I$88,7,0))</f>
        <v>0</v>
      </c>
      <c r="GK191" s="17">
        <f>IF(ISNA(VLOOKUP(A191,'Données projet'!$A$243:$I$263,7,0)),0%,VLOOKUP(A191,'Données projet'!$A$243:$I$263,7,0))</f>
        <v>0</v>
      </c>
      <c r="GL191" s="23">
        <f>EXP(-LN(2)/35)*GL190+(1-EXP(-LN(2)/35))/(LN(2)/35)*GH191*GI191*VLOOKUP('Données projet'!$B$9,Paramètres!$A$1:$I$88,3,0)*0.475*44/12</f>
        <v>0</v>
      </c>
      <c r="GM191" s="23">
        <f>EXP(-LN(2)/25)*GM190+(1-EXP(-LN(2)/25))/(LN(2)/25)*Calculateur!GH191*Calculateur!GJ191*VLOOKUP('Données projet'!$B$9,Paramètres!$A$1:$I$88,3,0)*0.475*44/12</f>
        <v>0</v>
      </c>
      <c r="GN191" s="23">
        <f>EXP(-LN(2)/2)*GN190+(1-EXP(-LN(2)/2))/(LN(2)/2)*GH191*GK191*VLOOKUP('Données projet'!$B$9,Paramètres!$A$1:$I$88,3,0)*0.475*44/12</f>
        <v>0</v>
      </c>
      <c r="GO191" s="23">
        <f t="shared" si="187"/>
        <v>0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IF(A191&lt;'Données projet'!$A$270,$GR$205^A191,IF(A191='Données projet'!$A$270,'Données projet'!$B$270,GU190+GT191-HC190))</f>
        <v>0</v>
      </c>
      <c r="GV191" s="18" t="e">
        <f>GU191*VLOOKUP('Données projet'!$B$18,Paramètres!$A$1:$I$88,3,0)*VLOOKUP('Données projet'!$B$18,Paramètres!$A$1:$I$88,5,0)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46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47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projet'!$B$18,Paramètres!$A$1:$I$88,7,0))</f>
        <v>0</v>
      </c>
      <c r="HE191" s="17">
        <f>IF(ISNA(VLOOKUP(A191,'Données projet'!$A$269:$I$289,6,0)),0%,VLOOKUP(A191,'Données projet'!$A$269:$I$289,6,0)*VLOOKUP('Données projet'!$B$18,Paramètres!$A$1:$I$88,7,0))</f>
        <v>0</v>
      </c>
      <c r="HF191" s="17">
        <f>IF(ISNA(VLOOKUP(A191,'Données projet'!$A$269:$I$289,7,0)),0%,VLOOKUP(A191,'Données projet'!$A$269:$I$289,7,0))</f>
        <v>0</v>
      </c>
      <c r="HG191" s="23">
        <f>EXP(-LN(2)/35)*HG190+(1-EXP(-LN(2)/35))/(LN(2)/35)*HC191*HD191*VLOOKUP('Données projet'!$B$9,Paramètres!$A$1:$I$88,3,0)*0.475*44/12</f>
        <v>0</v>
      </c>
      <c r="HH191" s="23">
        <f>EXP(-LN(2)/25)*HH190+(1-EXP(-LN(2)/25))/(LN(2)/25)*Calculateur!HC191*Calculateur!HE191*VLOOKUP('Données projet'!$B$9,Paramètres!$A$1:$I$88,3,0)*0.475*44/12</f>
        <v>0</v>
      </c>
      <c r="HI191" s="23">
        <f>EXP(-LN(2)/2)*HI190+(1-EXP(-LN(2)/2))/(LN(2)/2)*HC191*HF191*VLOOKUP('Données projet'!$B$9,Paramètres!$A$1:$I$88,3,0)*0.475*44/12</f>
        <v>0</v>
      </c>
      <c r="HJ191" s="24">
        <f t="shared" si="190"/>
        <v>0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2" s="12">
        <f t="shared" si="15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111"/>
        <v>135.66666666666666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IF(A192&lt;'Données projet'!$A$36,$K$205^A192,IF(A192='Données projet'!$A$36,'Données projet'!$B$36,N191+M192-V191))</f>
        <v>0</v>
      </c>
      <c r="O192" s="14">
        <f>N192*VLOOKUP('Données projet'!$B$9,Paramètres!$A$1:$I$88,3,0)*VLOOKUP('Données projet'!$B$9,Paramètres!$A$1:$I$88,5,0)</f>
        <v>0</v>
      </c>
      <c r="P192" s="14" t="e">
        <f t="shared" si="15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314.72063458462026</v>
      </c>
      <c r="T192" s="62">
        <f t="shared" si="110"/>
        <v>216.4380325968244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projet'!$B$9,Paramètres!$A$1:$I$88,7,0))</f>
        <v>0</v>
      </c>
      <c r="X192" s="17">
        <f>IF(ISNA(VLOOKUP(A192,'Données projet'!$A$35:$I$55,6,0)),0%,VLOOKUP(A192,'Données projet'!$A$35:$I$55,6,0)*VLOOKUP('Données projet'!$B$9,Paramètres!$A$1:$I$88,7,0))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projet'!$B$9,Paramètres!$A$1:$I$88,3,0)*0.475*44/12</f>
        <v>0</v>
      </c>
      <c r="AA192" s="23">
        <f>EXP(-LN(2)/25)*AA191+(1-EXP(-LN(2)/25))/(LN(2)/25)*Calculateur!V192*Calculateur!X192*VLOOKUP('Données projet'!$B$9,Paramètres!$A$1:$I$88,3,0)*0.475*44/12</f>
        <v>0</v>
      </c>
      <c r="AB192" s="23">
        <f>EXP(-LN(2)/2)*AB191+(1-EXP(-LN(2)/2))/(LN(2)/2)*V192*Y192*VLOOKUP('Données projet'!$B$9,Paramètres!$A$1:$I$88,3,0)*0.475*44/12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IF(A192&lt;'Données projet'!$A$62,$AF$205^A192,IF(A192='Données projet'!$A$62,'Données projet'!$B$62,AI191+AH192-AQ191))</f>
        <v>1.1368683772161603E-13</v>
      </c>
      <c r="AJ192" s="14">
        <f>AI192*VLOOKUP('Données projet'!$B$10,Paramètres!$A$1:$I$88,3,0)*VLOOKUP('Données projet'!$B$10,Paramètres!$A$1:$I$88,5,0)</f>
        <v>1.1882548278663309E-13</v>
      </c>
      <c r="AK192" s="14">
        <f t="shared" si="164"/>
        <v>1.7496137229198366E-12</v>
      </c>
      <c r="AL192" s="22">
        <f t="shared" si="165"/>
        <v>3.2541982832721012E-12</v>
      </c>
      <c r="AM192" s="62">
        <f t="shared" si="114"/>
        <v>288.2326774101158</v>
      </c>
      <c r="AN192" s="62">
        <f ca="1">AVERAGE(OFFSET($AM$3,0,0,'Données projet'!$E$10+1,1))-AVERAGE(OFFSET($H$3,0,0,'Données projet'!$E$10+1,1))</f>
        <v>458.33072853676879</v>
      </c>
      <c r="AO192" s="62">
        <f t="shared" si="115"/>
        <v>254.1734169352687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projet'!$B$10,Paramètres!$A$1:$I$88,7,0))</f>
        <v>0</v>
      </c>
      <c r="AS192" s="17">
        <f>IF(ISNA(VLOOKUP(A192,'Données projet'!$A$61:$I$81,6,0)),0%,VLOOKUP(A192,'Données projet'!$A$61:$I$81,6,0)*VLOOKUP('Données projet'!$B$10,Paramètres!$A$1:$I$88,7,0))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projet'!$B$9,Paramètres!$A$1:$I$88,3,0)*0.475*44/12</f>
        <v>0</v>
      </c>
      <c r="AV192" s="23">
        <f>EXP(-LN(2)/25)*AV191+(1-EXP(-LN(2)/25))/(LN(2)/25)*Calculateur!AQ192*Calculateur!AS192*VLOOKUP('Données projet'!$B$9,Paramètres!$A$1:$I$88,3,0)*0.475*44/12</f>
        <v>0</v>
      </c>
      <c r="AW192" s="23">
        <f>EXP(-LN(2)/2)*AW191+(1-EXP(-LN(2)/2))/(LN(2)/2)*AQ192*AT192*VLOOKUP('Données projet'!$B$9,Paramètres!$A$1:$I$88,3,0)*0.475*44/12</f>
        <v>0</v>
      </c>
      <c r="AX192" s="23">
        <f t="shared" si="166"/>
        <v>0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IF(A192&lt;'Données projet'!$A$88,$BA$205^A192,IF(A192='Données projet'!$A$88,'Données projet'!$B$88,BD191+BC192-BL191))</f>
        <v>1.1368683772161603E-13</v>
      </c>
      <c r="BE192" s="14">
        <f>BD192*VLOOKUP('Données projet'!$B$11,Paramètres!$A$1:$I$88,3,0)*VLOOKUP('Données projet'!$B$11,Paramètres!$A$1:$I$88,5,0)</f>
        <v>1.1527845344971866E-13</v>
      </c>
      <c r="BF192" s="14">
        <f t="shared" si="167"/>
        <v>1.7033846239409443E-12</v>
      </c>
      <c r="BG192" s="22">
        <f t="shared" si="168"/>
        <v>3.1675048597887374E-12</v>
      </c>
      <c r="BH192" s="62">
        <f t="shared" si="118"/>
        <v>288.23267741011574</v>
      </c>
      <c r="BI192" s="62">
        <f ca="1">AVERAGE(OFFSET($BH$3,0,0,'Données projet'!$E$11+1,1))-AVERAGE(OFFSET($H$3,0,0,'Données projet'!$E$11+1,1))</f>
        <v>447.82618173893104</v>
      </c>
      <c r="BJ192" s="62">
        <f t="shared" si="119"/>
        <v>248.96509970783379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projet'!$B$11,Paramètres!$A$1:$I$88,7,0))</f>
        <v>0</v>
      </c>
      <c r="BN192" s="17">
        <f>IF(ISNA(VLOOKUP(A192,'Données projet'!$A$87:$I$107,6,0)),0%,VLOOKUP(A192,'Données projet'!$A$87:$I$107,6,0)*VLOOKUP('Données projet'!$B$11,Paramètres!$A$1:$I$88,7,0))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projet'!$B$9,Paramètres!$A$1:$I$88,3,0)*0.475*44/12</f>
        <v>0</v>
      </c>
      <c r="BQ192" s="23">
        <f>EXP(-LN(2)/25)*BQ191+(1-EXP(-LN(2)/25))/(LN(2)/25)*Calculateur!BL192*Calculateur!BN192*VLOOKUP('Données projet'!$B$9,Paramètres!$A$1:$I$88,3,0)*0.475*44/12</f>
        <v>0</v>
      </c>
      <c r="BR192" s="23">
        <f>EXP(-LN(2)/2)*BR191+(1-EXP(-LN(2)/2))/(LN(2)/2)*BL192*BO192*VLOOKUP('Données projet'!$B$9,Paramètres!$A$1:$I$88,3,0)*0.475*44/12</f>
        <v>0</v>
      </c>
      <c r="BS192" s="24">
        <f t="shared" si="169"/>
        <v>0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IF(A192&lt;'Données projet'!$A$114,$BV$205^A192,IF(A192='Données projet'!$A$114,'Données projet'!$B$114,BY191+BX192-CG191))</f>
        <v>1.1368683772161603E-13</v>
      </c>
      <c r="BZ192" s="14">
        <f>BY192*VLOOKUP('Données projet'!$B$12,Paramètres!$A$1:$I$88,3,0)*VLOOKUP('Données projet'!$B$12,Paramètres!$A$1:$I$88,5,0)</f>
        <v>1.223725121235475E-13</v>
      </c>
      <c r="CA192" s="14">
        <f t="shared" si="170"/>
        <v>1.7956824466038182E-12</v>
      </c>
      <c r="CB192" s="22">
        <f t="shared" si="171"/>
        <v>3.3406123864501612E-12</v>
      </c>
      <c r="CC192" s="62">
        <f t="shared" si="122"/>
        <v>288.23267741011591</v>
      </c>
      <c r="CD192" s="62">
        <f ca="1">AVERAGE(OFFSET($CC$3,0,0,'Données projet'!$E$12+1,1))-AVERAGE(OFFSET($H$3,0,0,'Données projet'!$E$12+1,1))</f>
        <v>468.82871618425406</v>
      </c>
      <c r="CE192" s="62">
        <f t="shared" si="123"/>
        <v>259.37818128554397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projet'!$B$12,Paramètres!$A$1:$I$88,7,0))</f>
        <v>0</v>
      </c>
      <c r="CI192" s="17">
        <f>IF(ISNA(VLOOKUP(A192,'Données projet'!$A$113:$I$133,6,0)),0%,VLOOKUP(A192,'Données projet'!$A$113:$I$133,6,0)*VLOOKUP('Données projet'!$B$12,Paramètres!$A$1:$I$88,7,0))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projet'!$B$9,Paramètres!$A$1:$I$88,3,0)*0.475*44/12</f>
        <v>0</v>
      </c>
      <c r="CL192" s="23">
        <f>EXP(-LN(2)/25)*CL191+(1-EXP(-LN(2)/25))/(LN(2)/25)*Calculateur!CG192*Calculateur!CI192*VLOOKUP('Données projet'!$B$9,Paramètres!$A$1:$I$88,3,0)*0.475*44/12</f>
        <v>0</v>
      </c>
      <c r="CM192" s="23">
        <f>EXP(-LN(2)/2)*CM191+(1-EXP(-LN(2)/2))/(LN(2)/2)*CG192*CJ192*VLOOKUP('Données projet'!$B$9,Paramètres!$A$1:$I$88,3,0)*0.475*44/12</f>
        <v>0</v>
      </c>
      <c r="CN192" s="24">
        <f t="shared" si="172"/>
        <v>0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IF(A192&lt;'Données projet'!$A$140,$CQ$205^A192,IF(A192='Données projet'!$A$140,'Données projet'!$B$140,CT191+CS192-DB191))</f>
        <v>1.1368683772161603E-13</v>
      </c>
      <c r="CU192" s="18">
        <f>CT192*VLOOKUP('Données projet'!$B$13,Paramètres!$A$1:$I$88,3,0)*VLOOKUP('Données projet'!$B$13,Paramètres!$A$1:$I$88,5,0)</f>
        <v>9.7543306765146564E-14</v>
      </c>
      <c r="CV192" s="14">
        <f t="shared" si="173"/>
        <v>1.4696264278629426E-12</v>
      </c>
      <c r="CW192" s="22">
        <f t="shared" si="174"/>
        <v>2.7294872878105889E-12</v>
      </c>
      <c r="CX192" s="62">
        <f t="shared" si="126"/>
        <v>288.23267741011529</v>
      </c>
      <c r="CY192" s="62">
        <f ca="1">AVERAGE(OFFSET($CX$3,0,0,'Données projet'!$E$13+1,1))-AVERAGE(OFFSET($H$3,0,0,'Données projet'!$E$13+1,1))</f>
        <v>395.19659151668884</v>
      </c>
      <c r="CZ192" s="62">
        <f t="shared" si="127"/>
        <v>222.86563304507339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projet'!$B$13,Paramètres!$A$1:$I$88,7,0))</f>
        <v>0</v>
      </c>
      <c r="DD192" s="17">
        <f>IF(ISNA(VLOOKUP(A192,'Données projet'!$A$139:$I$159,6,0)),0%,VLOOKUP(A192,'Données projet'!$A$139:$I$159,6,0)*VLOOKUP('Données projet'!$B$13,Paramètres!$A$1:$I$88,7,0))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projet'!$B$9,Paramètres!$A$1:$I$88,3,0)*0.475*44/12</f>
        <v>0</v>
      </c>
      <c r="DG192" s="23">
        <f>EXP(-LN(2)/25)*DG191+(1-EXP(-LN(2)/25))/(LN(2)/25)*Calculateur!DB192*Calculateur!DD192*VLOOKUP('Données projet'!$B$9,Paramètres!$A$1:$I$88,3,0)*0.475*44/12</f>
        <v>0</v>
      </c>
      <c r="DH192" s="23">
        <f>EXP(-LN(2)/2)*DH191+(1-EXP(-LN(2)/2))/(LN(2)/2)*DB192*DE192*VLOOKUP('Données projet'!$B$9,Paramètres!$A$1:$I$88,3,0)*0.475*44/12</f>
        <v>0</v>
      </c>
      <c r="DI192" s="24">
        <f t="shared" si="175"/>
        <v>0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IF(A192&lt;'Données projet'!$A$166,$DL$205^A192,IF(A192='Données projet'!$A$166,'Données projet'!$B$166,DO191+DN192-DW191))</f>
        <v>-8.5265128291212022E-14</v>
      </c>
      <c r="DP192" s="18">
        <f>DO192*VLOOKUP('Données projet'!$B$14,Paramètres!$A$1:$I$88,3,0)*VLOOKUP('Données projet'!$B$14,Paramètres!$A$1:$I$88,5,0)</f>
        <v>-4.9880100050359036E-14</v>
      </c>
      <c r="DQ192" s="14" t="e">
        <f t="shared" si="176"/>
        <v>#NUM!</v>
      </c>
      <c r="DR192" s="22" t="e">
        <f t="shared" si="177"/>
        <v>#NUM!</v>
      </c>
      <c r="DS192" s="62" t="e">
        <f t="shared" si="130"/>
        <v>#NUM!</v>
      </c>
      <c r="DT192" s="62">
        <f ca="1">AVERAGE(OFFSET($DS$3,0,0,'Données projet'!$E$14+1,1))-AVERAGE(OFFSET($H$3,0,0,'Données projet'!$E$14+1,1))</f>
        <v>155.18073137151848</v>
      </c>
      <c r="DU192" s="62">
        <f t="shared" si="131"/>
        <v>115.19459155667272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projet'!$B$14,Paramètres!$A$1:$I$88,7,0))</f>
        <v>0</v>
      </c>
      <c r="DY192" s="17">
        <f>IF(ISNA(VLOOKUP(A192,'Données projet'!$A$165:$I$185,6,0)),0%,VLOOKUP(A192,'Données projet'!$A$165:$I$185,6,0)*VLOOKUP('Données projet'!$B$14,Paramètres!$A$1:$I$88,7,0))</f>
        <v>0</v>
      </c>
      <c r="DZ192" s="17">
        <f>IF(ISNA(VLOOKUP(A192,'Données projet'!$A$165:$I$185,7,0)),0%,VLOOKUP(A192,'Données projet'!$A$165:$I$185,7,0))</f>
        <v>0</v>
      </c>
      <c r="EA192" s="23">
        <f>EXP(-LN(2)/35)*EA191+(1-EXP(-LN(2)/35))/(LN(2)/35)*DW192*DX192*VLOOKUP('Données projet'!$B$9,Paramètres!$A$1:$I$88,3,0)*0.475*44/12</f>
        <v>0</v>
      </c>
      <c r="EB192" s="23">
        <f>EXP(-LN(2)/25)*EB191+(1-EXP(-LN(2)/25))/(LN(2)/25)*Calculateur!DW192*Calculateur!DY192*VLOOKUP('Données projet'!$B$9,Paramètres!$A$1:$I$88,3,0)*0.475*44/12</f>
        <v>0</v>
      </c>
      <c r="EC192" s="23">
        <f>EXP(-LN(2)/2)*EC191+(1-EXP(-LN(2)/2))/(LN(2)/2)*DW192*DZ192*VLOOKUP('Données projet'!$B$9,Paramètres!$A$1:$I$88,3,0)*0.475*44/12</f>
        <v>0</v>
      </c>
      <c r="ED192" s="24">
        <f t="shared" si="178"/>
        <v>0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IF(A192&lt;'Données projet'!$A$192,$EG$205^A192,IF(A192='Données projet'!$A$192,'Données projet'!$B$192,EJ191+EI192-ER191))</f>
        <v>-5.6843418860808015E-14</v>
      </c>
      <c r="EK192" s="18">
        <f>EJ192*VLOOKUP('Données projet'!$B$15,Paramètres!$A$1:$I$88,3,0)*VLOOKUP('Données projet'!$B$15,Paramètres!$A$1:$I$88,5,0)</f>
        <v>-2.6602720026858149E-14</v>
      </c>
      <c r="EL192" s="14" t="e">
        <f t="shared" si="179"/>
        <v>#NUM!</v>
      </c>
      <c r="EM192" s="22" t="e">
        <f t="shared" si="180"/>
        <v>#NUM!</v>
      </c>
      <c r="EN192" s="62" t="e">
        <f t="shared" si="134"/>
        <v>#NUM!</v>
      </c>
      <c r="EO192" s="62">
        <f ca="1">AVERAGE(OFFSET($EN$3,0,0,'Données projet'!$E$15+1,1))-AVERAGE(OFFSET($H$3,0,0,'Données projet'!$E$15+1,1))</f>
        <v>238.59014604384171</v>
      </c>
      <c r="EP192" s="62">
        <f t="shared" si="135"/>
        <v>90.841373219575217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projet'!$B$15,Paramètres!$A$1:$I$88,7,0))</f>
        <v>0</v>
      </c>
      <c r="ET192" s="17">
        <f>IF(ISNA(VLOOKUP(A192,'Données projet'!$A$191:$I$211,6,0)),0%,VLOOKUP(A192,'Données projet'!$A$191:$I$211,6,0)*VLOOKUP('Données projet'!$B$15,Paramètres!$A$1:$I$88,7,0))</f>
        <v>0</v>
      </c>
      <c r="EU192" s="17">
        <f>IF(ISNA(VLOOKUP(A192,'Données projet'!$A$191:$I$211,7,0)),0%,VLOOKUP(A192,'Données projet'!$A$191:$I$211,7,0))</f>
        <v>0</v>
      </c>
      <c r="EV192" s="23">
        <f>EXP(-LN(2)/35)*EV191+(1-EXP(-LN(2)/35))/(LN(2)/35)*ER192*ES192*VLOOKUP('Données projet'!$B$9,Paramètres!$A$1:$I$88,3,0)*0.475*44/12</f>
        <v>0</v>
      </c>
      <c r="EW192" s="23">
        <f>EXP(-LN(2)/25)*EW191+(1-EXP(-LN(2)/25))/(LN(2)/25)*Calculateur!ER192*Calculateur!ET192*VLOOKUP('Données projet'!$B$9,Paramètres!$A$1:$I$88,3,0)*0.475*44/12</f>
        <v>0</v>
      </c>
      <c r="EX192" s="23">
        <f>EXP(-LN(2)/2)*EX191+(1-EXP(-LN(2)/2))/(LN(2)/2)*ER192*EU192*VLOOKUP('Données projet'!$B$9,Paramètres!$A$1:$I$88,3,0)*0.475*44/12</f>
        <v>0</v>
      </c>
      <c r="EY192" s="24">
        <f t="shared" si="181"/>
        <v>0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IF(A192&lt;'Données projet'!$A$218,$FB$205^A192,IF(A192='Données projet'!$A$218,'Données projet'!$B$218,FE191+FD192-FM191))</f>
        <v>0</v>
      </c>
      <c r="FF192" s="18" t="e">
        <f>FE192*VLOOKUP('Données projet'!$B$16,Paramètres!$A$1:$I$88,3,0)*VLOOKUP('Données projet'!$B$16,Paramètres!$A$1:$I$88,5,0)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8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39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projet'!$B$16,Paramètres!$A$1:$I$88,7,0))</f>
        <v>0</v>
      </c>
      <c r="FO192" s="17">
        <f>IF(ISNA(VLOOKUP(A192,'Données projet'!$A$217:$I$237,6,0)),0%,VLOOKUP(A192,'Données projet'!$A$217:$I$237,6,0)*VLOOKUP('Données projet'!$B$16,Paramètres!$A$1:$I$88,7,0))</f>
        <v>0</v>
      </c>
      <c r="FP192" s="17">
        <f>IF(ISNA(VLOOKUP(A192,'Données projet'!$A$217:$I$237,7,0)),0%,VLOOKUP(A192,'Données projet'!$A$217:$I$237,7,0))</f>
        <v>0</v>
      </c>
      <c r="FQ192" s="23">
        <f>EXP(-LN(2)/35)*FQ191+(1-EXP(-LN(2)/35))/(LN(2)/35)*FM192*FN192*VLOOKUP('Données projet'!$B$9,Paramètres!$A$1:$I$88,3,0)*0.475*44/12</f>
        <v>0</v>
      </c>
      <c r="FR192" s="23">
        <f>EXP(-LN(2)/25)*FR191+(1-EXP(-LN(2)/25))/(LN(2)/25)*Calculateur!FM192*Calculateur!FO192*VLOOKUP('Données projet'!$B$9,Paramètres!$A$1:$I$88,3,0)*0.475*44/12</f>
        <v>0</v>
      </c>
      <c r="FS192" s="23">
        <f>EXP(-LN(2)/2)*FS191+(1-EXP(-LN(2)/2))/(LN(2)/2)*FM192*FP192*VLOOKUP('Données projet'!$B$9,Paramètres!$A$1:$I$88,3,0)*0.475*44/12</f>
        <v>0</v>
      </c>
      <c r="FT192" s="24">
        <f t="shared" si="184"/>
        <v>0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IF(A192&lt;'Données projet'!$A$244,$FW$205^A192,IF(A192='Données projet'!$A$244,'Données projet'!$B$244,FZ191+FY192-GH191))</f>
        <v>0</v>
      </c>
      <c r="GA192" s="18" t="e">
        <f>FZ192*VLOOKUP('Données projet'!$B$17,Paramètres!$A$1:$I$88,3,0)*VLOOKUP('Données projet'!$B$17,Paramètres!$A$1:$I$88,5,0)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42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43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projet'!$B$17,Paramètres!$A$1:$I$88,7,0))</f>
        <v>0</v>
      </c>
      <c r="GJ192" s="17">
        <f>IF(ISNA(VLOOKUP(A192,'Données projet'!$A$243:$I$263,6,0)),0%,VLOOKUP(A192,'Données projet'!$A$243:$I$263,6,0)*VLOOKUP('Données projet'!$B$17,Paramètres!$A$1:$I$88,7,0))</f>
        <v>0</v>
      </c>
      <c r="GK192" s="17">
        <f>IF(ISNA(VLOOKUP(A192,'Données projet'!$A$243:$I$263,7,0)),0%,VLOOKUP(A192,'Données projet'!$A$243:$I$263,7,0))</f>
        <v>0</v>
      </c>
      <c r="GL192" s="23">
        <f>EXP(-LN(2)/35)*GL191+(1-EXP(-LN(2)/35))/(LN(2)/35)*GH192*GI192*VLOOKUP('Données projet'!$B$9,Paramètres!$A$1:$I$88,3,0)*0.475*44/12</f>
        <v>0</v>
      </c>
      <c r="GM192" s="23">
        <f>EXP(-LN(2)/25)*GM191+(1-EXP(-LN(2)/25))/(LN(2)/25)*Calculateur!GH192*Calculateur!GJ192*VLOOKUP('Données projet'!$B$9,Paramètres!$A$1:$I$88,3,0)*0.475*44/12</f>
        <v>0</v>
      </c>
      <c r="GN192" s="23">
        <f>EXP(-LN(2)/2)*GN191+(1-EXP(-LN(2)/2))/(LN(2)/2)*GH192*GK192*VLOOKUP('Données projet'!$B$9,Paramètres!$A$1:$I$88,3,0)*0.475*44/12</f>
        <v>0</v>
      </c>
      <c r="GO192" s="23">
        <f t="shared" si="187"/>
        <v>0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IF(A192&lt;'Données projet'!$A$270,$GR$205^A192,IF(A192='Données projet'!$A$270,'Données projet'!$B$270,GU191+GT192-HC191))</f>
        <v>0</v>
      </c>
      <c r="GV192" s="18" t="e">
        <f>GU192*VLOOKUP('Données projet'!$B$18,Paramètres!$A$1:$I$88,3,0)*VLOOKUP('Données projet'!$B$18,Paramètres!$A$1:$I$88,5,0)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46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47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projet'!$B$18,Paramètres!$A$1:$I$88,7,0))</f>
        <v>0</v>
      </c>
      <c r="HE192" s="17">
        <f>IF(ISNA(VLOOKUP(A192,'Données projet'!$A$269:$I$289,6,0)),0%,VLOOKUP(A192,'Données projet'!$A$269:$I$289,6,0)*VLOOKUP('Données projet'!$B$18,Paramètres!$A$1:$I$88,7,0))</f>
        <v>0</v>
      </c>
      <c r="HF192" s="17">
        <f>IF(ISNA(VLOOKUP(A192,'Données projet'!$A$269:$I$289,7,0)),0%,VLOOKUP(A192,'Données projet'!$A$269:$I$289,7,0))</f>
        <v>0</v>
      </c>
      <c r="HG192" s="23">
        <f>EXP(-LN(2)/35)*HG191+(1-EXP(-LN(2)/35))/(LN(2)/35)*HC192*HD192*VLOOKUP('Données projet'!$B$9,Paramètres!$A$1:$I$88,3,0)*0.475*44/12</f>
        <v>0</v>
      </c>
      <c r="HH192" s="23">
        <f>EXP(-LN(2)/25)*HH191+(1-EXP(-LN(2)/25))/(LN(2)/25)*Calculateur!HC192*Calculateur!HE192*VLOOKUP('Données projet'!$B$9,Paramètres!$A$1:$I$88,3,0)*0.475*44/12</f>
        <v>0</v>
      </c>
      <c r="HI192" s="23">
        <f>EXP(-LN(2)/2)*HI191+(1-EXP(-LN(2)/2))/(LN(2)/2)*HC192*HF192*VLOOKUP('Données projet'!$B$9,Paramètres!$A$1:$I$88,3,0)*0.475*44/12</f>
        <v>0</v>
      </c>
      <c r="HJ192" s="24">
        <f t="shared" si="190"/>
        <v>0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3" s="12">
        <f t="shared" si="15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111"/>
        <v>135.66666666666666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IF(A193&lt;'Données projet'!$A$36,$K$205^A193,IF(A193='Données projet'!$A$36,'Données projet'!$B$36,N192+M193-V192))</f>
        <v>0</v>
      </c>
      <c r="O193" s="14">
        <f>N193*VLOOKUP('Données projet'!$B$9,Paramètres!$A$1:$I$88,3,0)*VLOOKUP('Données projet'!$B$9,Paramètres!$A$1:$I$88,5,0)</f>
        <v>0</v>
      </c>
      <c r="P193" s="14" t="e">
        <f t="shared" si="15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314.72063458462026</v>
      </c>
      <c r="T193" s="62">
        <f t="shared" si="110"/>
        <v>216.4380325968244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projet'!$B$9,Paramètres!$A$1:$I$88,7,0))</f>
        <v>0</v>
      </c>
      <c r="X193" s="17">
        <f>IF(ISNA(VLOOKUP(A193,'Données projet'!$A$35:$I$55,6,0)),0%,VLOOKUP(A193,'Données projet'!$A$35:$I$55,6,0)*VLOOKUP('Données projet'!$B$9,Paramètres!$A$1:$I$88,7,0))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projet'!$B$9,Paramètres!$A$1:$I$88,3,0)*0.475*44/12</f>
        <v>0</v>
      </c>
      <c r="AA193" s="23">
        <f>EXP(-LN(2)/25)*AA192+(1-EXP(-LN(2)/25))/(LN(2)/25)*Calculateur!V193*Calculateur!X193*VLOOKUP('Données projet'!$B$9,Paramètres!$A$1:$I$88,3,0)*0.475*44/12</f>
        <v>0</v>
      </c>
      <c r="AB193" s="23">
        <f>EXP(-LN(2)/2)*AB192+(1-EXP(-LN(2)/2))/(LN(2)/2)*V193*Y193*VLOOKUP('Données projet'!$B$9,Paramètres!$A$1:$I$88,3,0)*0.475*44/12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IF(A193&lt;'Données projet'!$A$62,$AF$205^A193,IF(A193='Données projet'!$A$62,'Données projet'!$B$62,AI192+AH193-AQ192))</f>
        <v>1.1368683772161603E-13</v>
      </c>
      <c r="AJ193" s="14">
        <f>AI193*VLOOKUP('Données projet'!$B$10,Paramètres!$A$1:$I$88,3,0)*VLOOKUP('Données projet'!$B$10,Paramètres!$A$1:$I$88,5,0)</f>
        <v>1.1882548278663309E-13</v>
      </c>
      <c r="AK193" s="14">
        <f t="shared" si="164"/>
        <v>1.7496137229198366E-12</v>
      </c>
      <c r="AL193" s="22">
        <f t="shared" si="165"/>
        <v>3.2541982832721012E-12</v>
      </c>
      <c r="AM193" s="62">
        <f t="shared" si="114"/>
        <v>288.32116238702537</v>
      </c>
      <c r="AN193" s="62">
        <f ca="1">AVERAGE(OFFSET($AM$3,0,0,'Données projet'!$E$10+1,1))-AVERAGE(OFFSET($H$3,0,0,'Données projet'!$E$10+1,1))</f>
        <v>458.33072853676879</v>
      </c>
      <c r="AO193" s="62">
        <f t="shared" si="115"/>
        <v>254.1734169352687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projet'!$B$10,Paramètres!$A$1:$I$88,7,0))</f>
        <v>0</v>
      </c>
      <c r="AS193" s="17">
        <f>IF(ISNA(VLOOKUP(A193,'Données projet'!$A$61:$I$81,6,0)),0%,VLOOKUP(A193,'Données projet'!$A$61:$I$81,6,0)*VLOOKUP('Données projet'!$B$10,Paramètres!$A$1:$I$88,7,0))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projet'!$B$9,Paramètres!$A$1:$I$88,3,0)*0.475*44/12</f>
        <v>0</v>
      </c>
      <c r="AV193" s="23">
        <f>EXP(-LN(2)/25)*AV192+(1-EXP(-LN(2)/25))/(LN(2)/25)*Calculateur!AQ193*Calculateur!AS193*VLOOKUP('Données projet'!$B$9,Paramètres!$A$1:$I$88,3,0)*0.475*44/12</f>
        <v>0</v>
      </c>
      <c r="AW193" s="23">
        <f>EXP(-LN(2)/2)*AW192+(1-EXP(-LN(2)/2))/(LN(2)/2)*AQ193*AT193*VLOOKUP('Données projet'!$B$9,Paramètres!$A$1:$I$88,3,0)*0.475*44/12</f>
        <v>0</v>
      </c>
      <c r="AX193" s="23">
        <f t="shared" si="166"/>
        <v>0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IF(A193&lt;'Données projet'!$A$88,$BA$205^A193,IF(A193='Données projet'!$A$88,'Données projet'!$B$88,BD192+BC193-BL192))</f>
        <v>1.1368683772161603E-13</v>
      </c>
      <c r="BE193" s="14">
        <f>BD193*VLOOKUP('Données projet'!$B$11,Paramètres!$A$1:$I$88,3,0)*VLOOKUP('Données projet'!$B$11,Paramètres!$A$1:$I$88,5,0)</f>
        <v>1.1527845344971866E-13</v>
      </c>
      <c r="BF193" s="14">
        <f t="shared" si="167"/>
        <v>1.7033846239409443E-12</v>
      </c>
      <c r="BG193" s="22">
        <f t="shared" si="168"/>
        <v>3.1675048597887374E-12</v>
      </c>
      <c r="BH193" s="62">
        <f t="shared" si="118"/>
        <v>288.32116238702531</v>
      </c>
      <c r="BI193" s="62">
        <f ca="1">AVERAGE(OFFSET($BH$3,0,0,'Données projet'!$E$11+1,1))-AVERAGE(OFFSET($H$3,0,0,'Données projet'!$E$11+1,1))</f>
        <v>447.82618173893104</v>
      </c>
      <c r="BJ193" s="62">
        <f t="shared" si="119"/>
        <v>248.96509970783379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projet'!$B$11,Paramètres!$A$1:$I$88,7,0))</f>
        <v>0</v>
      </c>
      <c r="BN193" s="17">
        <f>IF(ISNA(VLOOKUP(A193,'Données projet'!$A$87:$I$107,6,0)),0%,VLOOKUP(A193,'Données projet'!$A$87:$I$107,6,0)*VLOOKUP('Données projet'!$B$11,Paramètres!$A$1:$I$88,7,0))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projet'!$B$9,Paramètres!$A$1:$I$88,3,0)*0.475*44/12</f>
        <v>0</v>
      </c>
      <c r="BQ193" s="23">
        <f>EXP(-LN(2)/25)*BQ192+(1-EXP(-LN(2)/25))/(LN(2)/25)*Calculateur!BL193*Calculateur!BN193*VLOOKUP('Données projet'!$B$9,Paramètres!$A$1:$I$88,3,0)*0.475*44/12</f>
        <v>0</v>
      </c>
      <c r="BR193" s="23">
        <f>EXP(-LN(2)/2)*BR192+(1-EXP(-LN(2)/2))/(LN(2)/2)*BL193*BO193*VLOOKUP('Données projet'!$B$9,Paramètres!$A$1:$I$88,3,0)*0.475*44/12</f>
        <v>0</v>
      </c>
      <c r="BS193" s="24">
        <f t="shared" si="169"/>
        <v>0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IF(A193&lt;'Données projet'!$A$114,$BV$205^A193,IF(A193='Données projet'!$A$114,'Données projet'!$B$114,BY192+BX193-CG192))</f>
        <v>1.1368683772161603E-13</v>
      </c>
      <c r="BZ193" s="14">
        <f>BY193*VLOOKUP('Données projet'!$B$12,Paramètres!$A$1:$I$88,3,0)*VLOOKUP('Données projet'!$B$12,Paramètres!$A$1:$I$88,5,0)</f>
        <v>1.223725121235475E-13</v>
      </c>
      <c r="CA193" s="14">
        <f t="shared" si="170"/>
        <v>1.7956824466038182E-12</v>
      </c>
      <c r="CB193" s="22">
        <f t="shared" si="171"/>
        <v>3.3406123864501612E-12</v>
      </c>
      <c r="CC193" s="62">
        <f t="shared" si="122"/>
        <v>288.32116238702548</v>
      </c>
      <c r="CD193" s="62">
        <f ca="1">AVERAGE(OFFSET($CC$3,0,0,'Données projet'!$E$12+1,1))-AVERAGE(OFFSET($H$3,0,0,'Données projet'!$E$12+1,1))</f>
        <v>468.82871618425406</v>
      </c>
      <c r="CE193" s="62">
        <f t="shared" si="123"/>
        <v>259.37818128554397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projet'!$B$12,Paramètres!$A$1:$I$88,7,0))</f>
        <v>0</v>
      </c>
      <c r="CI193" s="17">
        <f>IF(ISNA(VLOOKUP(A193,'Données projet'!$A$113:$I$133,6,0)),0%,VLOOKUP(A193,'Données projet'!$A$113:$I$133,6,0)*VLOOKUP('Données projet'!$B$12,Paramètres!$A$1:$I$88,7,0))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projet'!$B$9,Paramètres!$A$1:$I$88,3,0)*0.475*44/12</f>
        <v>0</v>
      </c>
      <c r="CL193" s="23">
        <f>EXP(-LN(2)/25)*CL192+(1-EXP(-LN(2)/25))/(LN(2)/25)*Calculateur!CG193*Calculateur!CI193*VLOOKUP('Données projet'!$B$9,Paramètres!$A$1:$I$88,3,0)*0.475*44/12</f>
        <v>0</v>
      </c>
      <c r="CM193" s="23">
        <f>EXP(-LN(2)/2)*CM192+(1-EXP(-LN(2)/2))/(LN(2)/2)*CG193*CJ193*VLOOKUP('Données projet'!$B$9,Paramètres!$A$1:$I$88,3,0)*0.475*44/12</f>
        <v>0</v>
      </c>
      <c r="CN193" s="24">
        <f t="shared" si="172"/>
        <v>0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IF(A193&lt;'Données projet'!$A$140,$CQ$205^A193,IF(A193='Données projet'!$A$140,'Données projet'!$B$140,CT192+CS193-DB192))</f>
        <v>1.1368683772161603E-13</v>
      </c>
      <c r="CU193" s="18">
        <f>CT193*VLOOKUP('Données projet'!$B$13,Paramètres!$A$1:$I$88,3,0)*VLOOKUP('Données projet'!$B$13,Paramètres!$A$1:$I$88,5,0)</f>
        <v>9.7543306765146564E-14</v>
      </c>
      <c r="CV193" s="14">
        <f t="shared" si="173"/>
        <v>1.4696264278629426E-12</v>
      </c>
      <c r="CW193" s="22">
        <f t="shared" si="174"/>
        <v>2.7294872878105889E-12</v>
      </c>
      <c r="CX193" s="62">
        <f t="shared" si="126"/>
        <v>288.32116238702486</v>
      </c>
      <c r="CY193" s="62">
        <f ca="1">AVERAGE(OFFSET($CX$3,0,0,'Données projet'!$E$13+1,1))-AVERAGE(OFFSET($H$3,0,0,'Données projet'!$E$13+1,1))</f>
        <v>395.19659151668884</v>
      </c>
      <c r="CZ193" s="62">
        <f t="shared" si="127"/>
        <v>222.86563304507339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projet'!$B$13,Paramètres!$A$1:$I$88,7,0))</f>
        <v>0</v>
      </c>
      <c r="DD193" s="17">
        <f>IF(ISNA(VLOOKUP(A193,'Données projet'!$A$139:$I$159,6,0)),0%,VLOOKUP(A193,'Données projet'!$A$139:$I$159,6,0)*VLOOKUP('Données projet'!$B$13,Paramètres!$A$1:$I$88,7,0))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projet'!$B$9,Paramètres!$A$1:$I$88,3,0)*0.475*44/12</f>
        <v>0</v>
      </c>
      <c r="DG193" s="23">
        <f>EXP(-LN(2)/25)*DG192+(1-EXP(-LN(2)/25))/(LN(2)/25)*Calculateur!DB193*Calculateur!DD193*VLOOKUP('Données projet'!$B$9,Paramètres!$A$1:$I$88,3,0)*0.475*44/12</f>
        <v>0</v>
      </c>
      <c r="DH193" s="23">
        <f>EXP(-LN(2)/2)*DH192+(1-EXP(-LN(2)/2))/(LN(2)/2)*DB193*DE193*VLOOKUP('Données projet'!$B$9,Paramètres!$A$1:$I$88,3,0)*0.475*44/12</f>
        <v>0</v>
      </c>
      <c r="DI193" s="24">
        <f t="shared" si="175"/>
        <v>0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IF(A193&lt;'Données projet'!$A$166,$DL$205^A193,IF(A193='Données projet'!$A$166,'Données projet'!$B$166,DO192+DN193-DW192))</f>
        <v>-8.5265128291212022E-14</v>
      </c>
      <c r="DP193" s="18">
        <f>DO193*VLOOKUP('Données projet'!$B$14,Paramètres!$A$1:$I$88,3,0)*VLOOKUP('Données projet'!$B$14,Paramètres!$A$1:$I$88,5,0)</f>
        <v>-4.9880100050359036E-14</v>
      </c>
      <c r="DQ193" s="14" t="e">
        <f t="shared" si="176"/>
        <v>#NUM!</v>
      </c>
      <c r="DR193" s="22" t="e">
        <f t="shared" si="177"/>
        <v>#NUM!</v>
      </c>
      <c r="DS193" s="62" t="e">
        <f t="shared" si="130"/>
        <v>#NUM!</v>
      </c>
      <c r="DT193" s="62">
        <f ca="1">AVERAGE(OFFSET($DS$3,0,0,'Données projet'!$E$14+1,1))-AVERAGE(OFFSET($H$3,0,0,'Données projet'!$E$14+1,1))</f>
        <v>155.18073137151848</v>
      </c>
      <c r="DU193" s="62">
        <f t="shared" si="131"/>
        <v>115.19459155667272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projet'!$B$14,Paramètres!$A$1:$I$88,7,0))</f>
        <v>0</v>
      </c>
      <c r="DY193" s="17">
        <f>IF(ISNA(VLOOKUP(A193,'Données projet'!$A$165:$I$185,6,0)),0%,VLOOKUP(A193,'Données projet'!$A$165:$I$185,6,0)*VLOOKUP('Données projet'!$B$14,Paramètres!$A$1:$I$88,7,0))</f>
        <v>0</v>
      </c>
      <c r="DZ193" s="17">
        <f>IF(ISNA(VLOOKUP(A193,'Données projet'!$A$165:$I$185,7,0)),0%,VLOOKUP(A193,'Données projet'!$A$165:$I$185,7,0))</f>
        <v>0</v>
      </c>
      <c r="EA193" s="23">
        <f>EXP(-LN(2)/35)*EA192+(1-EXP(-LN(2)/35))/(LN(2)/35)*DW193*DX193*VLOOKUP('Données projet'!$B$9,Paramètres!$A$1:$I$88,3,0)*0.475*44/12</f>
        <v>0</v>
      </c>
      <c r="EB193" s="23">
        <f>EXP(-LN(2)/25)*EB192+(1-EXP(-LN(2)/25))/(LN(2)/25)*Calculateur!DW193*Calculateur!DY193*VLOOKUP('Données projet'!$B$9,Paramètres!$A$1:$I$88,3,0)*0.475*44/12</f>
        <v>0</v>
      </c>
      <c r="EC193" s="23">
        <f>EXP(-LN(2)/2)*EC192+(1-EXP(-LN(2)/2))/(LN(2)/2)*DW193*DZ193*VLOOKUP('Données projet'!$B$9,Paramètres!$A$1:$I$88,3,0)*0.475*44/12</f>
        <v>0</v>
      </c>
      <c r="ED193" s="24">
        <f t="shared" si="178"/>
        <v>0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IF(A193&lt;'Données projet'!$A$192,$EG$205^A193,IF(A193='Données projet'!$A$192,'Données projet'!$B$192,EJ192+EI193-ER192))</f>
        <v>-5.6843418860808015E-14</v>
      </c>
      <c r="EK193" s="18">
        <f>EJ193*VLOOKUP('Données projet'!$B$15,Paramètres!$A$1:$I$88,3,0)*VLOOKUP('Données projet'!$B$15,Paramètres!$A$1:$I$88,5,0)</f>
        <v>-2.6602720026858149E-14</v>
      </c>
      <c r="EL193" s="14" t="e">
        <f t="shared" si="179"/>
        <v>#NUM!</v>
      </c>
      <c r="EM193" s="22" t="e">
        <f t="shared" si="180"/>
        <v>#NUM!</v>
      </c>
      <c r="EN193" s="62" t="e">
        <f t="shared" si="134"/>
        <v>#NUM!</v>
      </c>
      <c r="EO193" s="62">
        <f ca="1">AVERAGE(OFFSET($EN$3,0,0,'Données projet'!$E$15+1,1))-AVERAGE(OFFSET($H$3,0,0,'Données projet'!$E$15+1,1))</f>
        <v>238.59014604384171</v>
      </c>
      <c r="EP193" s="62">
        <f t="shared" si="135"/>
        <v>90.841373219575217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projet'!$B$15,Paramètres!$A$1:$I$88,7,0))</f>
        <v>0</v>
      </c>
      <c r="ET193" s="17">
        <f>IF(ISNA(VLOOKUP(A193,'Données projet'!$A$191:$I$211,6,0)),0%,VLOOKUP(A193,'Données projet'!$A$191:$I$211,6,0)*VLOOKUP('Données projet'!$B$15,Paramètres!$A$1:$I$88,7,0))</f>
        <v>0</v>
      </c>
      <c r="EU193" s="17">
        <f>IF(ISNA(VLOOKUP(A193,'Données projet'!$A$191:$I$211,7,0)),0%,VLOOKUP(A193,'Données projet'!$A$191:$I$211,7,0))</f>
        <v>0</v>
      </c>
      <c r="EV193" s="23">
        <f>EXP(-LN(2)/35)*EV192+(1-EXP(-LN(2)/35))/(LN(2)/35)*ER193*ES193*VLOOKUP('Données projet'!$B$9,Paramètres!$A$1:$I$88,3,0)*0.475*44/12</f>
        <v>0</v>
      </c>
      <c r="EW193" s="23">
        <f>EXP(-LN(2)/25)*EW192+(1-EXP(-LN(2)/25))/(LN(2)/25)*Calculateur!ER193*Calculateur!ET193*VLOOKUP('Données projet'!$B$9,Paramètres!$A$1:$I$88,3,0)*0.475*44/12</f>
        <v>0</v>
      </c>
      <c r="EX193" s="23">
        <f>EXP(-LN(2)/2)*EX192+(1-EXP(-LN(2)/2))/(LN(2)/2)*ER193*EU193*VLOOKUP('Données projet'!$B$9,Paramètres!$A$1:$I$88,3,0)*0.475*44/12</f>
        <v>0</v>
      </c>
      <c r="EY193" s="24">
        <f t="shared" si="181"/>
        <v>0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IF(A193&lt;'Données projet'!$A$218,$FB$205^A193,IF(A193='Données projet'!$A$218,'Données projet'!$B$218,FE192+FD193-FM192))</f>
        <v>0</v>
      </c>
      <c r="FF193" s="18" t="e">
        <f>FE193*VLOOKUP('Données projet'!$B$16,Paramètres!$A$1:$I$88,3,0)*VLOOKUP('Données projet'!$B$16,Paramètres!$A$1:$I$88,5,0)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8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39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projet'!$B$16,Paramètres!$A$1:$I$88,7,0))</f>
        <v>0</v>
      </c>
      <c r="FO193" s="17">
        <f>IF(ISNA(VLOOKUP(A193,'Données projet'!$A$217:$I$237,6,0)),0%,VLOOKUP(A193,'Données projet'!$A$217:$I$237,6,0)*VLOOKUP('Données projet'!$B$16,Paramètres!$A$1:$I$88,7,0))</f>
        <v>0</v>
      </c>
      <c r="FP193" s="17">
        <f>IF(ISNA(VLOOKUP(A193,'Données projet'!$A$217:$I$237,7,0)),0%,VLOOKUP(A193,'Données projet'!$A$217:$I$237,7,0))</f>
        <v>0</v>
      </c>
      <c r="FQ193" s="23">
        <f>EXP(-LN(2)/35)*FQ192+(1-EXP(-LN(2)/35))/(LN(2)/35)*FM193*FN193*VLOOKUP('Données projet'!$B$9,Paramètres!$A$1:$I$88,3,0)*0.475*44/12</f>
        <v>0</v>
      </c>
      <c r="FR193" s="23">
        <f>EXP(-LN(2)/25)*FR192+(1-EXP(-LN(2)/25))/(LN(2)/25)*Calculateur!FM193*Calculateur!FO193*VLOOKUP('Données projet'!$B$9,Paramètres!$A$1:$I$88,3,0)*0.475*44/12</f>
        <v>0</v>
      </c>
      <c r="FS193" s="23">
        <f>EXP(-LN(2)/2)*FS192+(1-EXP(-LN(2)/2))/(LN(2)/2)*FM193*FP193*VLOOKUP('Données projet'!$B$9,Paramètres!$A$1:$I$88,3,0)*0.475*44/12</f>
        <v>0</v>
      </c>
      <c r="FT193" s="24">
        <f t="shared" si="184"/>
        <v>0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IF(A193&lt;'Données projet'!$A$244,$FW$205^A193,IF(A193='Données projet'!$A$244,'Données projet'!$B$244,FZ192+FY193-GH192))</f>
        <v>0</v>
      </c>
      <c r="GA193" s="18" t="e">
        <f>FZ193*VLOOKUP('Données projet'!$B$17,Paramètres!$A$1:$I$88,3,0)*VLOOKUP('Données projet'!$B$17,Paramètres!$A$1:$I$88,5,0)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42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43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projet'!$B$17,Paramètres!$A$1:$I$88,7,0))</f>
        <v>0</v>
      </c>
      <c r="GJ193" s="17">
        <f>IF(ISNA(VLOOKUP(A193,'Données projet'!$A$243:$I$263,6,0)),0%,VLOOKUP(A193,'Données projet'!$A$243:$I$263,6,0)*VLOOKUP('Données projet'!$B$17,Paramètres!$A$1:$I$88,7,0))</f>
        <v>0</v>
      </c>
      <c r="GK193" s="17">
        <f>IF(ISNA(VLOOKUP(A193,'Données projet'!$A$243:$I$263,7,0)),0%,VLOOKUP(A193,'Données projet'!$A$243:$I$263,7,0))</f>
        <v>0</v>
      </c>
      <c r="GL193" s="23">
        <f>EXP(-LN(2)/35)*GL192+(1-EXP(-LN(2)/35))/(LN(2)/35)*GH193*GI193*VLOOKUP('Données projet'!$B$9,Paramètres!$A$1:$I$88,3,0)*0.475*44/12</f>
        <v>0</v>
      </c>
      <c r="GM193" s="23">
        <f>EXP(-LN(2)/25)*GM192+(1-EXP(-LN(2)/25))/(LN(2)/25)*Calculateur!GH193*Calculateur!GJ193*VLOOKUP('Données projet'!$B$9,Paramètres!$A$1:$I$88,3,0)*0.475*44/12</f>
        <v>0</v>
      </c>
      <c r="GN193" s="23">
        <f>EXP(-LN(2)/2)*GN192+(1-EXP(-LN(2)/2))/(LN(2)/2)*GH193*GK193*VLOOKUP('Données projet'!$B$9,Paramètres!$A$1:$I$88,3,0)*0.475*44/12</f>
        <v>0</v>
      </c>
      <c r="GO193" s="23">
        <f t="shared" si="187"/>
        <v>0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IF(A193&lt;'Données projet'!$A$270,$GR$205^A193,IF(A193='Données projet'!$A$270,'Données projet'!$B$270,GU192+GT193-HC192))</f>
        <v>0</v>
      </c>
      <c r="GV193" s="18" t="e">
        <f>GU193*VLOOKUP('Données projet'!$B$18,Paramètres!$A$1:$I$88,3,0)*VLOOKUP('Données projet'!$B$18,Paramètres!$A$1:$I$88,5,0)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46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47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projet'!$B$18,Paramètres!$A$1:$I$88,7,0))</f>
        <v>0</v>
      </c>
      <c r="HE193" s="17">
        <f>IF(ISNA(VLOOKUP(A193,'Données projet'!$A$269:$I$289,6,0)),0%,VLOOKUP(A193,'Données projet'!$A$269:$I$289,6,0)*VLOOKUP('Données projet'!$B$18,Paramètres!$A$1:$I$88,7,0))</f>
        <v>0</v>
      </c>
      <c r="HF193" s="17">
        <f>IF(ISNA(VLOOKUP(A193,'Données projet'!$A$269:$I$289,7,0)),0%,VLOOKUP(A193,'Données projet'!$A$269:$I$289,7,0))</f>
        <v>0</v>
      </c>
      <c r="HG193" s="23">
        <f>EXP(-LN(2)/35)*HG192+(1-EXP(-LN(2)/35))/(LN(2)/35)*HC193*HD193*VLOOKUP('Données projet'!$B$9,Paramètres!$A$1:$I$88,3,0)*0.475*44/12</f>
        <v>0</v>
      </c>
      <c r="HH193" s="23">
        <f>EXP(-LN(2)/25)*HH192+(1-EXP(-LN(2)/25))/(LN(2)/25)*Calculateur!HC193*Calculateur!HE193*VLOOKUP('Données projet'!$B$9,Paramètres!$A$1:$I$88,3,0)*0.475*44/12</f>
        <v>0</v>
      </c>
      <c r="HI193" s="23">
        <f>EXP(-LN(2)/2)*HI192+(1-EXP(-LN(2)/2))/(LN(2)/2)*HC193*HF193*VLOOKUP('Données projet'!$B$9,Paramètres!$A$1:$I$88,3,0)*0.475*44/12</f>
        <v>0</v>
      </c>
      <c r="HJ193" s="24">
        <f t="shared" si="190"/>
        <v>0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4" s="12">
        <f t="shared" si="15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111"/>
        <v>135.66666666666666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IF(A194&lt;'Données projet'!$A$36,$K$205^A194,IF(A194='Données projet'!$A$36,'Données projet'!$B$36,N193+M194-V193))</f>
        <v>0</v>
      </c>
      <c r="O194" s="14">
        <f>N194*VLOOKUP('Données projet'!$B$9,Paramètres!$A$1:$I$88,3,0)*VLOOKUP('Données projet'!$B$9,Paramètres!$A$1:$I$88,5,0)</f>
        <v>0</v>
      </c>
      <c r="P194" s="14" t="e">
        <f t="shared" si="15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314.72063458462026</v>
      </c>
      <c r="T194" s="62">
        <f t="shared" si="110"/>
        <v>216.4380325968244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projet'!$B$9,Paramètres!$A$1:$I$88,7,0))</f>
        <v>0</v>
      </c>
      <c r="X194" s="17">
        <f>IF(ISNA(VLOOKUP(A194,'Données projet'!$A$35:$I$55,6,0)),0%,VLOOKUP(A194,'Données projet'!$A$35:$I$55,6,0)*VLOOKUP('Données projet'!$B$9,Paramètres!$A$1:$I$88,7,0))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projet'!$B$9,Paramètres!$A$1:$I$88,3,0)*0.475*44/12</f>
        <v>0</v>
      </c>
      <c r="AA194" s="23">
        <f>EXP(-LN(2)/25)*AA193+(1-EXP(-LN(2)/25))/(LN(2)/25)*Calculateur!V194*Calculateur!X194*VLOOKUP('Données projet'!$B$9,Paramètres!$A$1:$I$88,3,0)*0.475*44/12</f>
        <v>0</v>
      </c>
      <c r="AB194" s="23">
        <f>EXP(-LN(2)/2)*AB193+(1-EXP(-LN(2)/2))/(LN(2)/2)*V194*Y194*VLOOKUP('Données projet'!$B$9,Paramètres!$A$1:$I$88,3,0)*0.475*44/12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IF(A194&lt;'Données projet'!$A$62,$AF$205^A194,IF(A194='Données projet'!$A$62,'Données projet'!$B$62,AI193+AH194-AQ193))</f>
        <v>1.1368683772161603E-13</v>
      </c>
      <c r="AJ194" s="14">
        <f>AI194*VLOOKUP('Données projet'!$B$10,Paramètres!$A$1:$I$88,3,0)*VLOOKUP('Données projet'!$B$10,Paramètres!$A$1:$I$88,5,0)</f>
        <v>1.1882548278663309E-13</v>
      </c>
      <c r="AK194" s="14">
        <f t="shared" si="164"/>
        <v>1.7496137229198366E-12</v>
      </c>
      <c r="AL194" s="22">
        <f t="shared" si="165"/>
        <v>3.2541982832721012E-12</v>
      </c>
      <c r="AM194" s="62">
        <f t="shared" si="114"/>
        <v>288.40811234740835</v>
      </c>
      <c r="AN194" s="62">
        <f ca="1">AVERAGE(OFFSET($AM$3,0,0,'Données projet'!$E$10+1,1))-AVERAGE(OFFSET($H$3,0,0,'Données projet'!$E$10+1,1))</f>
        <v>458.33072853676879</v>
      </c>
      <c r="AO194" s="62">
        <f t="shared" si="115"/>
        <v>254.1734169352687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projet'!$B$10,Paramètres!$A$1:$I$88,7,0))</f>
        <v>0</v>
      </c>
      <c r="AS194" s="17">
        <f>IF(ISNA(VLOOKUP(A194,'Données projet'!$A$61:$I$81,6,0)),0%,VLOOKUP(A194,'Données projet'!$A$61:$I$81,6,0)*VLOOKUP('Données projet'!$B$10,Paramètres!$A$1:$I$88,7,0))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projet'!$B$9,Paramètres!$A$1:$I$88,3,0)*0.475*44/12</f>
        <v>0</v>
      </c>
      <c r="AV194" s="23">
        <f>EXP(-LN(2)/25)*AV193+(1-EXP(-LN(2)/25))/(LN(2)/25)*Calculateur!AQ194*Calculateur!AS194*VLOOKUP('Données projet'!$B$9,Paramètres!$A$1:$I$88,3,0)*0.475*44/12</f>
        <v>0</v>
      </c>
      <c r="AW194" s="23">
        <f>EXP(-LN(2)/2)*AW193+(1-EXP(-LN(2)/2))/(LN(2)/2)*AQ194*AT194*VLOOKUP('Données projet'!$B$9,Paramètres!$A$1:$I$88,3,0)*0.475*44/12</f>
        <v>0</v>
      </c>
      <c r="AX194" s="23">
        <f t="shared" si="166"/>
        <v>0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IF(A194&lt;'Données projet'!$A$88,$BA$205^A194,IF(A194='Données projet'!$A$88,'Données projet'!$B$88,BD193+BC194-BL193))</f>
        <v>1.1368683772161603E-13</v>
      </c>
      <c r="BE194" s="14">
        <f>BD194*VLOOKUP('Données projet'!$B$11,Paramètres!$A$1:$I$88,3,0)*VLOOKUP('Données projet'!$B$11,Paramètres!$A$1:$I$88,5,0)</f>
        <v>1.1527845344971866E-13</v>
      </c>
      <c r="BF194" s="14">
        <f t="shared" si="167"/>
        <v>1.7033846239409443E-12</v>
      </c>
      <c r="BG194" s="22">
        <f t="shared" si="168"/>
        <v>3.1675048597887374E-12</v>
      </c>
      <c r="BH194" s="62">
        <f t="shared" si="118"/>
        <v>288.40811234740829</v>
      </c>
      <c r="BI194" s="62">
        <f ca="1">AVERAGE(OFFSET($BH$3,0,0,'Données projet'!$E$11+1,1))-AVERAGE(OFFSET($H$3,0,0,'Données projet'!$E$11+1,1))</f>
        <v>447.82618173893104</v>
      </c>
      <c r="BJ194" s="62">
        <f t="shared" si="119"/>
        <v>248.96509970783379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projet'!$B$11,Paramètres!$A$1:$I$88,7,0))</f>
        <v>0</v>
      </c>
      <c r="BN194" s="17">
        <f>IF(ISNA(VLOOKUP(A194,'Données projet'!$A$87:$I$107,6,0)),0%,VLOOKUP(A194,'Données projet'!$A$87:$I$107,6,0)*VLOOKUP('Données projet'!$B$11,Paramètres!$A$1:$I$88,7,0))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projet'!$B$9,Paramètres!$A$1:$I$88,3,0)*0.475*44/12</f>
        <v>0</v>
      </c>
      <c r="BQ194" s="23">
        <f>EXP(-LN(2)/25)*BQ193+(1-EXP(-LN(2)/25))/(LN(2)/25)*Calculateur!BL194*Calculateur!BN194*VLOOKUP('Données projet'!$B$9,Paramètres!$A$1:$I$88,3,0)*0.475*44/12</f>
        <v>0</v>
      </c>
      <c r="BR194" s="23">
        <f>EXP(-LN(2)/2)*BR193+(1-EXP(-LN(2)/2))/(LN(2)/2)*BL194*BO194*VLOOKUP('Données projet'!$B$9,Paramètres!$A$1:$I$88,3,0)*0.475*44/12</f>
        <v>0</v>
      </c>
      <c r="BS194" s="24">
        <f t="shared" si="169"/>
        <v>0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IF(A194&lt;'Données projet'!$A$114,$BV$205^A194,IF(A194='Données projet'!$A$114,'Données projet'!$B$114,BY193+BX194-CG193))</f>
        <v>1.1368683772161603E-13</v>
      </c>
      <c r="BZ194" s="14">
        <f>BY194*VLOOKUP('Données projet'!$B$12,Paramètres!$A$1:$I$88,3,0)*VLOOKUP('Données projet'!$B$12,Paramètres!$A$1:$I$88,5,0)</f>
        <v>1.223725121235475E-13</v>
      </c>
      <c r="CA194" s="14">
        <f t="shared" si="170"/>
        <v>1.7956824466038182E-12</v>
      </c>
      <c r="CB194" s="22">
        <f t="shared" si="171"/>
        <v>3.3406123864501612E-12</v>
      </c>
      <c r="CC194" s="62">
        <f t="shared" si="122"/>
        <v>288.40811234740846</v>
      </c>
      <c r="CD194" s="62">
        <f ca="1">AVERAGE(OFFSET($CC$3,0,0,'Données projet'!$E$12+1,1))-AVERAGE(OFFSET($H$3,0,0,'Données projet'!$E$12+1,1))</f>
        <v>468.82871618425406</v>
      </c>
      <c r="CE194" s="62">
        <f t="shared" si="123"/>
        <v>259.37818128554397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projet'!$B$12,Paramètres!$A$1:$I$88,7,0))</f>
        <v>0</v>
      </c>
      <c r="CI194" s="17">
        <f>IF(ISNA(VLOOKUP(A194,'Données projet'!$A$113:$I$133,6,0)),0%,VLOOKUP(A194,'Données projet'!$A$113:$I$133,6,0)*VLOOKUP('Données projet'!$B$12,Paramètres!$A$1:$I$88,7,0))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projet'!$B$9,Paramètres!$A$1:$I$88,3,0)*0.475*44/12</f>
        <v>0</v>
      </c>
      <c r="CL194" s="23">
        <f>EXP(-LN(2)/25)*CL193+(1-EXP(-LN(2)/25))/(LN(2)/25)*Calculateur!CG194*Calculateur!CI194*VLOOKUP('Données projet'!$B$9,Paramètres!$A$1:$I$88,3,0)*0.475*44/12</f>
        <v>0</v>
      </c>
      <c r="CM194" s="23">
        <f>EXP(-LN(2)/2)*CM193+(1-EXP(-LN(2)/2))/(LN(2)/2)*CG194*CJ194*VLOOKUP('Données projet'!$B$9,Paramètres!$A$1:$I$88,3,0)*0.475*44/12</f>
        <v>0</v>
      </c>
      <c r="CN194" s="24">
        <f t="shared" si="172"/>
        <v>0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IF(A194&lt;'Données projet'!$A$140,$CQ$205^A194,IF(A194='Données projet'!$A$140,'Données projet'!$B$140,CT193+CS194-DB193))</f>
        <v>1.1368683772161603E-13</v>
      </c>
      <c r="CU194" s="18">
        <f>CT194*VLOOKUP('Données projet'!$B$13,Paramètres!$A$1:$I$88,3,0)*VLOOKUP('Données projet'!$B$13,Paramètres!$A$1:$I$88,5,0)</f>
        <v>9.7543306765146564E-14</v>
      </c>
      <c r="CV194" s="14">
        <f t="shared" si="173"/>
        <v>1.4696264278629426E-12</v>
      </c>
      <c r="CW194" s="22">
        <f t="shared" si="174"/>
        <v>2.7294872878105889E-12</v>
      </c>
      <c r="CX194" s="62">
        <f t="shared" si="126"/>
        <v>288.40811234740784</v>
      </c>
      <c r="CY194" s="62">
        <f ca="1">AVERAGE(OFFSET($CX$3,0,0,'Données projet'!$E$13+1,1))-AVERAGE(OFFSET($H$3,0,0,'Données projet'!$E$13+1,1))</f>
        <v>395.19659151668884</v>
      </c>
      <c r="CZ194" s="62">
        <f t="shared" si="127"/>
        <v>222.86563304507339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projet'!$B$13,Paramètres!$A$1:$I$88,7,0))</f>
        <v>0</v>
      </c>
      <c r="DD194" s="17">
        <f>IF(ISNA(VLOOKUP(A194,'Données projet'!$A$139:$I$159,6,0)),0%,VLOOKUP(A194,'Données projet'!$A$139:$I$159,6,0)*VLOOKUP('Données projet'!$B$13,Paramètres!$A$1:$I$88,7,0))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projet'!$B$9,Paramètres!$A$1:$I$88,3,0)*0.475*44/12</f>
        <v>0</v>
      </c>
      <c r="DG194" s="23">
        <f>EXP(-LN(2)/25)*DG193+(1-EXP(-LN(2)/25))/(LN(2)/25)*Calculateur!DB194*Calculateur!DD194*VLOOKUP('Données projet'!$B$9,Paramètres!$A$1:$I$88,3,0)*0.475*44/12</f>
        <v>0</v>
      </c>
      <c r="DH194" s="23">
        <f>EXP(-LN(2)/2)*DH193+(1-EXP(-LN(2)/2))/(LN(2)/2)*DB194*DE194*VLOOKUP('Données projet'!$B$9,Paramètres!$A$1:$I$88,3,0)*0.475*44/12</f>
        <v>0</v>
      </c>
      <c r="DI194" s="24">
        <f t="shared" si="175"/>
        <v>0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IF(A194&lt;'Données projet'!$A$166,$DL$205^A194,IF(A194='Données projet'!$A$166,'Données projet'!$B$166,DO193+DN194-DW193))</f>
        <v>-8.5265128291212022E-14</v>
      </c>
      <c r="DP194" s="18">
        <f>DO194*VLOOKUP('Données projet'!$B$14,Paramètres!$A$1:$I$88,3,0)*VLOOKUP('Données projet'!$B$14,Paramètres!$A$1:$I$88,5,0)</f>
        <v>-4.9880100050359036E-14</v>
      </c>
      <c r="DQ194" s="14" t="e">
        <f t="shared" si="176"/>
        <v>#NUM!</v>
      </c>
      <c r="DR194" s="22" t="e">
        <f t="shared" si="177"/>
        <v>#NUM!</v>
      </c>
      <c r="DS194" s="62" t="e">
        <f t="shared" si="130"/>
        <v>#NUM!</v>
      </c>
      <c r="DT194" s="62">
        <f ca="1">AVERAGE(OFFSET($DS$3,0,0,'Données projet'!$E$14+1,1))-AVERAGE(OFFSET($H$3,0,0,'Données projet'!$E$14+1,1))</f>
        <v>155.18073137151848</v>
      </c>
      <c r="DU194" s="62">
        <f t="shared" si="131"/>
        <v>115.19459155667272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projet'!$B$14,Paramètres!$A$1:$I$88,7,0))</f>
        <v>0</v>
      </c>
      <c r="DY194" s="17">
        <f>IF(ISNA(VLOOKUP(A194,'Données projet'!$A$165:$I$185,6,0)),0%,VLOOKUP(A194,'Données projet'!$A$165:$I$185,6,0)*VLOOKUP('Données projet'!$B$14,Paramètres!$A$1:$I$88,7,0))</f>
        <v>0</v>
      </c>
      <c r="DZ194" s="17">
        <f>IF(ISNA(VLOOKUP(A194,'Données projet'!$A$165:$I$185,7,0)),0%,VLOOKUP(A194,'Données projet'!$A$165:$I$185,7,0))</f>
        <v>0</v>
      </c>
      <c r="EA194" s="23">
        <f>EXP(-LN(2)/35)*EA193+(1-EXP(-LN(2)/35))/(LN(2)/35)*DW194*DX194*VLOOKUP('Données projet'!$B$9,Paramètres!$A$1:$I$88,3,0)*0.475*44/12</f>
        <v>0</v>
      </c>
      <c r="EB194" s="23">
        <f>EXP(-LN(2)/25)*EB193+(1-EXP(-LN(2)/25))/(LN(2)/25)*Calculateur!DW194*Calculateur!DY194*VLOOKUP('Données projet'!$B$9,Paramètres!$A$1:$I$88,3,0)*0.475*44/12</f>
        <v>0</v>
      </c>
      <c r="EC194" s="23">
        <f>EXP(-LN(2)/2)*EC193+(1-EXP(-LN(2)/2))/(LN(2)/2)*DW194*DZ194*VLOOKUP('Données projet'!$B$9,Paramètres!$A$1:$I$88,3,0)*0.475*44/12</f>
        <v>0</v>
      </c>
      <c r="ED194" s="24">
        <f t="shared" si="178"/>
        <v>0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IF(A194&lt;'Données projet'!$A$192,$EG$205^A194,IF(A194='Données projet'!$A$192,'Données projet'!$B$192,EJ193+EI194-ER193))</f>
        <v>-5.6843418860808015E-14</v>
      </c>
      <c r="EK194" s="18">
        <f>EJ194*VLOOKUP('Données projet'!$B$15,Paramètres!$A$1:$I$88,3,0)*VLOOKUP('Données projet'!$B$15,Paramètres!$A$1:$I$88,5,0)</f>
        <v>-2.6602720026858149E-14</v>
      </c>
      <c r="EL194" s="14" t="e">
        <f t="shared" si="179"/>
        <v>#NUM!</v>
      </c>
      <c r="EM194" s="22" t="e">
        <f t="shared" si="180"/>
        <v>#NUM!</v>
      </c>
      <c r="EN194" s="62" t="e">
        <f t="shared" si="134"/>
        <v>#NUM!</v>
      </c>
      <c r="EO194" s="62">
        <f ca="1">AVERAGE(OFFSET($EN$3,0,0,'Données projet'!$E$15+1,1))-AVERAGE(OFFSET($H$3,0,0,'Données projet'!$E$15+1,1))</f>
        <v>238.59014604384171</v>
      </c>
      <c r="EP194" s="62">
        <f t="shared" si="135"/>
        <v>90.841373219575217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projet'!$B$15,Paramètres!$A$1:$I$88,7,0))</f>
        <v>0</v>
      </c>
      <c r="ET194" s="17">
        <f>IF(ISNA(VLOOKUP(A194,'Données projet'!$A$191:$I$211,6,0)),0%,VLOOKUP(A194,'Données projet'!$A$191:$I$211,6,0)*VLOOKUP('Données projet'!$B$15,Paramètres!$A$1:$I$88,7,0))</f>
        <v>0</v>
      </c>
      <c r="EU194" s="17">
        <f>IF(ISNA(VLOOKUP(A194,'Données projet'!$A$191:$I$211,7,0)),0%,VLOOKUP(A194,'Données projet'!$A$191:$I$211,7,0))</f>
        <v>0</v>
      </c>
      <c r="EV194" s="23">
        <f>EXP(-LN(2)/35)*EV193+(1-EXP(-LN(2)/35))/(LN(2)/35)*ER194*ES194*VLOOKUP('Données projet'!$B$9,Paramètres!$A$1:$I$88,3,0)*0.475*44/12</f>
        <v>0</v>
      </c>
      <c r="EW194" s="23">
        <f>EXP(-LN(2)/25)*EW193+(1-EXP(-LN(2)/25))/(LN(2)/25)*Calculateur!ER194*Calculateur!ET194*VLOOKUP('Données projet'!$B$9,Paramètres!$A$1:$I$88,3,0)*0.475*44/12</f>
        <v>0</v>
      </c>
      <c r="EX194" s="23">
        <f>EXP(-LN(2)/2)*EX193+(1-EXP(-LN(2)/2))/(LN(2)/2)*ER194*EU194*VLOOKUP('Données projet'!$B$9,Paramètres!$A$1:$I$88,3,0)*0.475*44/12</f>
        <v>0</v>
      </c>
      <c r="EY194" s="24">
        <f t="shared" si="181"/>
        <v>0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IF(A194&lt;'Données projet'!$A$218,$FB$205^A194,IF(A194='Données projet'!$A$218,'Données projet'!$B$218,FE193+FD194-FM193))</f>
        <v>0</v>
      </c>
      <c r="FF194" s="18" t="e">
        <f>FE194*VLOOKUP('Données projet'!$B$16,Paramètres!$A$1:$I$88,3,0)*VLOOKUP('Données projet'!$B$16,Paramètres!$A$1:$I$88,5,0)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8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39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projet'!$B$16,Paramètres!$A$1:$I$88,7,0))</f>
        <v>0</v>
      </c>
      <c r="FO194" s="17">
        <f>IF(ISNA(VLOOKUP(A194,'Données projet'!$A$217:$I$237,6,0)),0%,VLOOKUP(A194,'Données projet'!$A$217:$I$237,6,0)*VLOOKUP('Données projet'!$B$16,Paramètres!$A$1:$I$88,7,0))</f>
        <v>0</v>
      </c>
      <c r="FP194" s="17">
        <f>IF(ISNA(VLOOKUP(A194,'Données projet'!$A$217:$I$237,7,0)),0%,VLOOKUP(A194,'Données projet'!$A$217:$I$237,7,0))</f>
        <v>0</v>
      </c>
      <c r="FQ194" s="23">
        <f>EXP(-LN(2)/35)*FQ193+(1-EXP(-LN(2)/35))/(LN(2)/35)*FM194*FN194*VLOOKUP('Données projet'!$B$9,Paramètres!$A$1:$I$88,3,0)*0.475*44/12</f>
        <v>0</v>
      </c>
      <c r="FR194" s="23">
        <f>EXP(-LN(2)/25)*FR193+(1-EXP(-LN(2)/25))/(LN(2)/25)*Calculateur!FM194*Calculateur!FO194*VLOOKUP('Données projet'!$B$9,Paramètres!$A$1:$I$88,3,0)*0.475*44/12</f>
        <v>0</v>
      </c>
      <c r="FS194" s="23">
        <f>EXP(-LN(2)/2)*FS193+(1-EXP(-LN(2)/2))/(LN(2)/2)*FM194*FP194*VLOOKUP('Données projet'!$B$9,Paramètres!$A$1:$I$88,3,0)*0.475*44/12</f>
        <v>0</v>
      </c>
      <c r="FT194" s="24">
        <f t="shared" si="184"/>
        <v>0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IF(A194&lt;'Données projet'!$A$244,$FW$205^A194,IF(A194='Données projet'!$A$244,'Données projet'!$B$244,FZ193+FY194-GH193))</f>
        <v>0</v>
      </c>
      <c r="GA194" s="18" t="e">
        <f>FZ194*VLOOKUP('Données projet'!$B$17,Paramètres!$A$1:$I$88,3,0)*VLOOKUP('Données projet'!$B$17,Paramètres!$A$1:$I$88,5,0)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42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43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projet'!$B$17,Paramètres!$A$1:$I$88,7,0))</f>
        <v>0</v>
      </c>
      <c r="GJ194" s="17">
        <f>IF(ISNA(VLOOKUP(A194,'Données projet'!$A$243:$I$263,6,0)),0%,VLOOKUP(A194,'Données projet'!$A$243:$I$263,6,0)*VLOOKUP('Données projet'!$B$17,Paramètres!$A$1:$I$88,7,0))</f>
        <v>0</v>
      </c>
      <c r="GK194" s="17">
        <f>IF(ISNA(VLOOKUP(A194,'Données projet'!$A$243:$I$263,7,0)),0%,VLOOKUP(A194,'Données projet'!$A$243:$I$263,7,0))</f>
        <v>0</v>
      </c>
      <c r="GL194" s="23">
        <f>EXP(-LN(2)/35)*GL193+(1-EXP(-LN(2)/35))/(LN(2)/35)*GH194*GI194*VLOOKUP('Données projet'!$B$9,Paramètres!$A$1:$I$88,3,0)*0.475*44/12</f>
        <v>0</v>
      </c>
      <c r="GM194" s="23">
        <f>EXP(-LN(2)/25)*GM193+(1-EXP(-LN(2)/25))/(LN(2)/25)*Calculateur!GH194*Calculateur!GJ194*VLOOKUP('Données projet'!$B$9,Paramètres!$A$1:$I$88,3,0)*0.475*44/12</f>
        <v>0</v>
      </c>
      <c r="GN194" s="23">
        <f>EXP(-LN(2)/2)*GN193+(1-EXP(-LN(2)/2))/(LN(2)/2)*GH194*GK194*VLOOKUP('Données projet'!$B$9,Paramètres!$A$1:$I$88,3,0)*0.475*44/12</f>
        <v>0</v>
      </c>
      <c r="GO194" s="23">
        <f t="shared" si="187"/>
        <v>0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IF(A194&lt;'Données projet'!$A$270,$GR$205^A194,IF(A194='Données projet'!$A$270,'Données projet'!$B$270,GU193+GT194-HC193))</f>
        <v>0</v>
      </c>
      <c r="GV194" s="18" t="e">
        <f>GU194*VLOOKUP('Données projet'!$B$18,Paramètres!$A$1:$I$88,3,0)*VLOOKUP('Données projet'!$B$18,Paramètres!$A$1:$I$88,5,0)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46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47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projet'!$B$18,Paramètres!$A$1:$I$88,7,0))</f>
        <v>0</v>
      </c>
      <c r="HE194" s="17">
        <f>IF(ISNA(VLOOKUP(A194,'Données projet'!$A$269:$I$289,6,0)),0%,VLOOKUP(A194,'Données projet'!$A$269:$I$289,6,0)*VLOOKUP('Données projet'!$B$18,Paramètres!$A$1:$I$88,7,0))</f>
        <v>0</v>
      </c>
      <c r="HF194" s="17">
        <f>IF(ISNA(VLOOKUP(A194,'Données projet'!$A$269:$I$289,7,0)),0%,VLOOKUP(A194,'Données projet'!$A$269:$I$289,7,0))</f>
        <v>0</v>
      </c>
      <c r="HG194" s="23">
        <f>EXP(-LN(2)/35)*HG193+(1-EXP(-LN(2)/35))/(LN(2)/35)*HC194*HD194*VLOOKUP('Données projet'!$B$9,Paramètres!$A$1:$I$88,3,0)*0.475*44/12</f>
        <v>0</v>
      </c>
      <c r="HH194" s="23">
        <f>EXP(-LN(2)/25)*HH193+(1-EXP(-LN(2)/25))/(LN(2)/25)*Calculateur!HC194*Calculateur!HE194*VLOOKUP('Données projet'!$B$9,Paramètres!$A$1:$I$88,3,0)*0.475*44/12</f>
        <v>0</v>
      </c>
      <c r="HI194" s="23">
        <f>EXP(-LN(2)/2)*HI193+(1-EXP(-LN(2)/2))/(LN(2)/2)*HC194*HF194*VLOOKUP('Données projet'!$B$9,Paramètres!$A$1:$I$88,3,0)*0.475*44/12</f>
        <v>0</v>
      </c>
      <c r="HJ194" s="24">
        <f t="shared" si="190"/>
        <v>0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5" s="12">
        <f t="shared" si="15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111"/>
        <v>135.66666666666666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IF(A195&lt;'Données projet'!$A$36,$K$205^A195,IF(A195='Données projet'!$A$36,'Données projet'!$B$36,N194+M195-V194))</f>
        <v>0</v>
      </c>
      <c r="O195" s="14">
        <f>N195*VLOOKUP('Données projet'!$B$9,Paramètres!$A$1:$I$88,3,0)*VLOOKUP('Données projet'!$B$9,Paramètres!$A$1:$I$88,5,0)</f>
        <v>0</v>
      </c>
      <c r="P195" s="14" t="e">
        <f t="shared" si="15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314.72063458462026</v>
      </c>
      <c r="T195" s="62">
        <f t="shared" ref="T195:T203" si="192">$R$33-$H$33</f>
        <v>216.4380325968244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projet'!$B$9,Paramètres!$A$1:$I$88,7,0))</f>
        <v>0</v>
      </c>
      <c r="X195" s="17">
        <f>IF(ISNA(VLOOKUP(A195,'Données projet'!$A$35:$I$55,6,0)),0%,VLOOKUP(A195,'Données projet'!$A$35:$I$55,6,0)*VLOOKUP('Données projet'!$B$9,Paramètres!$A$1:$I$88,7,0))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projet'!$B$9,Paramètres!$A$1:$I$88,3,0)*0.475*44/12</f>
        <v>0</v>
      </c>
      <c r="AA195" s="23">
        <f>EXP(-LN(2)/25)*AA194+(1-EXP(-LN(2)/25))/(LN(2)/25)*Calculateur!V195*Calculateur!X195*VLOOKUP('Données projet'!$B$9,Paramètres!$A$1:$I$88,3,0)*0.475*44/12</f>
        <v>0</v>
      </c>
      <c r="AB195" s="23">
        <f>EXP(-LN(2)/2)*AB194+(1-EXP(-LN(2)/2))/(LN(2)/2)*V195*Y195*VLOOKUP('Données projet'!$B$9,Paramètres!$A$1:$I$88,3,0)*0.475*44/12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IF(A195&lt;'Données projet'!$A$62,$AF$205^A195,IF(A195='Données projet'!$A$62,'Données projet'!$B$62,AI194+AH195-AQ194))</f>
        <v>1.1368683772161603E-13</v>
      </c>
      <c r="AJ195" s="14">
        <f>AI195*VLOOKUP('Données projet'!$B$10,Paramètres!$A$1:$I$88,3,0)*VLOOKUP('Données projet'!$B$10,Paramètres!$A$1:$I$88,5,0)</f>
        <v>1.1882548278663309E-13</v>
      </c>
      <c r="AK195" s="14">
        <f t="shared" si="164"/>
        <v>1.7496137229198366E-12</v>
      </c>
      <c r="AL195" s="22">
        <f t="shared" si="165"/>
        <v>3.2541982832721012E-12</v>
      </c>
      <c r="AM195" s="62">
        <f t="shared" si="114"/>
        <v>288.49355392036966</v>
      </c>
      <c r="AN195" s="62">
        <f ca="1">AVERAGE(OFFSET($AM$3,0,0,'Données projet'!$E$10+1,1))-AVERAGE(OFFSET($H$3,0,0,'Données projet'!$E$10+1,1))</f>
        <v>458.33072853676879</v>
      </c>
      <c r="AO195" s="62">
        <f t="shared" si="115"/>
        <v>254.1734169352687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projet'!$B$10,Paramètres!$A$1:$I$88,7,0))</f>
        <v>0</v>
      </c>
      <c r="AS195" s="17">
        <f>IF(ISNA(VLOOKUP(A195,'Données projet'!$A$61:$I$81,6,0)),0%,VLOOKUP(A195,'Données projet'!$A$61:$I$81,6,0)*VLOOKUP('Données projet'!$B$10,Paramètres!$A$1:$I$88,7,0))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projet'!$B$9,Paramètres!$A$1:$I$88,3,0)*0.475*44/12</f>
        <v>0</v>
      </c>
      <c r="AV195" s="23">
        <f>EXP(-LN(2)/25)*AV194+(1-EXP(-LN(2)/25))/(LN(2)/25)*Calculateur!AQ195*Calculateur!AS195*VLOOKUP('Données projet'!$B$9,Paramètres!$A$1:$I$88,3,0)*0.475*44/12</f>
        <v>0</v>
      </c>
      <c r="AW195" s="23">
        <f>EXP(-LN(2)/2)*AW194+(1-EXP(-LN(2)/2))/(LN(2)/2)*AQ195*AT195*VLOOKUP('Données projet'!$B$9,Paramètres!$A$1:$I$88,3,0)*0.475*44/12</f>
        <v>0</v>
      </c>
      <c r="AX195" s="23">
        <f t="shared" si="166"/>
        <v>0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IF(A195&lt;'Données projet'!$A$88,$BA$205^A195,IF(A195='Données projet'!$A$88,'Données projet'!$B$88,BD194+BC195-BL194))</f>
        <v>1.1368683772161603E-13</v>
      </c>
      <c r="BE195" s="14">
        <f>BD195*VLOOKUP('Données projet'!$B$11,Paramètres!$A$1:$I$88,3,0)*VLOOKUP('Données projet'!$B$11,Paramètres!$A$1:$I$88,5,0)</f>
        <v>1.1527845344971866E-13</v>
      </c>
      <c r="BF195" s="14">
        <f t="shared" si="167"/>
        <v>1.7033846239409443E-12</v>
      </c>
      <c r="BG195" s="22">
        <f t="shared" si="168"/>
        <v>3.1675048597887374E-12</v>
      </c>
      <c r="BH195" s="62">
        <f t="shared" si="118"/>
        <v>288.49355392036961</v>
      </c>
      <c r="BI195" s="62">
        <f ca="1">AVERAGE(OFFSET($BH$3,0,0,'Données projet'!$E$11+1,1))-AVERAGE(OFFSET($H$3,0,0,'Données projet'!$E$11+1,1))</f>
        <v>447.82618173893104</v>
      </c>
      <c r="BJ195" s="62">
        <f t="shared" si="119"/>
        <v>248.96509970783379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projet'!$B$11,Paramètres!$A$1:$I$88,7,0))</f>
        <v>0</v>
      </c>
      <c r="BN195" s="17">
        <f>IF(ISNA(VLOOKUP(A195,'Données projet'!$A$87:$I$107,6,0)),0%,VLOOKUP(A195,'Données projet'!$A$87:$I$107,6,0)*VLOOKUP('Données projet'!$B$11,Paramètres!$A$1:$I$88,7,0))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projet'!$B$9,Paramètres!$A$1:$I$88,3,0)*0.475*44/12</f>
        <v>0</v>
      </c>
      <c r="BQ195" s="23">
        <f>EXP(-LN(2)/25)*BQ194+(1-EXP(-LN(2)/25))/(LN(2)/25)*Calculateur!BL195*Calculateur!BN195*VLOOKUP('Données projet'!$B$9,Paramètres!$A$1:$I$88,3,0)*0.475*44/12</f>
        <v>0</v>
      </c>
      <c r="BR195" s="23">
        <f>EXP(-LN(2)/2)*BR194+(1-EXP(-LN(2)/2))/(LN(2)/2)*BL195*BO195*VLOOKUP('Données projet'!$B$9,Paramètres!$A$1:$I$88,3,0)*0.475*44/12</f>
        <v>0</v>
      </c>
      <c r="BS195" s="24">
        <f t="shared" si="169"/>
        <v>0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IF(A195&lt;'Données projet'!$A$114,$BV$205^A195,IF(A195='Données projet'!$A$114,'Données projet'!$B$114,BY194+BX195-CG194))</f>
        <v>1.1368683772161603E-13</v>
      </c>
      <c r="BZ195" s="14">
        <f>BY195*VLOOKUP('Données projet'!$B$12,Paramètres!$A$1:$I$88,3,0)*VLOOKUP('Données projet'!$B$12,Paramètres!$A$1:$I$88,5,0)</f>
        <v>1.223725121235475E-13</v>
      </c>
      <c r="CA195" s="14">
        <f t="shared" si="170"/>
        <v>1.7956824466038182E-12</v>
      </c>
      <c r="CB195" s="22">
        <f t="shared" si="171"/>
        <v>3.3406123864501612E-12</v>
      </c>
      <c r="CC195" s="62">
        <f t="shared" si="122"/>
        <v>288.49355392036978</v>
      </c>
      <c r="CD195" s="62">
        <f ca="1">AVERAGE(OFFSET($CC$3,0,0,'Données projet'!$E$12+1,1))-AVERAGE(OFFSET($H$3,0,0,'Données projet'!$E$12+1,1))</f>
        <v>468.82871618425406</v>
      </c>
      <c r="CE195" s="62">
        <f t="shared" si="123"/>
        <v>259.37818128554397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projet'!$B$12,Paramètres!$A$1:$I$88,7,0))</f>
        <v>0</v>
      </c>
      <c r="CI195" s="17">
        <f>IF(ISNA(VLOOKUP(A195,'Données projet'!$A$113:$I$133,6,0)),0%,VLOOKUP(A195,'Données projet'!$A$113:$I$133,6,0)*VLOOKUP('Données projet'!$B$12,Paramètres!$A$1:$I$88,7,0))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projet'!$B$9,Paramètres!$A$1:$I$88,3,0)*0.475*44/12</f>
        <v>0</v>
      </c>
      <c r="CL195" s="23">
        <f>EXP(-LN(2)/25)*CL194+(1-EXP(-LN(2)/25))/(LN(2)/25)*Calculateur!CG195*Calculateur!CI195*VLOOKUP('Données projet'!$B$9,Paramètres!$A$1:$I$88,3,0)*0.475*44/12</f>
        <v>0</v>
      </c>
      <c r="CM195" s="23">
        <f>EXP(-LN(2)/2)*CM194+(1-EXP(-LN(2)/2))/(LN(2)/2)*CG195*CJ195*VLOOKUP('Données projet'!$B$9,Paramètres!$A$1:$I$88,3,0)*0.475*44/12</f>
        <v>0</v>
      </c>
      <c r="CN195" s="24">
        <f t="shared" si="172"/>
        <v>0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IF(A195&lt;'Données projet'!$A$140,$CQ$205^A195,IF(A195='Données projet'!$A$140,'Données projet'!$B$140,CT194+CS195-DB194))</f>
        <v>1.1368683772161603E-13</v>
      </c>
      <c r="CU195" s="18">
        <f>CT195*VLOOKUP('Données projet'!$B$13,Paramètres!$A$1:$I$88,3,0)*VLOOKUP('Données projet'!$B$13,Paramètres!$A$1:$I$88,5,0)</f>
        <v>9.7543306765146564E-14</v>
      </c>
      <c r="CV195" s="14">
        <f t="shared" si="173"/>
        <v>1.4696264278629426E-12</v>
      </c>
      <c r="CW195" s="22">
        <f t="shared" si="174"/>
        <v>2.7294872878105889E-12</v>
      </c>
      <c r="CX195" s="62">
        <f t="shared" si="126"/>
        <v>288.49355392036915</v>
      </c>
      <c r="CY195" s="62">
        <f ca="1">AVERAGE(OFFSET($CX$3,0,0,'Données projet'!$E$13+1,1))-AVERAGE(OFFSET($H$3,0,0,'Données projet'!$E$13+1,1))</f>
        <v>395.19659151668884</v>
      </c>
      <c r="CZ195" s="62">
        <f t="shared" si="127"/>
        <v>222.86563304507339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projet'!$B$13,Paramètres!$A$1:$I$88,7,0))</f>
        <v>0</v>
      </c>
      <c r="DD195" s="17">
        <f>IF(ISNA(VLOOKUP(A195,'Données projet'!$A$139:$I$159,6,0)),0%,VLOOKUP(A195,'Données projet'!$A$139:$I$159,6,0)*VLOOKUP('Données projet'!$B$13,Paramètres!$A$1:$I$88,7,0))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projet'!$B$9,Paramètres!$A$1:$I$88,3,0)*0.475*44/12</f>
        <v>0</v>
      </c>
      <c r="DG195" s="23">
        <f>EXP(-LN(2)/25)*DG194+(1-EXP(-LN(2)/25))/(LN(2)/25)*Calculateur!DB195*Calculateur!DD195*VLOOKUP('Données projet'!$B$9,Paramètres!$A$1:$I$88,3,0)*0.475*44/12</f>
        <v>0</v>
      </c>
      <c r="DH195" s="23">
        <f>EXP(-LN(2)/2)*DH194+(1-EXP(-LN(2)/2))/(LN(2)/2)*DB195*DE195*VLOOKUP('Données projet'!$B$9,Paramètres!$A$1:$I$88,3,0)*0.475*44/12</f>
        <v>0</v>
      </c>
      <c r="DI195" s="24">
        <f t="shared" si="175"/>
        <v>0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IF(A195&lt;'Données projet'!$A$166,$DL$205^A195,IF(A195='Données projet'!$A$166,'Données projet'!$B$166,DO194+DN195-DW194))</f>
        <v>-8.5265128291212022E-14</v>
      </c>
      <c r="DP195" s="18">
        <f>DO195*VLOOKUP('Données projet'!$B$14,Paramètres!$A$1:$I$88,3,0)*VLOOKUP('Données projet'!$B$14,Paramètres!$A$1:$I$88,5,0)</f>
        <v>-4.9880100050359036E-14</v>
      </c>
      <c r="DQ195" s="14" t="e">
        <f t="shared" si="176"/>
        <v>#NUM!</v>
      </c>
      <c r="DR195" s="22" t="e">
        <f t="shared" si="177"/>
        <v>#NUM!</v>
      </c>
      <c r="DS195" s="62" t="e">
        <f t="shared" si="130"/>
        <v>#NUM!</v>
      </c>
      <c r="DT195" s="62">
        <f ca="1">AVERAGE(OFFSET($DS$3,0,0,'Données projet'!$E$14+1,1))-AVERAGE(OFFSET($H$3,0,0,'Données projet'!$E$14+1,1))</f>
        <v>155.18073137151848</v>
      </c>
      <c r="DU195" s="62">
        <f t="shared" si="131"/>
        <v>115.19459155667272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projet'!$B$14,Paramètres!$A$1:$I$88,7,0))</f>
        <v>0</v>
      </c>
      <c r="DY195" s="17">
        <f>IF(ISNA(VLOOKUP(A195,'Données projet'!$A$165:$I$185,6,0)),0%,VLOOKUP(A195,'Données projet'!$A$165:$I$185,6,0)*VLOOKUP('Données projet'!$B$14,Paramètres!$A$1:$I$88,7,0))</f>
        <v>0</v>
      </c>
      <c r="DZ195" s="17">
        <f>IF(ISNA(VLOOKUP(A195,'Données projet'!$A$165:$I$185,7,0)),0%,VLOOKUP(A195,'Données projet'!$A$165:$I$185,7,0))</f>
        <v>0</v>
      </c>
      <c r="EA195" s="23">
        <f>EXP(-LN(2)/35)*EA194+(1-EXP(-LN(2)/35))/(LN(2)/35)*DW195*DX195*VLOOKUP('Données projet'!$B$9,Paramètres!$A$1:$I$88,3,0)*0.475*44/12</f>
        <v>0</v>
      </c>
      <c r="EB195" s="23">
        <f>EXP(-LN(2)/25)*EB194+(1-EXP(-LN(2)/25))/(LN(2)/25)*Calculateur!DW195*Calculateur!DY195*VLOOKUP('Données projet'!$B$9,Paramètres!$A$1:$I$88,3,0)*0.475*44/12</f>
        <v>0</v>
      </c>
      <c r="EC195" s="23">
        <f>EXP(-LN(2)/2)*EC194+(1-EXP(-LN(2)/2))/(LN(2)/2)*DW195*DZ195*VLOOKUP('Données projet'!$B$9,Paramètres!$A$1:$I$88,3,0)*0.475*44/12</f>
        <v>0</v>
      </c>
      <c r="ED195" s="24">
        <f t="shared" si="178"/>
        <v>0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IF(A195&lt;'Données projet'!$A$192,$EG$205^A195,IF(A195='Données projet'!$A$192,'Données projet'!$B$192,EJ194+EI195-ER194))</f>
        <v>-5.6843418860808015E-14</v>
      </c>
      <c r="EK195" s="18">
        <f>EJ195*VLOOKUP('Données projet'!$B$15,Paramètres!$A$1:$I$88,3,0)*VLOOKUP('Données projet'!$B$15,Paramètres!$A$1:$I$88,5,0)</f>
        <v>-2.6602720026858149E-14</v>
      </c>
      <c r="EL195" s="14" t="e">
        <f t="shared" si="179"/>
        <v>#NUM!</v>
      </c>
      <c r="EM195" s="22" t="e">
        <f t="shared" si="180"/>
        <v>#NUM!</v>
      </c>
      <c r="EN195" s="62" t="e">
        <f t="shared" si="134"/>
        <v>#NUM!</v>
      </c>
      <c r="EO195" s="62">
        <f ca="1">AVERAGE(OFFSET($EN$3,0,0,'Données projet'!$E$15+1,1))-AVERAGE(OFFSET($H$3,0,0,'Données projet'!$E$15+1,1))</f>
        <v>238.59014604384171</v>
      </c>
      <c r="EP195" s="62">
        <f t="shared" si="135"/>
        <v>90.841373219575217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projet'!$B$15,Paramètres!$A$1:$I$88,7,0))</f>
        <v>0</v>
      </c>
      <c r="ET195" s="17">
        <f>IF(ISNA(VLOOKUP(A195,'Données projet'!$A$191:$I$211,6,0)),0%,VLOOKUP(A195,'Données projet'!$A$191:$I$211,6,0)*VLOOKUP('Données projet'!$B$15,Paramètres!$A$1:$I$88,7,0))</f>
        <v>0</v>
      </c>
      <c r="EU195" s="17">
        <f>IF(ISNA(VLOOKUP(A195,'Données projet'!$A$191:$I$211,7,0)),0%,VLOOKUP(A195,'Données projet'!$A$191:$I$211,7,0))</f>
        <v>0</v>
      </c>
      <c r="EV195" s="23">
        <f>EXP(-LN(2)/35)*EV194+(1-EXP(-LN(2)/35))/(LN(2)/35)*ER195*ES195*VLOOKUP('Données projet'!$B$9,Paramètres!$A$1:$I$88,3,0)*0.475*44/12</f>
        <v>0</v>
      </c>
      <c r="EW195" s="23">
        <f>EXP(-LN(2)/25)*EW194+(1-EXP(-LN(2)/25))/(LN(2)/25)*Calculateur!ER195*Calculateur!ET195*VLOOKUP('Données projet'!$B$9,Paramètres!$A$1:$I$88,3,0)*0.475*44/12</f>
        <v>0</v>
      </c>
      <c r="EX195" s="23">
        <f>EXP(-LN(2)/2)*EX194+(1-EXP(-LN(2)/2))/(LN(2)/2)*ER195*EU195*VLOOKUP('Données projet'!$B$9,Paramètres!$A$1:$I$88,3,0)*0.475*44/12</f>
        <v>0</v>
      </c>
      <c r="EY195" s="24">
        <f t="shared" si="181"/>
        <v>0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IF(A195&lt;'Données projet'!$A$218,$FB$205^A195,IF(A195='Données projet'!$A$218,'Données projet'!$B$218,FE194+FD195-FM194))</f>
        <v>0</v>
      </c>
      <c r="FF195" s="18" t="e">
        <f>FE195*VLOOKUP('Données projet'!$B$16,Paramètres!$A$1:$I$88,3,0)*VLOOKUP('Données projet'!$B$16,Paramètres!$A$1:$I$88,5,0)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8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39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projet'!$B$16,Paramètres!$A$1:$I$88,7,0))</f>
        <v>0</v>
      </c>
      <c r="FO195" s="17">
        <f>IF(ISNA(VLOOKUP(A195,'Données projet'!$A$217:$I$237,6,0)),0%,VLOOKUP(A195,'Données projet'!$A$217:$I$237,6,0)*VLOOKUP('Données projet'!$B$16,Paramètres!$A$1:$I$88,7,0))</f>
        <v>0</v>
      </c>
      <c r="FP195" s="17">
        <f>IF(ISNA(VLOOKUP(A195,'Données projet'!$A$217:$I$237,7,0)),0%,VLOOKUP(A195,'Données projet'!$A$217:$I$237,7,0))</f>
        <v>0</v>
      </c>
      <c r="FQ195" s="23">
        <f>EXP(-LN(2)/35)*FQ194+(1-EXP(-LN(2)/35))/(LN(2)/35)*FM195*FN195*VLOOKUP('Données projet'!$B$9,Paramètres!$A$1:$I$88,3,0)*0.475*44/12</f>
        <v>0</v>
      </c>
      <c r="FR195" s="23">
        <f>EXP(-LN(2)/25)*FR194+(1-EXP(-LN(2)/25))/(LN(2)/25)*Calculateur!FM195*Calculateur!FO195*VLOOKUP('Données projet'!$B$9,Paramètres!$A$1:$I$88,3,0)*0.475*44/12</f>
        <v>0</v>
      </c>
      <c r="FS195" s="23">
        <f>EXP(-LN(2)/2)*FS194+(1-EXP(-LN(2)/2))/(LN(2)/2)*FM195*FP195*VLOOKUP('Données projet'!$B$9,Paramètres!$A$1:$I$88,3,0)*0.475*44/12</f>
        <v>0</v>
      </c>
      <c r="FT195" s="24">
        <f t="shared" si="184"/>
        <v>0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IF(A195&lt;'Données projet'!$A$244,$FW$205^A195,IF(A195='Données projet'!$A$244,'Données projet'!$B$244,FZ194+FY195-GH194))</f>
        <v>0</v>
      </c>
      <c r="GA195" s="18" t="e">
        <f>FZ195*VLOOKUP('Données projet'!$B$17,Paramètres!$A$1:$I$88,3,0)*VLOOKUP('Données projet'!$B$17,Paramètres!$A$1:$I$88,5,0)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42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43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projet'!$B$17,Paramètres!$A$1:$I$88,7,0))</f>
        <v>0</v>
      </c>
      <c r="GJ195" s="17">
        <f>IF(ISNA(VLOOKUP(A195,'Données projet'!$A$243:$I$263,6,0)),0%,VLOOKUP(A195,'Données projet'!$A$243:$I$263,6,0)*VLOOKUP('Données projet'!$B$17,Paramètres!$A$1:$I$88,7,0))</f>
        <v>0</v>
      </c>
      <c r="GK195" s="17">
        <f>IF(ISNA(VLOOKUP(A195,'Données projet'!$A$243:$I$263,7,0)),0%,VLOOKUP(A195,'Données projet'!$A$243:$I$263,7,0))</f>
        <v>0</v>
      </c>
      <c r="GL195" s="23">
        <f>EXP(-LN(2)/35)*GL194+(1-EXP(-LN(2)/35))/(LN(2)/35)*GH195*GI195*VLOOKUP('Données projet'!$B$9,Paramètres!$A$1:$I$88,3,0)*0.475*44/12</f>
        <v>0</v>
      </c>
      <c r="GM195" s="23">
        <f>EXP(-LN(2)/25)*GM194+(1-EXP(-LN(2)/25))/(LN(2)/25)*Calculateur!GH195*Calculateur!GJ195*VLOOKUP('Données projet'!$B$9,Paramètres!$A$1:$I$88,3,0)*0.475*44/12</f>
        <v>0</v>
      </c>
      <c r="GN195" s="23">
        <f>EXP(-LN(2)/2)*GN194+(1-EXP(-LN(2)/2))/(LN(2)/2)*GH195*GK195*VLOOKUP('Données projet'!$B$9,Paramètres!$A$1:$I$88,3,0)*0.475*44/12</f>
        <v>0</v>
      </c>
      <c r="GO195" s="23">
        <f t="shared" si="187"/>
        <v>0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IF(A195&lt;'Données projet'!$A$270,$GR$205^A195,IF(A195='Données projet'!$A$270,'Données projet'!$B$270,GU194+GT195-HC194))</f>
        <v>0</v>
      </c>
      <c r="GV195" s="18" t="e">
        <f>GU195*VLOOKUP('Données projet'!$B$18,Paramètres!$A$1:$I$88,3,0)*VLOOKUP('Données projet'!$B$18,Paramètres!$A$1:$I$88,5,0)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46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47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projet'!$B$18,Paramètres!$A$1:$I$88,7,0))</f>
        <v>0</v>
      </c>
      <c r="HE195" s="17">
        <f>IF(ISNA(VLOOKUP(A195,'Données projet'!$A$269:$I$289,6,0)),0%,VLOOKUP(A195,'Données projet'!$A$269:$I$289,6,0)*VLOOKUP('Données projet'!$B$18,Paramètres!$A$1:$I$88,7,0))</f>
        <v>0</v>
      </c>
      <c r="HF195" s="17">
        <f>IF(ISNA(VLOOKUP(A195,'Données projet'!$A$269:$I$289,7,0)),0%,VLOOKUP(A195,'Données projet'!$A$269:$I$289,7,0))</f>
        <v>0</v>
      </c>
      <c r="HG195" s="23">
        <f>EXP(-LN(2)/35)*HG194+(1-EXP(-LN(2)/35))/(LN(2)/35)*HC195*HD195*VLOOKUP('Données projet'!$B$9,Paramètres!$A$1:$I$88,3,0)*0.475*44/12</f>
        <v>0</v>
      </c>
      <c r="HH195" s="23">
        <f>EXP(-LN(2)/25)*HH194+(1-EXP(-LN(2)/25))/(LN(2)/25)*Calculateur!HC195*Calculateur!HE195*VLOOKUP('Données projet'!$B$9,Paramètres!$A$1:$I$88,3,0)*0.475*44/12</f>
        <v>0</v>
      </c>
      <c r="HI195" s="23">
        <f>EXP(-LN(2)/2)*HI194+(1-EXP(-LN(2)/2))/(LN(2)/2)*HC195*HF195*VLOOKUP('Données projet'!$B$9,Paramètres!$A$1:$I$88,3,0)*0.475*44/12</f>
        <v>0</v>
      </c>
      <c r="HJ195" s="24">
        <f t="shared" si="190"/>
        <v>0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6" s="12">
        <f t="shared" si="15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193">(B196+E196+F196)*44/12+(C196+D196)*0.475*44/12</f>
        <v>135.66666666666666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IF(A196&lt;'Données projet'!$A$36,$K$205^A196,IF(A196='Données projet'!$A$36,'Données projet'!$B$36,N195+M196-V195))</f>
        <v>0</v>
      </c>
      <c r="O196" s="14">
        <f>N196*VLOOKUP('Données projet'!$B$9,Paramètres!$A$1:$I$88,3,0)*VLOOKUP('Données projet'!$B$9,Paramètres!$A$1:$I$88,5,0)</f>
        <v>0</v>
      </c>
      <c r="P196" s="14" t="e">
        <f t="shared" si="15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314.72063458462026</v>
      </c>
      <c r="T196" s="62">
        <f t="shared" si="192"/>
        <v>216.4380325968244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projet'!$B$9,Paramètres!$A$1:$I$88,7,0))</f>
        <v>0</v>
      </c>
      <c r="X196" s="17">
        <f>IF(ISNA(VLOOKUP(A196,'Données projet'!$A$35:$I$55,6,0)),0%,VLOOKUP(A196,'Données projet'!$A$35:$I$55,6,0)*VLOOKUP('Données projet'!$B$9,Paramètres!$A$1:$I$88,7,0))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projet'!$B$9,Paramètres!$A$1:$I$88,3,0)*0.475*44/12</f>
        <v>0</v>
      </c>
      <c r="AA196" s="23">
        <f>EXP(-LN(2)/25)*AA195+(1-EXP(-LN(2)/25))/(LN(2)/25)*Calculateur!V196*Calculateur!X196*VLOOKUP('Données projet'!$B$9,Paramètres!$A$1:$I$88,3,0)*0.475*44/12</f>
        <v>0</v>
      </c>
      <c r="AB196" s="23">
        <f>EXP(-LN(2)/2)*AB195+(1-EXP(-LN(2)/2))/(LN(2)/2)*V196*Y196*VLOOKUP('Données projet'!$B$9,Paramètres!$A$1:$I$88,3,0)*0.475*44/12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IF(A196&lt;'Données projet'!$A$62,$AF$205^A196,IF(A196='Données projet'!$A$62,'Données projet'!$B$62,AI195+AH196-AQ195))</f>
        <v>1.1368683772161603E-13</v>
      </c>
      <c r="AJ196" s="14">
        <f>AI196*VLOOKUP('Données projet'!$B$10,Paramètres!$A$1:$I$88,3,0)*VLOOKUP('Données projet'!$B$10,Paramètres!$A$1:$I$88,5,0)</f>
        <v>1.1882548278663309E-13</v>
      </c>
      <c r="AK196" s="14">
        <f t="shared" si="164"/>
        <v>1.7496137229198366E-12</v>
      </c>
      <c r="AL196" s="22">
        <f t="shared" si="165"/>
        <v>3.2541982832721012E-12</v>
      </c>
      <c r="AM196" s="62">
        <f t="shared" ref="AM196:AM203" si="194">AL196+(AD196+AE196)*44/12</f>
        <v>288.57751327305886</v>
      </c>
      <c r="AN196" s="62">
        <f ca="1">AVERAGE(OFFSET($AM$3,0,0,'Données projet'!$E$10+1,1))-AVERAGE(OFFSET($H$3,0,0,'Données projet'!$E$10+1,1))</f>
        <v>458.33072853676879</v>
      </c>
      <c r="AO196" s="62">
        <f t="shared" ref="AO196:AO203" si="195">$AM$33-$H$33</f>
        <v>254.1734169352687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projet'!$B$10,Paramètres!$A$1:$I$88,7,0))</f>
        <v>0</v>
      </c>
      <c r="AS196" s="17">
        <f>IF(ISNA(VLOOKUP(A196,'Données projet'!$A$61:$I$81,6,0)),0%,VLOOKUP(A196,'Données projet'!$A$61:$I$81,6,0)*VLOOKUP('Données projet'!$B$10,Paramètres!$A$1:$I$88,7,0))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projet'!$B$9,Paramètres!$A$1:$I$88,3,0)*0.475*44/12</f>
        <v>0</v>
      </c>
      <c r="AV196" s="23">
        <f>EXP(-LN(2)/25)*AV195+(1-EXP(-LN(2)/25))/(LN(2)/25)*Calculateur!AQ196*Calculateur!AS196*VLOOKUP('Données projet'!$B$9,Paramètres!$A$1:$I$88,3,0)*0.475*44/12</f>
        <v>0</v>
      </c>
      <c r="AW196" s="23">
        <f>EXP(-LN(2)/2)*AW195+(1-EXP(-LN(2)/2))/(LN(2)/2)*AQ196*AT196*VLOOKUP('Données projet'!$B$9,Paramètres!$A$1:$I$88,3,0)*0.475*44/12</f>
        <v>0</v>
      </c>
      <c r="AX196" s="23">
        <f t="shared" si="166"/>
        <v>0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IF(A196&lt;'Données projet'!$A$88,$BA$205^A196,IF(A196='Données projet'!$A$88,'Données projet'!$B$88,BD195+BC196-BL195))</f>
        <v>1.1368683772161603E-13</v>
      </c>
      <c r="BE196" s="14">
        <f>BD196*VLOOKUP('Données projet'!$B$11,Paramètres!$A$1:$I$88,3,0)*VLOOKUP('Données projet'!$B$11,Paramètres!$A$1:$I$88,5,0)</f>
        <v>1.1527845344971866E-13</v>
      </c>
      <c r="BF196" s="14">
        <f t="shared" si="167"/>
        <v>1.7033846239409443E-12</v>
      </c>
      <c r="BG196" s="22">
        <f t="shared" si="168"/>
        <v>3.1675048597887374E-12</v>
      </c>
      <c r="BH196" s="62">
        <f t="shared" ref="BH196:BH203" si="196">BG196+(AY196+AZ196)*44/12</f>
        <v>288.5775132730588</v>
      </c>
      <c r="BI196" s="62">
        <f ca="1">AVERAGE(OFFSET($BH$3,0,0,'Données projet'!$E$11+1,1))-AVERAGE(OFFSET($H$3,0,0,'Données projet'!$E$11+1,1))</f>
        <v>447.82618173893104</v>
      </c>
      <c r="BJ196" s="62">
        <f t="shared" ref="BJ196:BJ203" si="197">$BH$33-$H$33</f>
        <v>248.96509970783379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projet'!$B$11,Paramètres!$A$1:$I$88,7,0))</f>
        <v>0</v>
      </c>
      <c r="BN196" s="17">
        <f>IF(ISNA(VLOOKUP(A196,'Données projet'!$A$87:$I$107,6,0)),0%,VLOOKUP(A196,'Données projet'!$A$87:$I$107,6,0)*VLOOKUP('Données projet'!$B$11,Paramètres!$A$1:$I$88,7,0))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projet'!$B$9,Paramètres!$A$1:$I$88,3,0)*0.475*44/12</f>
        <v>0</v>
      </c>
      <c r="BQ196" s="23">
        <f>EXP(-LN(2)/25)*BQ195+(1-EXP(-LN(2)/25))/(LN(2)/25)*Calculateur!BL196*Calculateur!BN196*VLOOKUP('Données projet'!$B$9,Paramètres!$A$1:$I$88,3,0)*0.475*44/12</f>
        <v>0</v>
      </c>
      <c r="BR196" s="23">
        <f>EXP(-LN(2)/2)*BR195+(1-EXP(-LN(2)/2))/(LN(2)/2)*BL196*BO196*VLOOKUP('Données projet'!$B$9,Paramètres!$A$1:$I$88,3,0)*0.475*44/12</f>
        <v>0</v>
      </c>
      <c r="BS196" s="24">
        <f t="shared" si="169"/>
        <v>0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IF(A196&lt;'Données projet'!$A$114,$BV$205^A196,IF(A196='Données projet'!$A$114,'Données projet'!$B$114,BY195+BX196-CG195))</f>
        <v>1.1368683772161603E-13</v>
      </c>
      <c r="BZ196" s="14">
        <f>BY196*VLOOKUP('Données projet'!$B$12,Paramètres!$A$1:$I$88,3,0)*VLOOKUP('Données projet'!$B$12,Paramètres!$A$1:$I$88,5,0)</f>
        <v>1.223725121235475E-13</v>
      </c>
      <c r="CA196" s="14">
        <f t="shared" si="170"/>
        <v>1.7956824466038182E-12</v>
      </c>
      <c r="CB196" s="22">
        <f t="shared" si="171"/>
        <v>3.3406123864501612E-12</v>
      </c>
      <c r="CC196" s="62">
        <f t="shared" ref="CC196:CC203" si="198">CB196+(BT196+BU196)*44/12</f>
        <v>288.57751327305897</v>
      </c>
      <c r="CD196" s="62">
        <f ca="1">AVERAGE(OFFSET($CC$3,0,0,'Données projet'!$E$12+1,1))-AVERAGE(OFFSET($H$3,0,0,'Données projet'!$E$12+1,1))</f>
        <v>468.82871618425406</v>
      </c>
      <c r="CE196" s="62">
        <f t="shared" ref="CE196:CE203" si="199">$CC$33-$H$33</f>
        <v>259.37818128554397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projet'!$B$12,Paramètres!$A$1:$I$88,7,0))</f>
        <v>0</v>
      </c>
      <c r="CI196" s="17">
        <f>IF(ISNA(VLOOKUP(A196,'Données projet'!$A$113:$I$133,6,0)),0%,VLOOKUP(A196,'Données projet'!$A$113:$I$133,6,0)*VLOOKUP('Données projet'!$B$12,Paramètres!$A$1:$I$88,7,0))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projet'!$B$9,Paramètres!$A$1:$I$88,3,0)*0.475*44/12</f>
        <v>0</v>
      </c>
      <c r="CL196" s="23">
        <f>EXP(-LN(2)/25)*CL195+(1-EXP(-LN(2)/25))/(LN(2)/25)*Calculateur!CG196*Calculateur!CI196*VLOOKUP('Données projet'!$B$9,Paramètres!$A$1:$I$88,3,0)*0.475*44/12</f>
        <v>0</v>
      </c>
      <c r="CM196" s="23">
        <f>EXP(-LN(2)/2)*CM195+(1-EXP(-LN(2)/2))/(LN(2)/2)*CG196*CJ196*VLOOKUP('Données projet'!$B$9,Paramètres!$A$1:$I$88,3,0)*0.475*44/12</f>
        <v>0</v>
      </c>
      <c r="CN196" s="24">
        <f t="shared" si="172"/>
        <v>0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IF(A196&lt;'Données projet'!$A$140,$CQ$205^A196,IF(A196='Données projet'!$A$140,'Données projet'!$B$140,CT195+CS196-DB195))</f>
        <v>1.1368683772161603E-13</v>
      </c>
      <c r="CU196" s="18">
        <f>CT196*VLOOKUP('Données projet'!$B$13,Paramètres!$A$1:$I$88,3,0)*VLOOKUP('Données projet'!$B$13,Paramètres!$A$1:$I$88,5,0)</f>
        <v>9.7543306765146564E-14</v>
      </c>
      <c r="CV196" s="14">
        <f t="shared" si="173"/>
        <v>1.4696264278629426E-12</v>
      </c>
      <c r="CW196" s="22">
        <f t="shared" si="174"/>
        <v>2.7294872878105889E-12</v>
      </c>
      <c r="CX196" s="62">
        <f t="shared" ref="CX196:CX203" si="200">CW196+(CO196+CP196)*44/12</f>
        <v>288.57751327305834</v>
      </c>
      <c r="CY196" s="62">
        <f ca="1">AVERAGE(OFFSET($CX$3,0,0,'Données projet'!$E$13+1,1))-AVERAGE(OFFSET($H$3,0,0,'Données projet'!$E$13+1,1))</f>
        <v>395.19659151668884</v>
      </c>
      <c r="CZ196" s="62">
        <f t="shared" ref="CZ196:CZ203" si="201">$CX$33-$H$33</f>
        <v>222.86563304507339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projet'!$B$13,Paramètres!$A$1:$I$88,7,0))</f>
        <v>0</v>
      </c>
      <c r="DD196" s="17">
        <f>IF(ISNA(VLOOKUP(A196,'Données projet'!$A$139:$I$159,6,0)),0%,VLOOKUP(A196,'Données projet'!$A$139:$I$159,6,0)*VLOOKUP('Données projet'!$B$13,Paramètres!$A$1:$I$88,7,0))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projet'!$B$9,Paramètres!$A$1:$I$88,3,0)*0.475*44/12</f>
        <v>0</v>
      </c>
      <c r="DG196" s="23">
        <f>EXP(-LN(2)/25)*DG195+(1-EXP(-LN(2)/25))/(LN(2)/25)*Calculateur!DB196*Calculateur!DD196*VLOOKUP('Données projet'!$B$9,Paramètres!$A$1:$I$88,3,0)*0.475*44/12</f>
        <v>0</v>
      </c>
      <c r="DH196" s="23">
        <f>EXP(-LN(2)/2)*DH195+(1-EXP(-LN(2)/2))/(LN(2)/2)*DB196*DE196*VLOOKUP('Données projet'!$B$9,Paramètres!$A$1:$I$88,3,0)*0.475*44/12</f>
        <v>0</v>
      </c>
      <c r="DI196" s="24">
        <f t="shared" si="175"/>
        <v>0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IF(A196&lt;'Données projet'!$A$166,$DL$205^A196,IF(A196='Données projet'!$A$166,'Données projet'!$B$166,DO195+DN196-DW195))</f>
        <v>-8.5265128291212022E-14</v>
      </c>
      <c r="DP196" s="18">
        <f>DO196*VLOOKUP('Données projet'!$B$14,Paramètres!$A$1:$I$88,3,0)*VLOOKUP('Données projet'!$B$14,Paramètres!$A$1:$I$88,5,0)</f>
        <v>-4.9880100050359036E-14</v>
      </c>
      <c r="DQ196" s="14" t="e">
        <f t="shared" si="176"/>
        <v>#NUM!</v>
      </c>
      <c r="DR196" s="22" t="e">
        <f t="shared" si="177"/>
        <v>#NUM!</v>
      </c>
      <c r="DS196" s="62" t="e">
        <f t="shared" ref="DS196:DS203" si="202">DR196+(DJ196+DK196)*44/12</f>
        <v>#NUM!</v>
      </c>
      <c r="DT196" s="62">
        <f ca="1">AVERAGE(OFFSET($DS$3,0,0,'Données projet'!$E$14+1,1))-AVERAGE(OFFSET($H$3,0,0,'Données projet'!$E$14+1,1))</f>
        <v>155.18073137151848</v>
      </c>
      <c r="DU196" s="62">
        <f t="shared" ref="DU196:DU203" si="203">$DS$33-$H$33</f>
        <v>115.19459155667272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projet'!$B$14,Paramètres!$A$1:$I$88,7,0))</f>
        <v>0</v>
      </c>
      <c r="DY196" s="17">
        <f>IF(ISNA(VLOOKUP(A196,'Données projet'!$A$165:$I$185,6,0)),0%,VLOOKUP(A196,'Données projet'!$A$165:$I$185,6,0)*VLOOKUP('Données projet'!$B$14,Paramètres!$A$1:$I$88,7,0))</f>
        <v>0</v>
      </c>
      <c r="DZ196" s="17">
        <f>IF(ISNA(VLOOKUP(A196,'Données projet'!$A$165:$I$185,7,0)),0%,VLOOKUP(A196,'Données projet'!$A$165:$I$185,7,0))</f>
        <v>0</v>
      </c>
      <c r="EA196" s="23">
        <f>EXP(-LN(2)/35)*EA195+(1-EXP(-LN(2)/35))/(LN(2)/35)*DW196*DX196*VLOOKUP('Données projet'!$B$9,Paramètres!$A$1:$I$88,3,0)*0.475*44/12</f>
        <v>0</v>
      </c>
      <c r="EB196" s="23">
        <f>EXP(-LN(2)/25)*EB195+(1-EXP(-LN(2)/25))/(LN(2)/25)*Calculateur!DW196*Calculateur!DY196*VLOOKUP('Données projet'!$B$9,Paramètres!$A$1:$I$88,3,0)*0.475*44/12</f>
        <v>0</v>
      </c>
      <c r="EC196" s="23">
        <f>EXP(-LN(2)/2)*EC195+(1-EXP(-LN(2)/2))/(LN(2)/2)*DW196*DZ196*VLOOKUP('Données projet'!$B$9,Paramètres!$A$1:$I$88,3,0)*0.475*44/12</f>
        <v>0</v>
      </c>
      <c r="ED196" s="24">
        <f t="shared" si="178"/>
        <v>0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IF(A196&lt;'Données projet'!$A$192,$EG$205^A196,IF(A196='Données projet'!$A$192,'Données projet'!$B$192,EJ195+EI196-ER195))</f>
        <v>-5.6843418860808015E-14</v>
      </c>
      <c r="EK196" s="18">
        <f>EJ196*VLOOKUP('Données projet'!$B$15,Paramètres!$A$1:$I$88,3,0)*VLOOKUP('Données projet'!$B$15,Paramètres!$A$1:$I$88,5,0)</f>
        <v>-2.6602720026858149E-14</v>
      </c>
      <c r="EL196" s="14" t="e">
        <f t="shared" si="179"/>
        <v>#NUM!</v>
      </c>
      <c r="EM196" s="22" t="e">
        <f t="shared" si="180"/>
        <v>#NUM!</v>
      </c>
      <c r="EN196" s="62" t="e">
        <f t="shared" ref="EN196:EN203" si="204">EM196+(EE196+EF196)*44/12</f>
        <v>#NUM!</v>
      </c>
      <c r="EO196" s="62">
        <f ca="1">AVERAGE(OFFSET($EN$3,0,0,'Données projet'!$E$15+1,1))-AVERAGE(OFFSET($H$3,0,0,'Données projet'!$E$15+1,1))</f>
        <v>238.59014604384171</v>
      </c>
      <c r="EP196" s="62">
        <f t="shared" ref="EP196:EP203" si="205">$EN$33-$H$33</f>
        <v>90.841373219575217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projet'!$B$15,Paramètres!$A$1:$I$88,7,0))</f>
        <v>0</v>
      </c>
      <c r="ET196" s="17">
        <f>IF(ISNA(VLOOKUP(A196,'Données projet'!$A$191:$I$211,6,0)),0%,VLOOKUP(A196,'Données projet'!$A$191:$I$211,6,0)*VLOOKUP('Données projet'!$B$15,Paramètres!$A$1:$I$88,7,0))</f>
        <v>0</v>
      </c>
      <c r="EU196" s="17">
        <f>IF(ISNA(VLOOKUP(A196,'Données projet'!$A$191:$I$211,7,0)),0%,VLOOKUP(A196,'Données projet'!$A$191:$I$211,7,0))</f>
        <v>0</v>
      </c>
      <c r="EV196" s="23">
        <f>EXP(-LN(2)/35)*EV195+(1-EXP(-LN(2)/35))/(LN(2)/35)*ER196*ES196*VLOOKUP('Données projet'!$B$9,Paramètres!$A$1:$I$88,3,0)*0.475*44/12</f>
        <v>0</v>
      </c>
      <c r="EW196" s="23">
        <f>EXP(-LN(2)/25)*EW195+(1-EXP(-LN(2)/25))/(LN(2)/25)*Calculateur!ER196*Calculateur!ET196*VLOOKUP('Données projet'!$B$9,Paramètres!$A$1:$I$88,3,0)*0.475*44/12</f>
        <v>0</v>
      </c>
      <c r="EX196" s="23">
        <f>EXP(-LN(2)/2)*EX195+(1-EXP(-LN(2)/2))/(LN(2)/2)*ER196*EU196*VLOOKUP('Données projet'!$B$9,Paramètres!$A$1:$I$88,3,0)*0.475*44/12</f>
        <v>0</v>
      </c>
      <c r="EY196" s="24">
        <f t="shared" si="181"/>
        <v>0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IF(A196&lt;'Données projet'!$A$218,$FB$205^A196,IF(A196='Données projet'!$A$218,'Données projet'!$B$218,FE195+FD196-FM195))</f>
        <v>0</v>
      </c>
      <c r="FF196" s="18" t="e">
        <f>FE196*VLOOKUP('Données projet'!$B$16,Paramètres!$A$1:$I$88,3,0)*VLOOKUP('Données projet'!$B$16,Paramètres!$A$1:$I$88,5,0)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206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ref="FK196:FK203" si="207">$FI$33-$H$33</f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projet'!$B$16,Paramètres!$A$1:$I$88,7,0))</f>
        <v>0</v>
      </c>
      <c r="FO196" s="17">
        <f>IF(ISNA(VLOOKUP(A196,'Données projet'!$A$217:$I$237,6,0)),0%,VLOOKUP(A196,'Données projet'!$A$217:$I$237,6,0)*VLOOKUP('Données projet'!$B$16,Paramètres!$A$1:$I$88,7,0))</f>
        <v>0</v>
      </c>
      <c r="FP196" s="17">
        <f>IF(ISNA(VLOOKUP(A196,'Données projet'!$A$217:$I$237,7,0)),0%,VLOOKUP(A196,'Données projet'!$A$217:$I$237,7,0))</f>
        <v>0</v>
      </c>
      <c r="FQ196" s="23">
        <f>EXP(-LN(2)/35)*FQ195+(1-EXP(-LN(2)/35))/(LN(2)/35)*FM196*FN196*VLOOKUP('Données projet'!$B$9,Paramètres!$A$1:$I$88,3,0)*0.475*44/12</f>
        <v>0</v>
      </c>
      <c r="FR196" s="23">
        <f>EXP(-LN(2)/25)*FR195+(1-EXP(-LN(2)/25))/(LN(2)/25)*Calculateur!FM196*Calculateur!FO196*VLOOKUP('Données projet'!$B$9,Paramètres!$A$1:$I$88,3,0)*0.475*44/12</f>
        <v>0</v>
      </c>
      <c r="FS196" s="23">
        <f>EXP(-LN(2)/2)*FS195+(1-EXP(-LN(2)/2))/(LN(2)/2)*FM196*FP196*VLOOKUP('Données projet'!$B$9,Paramètres!$A$1:$I$88,3,0)*0.475*44/12</f>
        <v>0</v>
      </c>
      <c r="FT196" s="24">
        <f t="shared" si="184"/>
        <v>0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IF(A196&lt;'Données projet'!$A$244,$FW$205^A196,IF(A196='Données projet'!$A$244,'Données projet'!$B$244,FZ195+FY196-GH195))</f>
        <v>0</v>
      </c>
      <c r="GA196" s="18" t="e">
        <f>FZ196*VLOOKUP('Données projet'!$B$17,Paramètres!$A$1:$I$88,3,0)*VLOOKUP('Données projet'!$B$17,Paramètres!$A$1:$I$88,5,0)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8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ref="GF196:GF203" si="209">$GD$33-$H$33</f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projet'!$B$17,Paramètres!$A$1:$I$88,7,0))</f>
        <v>0</v>
      </c>
      <c r="GJ196" s="17">
        <f>IF(ISNA(VLOOKUP(A196,'Données projet'!$A$243:$I$263,6,0)),0%,VLOOKUP(A196,'Données projet'!$A$243:$I$263,6,0)*VLOOKUP('Données projet'!$B$17,Paramètres!$A$1:$I$88,7,0))</f>
        <v>0</v>
      </c>
      <c r="GK196" s="17">
        <f>IF(ISNA(VLOOKUP(A196,'Données projet'!$A$243:$I$263,7,0)),0%,VLOOKUP(A196,'Données projet'!$A$243:$I$263,7,0))</f>
        <v>0</v>
      </c>
      <c r="GL196" s="23">
        <f>EXP(-LN(2)/35)*GL195+(1-EXP(-LN(2)/35))/(LN(2)/35)*GH196*GI196*VLOOKUP('Données projet'!$B$9,Paramètres!$A$1:$I$88,3,0)*0.475*44/12</f>
        <v>0</v>
      </c>
      <c r="GM196" s="23">
        <f>EXP(-LN(2)/25)*GM195+(1-EXP(-LN(2)/25))/(LN(2)/25)*Calculateur!GH196*Calculateur!GJ196*VLOOKUP('Données projet'!$B$9,Paramètres!$A$1:$I$88,3,0)*0.475*44/12</f>
        <v>0</v>
      </c>
      <c r="GN196" s="23">
        <f>EXP(-LN(2)/2)*GN195+(1-EXP(-LN(2)/2))/(LN(2)/2)*GH196*GK196*VLOOKUP('Données projet'!$B$9,Paramètres!$A$1:$I$88,3,0)*0.475*44/12</f>
        <v>0</v>
      </c>
      <c r="GO196" s="23">
        <f t="shared" si="187"/>
        <v>0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IF(A196&lt;'Données projet'!$A$270,$GR$205^A196,IF(A196='Données projet'!$A$270,'Données projet'!$B$270,GU195+GT196-HC195))</f>
        <v>0</v>
      </c>
      <c r="GV196" s="18" t="e">
        <f>GU196*VLOOKUP('Données projet'!$B$18,Paramètres!$A$1:$I$88,3,0)*VLOOKUP('Données projet'!$B$18,Paramètres!$A$1:$I$88,5,0)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10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ref="HA196:HA203" si="211">$GY$33-$H$33</f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projet'!$B$18,Paramètres!$A$1:$I$88,7,0))</f>
        <v>0</v>
      </c>
      <c r="HE196" s="17">
        <f>IF(ISNA(VLOOKUP(A196,'Données projet'!$A$269:$I$289,6,0)),0%,VLOOKUP(A196,'Données projet'!$A$269:$I$289,6,0)*VLOOKUP('Données projet'!$B$18,Paramètres!$A$1:$I$88,7,0))</f>
        <v>0</v>
      </c>
      <c r="HF196" s="17">
        <f>IF(ISNA(VLOOKUP(A196,'Données projet'!$A$269:$I$289,7,0)),0%,VLOOKUP(A196,'Données projet'!$A$269:$I$289,7,0))</f>
        <v>0</v>
      </c>
      <c r="HG196" s="23">
        <f>EXP(-LN(2)/35)*HG195+(1-EXP(-LN(2)/35))/(LN(2)/35)*HC196*HD196*VLOOKUP('Données projet'!$B$9,Paramètres!$A$1:$I$88,3,0)*0.475*44/12</f>
        <v>0</v>
      </c>
      <c r="HH196" s="23">
        <f>EXP(-LN(2)/25)*HH195+(1-EXP(-LN(2)/25))/(LN(2)/25)*Calculateur!HC196*Calculateur!HE196*VLOOKUP('Données projet'!$B$9,Paramètres!$A$1:$I$88,3,0)*0.475*44/12</f>
        <v>0</v>
      </c>
      <c r="HI196" s="23">
        <f>EXP(-LN(2)/2)*HI195+(1-EXP(-LN(2)/2))/(LN(2)/2)*HC196*HF196*VLOOKUP('Données projet'!$B$9,Paramètres!$A$1:$I$88,3,0)*0.475*44/12</f>
        <v>0</v>
      </c>
      <c r="HJ196" s="24">
        <f t="shared" si="190"/>
        <v>0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7" s="12">
        <f t="shared" ref="D197:D203" si="21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193"/>
        <v>135.66666666666666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IF(A197&lt;'Données projet'!$A$36,$K$205^A197,IF(A197='Données projet'!$A$36,'Données projet'!$B$36,N196+M197-V196))</f>
        <v>0</v>
      </c>
      <c r="O197" s="14">
        <f>N197*VLOOKUP('Données projet'!$B$9,Paramètres!$A$1:$I$88,3,0)*VLOOKUP('Données projet'!$B$9,Paramètres!$A$1:$I$88,5,0)</f>
        <v>0</v>
      </c>
      <c r="P197" s="14" t="e">
        <f t="shared" ref="P197:P203" si="21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314.72063458462026</v>
      </c>
      <c r="T197" s="62">
        <f t="shared" si="192"/>
        <v>216.4380325968244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projet'!$B$9,Paramètres!$A$1:$I$88,7,0))</f>
        <v>0</v>
      </c>
      <c r="X197" s="17">
        <f>IF(ISNA(VLOOKUP(A197,'Données projet'!$A$35:$I$55,6,0)),0%,VLOOKUP(A197,'Données projet'!$A$35:$I$55,6,0)*VLOOKUP('Données projet'!$B$9,Paramètres!$A$1:$I$88,7,0))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projet'!$B$9,Paramètres!$A$1:$I$88,3,0)*0.475*44/12</f>
        <v>0</v>
      </c>
      <c r="AA197" s="23">
        <f>EXP(-LN(2)/25)*AA196+(1-EXP(-LN(2)/25))/(LN(2)/25)*Calculateur!V197*Calculateur!X197*VLOOKUP('Données projet'!$B$9,Paramètres!$A$1:$I$88,3,0)*0.475*44/12</f>
        <v>0</v>
      </c>
      <c r="AB197" s="23">
        <f>EXP(-LN(2)/2)*AB196+(1-EXP(-LN(2)/2))/(LN(2)/2)*V197*Y197*VLOOKUP('Données projet'!$B$9,Paramètres!$A$1:$I$88,3,0)*0.475*44/12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IF(A197&lt;'Données projet'!$A$62,$AF$205^A197,IF(A197='Données projet'!$A$62,'Données projet'!$B$62,AI196+AH197-AQ196))</f>
        <v>1.1368683772161603E-13</v>
      </c>
      <c r="AJ197" s="14">
        <f>AI197*VLOOKUP('Données projet'!$B$10,Paramètres!$A$1:$I$88,3,0)*VLOOKUP('Données projet'!$B$10,Paramètres!$A$1:$I$88,5,0)</f>
        <v>1.1882548278663309E-13</v>
      </c>
      <c r="AK197" s="14">
        <f t="shared" si="164"/>
        <v>1.7496137229198366E-12</v>
      </c>
      <c r="AL197" s="22">
        <f t="shared" si="165"/>
        <v>3.2541982832721012E-12</v>
      </c>
      <c r="AM197" s="62">
        <f t="shared" si="194"/>
        <v>288.66001611868387</v>
      </c>
      <c r="AN197" s="62">
        <f ca="1">AVERAGE(OFFSET($AM$3,0,0,'Données projet'!$E$10+1,1))-AVERAGE(OFFSET($H$3,0,0,'Données projet'!$E$10+1,1))</f>
        <v>458.33072853676879</v>
      </c>
      <c r="AO197" s="62">
        <f t="shared" si="195"/>
        <v>254.1734169352687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projet'!$B$10,Paramètres!$A$1:$I$88,7,0))</f>
        <v>0</v>
      </c>
      <c r="AS197" s="17">
        <f>IF(ISNA(VLOOKUP(A197,'Données projet'!$A$61:$I$81,6,0)),0%,VLOOKUP(A197,'Données projet'!$A$61:$I$81,6,0)*VLOOKUP('Données projet'!$B$10,Paramètres!$A$1:$I$88,7,0))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projet'!$B$9,Paramètres!$A$1:$I$88,3,0)*0.475*44/12</f>
        <v>0</v>
      </c>
      <c r="AV197" s="23">
        <f>EXP(-LN(2)/25)*AV196+(1-EXP(-LN(2)/25))/(LN(2)/25)*Calculateur!AQ197*Calculateur!AS197*VLOOKUP('Données projet'!$B$9,Paramètres!$A$1:$I$88,3,0)*0.475*44/12</f>
        <v>0</v>
      </c>
      <c r="AW197" s="23">
        <f>EXP(-LN(2)/2)*AW196+(1-EXP(-LN(2)/2))/(LN(2)/2)*AQ197*AT197*VLOOKUP('Données projet'!$B$9,Paramètres!$A$1:$I$88,3,0)*0.475*44/12</f>
        <v>0</v>
      </c>
      <c r="AX197" s="23">
        <f t="shared" si="166"/>
        <v>0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IF(A197&lt;'Données projet'!$A$88,$BA$205^A197,IF(A197='Données projet'!$A$88,'Données projet'!$B$88,BD196+BC197-BL196))</f>
        <v>1.1368683772161603E-13</v>
      </c>
      <c r="BE197" s="14">
        <f>BD197*VLOOKUP('Données projet'!$B$11,Paramètres!$A$1:$I$88,3,0)*VLOOKUP('Données projet'!$B$11,Paramètres!$A$1:$I$88,5,0)</f>
        <v>1.1527845344971866E-13</v>
      </c>
      <c r="BF197" s="14">
        <f t="shared" si="167"/>
        <v>1.7033846239409443E-12</v>
      </c>
      <c r="BG197" s="22">
        <f t="shared" si="168"/>
        <v>3.1675048597887374E-12</v>
      </c>
      <c r="BH197" s="62">
        <f t="shared" si="196"/>
        <v>288.66001611868381</v>
      </c>
      <c r="BI197" s="62">
        <f ca="1">AVERAGE(OFFSET($BH$3,0,0,'Données projet'!$E$11+1,1))-AVERAGE(OFFSET($H$3,0,0,'Données projet'!$E$11+1,1))</f>
        <v>447.82618173893104</v>
      </c>
      <c r="BJ197" s="62">
        <f t="shared" si="197"/>
        <v>248.96509970783379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projet'!$B$11,Paramètres!$A$1:$I$88,7,0))</f>
        <v>0</v>
      </c>
      <c r="BN197" s="17">
        <f>IF(ISNA(VLOOKUP(A197,'Données projet'!$A$87:$I$107,6,0)),0%,VLOOKUP(A197,'Données projet'!$A$87:$I$107,6,0)*VLOOKUP('Données projet'!$B$11,Paramètres!$A$1:$I$88,7,0))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projet'!$B$9,Paramètres!$A$1:$I$88,3,0)*0.475*44/12</f>
        <v>0</v>
      </c>
      <c r="BQ197" s="23">
        <f>EXP(-LN(2)/25)*BQ196+(1-EXP(-LN(2)/25))/(LN(2)/25)*Calculateur!BL197*Calculateur!BN197*VLOOKUP('Données projet'!$B$9,Paramètres!$A$1:$I$88,3,0)*0.475*44/12</f>
        <v>0</v>
      </c>
      <c r="BR197" s="23">
        <f>EXP(-LN(2)/2)*BR196+(1-EXP(-LN(2)/2))/(LN(2)/2)*BL197*BO197*VLOOKUP('Données projet'!$B$9,Paramètres!$A$1:$I$88,3,0)*0.475*44/12</f>
        <v>0</v>
      </c>
      <c r="BS197" s="24">
        <f t="shared" si="169"/>
        <v>0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IF(A197&lt;'Données projet'!$A$114,$BV$205^A197,IF(A197='Données projet'!$A$114,'Données projet'!$B$114,BY196+BX197-CG196))</f>
        <v>1.1368683772161603E-13</v>
      </c>
      <c r="BZ197" s="14">
        <f>BY197*VLOOKUP('Données projet'!$B$12,Paramètres!$A$1:$I$88,3,0)*VLOOKUP('Données projet'!$B$12,Paramètres!$A$1:$I$88,5,0)</f>
        <v>1.223725121235475E-13</v>
      </c>
      <c r="CA197" s="14">
        <f t="shared" si="170"/>
        <v>1.7956824466038182E-12</v>
      </c>
      <c r="CB197" s="22">
        <f t="shared" si="171"/>
        <v>3.3406123864501612E-12</v>
      </c>
      <c r="CC197" s="62">
        <f t="shared" si="198"/>
        <v>288.66001611868398</v>
      </c>
      <c r="CD197" s="62">
        <f ca="1">AVERAGE(OFFSET($CC$3,0,0,'Données projet'!$E$12+1,1))-AVERAGE(OFFSET($H$3,0,0,'Données projet'!$E$12+1,1))</f>
        <v>468.82871618425406</v>
      </c>
      <c r="CE197" s="62">
        <f t="shared" si="199"/>
        <v>259.37818128554397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projet'!$B$12,Paramètres!$A$1:$I$88,7,0))</f>
        <v>0</v>
      </c>
      <c r="CI197" s="17">
        <f>IF(ISNA(VLOOKUP(A197,'Données projet'!$A$113:$I$133,6,0)),0%,VLOOKUP(A197,'Données projet'!$A$113:$I$133,6,0)*VLOOKUP('Données projet'!$B$12,Paramètres!$A$1:$I$88,7,0))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projet'!$B$9,Paramètres!$A$1:$I$88,3,0)*0.475*44/12</f>
        <v>0</v>
      </c>
      <c r="CL197" s="23">
        <f>EXP(-LN(2)/25)*CL196+(1-EXP(-LN(2)/25))/(LN(2)/25)*Calculateur!CG197*Calculateur!CI197*VLOOKUP('Données projet'!$B$9,Paramètres!$A$1:$I$88,3,0)*0.475*44/12</f>
        <v>0</v>
      </c>
      <c r="CM197" s="23">
        <f>EXP(-LN(2)/2)*CM196+(1-EXP(-LN(2)/2))/(LN(2)/2)*CG197*CJ197*VLOOKUP('Données projet'!$B$9,Paramètres!$A$1:$I$88,3,0)*0.475*44/12</f>
        <v>0</v>
      </c>
      <c r="CN197" s="24">
        <f t="shared" si="172"/>
        <v>0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IF(A197&lt;'Données projet'!$A$140,$CQ$205^A197,IF(A197='Données projet'!$A$140,'Données projet'!$B$140,CT196+CS197-DB196))</f>
        <v>1.1368683772161603E-13</v>
      </c>
      <c r="CU197" s="18">
        <f>CT197*VLOOKUP('Données projet'!$B$13,Paramètres!$A$1:$I$88,3,0)*VLOOKUP('Données projet'!$B$13,Paramètres!$A$1:$I$88,5,0)</f>
        <v>9.7543306765146564E-14</v>
      </c>
      <c r="CV197" s="14">
        <f t="shared" si="173"/>
        <v>1.4696264278629426E-12</v>
      </c>
      <c r="CW197" s="22">
        <f t="shared" si="174"/>
        <v>2.7294872878105889E-12</v>
      </c>
      <c r="CX197" s="62">
        <f t="shared" si="200"/>
        <v>288.66001611868336</v>
      </c>
      <c r="CY197" s="62">
        <f ca="1">AVERAGE(OFFSET($CX$3,0,0,'Données projet'!$E$13+1,1))-AVERAGE(OFFSET($H$3,0,0,'Données projet'!$E$13+1,1))</f>
        <v>395.19659151668884</v>
      </c>
      <c r="CZ197" s="62">
        <f t="shared" si="201"/>
        <v>222.86563304507339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projet'!$B$13,Paramètres!$A$1:$I$88,7,0))</f>
        <v>0</v>
      </c>
      <c r="DD197" s="17">
        <f>IF(ISNA(VLOOKUP(A197,'Données projet'!$A$139:$I$159,6,0)),0%,VLOOKUP(A197,'Données projet'!$A$139:$I$159,6,0)*VLOOKUP('Données projet'!$B$13,Paramètres!$A$1:$I$88,7,0))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projet'!$B$9,Paramètres!$A$1:$I$88,3,0)*0.475*44/12</f>
        <v>0</v>
      </c>
      <c r="DG197" s="23">
        <f>EXP(-LN(2)/25)*DG196+(1-EXP(-LN(2)/25))/(LN(2)/25)*Calculateur!DB197*Calculateur!DD197*VLOOKUP('Données projet'!$B$9,Paramètres!$A$1:$I$88,3,0)*0.475*44/12</f>
        <v>0</v>
      </c>
      <c r="DH197" s="23">
        <f>EXP(-LN(2)/2)*DH196+(1-EXP(-LN(2)/2))/(LN(2)/2)*DB197*DE197*VLOOKUP('Données projet'!$B$9,Paramètres!$A$1:$I$88,3,0)*0.475*44/12</f>
        <v>0</v>
      </c>
      <c r="DI197" s="24">
        <f t="shared" si="175"/>
        <v>0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IF(A197&lt;'Données projet'!$A$166,$DL$205^A197,IF(A197='Données projet'!$A$166,'Données projet'!$B$166,DO196+DN197-DW196))</f>
        <v>-8.5265128291212022E-14</v>
      </c>
      <c r="DP197" s="18">
        <f>DO197*VLOOKUP('Données projet'!$B$14,Paramètres!$A$1:$I$88,3,0)*VLOOKUP('Données projet'!$B$14,Paramètres!$A$1:$I$88,5,0)</f>
        <v>-4.9880100050359036E-14</v>
      </c>
      <c r="DQ197" s="14" t="e">
        <f t="shared" si="176"/>
        <v>#NUM!</v>
      </c>
      <c r="DR197" s="22" t="e">
        <f t="shared" si="177"/>
        <v>#NUM!</v>
      </c>
      <c r="DS197" s="62" t="e">
        <f t="shared" si="202"/>
        <v>#NUM!</v>
      </c>
      <c r="DT197" s="62">
        <f ca="1">AVERAGE(OFFSET($DS$3,0,0,'Données projet'!$E$14+1,1))-AVERAGE(OFFSET($H$3,0,0,'Données projet'!$E$14+1,1))</f>
        <v>155.18073137151848</v>
      </c>
      <c r="DU197" s="62">
        <f t="shared" si="203"/>
        <v>115.19459155667272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projet'!$B$14,Paramètres!$A$1:$I$88,7,0))</f>
        <v>0</v>
      </c>
      <c r="DY197" s="17">
        <f>IF(ISNA(VLOOKUP(A197,'Données projet'!$A$165:$I$185,6,0)),0%,VLOOKUP(A197,'Données projet'!$A$165:$I$185,6,0)*VLOOKUP('Données projet'!$B$14,Paramètres!$A$1:$I$88,7,0))</f>
        <v>0</v>
      </c>
      <c r="DZ197" s="17">
        <f>IF(ISNA(VLOOKUP(A197,'Données projet'!$A$165:$I$185,7,0)),0%,VLOOKUP(A197,'Données projet'!$A$165:$I$185,7,0))</f>
        <v>0</v>
      </c>
      <c r="EA197" s="23">
        <f>EXP(-LN(2)/35)*EA196+(1-EXP(-LN(2)/35))/(LN(2)/35)*DW197*DX197*VLOOKUP('Données projet'!$B$9,Paramètres!$A$1:$I$88,3,0)*0.475*44/12</f>
        <v>0</v>
      </c>
      <c r="EB197" s="23">
        <f>EXP(-LN(2)/25)*EB196+(1-EXP(-LN(2)/25))/(LN(2)/25)*Calculateur!DW197*Calculateur!DY197*VLOOKUP('Données projet'!$B$9,Paramètres!$A$1:$I$88,3,0)*0.475*44/12</f>
        <v>0</v>
      </c>
      <c r="EC197" s="23">
        <f>EXP(-LN(2)/2)*EC196+(1-EXP(-LN(2)/2))/(LN(2)/2)*DW197*DZ197*VLOOKUP('Données projet'!$B$9,Paramètres!$A$1:$I$88,3,0)*0.475*44/12</f>
        <v>0</v>
      </c>
      <c r="ED197" s="24">
        <f t="shared" si="178"/>
        <v>0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IF(A197&lt;'Données projet'!$A$192,$EG$205^A197,IF(A197='Données projet'!$A$192,'Données projet'!$B$192,EJ196+EI197-ER196))</f>
        <v>-5.6843418860808015E-14</v>
      </c>
      <c r="EK197" s="18">
        <f>EJ197*VLOOKUP('Données projet'!$B$15,Paramètres!$A$1:$I$88,3,0)*VLOOKUP('Données projet'!$B$15,Paramètres!$A$1:$I$88,5,0)</f>
        <v>-2.6602720026858149E-14</v>
      </c>
      <c r="EL197" s="14" t="e">
        <f t="shared" si="179"/>
        <v>#NUM!</v>
      </c>
      <c r="EM197" s="22" t="e">
        <f t="shared" si="180"/>
        <v>#NUM!</v>
      </c>
      <c r="EN197" s="62" t="e">
        <f t="shared" si="204"/>
        <v>#NUM!</v>
      </c>
      <c r="EO197" s="62">
        <f ca="1">AVERAGE(OFFSET($EN$3,0,0,'Données projet'!$E$15+1,1))-AVERAGE(OFFSET($H$3,0,0,'Données projet'!$E$15+1,1))</f>
        <v>238.59014604384171</v>
      </c>
      <c r="EP197" s="62">
        <f t="shared" si="205"/>
        <v>90.841373219575217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projet'!$B$15,Paramètres!$A$1:$I$88,7,0))</f>
        <v>0</v>
      </c>
      <c r="ET197" s="17">
        <f>IF(ISNA(VLOOKUP(A197,'Données projet'!$A$191:$I$211,6,0)),0%,VLOOKUP(A197,'Données projet'!$A$191:$I$211,6,0)*VLOOKUP('Données projet'!$B$15,Paramètres!$A$1:$I$88,7,0))</f>
        <v>0</v>
      </c>
      <c r="EU197" s="17">
        <f>IF(ISNA(VLOOKUP(A197,'Données projet'!$A$191:$I$211,7,0)),0%,VLOOKUP(A197,'Données projet'!$A$191:$I$211,7,0))</f>
        <v>0</v>
      </c>
      <c r="EV197" s="23">
        <f>EXP(-LN(2)/35)*EV196+(1-EXP(-LN(2)/35))/(LN(2)/35)*ER197*ES197*VLOOKUP('Données projet'!$B$9,Paramètres!$A$1:$I$88,3,0)*0.475*44/12</f>
        <v>0</v>
      </c>
      <c r="EW197" s="23">
        <f>EXP(-LN(2)/25)*EW196+(1-EXP(-LN(2)/25))/(LN(2)/25)*Calculateur!ER197*Calculateur!ET197*VLOOKUP('Données projet'!$B$9,Paramètres!$A$1:$I$88,3,0)*0.475*44/12</f>
        <v>0</v>
      </c>
      <c r="EX197" s="23">
        <f>EXP(-LN(2)/2)*EX196+(1-EXP(-LN(2)/2))/(LN(2)/2)*ER197*EU197*VLOOKUP('Données projet'!$B$9,Paramètres!$A$1:$I$88,3,0)*0.475*44/12</f>
        <v>0</v>
      </c>
      <c r="EY197" s="24">
        <f t="shared" si="181"/>
        <v>0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IF(A197&lt;'Données projet'!$A$218,$FB$205^A197,IF(A197='Données projet'!$A$218,'Données projet'!$B$218,FE196+FD197-FM196))</f>
        <v>0</v>
      </c>
      <c r="FF197" s="18" t="e">
        <f>FE197*VLOOKUP('Données projet'!$B$16,Paramètres!$A$1:$I$88,3,0)*VLOOKUP('Données projet'!$B$16,Paramètres!$A$1:$I$88,5,0)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206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si="207"/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projet'!$B$16,Paramètres!$A$1:$I$88,7,0))</f>
        <v>0</v>
      </c>
      <c r="FO197" s="17">
        <f>IF(ISNA(VLOOKUP(A197,'Données projet'!$A$217:$I$237,6,0)),0%,VLOOKUP(A197,'Données projet'!$A$217:$I$237,6,0)*VLOOKUP('Données projet'!$B$16,Paramètres!$A$1:$I$88,7,0))</f>
        <v>0</v>
      </c>
      <c r="FP197" s="17">
        <f>IF(ISNA(VLOOKUP(A197,'Données projet'!$A$217:$I$237,7,0)),0%,VLOOKUP(A197,'Données projet'!$A$217:$I$237,7,0))</f>
        <v>0</v>
      </c>
      <c r="FQ197" s="23">
        <f>EXP(-LN(2)/35)*FQ196+(1-EXP(-LN(2)/35))/(LN(2)/35)*FM197*FN197*VLOOKUP('Données projet'!$B$9,Paramètres!$A$1:$I$88,3,0)*0.475*44/12</f>
        <v>0</v>
      </c>
      <c r="FR197" s="23">
        <f>EXP(-LN(2)/25)*FR196+(1-EXP(-LN(2)/25))/(LN(2)/25)*Calculateur!FM197*Calculateur!FO197*VLOOKUP('Données projet'!$B$9,Paramètres!$A$1:$I$88,3,0)*0.475*44/12</f>
        <v>0</v>
      </c>
      <c r="FS197" s="23">
        <f>EXP(-LN(2)/2)*FS196+(1-EXP(-LN(2)/2))/(LN(2)/2)*FM197*FP197*VLOOKUP('Données projet'!$B$9,Paramètres!$A$1:$I$88,3,0)*0.475*44/12</f>
        <v>0</v>
      </c>
      <c r="FT197" s="24">
        <f t="shared" si="184"/>
        <v>0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IF(A197&lt;'Données projet'!$A$244,$FW$205^A197,IF(A197='Données projet'!$A$244,'Données projet'!$B$244,FZ196+FY197-GH196))</f>
        <v>0</v>
      </c>
      <c r="GA197" s="18" t="e">
        <f>FZ197*VLOOKUP('Données projet'!$B$17,Paramètres!$A$1:$I$88,3,0)*VLOOKUP('Données projet'!$B$17,Paramètres!$A$1:$I$88,5,0)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8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si="209"/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projet'!$B$17,Paramètres!$A$1:$I$88,7,0))</f>
        <v>0</v>
      </c>
      <c r="GJ197" s="17">
        <f>IF(ISNA(VLOOKUP(A197,'Données projet'!$A$243:$I$263,6,0)),0%,VLOOKUP(A197,'Données projet'!$A$243:$I$263,6,0)*VLOOKUP('Données projet'!$B$17,Paramètres!$A$1:$I$88,7,0))</f>
        <v>0</v>
      </c>
      <c r="GK197" s="17">
        <f>IF(ISNA(VLOOKUP(A197,'Données projet'!$A$243:$I$263,7,0)),0%,VLOOKUP(A197,'Données projet'!$A$243:$I$263,7,0))</f>
        <v>0</v>
      </c>
      <c r="GL197" s="23">
        <f>EXP(-LN(2)/35)*GL196+(1-EXP(-LN(2)/35))/(LN(2)/35)*GH197*GI197*VLOOKUP('Données projet'!$B$9,Paramètres!$A$1:$I$88,3,0)*0.475*44/12</f>
        <v>0</v>
      </c>
      <c r="GM197" s="23">
        <f>EXP(-LN(2)/25)*GM196+(1-EXP(-LN(2)/25))/(LN(2)/25)*Calculateur!GH197*Calculateur!GJ197*VLOOKUP('Données projet'!$B$9,Paramètres!$A$1:$I$88,3,0)*0.475*44/12</f>
        <v>0</v>
      </c>
      <c r="GN197" s="23">
        <f>EXP(-LN(2)/2)*GN196+(1-EXP(-LN(2)/2))/(LN(2)/2)*GH197*GK197*VLOOKUP('Données projet'!$B$9,Paramètres!$A$1:$I$88,3,0)*0.475*44/12</f>
        <v>0</v>
      </c>
      <c r="GO197" s="23">
        <f t="shared" si="187"/>
        <v>0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IF(A197&lt;'Données projet'!$A$270,$GR$205^A197,IF(A197='Données projet'!$A$270,'Données projet'!$B$270,GU196+GT197-HC196))</f>
        <v>0</v>
      </c>
      <c r="GV197" s="18" t="e">
        <f>GU197*VLOOKUP('Données projet'!$B$18,Paramètres!$A$1:$I$88,3,0)*VLOOKUP('Données projet'!$B$18,Paramètres!$A$1:$I$88,5,0)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10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si="211"/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projet'!$B$18,Paramètres!$A$1:$I$88,7,0))</f>
        <v>0</v>
      </c>
      <c r="HE197" s="17">
        <f>IF(ISNA(VLOOKUP(A197,'Données projet'!$A$269:$I$289,6,0)),0%,VLOOKUP(A197,'Données projet'!$A$269:$I$289,6,0)*VLOOKUP('Données projet'!$B$18,Paramètres!$A$1:$I$88,7,0))</f>
        <v>0</v>
      </c>
      <c r="HF197" s="17">
        <f>IF(ISNA(VLOOKUP(A197,'Données projet'!$A$269:$I$289,7,0)),0%,VLOOKUP(A197,'Données projet'!$A$269:$I$289,7,0))</f>
        <v>0</v>
      </c>
      <c r="HG197" s="23">
        <f>EXP(-LN(2)/35)*HG196+(1-EXP(-LN(2)/35))/(LN(2)/35)*HC197*HD197*VLOOKUP('Données projet'!$B$9,Paramètres!$A$1:$I$88,3,0)*0.475*44/12</f>
        <v>0</v>
      </c>
      <c r="HH197" s="23">
        <f>EXP(-LN(2)/25)*HH196+(1-EXP(-LN(2)/25))/(LN(2)/25)*Calculateur!HC197*Calculateur!HE197*VLOOKUP('Données projet'!$B$9,Paramètres!$A$1:$I$88,3,0)*0.475*44/12</f>
        <v>0</v>
      </c>
      <c r="HI197" s="23">
        <f>EXP(-LN(2)/2)*HI196+(1-EXP(-LN(2)/2))/(LN(2)/2)*HC197*HF197*VLOOKUP('Données projet'!$B$9,Paramètres!$A$1:$I$88,3,0)*0.475*44/12</f>
        <v>0</v>
      </c>
      <c r="HJ197" s="24">
        <f t="shared" si="190"/>
        <v>0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8" s="12">
        <f t="shared" si="21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193"/>
        <v>135.66666666666666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IF(A198&lt;'Données projet'!$A$36,$K$205^A198,IF(A198='Données projet'!$A$36,'Données projet'!$B$36,N197+M198-V197))</f>
        <v>0</v>
      </c>
      <c r="O198" s="14">
        <f>N198*VLOOKUP('Données projet'!$B$9,Paramètres!$A$1:$I$88,3,0)*VLOOKUP('Données projet'!$B$9,Paramètres!$A$1:$I$88,5,0)</f>
        <v>0</v>
      </c>
      <c r="P198" s="14" t="e">
        <f t="shared" si="21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314.72063458462026</v>
      </c>
      <c r="T198" s="62">
        <f t="shared" si="192"/>
        <v>216.4380325968244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projet'!$B$9,Paramètres!$A$1:$I$88,7,0))</f>
        <v>0</v>
      </c>
      <c r="X198" s="17">
        <f>IF(ISNA(VLOOKUP(A198,'Données projet'!$A$35:$I$55,6,0)),0%,VLOOKUP(A198,'Données projet'!$A$35:$I$55,6,0)*VLOOKUP('Données projet'!$B$9,Paramètres!$A$1:$I$88,7,0))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projet'!$B$9,Paramètres!$A$1:$I$88,3,0)*0.475*44/12</f>
        <v>0</v>
      </c>
      <c r="AA198" s="23">
        <f>EXP(-LN(2)/25)*AA197+(1-EXP(-LN(2)/25))/(LN(2)/25)*Calculateur!V198*Calculateur!X198*VLOOKUP('Données projet'!$B$9,Paramètres!$A$1:$I$88,3,0)*0.475*44/12</f>
        <v>0</v>
      </c>
      <c r="AB198" s="23">
        <f>EXP(-LN(2)/2)*AB197+(1-EXP(-LN(2)/2))/(LN(2)/2)*V198*Y198*VLOOKUP('Données projet'!$B$9,Paramètres!$A$1:$I$88,3,0)*0.475*44/12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IF(A198&lt;'Données projet'!$A$62,$AF$205^A198,IF(A198='Données projet'!$A$62,'Données projet'!$B$62,AI197+AH198-AQ197))</f>
        <v>1.1368683772161603E-13</v>
      </c>
      <c r="AJ198" s="14">
        <f>AI198*VLOOKUP('Données projet'!$B$10,Paramètres!$A$1:$I$88,3,0)*VLOOKUP('Données projet'!$B$10,Paramètres!$A$1:$I$88,5,0)</f>
        <v>1.1882548278663309E-13</v>
      </c>
      <c r="AK198" s="14">
        <f t="shared" si="164"/>
        <v>1.7496137229198366E-12</v>
      </c>
      <c r="AL198" s="22">
        <f t="shared" si="165"/>
        <v>3.2541982832721012E-12</v>
      </c>
      <c r="AM198" s="62">
        <f t="shared" si="194"/>
        <v>288.74108772438603</v>
      </c>
      <c r="AN198" s="62">
        <f ca="1">AVERAGE(OFFSET($AM$3,0,0,'Données projet'!$E$10+1,1))-AVERAGE(OFFSET($H$3,0,0,'Données projet'!$E$10+1,1))</f>
        <v>458.33072853676879</v>
      </c>
      <c r="AO198" s="62">
        <f t="shared" si="195"/>
        <v>254.1734169352687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projet'!$B$10,Paramètres!$A$1:$I$88,7,0))</f>
        <v>0</v>
      </c>
      <c r="AS198" s="17">
        <f>IF(ISNA(VLOOKUP(A198,'Données projet'!$A$61:$I$81,6,0)),0%,VLOOKUP(A198,'Données projet'!$A$61:$I$81,6,0)*VLOOKUP('Données projet'!$B$10,Paramètres!$A$1:$I$88,7,0))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projet'!$B$9,Paramètres!$A$1:$I$88,3,0)*0.475*44/12</f>
        <v>0</v>
      </c>
      <c r="AV198" s="23">
        <f>EXP(-LN(2)/25)*AV197+(1-EXP(-LN(2)/25))/(LN(2)/25)*Calculateur!AQ198*Calculateur!AS198*VLOOKUP('Données projet'!$B$9,Paramètres!$A$1:$I$88,3,0)*0.475*44/12</f>
        <v>0</v>
      </c>
      <c r="AW198" s="23">
        <f>EXP(-LN(2)/2)*AW197+(1-EXP(-LN(2)/2))/(LN(2)/2)*AQ198*AT198*VLOOKUP('Données projet'!$B$9,Paramètres!$A$1:$I$88,3,0)*0.475*44/12</f>
        <v>0</v>
      </c>
      <c r="AX198" s="23">
        <f t="shared" si="166"/>
        <v>0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IF(A198&lt;'Données projet'!$A$88,$BA$205^A198,IF(A198='Données projet'!$A$88,'Données projet'!$B$88,BD197+BC198-BL197))</f>
        <v>1.1368683772161603E-13</v>
      </c>
      <c r="BE198" s="14">
        <f>BD198*VLOOKUP('Données projet'!$B$11,Paramètres!$A$1:$I$88,3,0)*VLOOKUP('Données projet'!$B$11,Paramètres!$A$1:$I$88,5,0)</f>
        <v>1.1527845344971866E-13</v>
      </c>
      <c r="BF198" s="14">
        <f t="shared" si="167"/>
        <v>1.7033846239409443E-12</v>
      </c>
      <c r="BG198" s="22">
        <f t="shared" si="168"/>
        <v>3.1675048597887374E-12</v>
      </c>
      <c r="BH198" s="62">
        <f t="shared" si="196"/>
        <v>288.74108772438598</v>
      </c>
      <c r="BI198" s="62">
        <f ca="1">AVERAGE(OFFSET($BH$3,0,0,'Données projet'!$E$11+1,1))-AVERAGE(OFFSET($H$3,0,0,'Données projet'!$E$11+1,1))</f>
        <v>447.82618173893104</v>
      </c>
      <c r="BJ198" s="62">
        <f t="shared" si="197"/>
        <v>248.96509970783379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projet'!$B$11,Paramètres!$A$1:$I$88,7,0))</f>
        <v>0</v>
      </c>
      <c r="BN198" s="17">
        <f>IF(ISNA(VLOOKUP(A198,'Données projet'!$A$87:$I$107,6,0)),0%,VLOOKUP(A198,'Données projet'!$A$87:$I$107,6,0)*VLOOKUP('Données projet'!$B$11,Paramètres!$A$1:$I$88,7,0))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projet'!$B$9,Paramètres!$A$1:$I$88,3,0)*0.475*44/12</f>
        <v>0</v>
      </c>
      <c r="BQ198" s="23">
        <f>EXP(-LN(2)/25)*BQ197+(1-EXP(-LN(2)/25))/(LN(2)/25)*Calculateur!BL198*Calculateur!BN198*VLOOKUP('Données projet'!$B$9,Paramètres!$A$1:$I$88,3,0)*0.475*44/12</f>
        <v>0</v>
      </c>
      <c r="BR198" s="23">
        <f>EXP(-LN(2)/2)*BR197+(1-EXP(-LN(2)/2))/(LN(2)/2)*BL198*BO198*VLOOKUP('Données projet'!$B$9,Paramètres!$A$1:$I$88,3,0)*0.475*44/12</f>
        <v>0</v>
      </c>
      <c r="BS198" s="24">
        <f t="shared" si="169"/>
        <v>0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IF(A198&lt;'Données projet'!$A$114,$BV$205^A198,IF(A198='Données projet'!$A$114,'Données projet'!$B$114,BY197+BX198-CG197))</f>
        <v>1.1368683772161603E-13</v>
      </c>
      <c r="BZ198" s="14">
        <f>BY198*VLOOKUP('Données projet'!$B$12,Paramètres!$A$1:$I$88,3,0)*VLOOKUP('Données projet'!$B$12,Paramètres!$A$1:$I$88,5,0)</f>
        <v>1.223725121235475E-13</v>
      </c>
      <c r="CA198" s="14">
        <f t="shared" si="170"/>
        <v>1.7956824466038182E-12</v>
      </c>
      <c r="CB198" s="22">
        <f t="shared" si="171"/>
        <v>3.3406123864501612E-12</v>
      </c>
      <c r="CC198" s="62">
        <f t="shared" si="198"/>
        <v>288.74108772438615</v>
      </c>
      <c r="CD198" s="62">
        <f ca="1">AVERAGE(OFFSET($CC$3,0,0,'Données projet'!$E$12+1,1))-AVERAGE(OFFSET($H$3,0,0,'Données projet'!$E$12+1,1))</f>
        <v>468.82871618425406</v>
      </c>
      <c r="CE198" s="62">
        <f t="shared" si="199"/>
        <v>259.37818128554397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projet'!$B$12,Paramètres!$A$1:$I$88,7,0))</f>
        <v>0</v>
      </c>
      <c r="CI198" s="17">
        <f>IF(ISNA(VLOOKUP(A198,'Données projet'!$A$113:$I$133,6,0)),0%,VLOOKUP(A198,'Données projet'!$A$113:$I$133,6,0)*VLOOKUP('Données projet'!$B$12,Paramètres!$A$1:$I$88,7,0))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projet'!$B$9,Paramètres!$A$1:$I$88,3,0)*0.475*44/12</f>
        <v>0</v>
      </c>
      <c r="CL198" s="23">
        <f>EXP(-LN(2)/25)*CL197+(1-EXP(-LN(2)/25))/(LN(2)/25)*Calculateur!CG198*Calculateur!CI198*VLOOKUP('Données projet'!$B$9,Paramètres!$A$1:$I$88,3,0)*0.475*44/12</f>
        <v>0</v>
      </c>
      <c r="CM198" s="23">
        <f>EXP(-LN(2)/2)*CM197+(1-EXP(-LN(2)/2))/(LN(2)/2)*CG198*CJ198*VLOOKUP('Données projet'!$B$9,Paramètres!$A$1:$I$88,3,0)*0.475*44/12</f>
        <v>0</v>
      </c>
      <c r="CN198" s="24">
        <f t="shared" si="172"/>
        <v>0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IF(A198&lt;'Données projet'!$A$140,$CQ$205^A198,IF(A198='Données projet'!$A$140,'Données projet'!$B$140,CT197+CS198-DB197))</f>
        <v>1.1368683772161603E-13</v>
      </c>
      <c r="CU198" s="18">
        <f>CT198*VLOOKUP('Données projet'!$B$13,Paramètres!$A$1:$I$88,3,0)*VLOOKUP('Données projet'!$B$13,Paramètres!$A$1:$I$88,5,0)</f>
        <v>9.7543306765146564E-14</v>
      </c>
      <c r="CV198" s="14">
        <f t="shared" si="173"/>
        <v>1.4696264278629426E-12</v>
      </c>
      <c r="CW198" s="22">
        <f t="shared" si="174"/>
        <v>2.7294872878105889E-12</v>
      </c>
      <c r="CX198" s="62">
        <f t="shared" si="200"/>
        <v>288.74108772438552</v>
      </c>
      <c r="CY198" s="62">
        <f ca="1">AVERAGE(OFFSET($CX$3,0,0,'Données projet'!$E$13+1,1))-AVERAGE(OFFSET($H$3,0,0,'Données projet'!$E$13+1,1))</f>
        <v>395.19659151668884</v>
      </c>
      <c r="CZ198" s="62">
        <f t="shared" si="201"/>
        <v>222.86563304507339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projet'!$B$13,Paramètres!$A$1:$I$88,7,0))</f>
        <v>0</v>
      </c>
      <c r="DD198" s="17">
        <f>IF(ISNA(VLOOKUP(A198,'Données projet'!$A$139:$I$159,6,0)),0%,VLOOKUP(A198,'Données projet'!$A$139:$I$159,6,0)*VLOOKUP('Données projet'!$B$13,Paramètres!$A$1:$I$88,7,0))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projet'!$B$9,Paramètres!$A$1:$I$88,3,0)*0.475*44/12</f>
        <v>0</v>
      </c>
      <c r="DG198" s="23">
        <f>EXP(-LN(2)/25)*DG197+(1-EXP(-LN(2)/25))/(LN(2)/25)*Calculateur!DB198*Calculateur!DD198*VLOOKUP('Données projet'!$B$9,Paramètres!$A$1:$I$88,3,0)*0.475*44/12</f>
        <v>0</v>
      </c>
      <c r="DH198" s="23">
        <f>EXP(-LN(2)/2)*DH197+(1-EXP(-LN(2)/2))/(LN(2)/2)*DB198*DE198*VLOOKUP('Données projet'!$B$9,Paramètres!$A$1:$I$88,3,0)*0.475*44/12</f>
        <v>0</v>
      </c>
      <c r="DI198" s="24">
        <f t="shared" si="175"/>
        <v>0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IF(A198&lt;'Données projet'!$A$166,$DL$205^A198,IF(A198='Données projet'!$A$166,'Données projet'!$B$166,DO197+DN198-DW197))</f>
        <v>-8.5265128291212022E-14</v>
      </c>
      <c r="DP198" s="18">
        <f>DO198*VLOOKUP('Données projet'!$B$14,Paramètres!$A$1:$I$88,3,0)*VLOOKUP('Données projet'!$B$14,Paramètres!$A$1:$I$88,5,0)</f>
        <v>-4.9880100050359036E-14</v>
      </c>
      <c r="DQ198" s="14" t="e">
        <f t="shared" si="176"/>
        <v>#NUM!</v>
      </c>
      <c r="DR198" s="22" t="e">
        <f t="shared" si="177"/>
        <v>#NUM!</v>
      </c>
      <c r="DS198" s="62" t="e">
        <f t="shared" si="202"/>
        <v>#NUM!</v>
      </c>
      <c r="DT198" s="62">
        <f ca="1">AVERAGE(OFFSET($DS$3,0,0,'Données projet'!$E$14+1,1))-AVERAGE(OFFSET($H$3,0,0,'Données projet'!$E$14+1,1))</f>
        <v>155.18073137151848</v>
      </c>
      <c r="DU198" s="62">
        <f t="shared" si="203"/>
        <v>115.19459155667272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projet'!$B$14,Paramètres!$A$1:$I$88,7,0))</f>
        <v>0</v>
      </c>
      <c r="DY198" s="17">
        <f>IF(ISNA(VLOOKUP(A198,'Données projet'!$A$165:$I$185,6,0)),0%,VLOOKUP(A198,'Données projet'!$A$165:$I$185,6,0)*VLOOKUP('Données projet'!$B$14,Paramètres!$A$1:$I$88,7,0))</f>
        <v>0</v>
      </c>
      <c r="DZ198" s="17">
        <f>IF(ISNA(VLOOKUP(A198,'Données projet'!$A$165:$I$185,7,0)),0%,VLOOKUP(A198,'Données projet'!$A$165:$I$185,7,0))</f>
        <v>0</v>
      </c>
      <c r="EA198" s="23">
        <f>EXP(-LN(2)/35)*EA197+(1-EXP(-LN(2)/35))/(LN(2)/35)*DW198*DX198*VLOOKUP('Données projet'!$B$9,Paramètres!$A$1:$I$88,3,0)*0.475*44/12</f>
        <v>0</v>
      </c>
      <c r="EB198" s="23">
        <f>EXP(-LN(2)/25)*EB197+(1-EXP(-LN(2)/25))/(LN(2)/25)*Calculateur!DW198*Calculateur!DY198*VLOOKUP('Données projet'!$B$9,Paramètres!$A$1:$I$88,3,0)*0.475*44/12</f>
        <v>0</v>
      </c>
      <c r="EC198" s="23">
        <f>EXP(-LN(2)/2)*EC197+(1-EXP(-LN(2)/2))/(LN(2)/2)*DW198*DZ198*VLOOKUP('Données projet'!$B$9,Paramètres!$A$1:$I$88,3,0)*0.475*44/12</f>
        <v>0</v>
      </c>
      <c r="ED198" s="24">
        <f t="shared" si="178"/>
        <v>0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IF(A198&lt;'Données projet'!$A$192,$EG$205^A198,IF(A198='Données projet'!$A$192,'Données projet'!$B$192,EJ197+EI198-ER197))</f>
        <v>-5.6843418860808015E-14</v>
      </c>
      <c r="EK198" s="18">
        <f>EJ198*VLOOKUP('Données projet'!$B$15,Paramètres!$A$1:$I$88,3,0)*VLOOKUP('Données projet'!$B$15,Paramètres!$A$1:$I$88,5,0)</f>
        <v>-2.6602720026858149E-14</v>
      </c>
      <c r="EL198" s="14" t="e">
        <f t="shared" si="179"/>
        <v>#NUM!</v>
      </c>
      <c r="EM198" s="22" t="e">
        <f t="shared" si="180"/>
        <v>#NUM!</v>
      </c>
      <c r="EN198" s="62" t="e">
        <f t="shared" si="204"/>
        <v>#NUM!</v>
      </c>
      <c r="EO198" s="62">
        <f ca="1">AVERAGE(OFFSET($EN$3,0,0,'Données projet'!$E$15+1,1))-AVERAGE(OFFSET($H$3,0,0,'Données projet'!$E$15+1,1))</f>
        <v>238.59014604384171</v>
      </c>
      <c r="EP198" s="62">
        <f t="shared" si="205"/>
        <v>90.841373219575217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projet'!$B$15,Paramètres!$A$1:$I$88,7,0))</f>
        <v>0</v>
      </c>
      <c r="ET198" s="17">
        <f>IF(ISNA(VLOOKUP(A198,'Données projet'!$A$191:$I$211,6,0)),0%,VLOOKUP(A198,'Données projet'!$A$191:$I$211,6,0)*VLOOKUP('Données projet'!$B$15,Paramètres!$A$1:$I$88,7,0))</f>
        <v>0</v>
      </c>
      <c r="EU198" s="17">
        <f>IF(ISNA(VLOOKUP(A198,'Données projet'!$A$191:$I$211,7,0)),0%,VLOOKUP(A198,'Données projet'!$A$191:$I$211,7,0))</f>
        <v>0</v>
      </c>
      <c r="EV198" s="23">
        <f>EXP(-LN(2)/35)*EV197+(1-EXP(-LN(2)/35))/(LN(2)/35)*ER198*ES198*VLOOKUP('Données projet'!$B$9,Paramètres!$A$1:$I$88,3,0)*0.475*44/12</f>
        <v>0</v>
      </c>
      <c r="EW198" s="23">
        <f>EXP(-LN(2)/25)*EW197+(1-EXP(-LN(2)/25))/(LN(2)/25)*Calculateur!ER198*Calculateur!ET198*VLOOKUP('Données projet'!$B$9,Paramètres!$A$1:$I$88,3,0)*0.475*44/12</f>
        <v>0</v>
      </c>
      <c r="EX198" s="23">
        <f>EXP(-LN(2)/2)*EX197+(1-EXP(-LN(2)/2))/(LN(2)/2)*ER198*EU198*VLOOKUP('Données projet'!$B$9,Paramètres!$A$1:$I$88,3,0)*0.475*44/12</f>
        <v>0</v>
      </c>
      <c r="EY198" s="24">
        <f t="shared" si="181"/>
        <v>0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IF(A198&lt;'Données projet'!$A$218,$FB$205^A198,IF(A198='Données projet'!$A$218,'Données projet'!$B$218,FE197+FD198-FM197))</f>
        <v>0</v>
      </c>
      <c r="FF198" s="18" t="e">
        <f>FE198*VLOOKUP('Données projet'!$B$16,Paramètres!$A$1:$I$88,3,0)*VLOOKUP('Données projet'!$B$16,Paramètres!$A$1:$I$88,5,0)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206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07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projet'!$B$16,Paramètres!$A$1:$I$88,7,0))</f>
        <v>0</v>
      </c>
      <c r="FO198" s="17">
        <f>IF(ISNA(VLOOKUP(A198,'Données projet'!$A$217:$I$237,6,0)),0%,VLOOKUP(A198,'Données projet'!$A$217:$I$237,6,0)*VLOOKUP('Données projet'!$B$16,Paramètres!$A$1:$I$88,7,0))</f>
        <v>0</v>
      </c>
      <c r="FP198" s="17">
        <f>IF(ISNA(VLOOKUP(A198,'Données projet'!$A$217:$I$237,7,0)),0%,VLOOKUP(A198,'Données projet'!$A$217:$I$237,7,0))</f>
        <v>0</v>
      </c>
      <c r="FQ198" s="23">
        <f>EXP(-LN(2)/35)*FQ197+(1-EXP(-LN(2)/35))/(LN(2)/35)*FM198*FN198*VLOOKUP('Données projet'!$B$9,Paramètres!$A$1:$I$88,3,0)*0.475*44/12</f>
        <v>0</v>
      </c>
      <c r="FR198" s="23">
        <f>EXP(-LN(2)/25)*FR197+(1-EXP(-LN(2)/25))/(LN(2)/25)*Calculateur!FM198*Calculateur!FO198*VLOOKUP('Données projet'!$B$9,Paramètres!$A$1:$I$88,3,0)*0.475*44/12</f>
        <v>0</v>
      </c>
      <c r="FS198" s="23">
        <f>EXP(-LN(2)/2)*FS197+(1-EXP(-LN(2)/2))/(LN(2)/2)*FM198*FP198*VLOOKUP('Données projet'!$B$9,Paramètres!$A$1:$I$88,3,0)*0.475*44/12</f>
        <v>0</v>
      </c>
      <c r="FT198" s="24">
        <f t="shared" si="184"/>
        <v>0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IF(A198&lt;'Données projet'!$A$244,$FW$205^A198,IF(A198='Données projet'!$A$244,'Données projet'!$B$244,FZ197+FY198-GH197))</f>
        <v>0</v>
      </c>
      <c r="GA198" s="18" t="e">
        <f>FZ198*VLOOKUP('Données projet'!$B$17,Paramètres!$A$1:$I$88,3,0)*VLOOKUP('Données projet'!$B$17,Paramètres!$A$1:$I$88,5,0)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8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09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projet'!$B$17,Paramètres!$A$1:$I$88,7,0))</f>
        <v>0</v>
      </c>
      <c r="GJ198" s="17">
        <f>IF(ISNA(VLOOKUP(A198,'Données projet'!$A$243:$I$263,6,0)),0%,VLOOKUP(A198,'Données projet'!$A$243:$I$263,6,0)*VLOOKUP('Données projet'!$B$17,Paramètres!$A$1:$I$88,7,0))</f>
        <v>0</v>
      </c>
      <c r="GK198" s="17">
        <f>IF(ISNA(VLOOKUP(A198,'Données projet'!$A$243:$I$263,7,0)),0%,VLOOKUP(A198,'Données projet'!$A$243:$I$263,7,0))</f>
        <v>0</v>
      </c>
      <c r="GL198" s="23">
        <f>EXP(-LN(2)/35)*GL197+(1-EXP(-LN(2)/35))/(LN(2)/35)*GH198*GI198*VLOOKUP('Données projet'!$B$9,Paramètres!$A$1:$I$88,3,0)*0.475*44/12</f>
        <v>0</v>
      </c>
      <c r="GM198" s="23">
        <f>EXP(-LN(2)/25)*GM197+(1-EXP(-LN(2)/25))/(LN(2)/25)*Calculateur!GH198*Calculateur!GJ198*VLOOKUP('Données projet'!$B$9,Paramètres!$A$1:$I$88,3,0)*0.475*44/12</f>
        <v>0</v>
      </c>
      <c r="GN198" s="23">
        <f>EXP(-LN(2)/2)*GN197+(1-EXP(-LN(2)/2))/(LN(2)/2)*GH198*GK198*VLOOKUP('Données projet'!$B$9,Paramètres!$A$1:$I$88,3,0)*0.475*44/12</f>
        <v>0</v>
      </c>
      <c r="GO198" s="23">
        <f t="shared" si="187"/>
        <v>0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IF(A198&lt;'Données projet'!$A$270,$GR$205^A198,IF(A198='Données projet'!$A$270,'Données projet'!$B$270,GU197+GT198-HC197))</f>
        <v>0</v>
      </c>
      <c r="GV198" s="18" t="e">
        <f>GU198*VLOOKUP('Données projet'!$B$18,Paramètres!$A$1:$I$88,3,0)*VLOOKUP('Données projet'!$B$18,Paramètres!$A$1:$I$88,5,0)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10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1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projet'!$B$18,Paramètres!$A$1:$I$88,7,0))</f>
        <v>0</v>
      </c>
      <c r="HE198" s="17">
        <f>IF(ISNA(VLOOKUP(A198,'Données projet'!$A$269:$I$289,6,0)),0%,VLOOKUP(A198,'Données projet'!$A$269:$I$289,6,0)*VLOOKUP('Données projet'!$B$18,Paramètres!$A$1:$I$88,7,0))</f>
        <v>0</v>
      </c>
      <c r="HF198" s="17">
        <f>IF(ISNA(VLOOKUP(A198,'Données projet'!$A$269:$I$289,7,0)),0%,VLOOKUP(A198,'Données projet'!$A$269:$I$289,7,0))</f>
        <v>0</v>
      </c>
      <c r="HG198" s="23">
        <f>EXP(-LN(2)/35)*HG197+(1-EXP(-LN(2)/35))/(LN(2)/35)*HC198*HD198*VLOOKUP('Données projet'!$B$9,Paramètres!$A$1:$I$88,3,0)*0.475*44/12</f>
        <v>0</v>
      </c>
      <c r="HH198" s="23">
        <f>EXP(-LN(2)/25)*HH197+(1-EXP(-LN(2)/25))/(LN(2)/25)*Calculateur!HC198*Calculateur!HE198*VLOOKUP('Données projet'!$B$9,Paramètres!$A$1:$I$88,3,0)*0.475*44/12</f>
        <v>0</v>
      </c>
      <c r="HI198" s="23">
        <f>EXP(-LN(2)/2)*HI197+(1-EXP(-LN(2)/2))/(LN(2)/2)*HC198*HF198*VLOOKUP('Données projet'!$B$9,Paramètres!$A$1:$I$88,3,0)*0.475*44/12</f>
        <v>0</v>
      </c>
      <c r="HJ198" s="24">
        <f t="shared" si="190"/>
        <v>0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199" s="12">
        <f t="shared" si="21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193"/>
        <v>135.66666666666666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IF(A199&lt;'Données projet'!$A$36,$K$205^A199,IF(A199='Données projet'!$A$36,'Données projet'!$B$36,N198+M199-V198))</f>
        <v>0</v>
      </c>
      <c r="O199" s="14">
        <f>N199*VLOOKUP('Données projet'!$B$9,Paramètres!$A$1:$I$88,3,0)*VLOOKUP('Données projet'!$B$9,Paramètres!$A$1:$I$88,5,0)</f>
        <v>0</v>
      </c>
      <c r="P199" s="14" t="e">
        <f t="shared" si="21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314.72063458462026</v>
      </c>
      <c r="T199" s="62">
        <f t="shared" si="192"/>
        <v>216.4380325968244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projet'!$B$9,Paramètres!$A$1:$I$88,7,0))</f>
        <v>0</v>
      </c>
      <c r="X199" s="17">
        <f>IF(ISNA(VLOOKUP(A199,'Données projet'!$A$35:$I$55,6,0)),0%,VLOOKUP(A199,'Données projet'!$A$35:$I$55,6,0)*VLOOKUP('Données projet'!$B$9,Paramètres!$A$1:$I$88,7,0))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projet'!$B$9,Paramètres!$A$1:$I$88,3,0)*0.475*44/12</f>
        <v>0</v>
      </c>
      <c r="AA199" s="23">
        <f>EXP(-LN(2)/25)*AA198+(1-EXP(-LN(2)/25))/(LN(2)/25)*Calculateur!V199*Calculateur!X199*VLOOKUP('Données projet'!$B$9,Paramètres!$A$1:$I$88,3,0)*0.475*44/12</f>
        <v>0</v>
      </c>
      <c r="AB199" s="23">
        <f>EXP(-LN(2)/2)*AB198+(1-EXP(-LN(2)/2))/(LN(2)/2)*V199*Y199*VLOOKUP('Données projet'!$B$9,Paramètres!$A$1:$I$88,3,0)*0.475*44/12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IF(A199&lt;'Données projet'!$A$62,$AF$205^A199,IF(A199='Données projet'!$A$62,'Données projet'!$B$62,AI198+AH199-AQ198))</f>
        <v>1.1368683772161603E-13</v>
      </c>
      <c r="AJ199" s="14">
        <f>AI199*VLOOKUP('Données projet'!$B$10,Paramètres!$A$1:$I$88,3,0)*VLOOKUP('Données projet'!$B$10,Paramètres!$A$1:$I$88,5,0)</f>
        <v>1.1882548278663309E-13</v>
      </c>
      <c r="AK199" s="14">
        <f t="shared" si="164"/>
        <v>1.7496137229198366E-12</v>
      </c>
      <c r="AL199" s="22">
        <f t="shared" si="165"/>
        <v>3.2541982832721012E-12</v>
      </c>
      <c r="AM199" s="62">
        <f t="shared" si="194"/>
        <v>288.8207529189782</v>
      </c>
      <c r="AN199" s="62">
        <f ca="1">AVERAGE(OFFSET($AM$3,0,0,'Données projet'!$E$10+1,1))-AVERAGE(OFFSET($H$3,0,0,'Données projet'!$E$10+1,1))</f>
        <v>458.33072853676879</v>
      </c>
      <c r="AO199" s="62">
        <f t="shared" si="195"/>
        <v>254.1734169352687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projet'!$B$10,Paramètres!$A$1:$I$88,7,0))</f>
        <v>0</v>
      </c>
      <c r="AS199" s="17">
        <f>IF(ISNA(VLOOKUP(A199,'Données projet'!$A$61:$I$81,6,0)),0%,VLOOKUP(A199,'Données projet'!$A$61:$I$81,6,0)*VLOOKUP('Données projet'!$B$10,Paramètres!$A$1:$I$88,7,0))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projet'!$B$9,Paramètres!$A$1:$I$88,3,0)*0.475*44/12</f>
        <v>0</v>
      </c>
      <c r="AV199" s="23">
        <f>EXP(-LN(2)/25)*AV198+(1-EXP(-LN(2)/25))/(LN(2)/25)*Calculateur!AQ199*Calculateur!AS199*VLOOKUP('Données projet'!$B$9,Paramètres!$A$1:$I$88,3,0)*0.475*44/12</f>
        <v>0</v>
      </c>
      <c r="AW199" s="23">
        <f>EXP(-LN(2)/2)*AW198+(1-EXP(-LN(2)/2))/(LN(2)/2)*AQ199*AT199*VLOOKUP('Données projet'!$B$9,Paramètres!$A$1:$I$88,3,0)*0.475*44/12</f>
        <v>0</v>
      </c>
      <c r="AX199" s="23">
        <f t="shared" si="166"/>
        <v>0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IF(A199&lt;'Données projet'!$A$88,$BA$205^A199,IF(A199='Données projet'!$A$88,'Données projet'!$B$88,BD198+BC199-BL198))</f>
        <v>1.1368683772161603E-13</v>
      </c>
      <c r="BE199" s="14">
        <f>BD199*VLOOKUP('Données projet'!$B$11,Paramètres!$A$1:$I$88,3,0)*VLOOKUP('Données projet'!$B$11,Paramètres!$A$1:$I$88,5,0)</f>
        <v>1.1527845344971866E-13</v>
      </c>
      <c r="BF199" s="14">
        <f t="shared" si="167"/>
        <v>1.7033846239409443E-12</v>
      </c>
      <c r="BG199" s="22">
        <f t="shared" si="168"/>
        <v>3.1675048597887374E-12</v>
      </c>
      <c r="BH199" s="62">
        <f t="shared" si="196"/>
        <v>288.82075291897814</v>
      </c>
      <c r="BI199" s="62">
        <f ca="1">AVERAGE(OFFSET($BH$3,0,0,'Données projet'!$E$11+1,1))-AVERAGE(OFFSET($H$3,0,0,'Données projet'!$E$11+1,1))</f>
        <v>447.82618173893104</v>
      </c>
      <c r="BJ199" s="62">
        <f t="shared" si="197"/>
        <v>248.96509970783379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projet'!$B$11,Paramètres!$A$1:$I$88,7,0))</f>
        <v>0</v>
      </c>
      <c r="BN199" s="17">
        <f>IF(ISNA(VLOOKUP(A199,'Données projet'!$A$87:$I$107,6,0)),0%,VLOOKUP(A199,'Données projet'!$A$87:$I$107,6,0)*VLOOKUP('Données projet'!$B$11,Paramètres!$A$1:$I$88,7,0))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projet'!$B$9,Paramètres!$A$1:$I$88,3,0)*0.475*44/12</f>
        <v>0</v>
      </c>
      <c r="BQ199" s="23">
        <f>EXP(-LN(2)/25)*BQ198+(1-EXP(-LN(2)/25))/(LN(2)/25)*Calculateur!BL199*Calculateur!BN199*VLOOKUP('Données projet'!$B$9,Paramètres!$A$1:$I$88,3,0)*0.475*44/12</f>
        <v>0</v>
      </c>
      <c r="BR199" s="23">
        <f>EXP(-LN(2)/2)*BR198+(1-EXP(-LN(2)/2))/(LN(2)/2)*BL199*BO199*VLOOKUP('Données projet'!$B$9,Paramètres!$A$1:$I$88,3,0)*0.475*44/12</f>
        <v>0</v>
      </c>
      <c r="BS199" s="24">
        <f t="shared" si="169"/>
        <v>0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IF(A199&lt;'Données projet'!$A$114,$BV$205^A199,IF(A199='Données projet'!$A$114,'Données projet'!$B$114,BY198+BX199-CG198))</f>
        <v>1.1368683772161603E-13</v>
      </c>
      <c r="BZ199" s="14">
        <f>BY199*VLOOKUP('Données projet'!$B$12,Paramètres!$A$1:$I$88,3,0)*VLOOKUP('Données projet'!$B$12,Paramètres!$A$1:$I$88,5,0)</f>
        <v>1.223725121235475E-13</v>
      </c>
      <c r="CA199" s="14">
        <f t="shared" si="170"/>
        <v>1.7956824466038182E-12</v>
      </c>
      <c r="CB199" s="22">
        <f t="shared" si="171"/>
        <v>3.3406123864501612E-12</v>
      </c>
      <c r="CC199" s="62">
        <f t="shared" si="198"/>
        <v>288.82075291897831</v>
      </c>
      <c r="CD199" s="62">
        <f ca="1">AVERAGE(OFFSET($CC$3,0,0,'Données projet'!$E$12+1,1))-AVERAGE(OFFSET($H$3,0,0,'Données projet'!$E$12+1,1))</f>
        <v>468.82871618425406</v>
      </c>
      <c r="CE199" s="62">
        <f t="shared" si="199"/>
        <v>259.37818128554397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projet'!$B$12,Paramètres!$A$1:$I$88,7,0))</f>
        <v>0</v>
      </c>
      <c r="CI199" s="17">
        <f>IF(ISNA(VLOOKUP(A199,'Données projet'!$A$113:$I$133,6,0)),0%,VLOOKUP(A199,'Données projet'!$A$113:$I$133,6,0)*VLOOKUP('Données projet'!$B$12,Paramètres!$A$1:$I$88,7,0))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projet'!$B$9,Paramètres!$A$1:$I$88,3,0)*0.475*44/12</f>
        <v>0</v>
      </c>
      <c r="CL199" s="23">
        <f>EXP(-LN(2)/25)*CL198+(1-EXP(-LN(2)/25))/(LN(2)/25)*Calculateur!CG199*Calculateur!CI199*VLOOKUP('Données projet'!$B$9,Paramètres!$A$1:$I$88,3,0)*0.475*44/12</f>
        <v>0</v>
      </c>
      <c r="CM199" s="23">
        <f>EXP(-LN(2)/2)*CM198+(1-EXP(-LN(2)/2))/(LN(2)/2)*CG199*CJ199*VLOOKUP('Données projet'!$B$9,Paramètres!$A$1:$I$88,3,0)*0.475*44/12</f>
        <v>0</v>
      </c>
      <c r="CN199" s="24">
        <f t="shared" si="172"/>
        <v>0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IF(A199&lt;'Données projet'!$A$140,$CQ$205^A199,IF(A199='Données projet'!$A$140,'Données projet'!$B$140,CT198+CS199-DB198))</f>
        <v>1.1368683772161603E-13</v>
      </c>
      <c r="CU199" s="18">
        <f>CT199*VLOOKUP('Données projet'!$B$13,Paramètres!$A$1:$I$88,3,0)*VLOOKUP('Données projet'!$B$13,Paramètres!$A$1:$I$88,5,0)</f>
        <v>9.7543306765146564E-14</v>
      </c>
      <c r="CV199" s="14">
        <f t="shared" si="173"/>
        <v>1.4696264278629426E-12</v>
      </c>
      <c r="CW199" s="22">
        <f t="shared" si="174"/>
        <v>2.7294872878105889E-12</v>
      </c>
      <c r="CX199" s="62">
        <f t="shared" si="200"/>
        <v>288.82075291897769</v>
      </c>
      <c r="CY199" s="62">
        <f ca="1">AVERAGE(OFFSET($CX$3,0,0,'Données projet'!$E$13+1,1))-AVERAGE(OFFSET($H$3,0,0,'Données projet'!$E$13+1,1))</f>
        <v>395.19659151668884</v>
      </c>
      <c r="CZ199" s="62">
        <f t="shared" si="201"/>
        <v>222.86563304507339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projet'!$B$13,Paramètres!$A$1:$I$88,7,0))</f>
        <v>0</v>
      </c>
      <c r="DD199" s="17">
        <f>IF(ISNA(VLOOKUP(A199,'Données projet'!$A$139:$I$159,6,0)),0%,VLOOKUP(A199,'Données projet'!$A$139:$I$159,6,0)*VLOOKUP('Données projet'!$B$13,Paramètres!$A$1:$I$88,7,0))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projet'!$B$9,Paramètres!$A$1:$I$88,3,0)*0.475*44/12</f>
        <v>0</v>
      </c>
      <c r="DG199" s="23">
        <f>EXP(-LN(2)/25)*DG198+(1-EXP(-LN(2)/25))/(LN(2)/25)*Calculateur!DB199*Calculateur!DD199*VLOOKUP('Données projet'!$B$9,Paramètres!$A$1:$I$88,3,0)*0.475*44/12</f>
        <v>0</v>
      </c>
      <c r="DH199" s="23">
        <f>EXP(-LN(2)/2)*DH198+(1-EXP(-LN(2)/2))/(LN(2)/2)*DB199*DE199*VLOOKUP('Données projet'!$B$9,Paramètres!$A$1:$I$88,3,0)*0.475*44/12</f>
        <v>0</v>
      </c>
      <c r="DI199" s="24">
        <f t="shared" si="175"/>
        <v>0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IF(A199&lt;'Données projet'!$A$166,$DL$205^A199,IF(A199='Données projet'!$A$166,'Données projet'!$B$166,DO198+DN199-DW198))</f>
        <v>-8.5265128291212022E-14</v>
      </c>
      <c r="DP199" s="18">
        <f>DO199*VLOOKUP('Données projet'!$B$14,Paramètres!$A$1:$I$88,3,0)*VLOOKUP('Données projet'!$B$14,Paramètres!$A$1:$I$88,5,0)</f>
        <v>-4.9880100050359036E-14</v>
      </c>
      <c r="DQ199" s="14" t="e">
        <f t="shared" si="176"/>
        <v>#NUM!</v>
      </c>
      <c r="DR199" s="22" t="e">
        <f t="shared" si="177"/>
        <v>#NUM!</v>
      </c>
      <c r="DS199" s="62" t="e">
        <f t="shared" si="202"/>
        <v>#NUM!</v>
      </c>
      <c r="DT199" s="62">
        <f ca="1">AVERAGE(OFFSET($DS$3,0,0,'Données projet'!$E$14+1,1))-AVERAGE(OFFSET($H$3,0,0,'Données projet'!$E$14+1,1))</f>
        <v>155.18073137151848</v>
      </c>
      <c r="DU199" s="62">
        <f t="shared" si="203"/>
        <v>115.19459155667272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projet'!$B$14,Paramètres!$A$1:$I$88,7,0))</f>
        <v>0</v>
      </c>
      <c r="DY199" s="17">
        <f>IF(ISNA(VLOOKUP(A199,'Données projet'!$A$165:$I$185,6,0)),0%,VLOOKUP(A199,'Données projet'!$A$165:$I$185,6,0)*VLOOKUP('Données projet'!$B$14,Paramètres!$A$1:$I$88,7,0))</f>
        <v>0</v>
      </c>
      <c r="DZ199" s="17">
        <f>IF(ISNA(VLOOKUP(A199,'Données projet'!$A$165:$I$185,7,0)),0%,VLOOKUP(A199,'Données projet'!$A$165:$I$185,7,0))</f>
        <v>0</v>
      </c>
      <c r="EA199" s="23">
        <f>EXP(-LN(2)/35)*EA198+(1-EXP(-LN(2)/35))/(LN(2)/35)*DW199*DX199*VLOOKUP('Données projet'!$B$9,Paramètres!$A$1:$I$88,3,0)*0.475*44/12</f>
        <v>0</v>
      </c>
      <c r="EB199" s="23">
        <f>EXP(-LN(2)/25)*EB198+(1-EXP(-LN(2)/25))/(LN(2)/25)*Calculateur!DW199*Calculateur!DY199*VLOOKUP('Données projet'!$B$9,Paramètres!$A$1:$I$88,3,0)*0.475*44/12</f>
        <v>0</v>
      </c>
      <c r="EC199" s="23">
        <f>EXP(-LN(2)/2)*EC198+(1-EXP(-LN(2)/2))/(LN(2)/2)*DW199*DZ199*VLOOKUP('Données projet'!$B$9,Paramètres!$A$1:$I$88,3,0)*0.475*44/12</f>
        <v>0</v>
      </c>
      <c r="ED199" s="24">
        <f t="shared" si="178"/>
        <v>0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IF(A199&lt;'Données projet'!$A$192,$EG$205^A199,IF(A199='Données projet'!$A$192,'Données projet'!$B$192,EJ198+EI199-ER198))</f>
        <v>-5.6843418860808015E-14</v>
      </c>
      <c r="EK199" s="18">
        <f>EJ199*VLOOKUP('Données projet'!$B$15,Paramètres!$A$1:$I$88,3,0)*VLOOKUP('Données projet'!$B$15,Paramètres!$A$1:$I$88,5,0)</f>
        <v>-2.6602720026858149E-14</v>
      </c>
      <c r="EL199" s="14" t="e">
        <f t="shared" si="179"/>
        <v>#NUM!</v>
      </c>
      <c r="EM199" s="22" t="e">
        <f t="shared" si="180"/>
        <v>#NUM!</v>
      </c>
      <c r="EN199" s="62" t="e">
        <f t="shared" si="204"/>
        <v>#NUM!</v>
      </c>
      <c r="EO199" s="62">
        <f ca="1">AVERAGE(OFFSET($EN$3,0,0,'Données projet'!$E$15+1,1))-AVERAGE(OFFSET($H$3,0,0,'Données projet'!$E$15+1,1))</f>
        <v>238.59014604384171</v>
      </c>
      <c r="EP199" s="62">
        <f t="shared" si="205"/>
        <v>90.841373219575217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projet'!$B$15,Paramètres!$A$1:$I$88,7,0))</f>
        <v>0</v>
      </c>
      <c r="ET199" s="17">
        <f>IF(ISNA(VLOOKUP(A199,'Données projet'!$A$191:$I$211,6,0)),0%,VLOOKUP(A199,'Données projet'!$A$191:$I$211,6,0)*VLOOKUP('Données projet'!$B$15,Paramètres!$A$1:$I$88,7,0))</f>
        <v>0</v>
      </c>
      <c r="EU199" s="17">
        <f>IF(ISNA(VLOOKUP(A199,'Données projet'!$A$191:$I$211,7,0)),0%,VLOOKUP(A199,'Données projet'!$A$191:$I$211,7,0))</f>
        <v>0</v>
      </c>
      <c r="EV199" s="23">
        <f>EXP(-LN(2)/35)*EV198+(1-EXP(-LN(2)/35))/(LN(2)/35)*ER199*ES199*VLOOKUP('Données projet'!$B$9,Paramètres!$A$1:$I$88,3,0)*0.475*44/12</f>
        <v>0</v>
      </c>
      <c r="EW199" s="23">
        <f>EXP(-LN(2)/25)*EW198+(1-EXP(-LN(2)/25))/(LN(2)/25)*Calculateur!ER199*Calculateur!ET199*VLOOKUP('Données projet'!$B$9,Paramètres!$A$1:$I$88,3,0)*0.475*44/12</f>
        <v>0</v>
      </c>
      <c r="EX199" s="23">
        <f>EXP(-LN(2)/2)*EX198+(1-EXP(-LN(2)/2))/(LN(2)/2)*ER199*EU199*VLOOKUP('Données projet'!$B$9,Paramètres!$A$1:$I$88,3,0)*0.475*44/12</f>
        <v>0</v>
      </c>
      <c r="EY199" s="24">
        <f t="shared" si="181"/>
        <v>0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IF(A199&lt;'Données projet'!$A$218,$FB$205^A199,IF(A199='Données projet'!$A$218,'Données projet'!$B$218,FE198+FD199-FM198))</f>
        <v>0</v>
      </c>
      <c r="FF199" s="18" t="e">
        <f>FE199*VLOOKUP('Données projet'!$B$16,Paramètres!$A$1:$I$88,3,0)*VLOOKUP('Données projet'!$B$16,Paramètres!$A$1:$I$88,5,0)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206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07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projet'!$B$16,Paramètres!$A$1:$I$88,7,0))</f>
        <v>0</v>
      </c>
      <c r="FO199" s="17">
        <f>IF(ISNA(VLOOKUP(A199,'Données projet'!$A$217:$I$237,6,0)),0%,VLOOKUP(A199,'Données projet'!$A$217:$I$237,6,0)*VLOOKUP('Données projet'!$B$16,Paramètres!$A$1:$I$88,7,0))</f>
        <v>0</v>
      </c>
      <c r="FP199" s="17">
        <f>IF(ISNA(VLOOKUP(A199,'Données projet'!$A$217:$I$237,7,0)),0%,VLOOKUP(A199,'Données projet'!$A$217:$I$237,7,0))</f>
        <v>0</v>
      </c>
      <c r="FQ199" s="23">
        <f>EXP(-LN(2)/35)*FQ198+(1-EXP(-LN(2)/35))/(LN(2)/35)*FM199*FN199*VLOOKUP('Données projet'!$B$9,Paramètres!$A$1:$I$88,3,0)*0.475*44/12</f>
        <v>0</v>
      </c>
      <c r="FR199" s="23">
        <f>EXP(-LN(2)/25)*FR198+(1-EXP(-LN(2)/25))/(LN(2)/25)*Calculateur!FM199*Calculateur!FO199*VLOOKUP('Données projet'!$B$9,Paramètres!$A$1:$I$88,3,0)*0.475*44/12</f>
        <v>0</v>
      </c>
      <c r="FS199" s="23">
        <f>EXP(-LN(2)/2)*FS198+(1-EXP(-LN(2)/2))/(LN(2)/2)*FM199*FP199*VLOOKUP('Données projet'!$B$9,Paramètres!$A$1:$I$88,3,0)*0.475*44/12</f>
        <v>0</v>
      </c>
      <c r="FT199" s="24">
        <f t="shared" si="184"/>
        <v>0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IF(A199&lt;'Données projet'!$A$244,$FW$205^A199,IF(A199='Données projet'!$A$244,'Données projet'!$B$244,FZ198+FY199-GH198))</f>
        <v>0</v>
      </c>
      <c r="GA199" s="18" t="e">
        <f>FZ199*VLOOKUP('Données projet'!$B$17,Paramètres!$A$1:$I$88,3,0)*VLOOKUP('Données projet'!$B$17,Paramètres!$A$1:$I$88,5,0)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8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09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projet'!$B$17,Paramètres!$A$1:$I$88,7,0))</f>
        <v>0</v>
      </c>
      <c r="GJ199" s="17">
        <f>IF(ISNA(VLOOKUP(A199,'Données projet'!$A$243:$I$263,6,0)),0%,VLOOKUP(A199,'Données projet'!$A$243:$I$263,6,0)*VLOOKUP('Données projet'!$B$17,Paramètres!$A$1:$I$88,7,0))</f>
        <v>0</v>
      </c>
      <c r="GK199" s="17">
        <f>IF(ISNA(VLOOKUP(A199,'Données projet'!$A$243:$I$263,7,0)),0%,VLOOKUP(A199,'Données projet'!$A$243:$I$263,7,0))</f>
        <v>0</v>
      </c>
      <c r="GL199" s="23">
        <f>EXP(-LN(2)/35)*GL198+(1-EXP(-LN(2)/35))/(LN(2)/35)*GH199*GI199*VLOOKUP('Données projet'!$B$9,Paramètres!$A$1:$I$88,3,0)*0.475*44/12</f>
        <v>0</v>
      </c>
      <c r="GM199" s="23">
        <f>EXP(-LN(2)/25)*GM198+(1-EXP(-LN(2)/25))/(LN(2)/25)*Calculateur!GH199*Calculateur!GJ199*VLOOKUP('Données projet'!$B$9,Paramètres!$A$1:$I$88,3,0)*0.475*44/12</f>
        <v>0</v>
      </c>
      <c r="GN199" s="23">
        <f>EXP(-LN(2)/2)*GN198+(1-EXP(-LN(2)/2))/(LN(2)/2)*GH199*GK199*VLOOKUP('Données projet'!$B$9,Paramètres!$A$1:$I$88,3,0)*0.475*44/12</f>
        <v>0</v>
      </c>
      <c r="GO199" s="23">
        <f t="shared" si="187"/>
        <v>0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IF(A199&lt;'Données projet'!$A$270,$GR$205^A199,IF(A199='Données projet'!$A$270,'Données projet'!$B$270,GU198+GT199-HC198))</f>
        <v>0</v>
      </c>
      <c r="GV199" s="18" t="e">
        <f>GU199*VLOOKUP('Données projet'!$B$18,Paramètres!$A$1:$I$88,3,0)*VLOOKUP('Données projet'!$B$18,Paramètres!$A$1:$I$88,5,0)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10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1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projet'!$B$18,Paramètres!$A$1:$I$88,7,0))</f>
        <v>0</v>
      </c>
      <c r="HE199" s="17">
        <f>IF(ISNA(VLOOKUP(A199,'Données projet'!$A$269:$I$289,6,0)),0%,VLOOKUP(A199,'Données projet'!$A$269:$I$289,6,0)*VLOOKUP('Données projet'!$B$18,Paramètres!$A$1:$I$88,7,0))</f>
        <v>0</v>
      </c>
      <c r="HF199" s="17">
        <f>IF(ISNA(VLOOKUP(A199,'Données projet'!$A$269:$I$289,7,0)),0%,VLOOKUP(A199,'Données projet'!$A$269:$I$289,7,0))</f>
        <v>0</v>
      </c>
      <c r="HG199" s="23">
        <f>EXP(-LN(2)/35)*HG198+(1-EXP(-LN(2)/35))/(LN(2)/35)*HC199*HD199*VLOOKUP('Données projet'!$B$9,Paramètres!$A$1:$I$88,3,0)*0.475*44/12</f>
        <v>0</v>
      </c>
      <c r="HH199" s="23">
        <f>EXP(-LN(2)/25)*HH198+(1-EXP(-LN(2)/25))/(LN(2)/25)*Calculateur!HC199*Calculateur!HE199*VLOOKUP('Données projet'!$B$9,Paramètres!$A$1:$I$88,3,0)*0.475*44/12</f>
        <v>0</v>
      </c>
      <c r="HI199" s="23">
        <f>EXP(-LN(2)/2)*HI198+(1-EXP(-LN(2)/2))/(LN(2)/2)*HC199*HF199*VLOOKUP('Données projet'!$B$9,Paramètres!$A$1:$I$88,3,0)*0.475*44/12</f>
        <v>0</v>
      </c>
      <c r="HJ199" s="24">
        <f t="shared" si="190"/>
        <v>0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00" s="12">
        <f t="shared" si="21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193"/>
        <v>135.66666666666666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IF(A200&lt;'Données projet'!$A$36,$K$205^A200,IF(A200='Données projet'!$A$36,'Données projet'!$B$36,N199+M200-V199))</f>
        <v>0</v>
      </c>
      <c r="O200" s="14">
        <f>N200*VLOOKUP('Données projet'!$B$9,Paramètres!$A$1:$I$88,3,0)*VLOOKUP('Données projet'!$B$9,Paramètres!$A$1:$I$88,5,0)</f>
        <v>0</v>
      </c>
      <c r="P200" s="14" t="e">
        <f t="shared" si="21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314.72063458462026</v>
      </c>
      <c r="T200" s="62">
        <f t="shared" si="192"/>
        <v>216.4380325968244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projet'!$B$9,Paramètres!$A$1:$I$88,7,0))</f>
        <v>0</v>
      </c>
      <c r="X200" s="17">
        <f>IF(ISNA(VLOOKUP(A200,'Données projet'!$A$35:$I$55,6,0)),0%,VLOOKUP(A200,'Données projet'!$A$35:$I$55,6,0)*VLOOKUP('Données projet'!$B$9,Paramètres!$A$1:$I$88,7,0))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projet'!$B$9,Paramètres!$A$1:$I$88,3,0)*0.475*44/12</f>
        <v>0</v>
      </c>
      <c r="AA200" s="23">
        <f>EXP(-LN(2)/25)*AA199+(1-EXP(-LN(2)/25))/(LN(2)/25)*Calculateur!V200*Calculateur!X200*VLOOKUP('Données projet'!$B$9,Paramètres!$A$1:$I$88,3,0)*0.475*44/12</f>
        <v>0</v>
      </c>
      <c r="AB200" s="23">
        <f>EXP(-LN(2)/2)*AB199+(1-EXP(-LN(2)/2))/(LN(2)/2)*V200*Y200*VLOOKUP('Données projet'!$B$9,Paramètres!$A$1:$I$88,3,0)*0.475*44/12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IF(A200&lt;'Données projet'!$A$62,$AF$205^A200,IF(A200='Données projet'!$A$62,'Données projet'!$B$62,AI199+AH200-AQ199))</f>
        <v>1.1368683772161603E-13</v>
      </c>
      <c r="AJ200" s="14">
        <f>AI200*VLOOKUP('Données projet'!$B$10,Paramètres!$A$1:$I$88,3,0)*VLOOKUP('Données projet'!$B$10,Paramètres!$A$1:$I$88,5,0)</f>
        <v>1.1882548278663309E-13</v>
      </c>
      <c r="AK200" s="14">
        <f t="shared" si="164"/>
        <v>1.7496137229198366E-12</v>
      </c>
      <c r="AL200" s="22">
        <f t="shared" si="165"/>
        <v>3.2541982832721012E-12</v>
      </c>
      <c r="AM200" s="62">
        <f t="shared" si="194"/>
        <v>288.89903610054887</v>
      </c>
      <c r="AN200" s="62">
        <f ca="1">AVERAGE(OFFSET($AM$3,0,0,'Données projet'!$E$10+1,1))-AVERAGE(OFFSET($H$3,0,0,'Données projet'!$E$10+1,1))</f>
        <v>458.33072853676879</v>
      </c>
      <c r="AO200" s="62">
        <f t="shared" si="195"/>
        <v>254.1734169352687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projet'!$B$10,Paramètres!$A$1:$I$88,7,0))</f>
        <v>0</v>
      </c>
      <c r="AS200" s="17">
        <f>IF(ISNA(VLOOKUP(A200,'Données projet'!$A$61:$I$81,6,0)),0%,VLOOKUP(A200,'Données projet'!$A$61:$I$81,6,0)*VLOOKUP('Données projet'!$B$10,Paramètres!$A$1:$I$88,7,0))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projet'!$B$9,Paramètres!$A$1:$I$88,3,0)*0.475*44/12</f>
        <v>0</v>
      </c>
      <c r="AV200" s="23">
        <f>EXP(-LN(2)/25)*AV199+(1-EXP(-LN(2)/25))/(LN(2)/25)*Calculateur!AQ200*Calculateur!AS200*VLOOKUP('Données projet'!$B$9,Paramètres!$A$1:$I$88,3,0)*0.475*44/12</f>
        <v>0</v>
      </c>
      <c r="AW200" s="23">
        <f>EXP(-LN(2)/2)*AW199+(1-EXP(-LN(2)/2))/(LN(2)/2)*AQ200*AT200*VLOOKUP('Données projet'!$B$9,Paramètres!$A$1:$I$88,3,0)*0.475*44/12</f>
        <v>0</v>
      </c>
      <c r="AX200" s="23">
        <f t="shared" si="166"/>
        <v>0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IF(A200&lt;'Données projet'!$A$88,$BA$205^A200,IF(A200='Données projet'!$A$88,'Données projet'!$B$88,BD199+BC200-BL199))</f>
        <v>1.1368683772161603E-13</v>
      </c>
      <c r="BE200" s="14">
        <f>BD200*VLOOKUP('Données projet'!$B$11,Paramètres!$A$1:$I$88,3,0)*VLOOKUP('Données projet'!$B$11,Paramètres!$A$1:$I$88,5,0)</f>
        <v>1.1527845344971866E-13</v>
      </c>
      <c r="BF200" s="14">
        <f t="shared" si="167"/>
        <v>1.7033846239409443E-12</v>
      </c>
      <c r="BG200" s="22">
        <f t="shared" si="168"/>
        <v>3.1675048597887374E-12</v>
      </c>
      <c r="BH200" s="62">
        <f t="shared" si="196"/>
        <v>288.89903610054881</v>
      </c>
      <c r="BI200" s="62">
        <f ca="1">AVERAGE(OFFSET($BH$3,0,0,'Données projet'!$E$11+1,1))-AVERAGE(OFFSET($H$3,0,0,'Données projet'!$E$11+1,1))</f>
        <v>447.82618173893104</v>
      </c>
      <c r="BJ200" s="62">
        <f t="shared" si="197"/>
        <v>248.96509970783379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projet'!$B$11,Paramètres!$A$1:$I$88,7,0))</f>
        <v>0</v>
      </c>
      <c r="BN200" s="17">
        <f>IF(ISNA(VLOOKUP(A200,'Données projet'!$A$87:$I$107,6,0)),0%,VLOOKUP(A200,'Données projet'!$A$87:$I$107,6,0)*VLOOKUP('Données projet'!$B$11,Paramètres!$A$1:$I$88,7,0))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projet'!$B$9,Paramètres!$A$1:$I$88,3,0)*0.475*44/12</f>
        <v>0</v>
      </c>
      <c r="BQ200" s="23">
        <f>EXP(-LN(2)/25)*BQ199+(1-EXP(-LN(2)/25))/(LN(2)/25)*Calculateur!BL200*Calculateur!BN200*VLOOKUP('Données projet'!$B$9,Paramètres!$A$1:$I$88,3,0)*0.475*44/12</f>
        <v>0</v>
      </c>
      <c r="BR200" s="23">
        <f>EXP(-LN(2)/2)*BR199+(1-EXP(-LN(2)/2))/(LN(2)/2)*BL200*BO200*VLOOKUP('Données projet'!$B$9,Paramètres!$A$1:$I$88,3,0)*0.475*44/12</f>
        <v>0</v>
      </c>
      <c r="BS200" s="24">
        <f t="shared" si="169"/>
        <v>0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IF(A200&lt;'Données projet'!$A$114,$BV$205^A200,IF(A200='Données projet'!$A$114,'Données projet'!$B$114,BY199+BX200-CG199))</f>
        <v>1.1368683772161603E-13</v>
      </c>
      <c r="BZ200" s="14">
        <f>BY200*VLOOKUP('Données projet'!$B$12,Paramètres!$A$1:$I$88,3,0)*VLOOKUP('Données projet'!$B$12,Paramètres!$A$1:$I$88,5,0)</f>
        <v>1.223725121235475E-13</v>
      </c>
      <c r="CA200" s="14">
        <f t="shared" si="170"/>
        <v>1.7956824466038182E-12</v>
      </c>
      <c r="CB200" s="22">
        <f t="shared" si="171"/>
        <v>3.3406123864501612E-12</v>
      </c>
      <c r="CC200" s="62">
        <f t="shared" si="198"/>
        <v>288.89903610054898</v>
      </c>
      <c r="CD200" s="62">
        <f ca="1">AVERAGE(OFFSET($CC$3,0,0,'Données projet'!$E$12+1,1))-AVERAGE(OFFSET($H$3,0,0,'Données projet'!$E$12+1,1))</f>
        <v>468.82871618425406</v>
      </c>
      <c r="CE200" s="62">
        <f t="shared" si="199"/>
        <v>259.37818128554397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projet'!$B$12,Paramètres!$A$1:$I$88,7,0))</f>
        <v>0</v>
      </c>
      <c r="CI200" s="17">
        <f>IF(ISNA(VLOOKUP(A200,'Données projet'!$A$113:$I$133,6,0)),0%,VLOOKUP(A200,'Données projet'!$A$113:$I$133,6,0)*VLOOKUP('Données projet'!$B$12,Paramètres!$A$1:$I$88,7,0))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projet'!$B$9,Paramètres!$A$1:$I$88,3,0)*0.475*44/12</f>
        <v>0</v>
      </c>
      <c r="CL200" s="23">
        <f>EXP(-LN(2)/25)*CL199+(1-EXP(-LN(2)/25))/(LN(2)/25)*Calculateur!CG200*Calculateur!CI200*VLOOKUP('Données projet'!$B$9,Paramètres!$A$1:$I$88,3,0)*0.475*44/12</f>
        <v>0</v>
      </c>
      <c r="CM200" s="23">
        <f>EXP(-LN(2)/2)*CM199+(1-EXP(-LN(2)/2))/(LN(2)/2)*CG200*CJ200*VLOOKUP('Données projet'!$B$9,Paramètres!$A$1:$I$88,3,0)*0.475*44/12</f>
        <v>0</v>
      </c>
      <c r="CN200" s="24">
        <f t="shared" si="172"/>
        <v>0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IF(A200&lt;'Données projet'!$A$140,$CQ$205^A200,IF(A200='Données projet'!$A$140,'Données projet'!$B$140,CT199+CS200-DB199))</f>
        <v>1.1368683772161603E-13</v>
      </c>
      <c r="CU200" s="18">
        <f>CT200*VLOOKUP('Données projet'!$B$13,Paramètres!$A$1:$I$88,3,0)*VLOOKUP('Données projet'!$B$13,Paramètres!$A$1:$I$88,5,0)</f>
        <v>9.7543306765146564E-14</v>
      </c>
      <c r="CV200" s="14">
        <f t="shared" si="173"/>
        <v>1.4696264278629426E-12</v>
      </c>
      <c r="CW200" s="22">
        <f t="shared" si="174"/>
        <v>2.7294872878105889E-12</v>
      </c>
      <c r="CX200" s="62">
        <f t="shared" si="200"/>
        <v>288.89903610054836</v>
      </c>
      <c r="CY200" s="62">
        <f ca="1">AVERAGE(OFFSET($CX$3,0,0,'Données projet'!$E$13+1,1))-AVERAGE(OFFSET($H$3,0,0,'Données projet'!$E$13+1,1))</f>
        <v>395.19659151668884</v>
      </c>
      <c r="CZ200" s="62">
        <f t="shared" si="201"/>
        <v>222.86563304507339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projet'!$B$13,Paramètres!$A$1:$I$88,7,0))</f>
        <v>0</v>
      </c>
      <c r="DD200" s="17">
        <f>IF(ISNA(VLOOKUP(A200,'Données projet'!$A$139:$I$159,6,0)),0%,VLOOKUP(A200,'Données projet'!$A$139:$I$159,6,0)*VLOOKUP('Données projet'!$B$13,Paramètres!$A$1:$I$88,7,0))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projet'!$B$9,Paramètres!$A$1:$I$88,3,0)*0.475*44/12</f>
        <v>0</v>
      </c>
      <c r="DG200" s="23">
        <f>EXP(-LN(2)/25)*DG199+(1-EXP(-LN(2)/25))/(LN(2)/25)*Calculateur!DB200*Calculateur!DD200*VLOOKUP('Données projet'!$B$9,Paramètres!$A$1:$I$88,3,0)*0.475*44/12</f>
        <v>0</v>
      </c>
      <c r="DH200" s="23">
        <f>EXP(-LN(2)/2)*DH199+(1-EXP(-LN(2)/2))/(LN(2)/2)*DB200*DE200*VLOOKUP('Données projet'!$B$9,Paramètres!$A$1:$I$88,3,0)*0.475*44/12</f>
        <v>0</v>
      </c>
      <c r="DI200" s="24">
        <f t="shared" si="175"/>
        <v>0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IF(A200&lt;'Données projet'!$A$166,$DL$205^A200,IF(A200='Données projet'!$A$166,'Données projet'!$B$166,DO199+DN200-DW199))</f>
        <v>-8.5265128291212022E-14</v>
      </c>
      <c r="DP200" s="18">
        <f>DO200*VLOOKUP('Données projet'!$B$14,Paramètres!$A$1:$I$88,3,0)*VLOOKUP('Données projet'!$B$14,Paramètres!$A$1:$I$88,5,0)</f>
        <v>-4.9880100050359036E-14</v>
      </c>
      <c r="DQ200" s="14" t="e">
        <f t="shared" si="176"/>
        <v>#NUM!</v>
      </c>
      <c r="DR200" s="22" t="e">
        <f t="shared" si="177"/>
        <v>#NUM!</v>
      </c>
      <c r="DS200" s="62" t="e">
        <f t="shared" si="202"/>
        <v>#NUM!</v>
      </c>
      <c r="DT200" s="62">
        <f ca="1">AVERAGE(OFFSET($DS$3,0,0,'Données projet'!$E$14+1,1))-AVERAGE(OFFSET($H$3,0,0,'Données projet'!$E$14+1,1))</f>
        <v>155.18073137151848</v>
      </c>
      <c r="DU200" s="62">
        <f t="shared" si="203"/>
        <v>115.19459155667272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projet'!$B$14,Paramètres!$A$1:$I$88,7,0))</f>
        <v>0</v>
      </c>
      <c r="DY200" s="17">
        <f>IF(ISNA(VLOOKUP(A200,'Données projet'!$A$165:$I$185,6,0)),0%,VLOOKUP(A200,'Données projet'!$A$165:$I$185,6,0)*VLOOKUP('Données projet'!$B$14,Paramètres!$A$1:$I$88,7,0))</f>
        <v>0</v>
      </c>
      <c r="DZ200" s="17">
        <f>IF(ISNA(VLOOKUP(A200,'Données projet'!$A$165:$I$185,7,0)),0%,VLOOKUP(A200,'Données projet'!$A$165:$I$185,7,0))</f>
        <v>0</v>
      </c>
      <c r="EA200" s="23">
        <f>EXP(-LN(2)/35)*EA199+(1-EXP(-LN(2)/35))/(LN(2)/35)*DW200*DX200*VLOOKUP('Données projet'!$B$9,Paramètres!$A$1:$I$88,3,0)*0.475*44/12</f>
        <v>0</v>
      </c>
      <c r="EB200" s="23">
        <f>EXP(-LN(2)/25)*EB199+(1-EXP(-LN(2)/25))/(LN(2)/25)*Calculateur!DW200*Calculateur!DY200*VLOOKUP('Données projet'!$B$9,Paramètres!$A$1:$I$88,3,0)*0.475*44/12</f>
        <v>0</v>
      </c>
      <c r="EC200" s="23">
        <f>EXP(-LN(2)/2)*EC199+(1-EXP(-LN(2)/2))/(LN(2)/2)*DW200*DZ200*VLOOKUP('Données projet'!$B$9,Paramètres!$A$1:$I$88,3,0)*0.475*44/12</f>
        <v>0</v>
      </c>
      <c r="ED200" s="24">
        <f t="shared" si="178"/>
        <v>0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IF(A200&lt;'Données projet'!$A$192,$EG$205^A200,IF(A200='Données projet'!$A$192,'Données projet'!$B$192,EJ199+EI200-ER199))</f>
        <v>-5.6843418860808015E-14</v>
      </c>
      <c r="EK200" s="18">
        <f>EJ200*VLOOKUP('Données projet'!$B$15,Paramètres!$A$1:$I$88,3,0)*VLOOKUP('Données projet'!$B$15,Paramètres!$A$1:$I$88,5,0)</f>
        <v>-2.6602720026858149E-14</v>
      </c>
      <c r="EL200" s="14" t="e">
        <f t="shared" si="179"/>
        <v>#NUM!</v>
      </c>
      <c r="EM200" s="22" t="e">
        <f t="shared" si="180"/>
        <v>#NUM!</v>
      </c>
      <c r="EN200" s="62" t="e">
        <f t="shared" si="204"/>
        <v>#NUM!</v>
      </c>
      <c r="EO200" s="62">
        <f ca="1">AVERAGE(OFFSET($EN$3,0,0,'Données projet'!$E$15+1,1))-AVERAGE(OFFSET($H$3,0,0,'Données projet'!$E$15+1,1))</f>
        <v>238.59014604384171</v>
      </c>
      <c r="EP200" s="62">
        <f t="shared" si="205"/>
        <v>90.841373219575217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projet'!$B$15,Paramètres!$A$1:$I$88,7,0))</f>
        <v>0</v>
      </c>
      <c r="ET200" s="17">
        <f>IF(ISNA(VLOOKUP(A200,'Données projet'!$A$191:$I$211,6,0)),0%,VLOOKUP(A200,'Données projet'!$A$191:$I$211,6,0)*VLOOKUP('Données projet'!$B$15,Paramètres!$A$1:$I$88,7,0))</f>
        <v>0</v>
      </c>
      <c r="EU200" s="17">
        <f>IF(ISNA(VLOOKUP(A200,'Données projet'!$A$191:$I$211,7,0)),0%,VLOOKUP(A200,'Données projet'!$A$191:$I$211,7,0))</f>
        <v>0</v>
      </c>
      <c r="EV200" s="23">
        <f>EXP(-LN(2)/35)*EV199+(1-EXP(-LN(2)/35))/(LN(2)/35)*ER200*ES200*VLOOKUP('Données projet'!$B$9,Paramètres!$A$1:$I$88,3,0)*0.475*44/12</f>
        <v>0</v>
      </c>
      <c r="EW200" s="23">
        <f>EXP(-LN(2)/25)*EW199+(1-EXP(-LN(2)/25))/(LN(2)/25)*Calculateur!ER200*Calculateur!ET200*VLOOKUP('Données projet'!$B$9,Paramètres!$A$1:$I$88,3,0)*0.475*44/12</f>
        <v>0</v>
      </c>
      <c r="EX200" s="23">
        <f>EXP(-LN(2)/2)*EX199+(1-EXP(-LN(2)/2))/(LN(2)/2)*ER200*EU200*VLOOKUP('Données projet'!$B$9,Paramètres!$A$1:$I$88,3,0)*0.475*44/12</f>
        <v>0</v>
      </c>
      <c r="EY200" s="24">
        <f t="shared" si="181"/>
        <v>0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IF(A200&lt;'Données projet'!$A$218,$FB$205^A200,IF(A200='Données projet'!$A$218,'Données projet'!$B$218,FE199+FD200-FM199))</f>
        <v>0</v>
      </c>
      <c r="FF200" s="18" t="e">
        <f>FE200*VLOOKUP('Données projet'!$B$16,Paramètres!$A$1:$I$88,3,0)*VLOOKUP('Données projet'!$B$16,Paramètres!$A$1:$I$88,5,0)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206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07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projet'!$B$16,Paramètres!$A$1:$I$88,7,0))</f>
        <v>0</v>
      </c>
      <c r="FO200" s="17">
        <f>IF(ISNA(VLOOKUP(A200,'Données projet'!$A$217:$I$237,6,0)),0%,VLOOKUP(A200,'Données projet'!$A$217:$I$237,6,0)*VLOOKUP('Données projet'!$B$16,Paramètres!$A$1:$I$88,7,0))</f>
        <v>0</v>
      </c>
      <c r="FP200" s="17">
        <f>IF(ISNA(VLOOKUP(A200,'Données projet'!$A$217:$I$237,7,0)),0%,VLOOKUP(A200,'Données projet'!$A$217:$I$237,7,0))</f>
        <v>0</v>
      </c>
      <c r="FQ200" s="23">
        <f>EXP(-LN(2)/35)*FQ199+(1-EXP(-LN(2)/35))/(LN(2)/35)*FM200*FN200*VLOOKUP('Données projet'!$B$9,Paramètres!$A$1:$I$88,3,0)*0.475*44/12</f>
        <v>0</v>
      </c>
      <c r="FR200" s="23">
        <f>EXP(-LN(2)/25)*FR199+(1-EXP(-LN(2)/25))/(LN(2)/25)*Calculateur!FM200*Calculateur!FO200*VLOOKUP('Données projet'!$B$9,Paramètres!$A$1:$I$88,3,0)*0.475*44/12</f>
        <v>0</v>
      </c>
      <c r="FS200" s="23">
        <f>EXP(-LN(2)/2)*FS199+(1-EXP(-LN(2)/2))/(LN(2)/2)*FM200*FP200*VLOOKUP('Données projet'!$B$9,Paramètres!$A$1:$I$88,3,0)*0.475*44/12</f>
        <v>0</v>
      </c>
      <c r="FT200" s="24">
        <f t="shared" si="184"/>
        <v>0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IF(A200&lt;'Données projet'!$A$244,$FW$205^A200,IF(A200='Données projet'!$A$244,'Données projet'!$B$244,FZ199+FY200-GH199))</f>
        <v>0</v>
      </c>
      <c r="GA200" s="18" t="e">
        <f>FZ200*VLOOKUP('Données projet'!$B$17,Paramètres!$A$1:$I$88,3,0)*VLOOKUP('Données projet'!$B$17,Paramètres!$A$1:$I$88,5,0)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8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09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projet'!$B$17,Paramètres!$A$1:$I$88,7,0))</f>
        <v>0</v>
      </c>
      <c r="GJ200" s="17">
        <f>IF(ISNA(VLOOKUP(A200,'Données projet'!$A$243:$I$263,6,0)),0%,VLOOKUP(A200,'Données projet'!$A$243:$I$263,6,0)*VLOOKUP('Données projet'!$B$17,Paramètres!$A$1:$I$88,7,0))</f>
        <v>0</v>
      </c>
      <c r="GK200" s="17">
        <f>IF(ISNA(VLOOKUP(A200,'Données projet'!$A$243:$I$263,7,0)),0%,VLOOKUP(A200,'Données projet'!$A$243:$I$263,7,0))</f>
        <v>0</v>
      </c>
      <c r="GL200" s="23">
        <f>EXP(-LN(2)/35)*GL199+(1-EXP(-LN(2)/35))/(LN(2)/35)*GH200*GI200*VLOOKUP('Données projet'!$B$9,Paramètres!$A$1:$I$88,3,0)*0.475*44/12</f>
        <v>0</v>
      </c>
      <c r="GM200" s="23">
        <f>EXP(-LN(2)/25)*GM199+(1-EXP(-LN(2)/25))/(LN(2)/25)*Calculateur!GH200*Calculateur!GJ200*VLOOKUP('Données projet'!$B$9,Paramètres!$A$1:$I$88,3,0)*0.475*44/12</f>
        <v>0</v>
      </c>
      <c r="GN200" s="23">
        <f>EXP(-LN(2)/2)*GN199+(1-EXP(-LN(2)/2))/(LN(2)/2)*GH200*GK200*VLOOKUP('Données projet'!$B$9,Paramètres!$A$1:$I$88,3,0)*0.475*44/12</f>
        <v>0</v>
      </c>
      <c r="GO200" s="23">
        <f t="shared" si="187"/>
        <v>0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IF(A200&lt;'Données projet'!$A$270,$GR$205^A200,IF(A200='Données projet'!$A$270,'Données projet'!$B$270,GU199+GT200-HC199))</f>
        <v>0</v>
      </c>
      <c r="GV200" s="18" t="e">
        <f>GU200*VLOOKUP('Données projet'!$B$18,Paramètres!$A$1:$I$88,3,0)*VLOOKUP('Données projet'!$B$18,Paramètres!$A$1:$I$88,5,0)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10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1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projet'!$B$18,Paramètres!$A$1:$I$88,7,0))</f>
        <v>0</v>
      </c>
      <c r="HE200" s="17">
        <f>IF(ISNA(VLOOKUP(A200,'Données projet'!$A$269:$I$289,6,0)),0%,VLOOKUP(A200,'Données projet'!$A$269:$I$289,6,0)*VLOOKUP('Données projet'!$B$18,Paramètres!$A$1:$I$88,7,0))</f>
        <v>0</v>
      </c>
      <c r="HF200" s="17">
        <f>IF(ISNA(VLOOKUP(A200,'Données projet'!$A$269:$I$289,7,0)),0%,VLOOKUP(A200,'Données projet'!$A$269:$I$289,7,0))</f>
        <v>0</v>
      </c>
      <c r="HG200" s="23">
        <f>EXP(-LN(2)/35)*HG199+(1-EXP(-LN(2)/35))/(LN(2)/35)*HC200*HD200*VLOOKUP('Données projet'!$B$9,Paramètres!$A$1:$I$88,3,0)*0.475*44/12</f>
        <v>0</v>
      </c>
      <c r="HH200" s="23">
        <f>EXP(-LN(2)/25)*HH199+(1-EXP(-LN(2)/25))/(LN(2)/25)*Calculateur!HC200*Calculateur!HE200*VLOOKUP('Données projet'!$B$9,Paramètres!$A$1:$I$88,3,0)*0.475*44/12</f>
        <v>0</v>
      </c>
      <c r="HI200" s="23">
        <f>EXP(-LN(2)/2)*HI199+(1-EXP(-LN(2)/2))/(LN(2)/2)*HC200*HF200*VLOOKUP('Données projet'!$B$9,Paramètres!$A$1:$I$88,3,0)*0.475*44/12</f>
        <v>0</v>
      </c>
      <c r="HJ200" s="24">
        <f t="shared" si="190"/>
        <v>0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01" s="12">
        <f t="shared" si="21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193"/>
        <v>135.66666666666666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IF(A201&lt;'Données projet'!$A$36,$K$205^A201,IF(A201='Données projet'!$A$36,'Données projet'!$B$36,N200+M201-V200))</f>
        <v>0</v>
      </c>
      <c r="O201" s="14">
        <f>N201*VLOOKUP('Données projet'!$B$9,Paramètres!$A$1:$I$88,3,0)*VLOOKUP('Données projet'!$B$9,Paramètres!$A$1:$I$88,5,0)</f>
        <v>0</v>
      </c>
      <c r="P201" s="14" t="e">
        <f t="shared" si="21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314.72063458462026</v>
      </c>
      <c r="T201" s="62">
        <f t="shared" si="192"/>
        <v>216.4380325968244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projet'!$B$9,Paramètres!$A$1:$I$88,7,0))</f>
        <v>0</v>
      </c>
      <c r="X201" s="17">
        <f>IF(ISNA(VLOOKUP(A201,'Données projet'!$A$35:$I$55,6,0)),0%,VLOOKUP(A201,'Données projet'!$A$35:$I$55,6,0)*VLOOKUP('Données projet'!$B$9,Paramètres!$A$1:$I$88,7,0))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projet'!$B$9,Paramètres!$A$1:$I$88,3,0)*0.475*44/12</f>
        <v>0</v>
      </c>
      <c r="AA201" s="23">
        <f>EXP(-LN(2)/25)*AA200+(1-EXP(-LN(2)/25))/(LN(2)/25)*Calculateur!V201*Calculateur!X201*VLOOKUP('Données projet'!$B$9,Paramètres!$A$1:$I$88,3,0)*0.475*44/12</f>
        <v>0</v>
      </c>
      <c r="AB201" s="23">
        <f>EXP(-LN(2)/2)*AB200+(1-EXP(-LN(2)/2))/(LN(2)/2)*V201*Y201*VLOOKUP('Données projet'!$B$9,Paramètres!$A$1:$I$88,3,0)*0.475*44/12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IF(A201&lt;'Données projet'!$A$62,$AF$205^A201,IF(A201='Données projet'!$A$62,'Données projet'!$B$62,AI200+AH201-AQ200))</f>
        <v>1.1368683772161603E-13</v>
      </c>
      <c r="AJ201" s="14">
        <f>AI201*VLOOKUP('Données projet'!$B$10,Paramètres!$A$1:$I$88,3,0)*VLOOKUP('Données projet'!$B$10,Paramètres!$A$1:$I$88,5,0)</f>
        <v>1.1882548278663309E-13</v>
      </c>
      <c r="AK201" s="14">
        <f t="shared" si="164"/>
        <v>1.7496137229198366E-12</v>
      </c>
      <c r="AL201" s="22">
        <f t="shared" si="165"/>
        <v>3.2541982832721012E-12</v>
      </c>
      <c r="AM201" s="62">
        <f t="shared" si="194"/>
        <v>288.97596124393431</v>
      </c>
      <c r="AN201" s="62">
        <f ca="1">AVERAGE(OFFSET($AM$3,0,0,'Données projet'!$E$10+1,1))-AVERAGE(OFFSET($H$3,0,0,'Données projet'!$E$10+1,1))</f>
        <v>458.33072853676879</v>
      </c>
      <c r="AO201" s="62">
        <f t="shared" si="195"/>
        <v>254.1734169352687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projet'!$B$10,Paramètres!$A$1:$I$88,7,0))</f>
        <v>0</v>
      </c>
      <c r="AS201" s="17">
        <f>IF(ISNA(VLOOKUP(A201,'Données projet'!$A$61:$I$81,6,0)),0%,VLOOKUP(A201,'Données projet'!$A$61:$I$81,6,0)*VLOOKUP('Données projet'!$B$10,Paramètres!$A$1:$I$88,7,0))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projet'!$B$9,Paramètres!$A$1:$I$88,3,0)*0.475*44/12</f>
        <v>0</v>
      </c>
      <c r="AV201" s="23">
        <f>EXP(-LN(2)/25)*AV200+(1-EXP(-LN(2)/25))/(LN(2)/25)*Calculateur!AQ201*Calculateur!AS201*VLOOKUP('Données projet'!$B$9,Paramètres!$A$1:$I$88,3,0)*0.475*44/12</f>
        <v>0</v>
      </c>
      <c r="AW201" s="23">
        <f>EXP(-LN(2)/2)*AW200+(1-EXP(-LN(2)/2))/(LN(2)/2)*AQ201*AT201*VLOOKUP('Données projet'!$B$9,Paramètres!$A$1:$I$88,3,0)*0.475*44/12</f>
        <v>0</v>
      </c>
      <c r="AX201" s="23">
        <f t="shared" si="166"/>
        <v>0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IF(A201&lt;'Données projet'!$A$88,$BA$205^A201,IF(A201='Données projet'!$A$88,'Données projet'!$B$88,BD200+BC201-BL200))</f>
        <v>1.1368683772161603E-13</v>
      </c>
      <c r="BE201" s="14">
        <f>BD201*VLOOKUP('Données projet'!$B$11,Paramètres!$A$1:$I$88,3,0)*VLOOKUP('Données projet'!$B$11,Paramètres!$A$1:$I$88,5,0)</f>
        <v>1.1527845344971866E-13</v>
      </c>
      <c r="BF201" s="14">
        <f t="shared" si="167"/>
        <v>1.7033846239409443E-12</v>
      </c>
      <c r="BG201" s="22">
        <f t="shared" si="168"/>
        <v>3.1675048597887374E-12</v>
      </c>
      <c r="BH201" s="62">
        <f t="shared" si="196"/>
        <v>288.97596124393425</v>
      </c>
      <c r="BI201" s="62">
        <f ca="1">AVERAGE(OFFSET($BH$3,0,0,'Données projet'!$E$11+1,1))-AVERAGE(OFFSET($H$3,0,0,'Données projet'!$E$11+1,1))</f>
        <v>447.82618173893104</v>
      </c>
      <c r="BJ201" s="62">
        <f t="shared" si="197"/>
        <v>248.96509970783379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projet'!$B$11,Paramètres!$A$1:$I$88,7,0))</f>
        <v>0</v>
      </c>
      <c r="BN201" s="17">
        <f>IF(ISNA(VLOOKUP(A201,'Données projet'!$A$87:$I$107,6,0)),0%,VLOOKUP(A201,'Données projet'!$A$87:$I$107,6,0)*VLOOKUP('Données projet'!$B$11,Paramètres!$A$1:$I$88,7,0))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projet'!$B$9,Paramètres!$A$1:$I$88,3,0)*0.475*44/12</f>
        <v>0</v>
      </c>
      <c r="BQ201" s="23">
        <f>EXP(-LN(2)/25)*BQ200+(1-EXP(-LN(2)/25))/(LN(2)/25)*Calculateur!BL201*Calculateur!BN201*VLOOKUP('Données projet'!$B$9,Paramètres!$A$1:$I$88,3,0)*0.475*44/12</f>
        <v>0</v>
      </c>
      <c r="BR201" s="23">
        <f>EXP(-LN(2)/2)*BR200+(1-EXP(-LN(2)/2))/(LN(2)/2)*BL201*BO201*VLOOKUP('Données projet'!$B$9,Paramètres!$A$1:$I$88,3,0)*0.475*44/12</f>
        <v>0</v>
      </c>
      <c r="BS201" s="24">
        <f t="shared" si="169"/>
        <v>0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IF(A201&lt;'Données projet'!$A$114,$BV$205^A201,IF(A201='Données projet'!$A$114,'Données projet'!$B$114,BY200+BX201-CG200))</f>
        <v>1.1368683772161603E-13</v>
      </c>
      <c r="BZ201" s="14">
        <f>BY201*VLOOKUP('Données projet'!$B$12,Paramètres!$A$1:$I$88,3,0)*VLOOKUP('Données projet'!$B$12,Paramètres!$A$1:$I$88,5,0)</f>
        <v>1.223725121235475E-13</v>
      </c>
      <c r="CA201" s="14">
        <f t="shared" si="170"/>
        <v>1.7956824466038182E-12</v>
      </c>
      <c r="CB201" s="22">
        <f t="shared" si="171"/>
        <v>3.3406123864501612E-12</v>
      </c>
      <c r="CC201" s="62">
        <f t="shared" si="198"/>
        <v>288.97596124393442</v>
      </c>
      <c r="CD201" s="62">
        <f ca="1">AVERAGE(OFFSET($CC$3,0,0,'Données projet'!$E$12+1,1))-AVERAGE(OFFSET($H$3,0,0,'Données projet'!$E$12+1,1))</f>
        <v>468.82871618425406</v>
      </c>
      <c r="CE201" s="62">
        <f t="shared" si="199"/>
        <v>259.37818128554397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projet'!$B$12,Paramètres!$A$1:$I$88,7,0))</f>
        <v>0</v>
      </c>
      <c r="CI201" s="17">
        <f>IF(ISNA(VLOOKUP(A201,'Données projet'!$A$113:$I$133,6,0)),0%,VLOOKUP(A201,'Données projet'!$A$113:$I$133,6,0)*VLOOKUP('Données projet'!$B$12,Paramètres!$A$1:$I$88,7,0))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projet'!$B$9,Paramètres!$A$1:$I$88,3,0)*0.475*44/12</f>
        <v>0</v>
      </c>
      <c r="CL201" s="23">
        <f>EXP(-LN(2)/25)*CL200+(1-EXP(-LN(2)/25))/(LN(2)/25)*Calculateur!CG201*Calculateur!CI201*VLOOKUP('Données projet'!$B$9,Paramètres!$A$1:$I$88,3,0)*0.475*44/12</f>
        <v>0</v>
      </c>
      <c r="CM201" s="23">
        <f>EXP(-LN(2)/2)*CM200+(1-EXP(-LN(2)/2))/(LN(2)/2)*CG201*CJ201*VLOOKUP('Données projet'!$B$9,Paramètres!$A$1:$I$88,3,0)*0.475*44/12</f>
        <v>0</v>
      </c>
      <c r="CN201" s="24">
        <f t="shared" si="172"/>
        <v>0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IF(A201&lt;'Données projet'!$A$140,$CQ$205^A201,IF(A201='Données projet'!$A$140,'Données projet'!$B$140,CT200+CS201-DB200))</f>
        <v>1.1368683772161603E-13</v>
      </c>
      <c r="CU201" s="18">
        <f>CT201*VLOOKUP('Données projet'!$B$13,Paramètres!$A$1:$I$88,3,0)*VLOOKUP('Données projet'!$B$13,Paramètres!$A$1:$I$88,5,0)</f>
        <v>9.7543306765146564E-14</v>
      </c>
      <c r="CV201" s="14">
        <f t="shared" si="173"/>
        <v>1.4696264278629426E-12</v>
      </c>
      <c r="CW201" s="22">
        <f t="shared" si="174"/>
        <v>2.7294872878105889E-12</v>
      </c>
      <c r="CX201" s="62">
        <f t="shared" si="200"/>
        <v>288.9759612439338</v>
      </c>
      <c r="CY201" s="62">
        <f ca="1">AVERAGE(OFFSET($CX$3,0,0,'Données projet'!$E$13+1,1))-AVERAGE(OFFSET($H$3,0,0,'Données projet'!$E$13+1,1))</f>
        <v>395.19659151668884</v>
      </c>
      <c r="CZ201" s="62">
        <f t="shared" si="201"/>
        <v>222.86563304507339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projet'!$B$13,Paramètres!$A$1:$I$88,7,0))</f>
        <v>0</v>
      </c>
      <c r="DD201" s="17">
        <f>IF(ISNA(VLOOKUP(A201,'Données projet'!$A$139:$I$159,6,0)),0%,VLOOKUP(A201,'Données projet'!$A$139:$I$159,6,0)*VLOOKUP('Données projet'!$B$13,Paramètres!$A$1:$I$88,7,0))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projet'!$B$9,Paramètres!$A$1:$I$88,3,0)*0.475*44/12</f>
        <v>0</v>
      </c>
      <c r="DG201" s="23">
        <f>EXP(-LN(2)/25)*DG200+(1-EXP(-LN(2)/25))/(LN(2)/25)*Calculateur!DB201*Calculateur!DD201*VLOOKUP('Données projet'!$B$9,Paramètres!$A$1:$I$88,3,0)*0.475*44/12</f>
        <v>0</v>
      </c>
      <c r="DH201" s="23">
        <f>EXP(-LN(2)/2)*DH200+(1-EXP(-LN(2)/2))/(LN(2)/2)*DB201*DE201*VLOOKUP('Données projet'!$B$9,Paramètres!$A$1:$I$88,3,0)*0.475*44/12</f>
        <v>0</v>
      </c>
      <c r="DI201" s="24">
        <f t="shared" si="175"/>
        <v>0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IF(A201&lt;'Données projet'!$A$166,$DL$205^A201,IF(A201='Données projet'!$A$166,'Données projet'!$B$166,DO200+DN201-DW200))</f>
        <v>-8.5265128291212022E-14</v>
      </c>
      <c r="DP201" s="18">
        <f>DO201*VLOOKUP('Données projet'!$B$14,Paramètres!$A$1:$I$88,3,0)*VLOOKUP('Données projet'!$B$14,Paramètres!$A$1:$I$88,5,0)</f>
        <v>-4.9880100050359036E-14</v>
      </c>
      <c r="DQ201" s="14" t="e">
        <f t="shared" si="176"/>
        <v>#NUM!</v>
      </c>
      <c r="DR201" s="22" t="e">
        <f t="shared" si="177"/>
        <v>#NUM!</v>
      </c>
      <c r="DS201" s="62" t="e">
        <f t="shared" si="202"/>
        <v>#NUM!</v>
      </c>
      <c r="DT201" s="62">
        <f ca="1">AVERAGE(OFFSET($DS$3,0,0,'Données projet'!$E$14+1,1))-AVERAGE(OFFSET($H$3,0,0,'Données projet'!$E$14+1,1))</f>
        <v>155.18073137151848</v>
      </c>
      <c r="DU201" s="62">
        <f t="shared" si="203"/>
        <v>115.19459155667272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projet'!$B$14,Paramètres!$A$1:$I$88,7,0))</f>
        <v>0</v>
      </c>
      <c r="DY201" s="17">
        <f>IF(ISNA(VLOOKUP(A201,'Données projet'!$A$165:$I$185,6,0)),0%,VLOOKUP(A201,'Données projet'!$A$165:$I$185,6,0)*VLOOKUP('Données projet'!$B$14,Paramètres!$A$1:$I$88,7,0))</f>
        <v>0</v>
      </c>
      <c r="DZ201" s="17">
        <f>IF(ISNA(VLOOKUP(A201,'Données projet'!$A$165:$I$185,7,0)),0%,VLOOKUP(A201,'Données projet'!$A$165:$I$185,7,0))</f>
        <v>0</v>
      </c>
      <c r="EA201" s="23">
        <f>EXP(-LN(2)/35)*EA200+(1-EXP(-LN(2)/35))/(LN(2)/35)*DW201*DX201*VLOOKUP('Données projet'!$B$9,Paramètres!$A$1:$I$88,3,0)*0.475*44/12</f>
        <v>0</v>
      </c>
      <c r="EB201" s="23">
        <f>EXP(-LN(2)/25)*EB200+(1-EXP(-LN(2)/25))/(LN(2)/25)*Calculateur!DW201*Calculateur!DY201*VLOOKUP('Données projet'!$B$9,Paramètres!$A$1:$I$88,3,0)*0.475*44/12</f>
        <v>0</v>
      </c>
      <c r="EC201" s="23">
        <f>EXP(-LN(2)/2)*EC200+(1-EXP(-LN(2)/2))/(LN(2)/2)*DW201*DZ201*VLOOKUP('Données projet'!$B$9,Paramètres!$A$1:$I$88,3,0)*0.475*44/12</f>
        <v>0</v>
      </c>
      <c r="ED201" s="24">
        <f t="shared" si="178"/>
        <v>0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IF(A201&lt;'Données projet'!$A$192,$EG$205^A201,IF(A201='Données projet'!$A$192,'Données projet'!$B$192,EJ200+EI201-ER200))</f>
        <v>-5.6843418860808015E-14</v>
      </c>
      <c r="EK201" s="18">
        <f>EJ201*VLOOKUP('Données projet'!$B$15,Paramètres!$A$1:$I$88,3,0)*VLOOKUP('Données projet'!$B$15,Paramètres!$A$1:$I$88,5,0)</f>
        <v>-2.6602720026858149E-14</v>
      </c>
      <c r="EL201" s="14" t="e">
        <f t="shared" si="179"/>
        <v>#NUM!</v>
      </c>
      <c r="EM201" s="22" t="e">
        <f t="shared" si="180"/>
        <v>#NUM!</v>
      </c>
      <c r="EN201" s="62" t="e">
        <f t="shared" si="204"/>
        <v>#NUM!</v>
      </c>
      <c r="EO201" s="62">
        <f ca="1">AVERAGE(OFFSET($EN$3,0,0,'Données projet'!$E$15+1,1))-AVERAGE(OFFSET($H$3,0,0,'Données projet'!$E$15+1,1))</f>
        <v>238.59014604384171</v>
      </c>
      <c r="EP201" s="62">
        <f t="shared" si="205"/>
        <v>90.841373219575217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projet'!$B$15,Paramètres!$A$1:$I$88,7,0))</f>
        <v>0</v>
      </c>
      <c r="ET201" s="17">
        <f>IF(ISNA(VLOOKUP(A201,'Données projet'!$A$191:$I$211,6,0)),0%,VLOOKUP(A201,'Données projet'!$A$191:$I$211,6,0)*VLOOKUP('Données projet'!$B$15,Paramètres!$A$1:$I$88,7,0))</f>
        <v>0</v>
      </c>
      <c r="EU201" s="17">
        <f>IF(ISNA(VLOOKUP(A201,'Données projet'!$A$191:$I$211,7,0)),0%,VLOOKUP(A201,'Données projet'!$A$191:$I$211,7,0))</f>
        <v>0</v>
      </c>
      <c r="EV201" s="23">
        <f>EXP(-LN(2)/35)*EV200+(1-EXP(-LN(2)/35))/(LN(2)/35)*ER201*ES201*VLOOKUP('Données projet'!$B$9,Paramètres!$A$1:$I$88,3,0)*0.475*44/12</f>
        <v>0</v>
      </c>
      <c r="EW201" s="23">
        <f>EXP(-LN(2)/25)*EW200+(1-EXP(-LN(2)/25))/(LN(2)/25)*Calculateur!ER201*Calculateur!ET201*VLOOKUP('Données projet'!$B$9,Paramètres!$A$1:$I$88,3,0)*0.475*44/12</f>
        <v>0</v>
      </c>
      <c r="EX201" s="23">
        <f>EXP(-LN(2)/2)*EX200+(1-EXP(-LN(2)/2))/(LN(2)/2)*ER201*EU201*VLOOKUP('Données projet'!$B$9,Paramètres!$A$1:$I$88,3,0)*0.475*44/12</f>
        <v>0</v>
      </c>
      <c r="EY201" s="24">
        <f t="shared" si="181"/>
        <v>0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IF(A201&lt;'Données projet'!$A$218,$FB$205^A201,IF(A201='Données projet'!$A$218,'Données projet'!$B$218,FE200+FD201-FM200))</f>
        <v>0</v>
      </c>
      <c r="FF201" s="18" t="e">
        <f>FE201*VLOOKUP('Données projet'!$B$16,Paramètres!$A$1:$I$88,3,0)*VLOOKUP('Données projet'!$B$16,Paramètres!$A$1:$I$88,5,0)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206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07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projet'!$B$16,Paramètres!$A$1:$I$88,7,0))</f>
        <v>0</v>
      </c>
      <c r="FO201" s="17">
        <f>IF(ISNA(VLOOKUP(A201,'Données projet'!$A$217:$I$237,6,0)),0%,VLOOKUP(A201,'Données projet'!$A$217:$I$237,6,0)*VLOOKUP('Données projet'!$B$16,Paramètres!$A$1:$I$88,7,0))</f>
        <v>0</v>
      </c>
      <c r="FP201" s="17">
        <f>IF(ISNA(VLOOKUP(A201,'Données projet'!$A$217:$I$237,7,0)),0%,VLOOKUP(A201,'Données projet'!$A$217:$I$237,7,0))</f>
        <v>0</v>
      </c>
      <c r="FQ201" s="23">
        <f>EXP(-LN(2)/35)*FQ200+(1-EXP(-LN(2)/35))/(LN(2)/35)*FM201*FN201*VLOOKUP('Données projet'!$B$9,Paramètres!$A$1:$I$88,3,0)*0.475*44/12</f>
        <v>0</v>
      </c>
      <c r="FR201" s="23">
        <f>EXP(-LN(2)/25)*FR200+(1-EXP(-LN(2)/25))/(LN(2)/25)*Calculateur!FM201*Calculateur!FO201*VLOOKUP('Données projet'!$B$9,Paramètres!$A$1:$I$88,3,0)*0.475*44/12</f>
        <v>0</v>
      </c>
      <c r="FS201" s="23">
        <f>EXP(-LN(2)/2)*FS200+(1-EXP(-LN(2)/2))/(LN(2)/2)*FM201*FP201*VLOOKUP('Données projet'!$B$9,Paramètres!$A$1:$I$88,3,0)*0.475*44/12</f>
        <v>0</v>
      </c>
      <c r="FT201" s="24">
        <f t="shared" si="184"/>
        <v>0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IF(A201&lt;'Données projet'!$A$244,$FW$205^A201,IF(A201='Données projet'!$A$244,'Données projet'!$B$244,FZ200+FY201-GH200))</f>
        <v>0</v>
      </c>
      <c r="GA201" s="18" t="e">
        <f>FZ201*VLOOKUP('Données projet'!$B$17,Paramètres!$A$1:$I$88,3,0)*VLOOKUP('Données projet'!$B$17,Paramètres!$A$1:$I$88,5,0)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8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09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projet'!$B$17,Paramètres!$A$1:$I$88,7,0))</f>
        <v>0</v>
      </c>
      <c r="GJ201" s="17">
        <f>IF(ISNA(VLOOKUP(A201,'Données projet'!$A$243:$I$263,6,0)),0%,VLOOKUP(A201,'Données projet'!$A$243:$I$263,6,0)*VLOOKUP('Données projet'!$B$17,Paramètres!$A$1:$I$88,7,0))</f>
        <v>0</v>
      </c>
      <c r="GK201" s="17">
        <f>IF(ISNA(VLOOKUP(A201,'Données projet'!$A$243:$I$263,7,0)),0%,VLOOKUP(A201,'Données projet'!$A$243:$I$263,7,0))</f>
        <v>0</v>
      </c>
      <c r="GL201" s="23">
        <f>EXP(-LN(2)/35)*GL200+(1-EXP(-LN(2)/35))/(LN(2)/35)*GH201*GI201*VLOOKUP('Données projet'!$B$9,Paramètres!$A$1:$I$88,3,0)*0.475*44/12</f>
        <v>0</v>
      </c>
      <c r="GM201" s="23">
        <f>EXP(-LN(2)/25)*GM200+(1-EXP(-LN(2)/25))/(LN(2)/25)*Calculateur!GH201*Calculateur!GJ201*VLOOKUP('Données projet'!$B$9,Paramètres!$A$1:$I$88,3,0)*0.475*44/12</f>
        <v>0</v>
      </c>
      <c r="GN201" s="23">
        <f>EXP(-LN(2)/2)*GN200+(1-EXP(-LN(2)/2))/(LN(2)/2)*GH201*GK201*VLOOKUP('Données projet'!$B$9,Paramètres!$A$1:$I$88,3,0)*0.475*44/12</f>
        <v>0</v>
      </c>
      <c r="GO201" s="23">
        <f t="shared" si="187"/>
        <v>0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IF(A201&lt;'Données projet'!$A$270,$GR$205^A201,IF(A201='Données projet'!$A$270,'Données projet'!$B$270,GU200+GT201-HC200))</f>
        <v>0</v>
      </c>
      <c r="GV201" s="18" t="e">
        <f>GU201*VLOOKUP('Données projet'!$B$18,Paramètres!$A$1:$I$88,3,0)*VLOOKUP('Données projet'!$B$18,Paramètres!$A$1:$I$88,5,0)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10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1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projet'!$B$18,Paramètres!$A$1:$I$88,7,0))</f>
        <v>0</v>
      </c>
      <c r="HE201" s="17">
        <f>IF(ISNA(VLOOKUP(A201,'Données projet'!$A$269:$I$289,6,0)),0%,VLOOKUP(A201,'Données projet'!$A$269:$I$289,6,0)*VLOOKUP('Données projet'!$B$18,Paramètres!$A$1:$I$88,7,0))</f>
        <v>0</v>
      </c>
      <c r="HF201" s="17">
        <f>IF(ISNA(VLOOKUP(A201,'Données projet'!$A$269:$I$289,7,0)),0%,VLOOKUP(A201,'Données projet'!$A$269:$I$289,7,0))</f>
        <v>0</v>
      </c>
      <c r="HG201" s="23">
        <f>EXP(-LN(2)/35)*HG200+(1-EXP(-LN(2)/35))/(LN(2)/35)*HC201*HD201*VLOOKUP('Données projet'!$B$9,Paramètres!$A$1:$I$88,3,0)*0.475*44/12</f>
        <v>0</v>
      </c>
      <c r="HH201" s="23">
        <f>EXP(-LN(2)/25)*HH200+(1-EXP(-LN(2)/25))/(LN(2)/25)*Calculateur!HC201*Calculateur!HE201*VLOOKUP('Données projet'!$B$9,Paramètres!$A$1:$I$88,3,0)*0.475*44/12</f>
        <v>0</v>
      </c>
      <c r="HI201" s="23">
        <f>EXP(-LN(2)/2)*HI200+(1-EXP(-LN(2)/2))/(LN(2)/2)*HC201*HF201*VLOOKUP('Données projet'!$B$9,Paramètres!$A$1:$I$88,3,0)*0.475*44/12</f>
        <v>0</v>
      </c>
      <c r="HJ201" s="24">
        <f t="shared" si="190"/>
        <v>0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02" s="12">
        <f t="shared" si="21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193"/>
        <v>135.66666666666666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IF(A202&lt;'Données projet'!$A$36,$K$205^A202,IF(A202='Données projet'!$A$36,'Données projet'!$B$36,N201+M202-V201))</f>
        <v>0</v>
      </c>
      <c r="O202" s="14">
        <f>N202*VLOOKUP('Données projet'!$B$9,Paramètres!$A$1:$I$88,3,0)*VLOOKUP('Données projet'!$B$9,Paramètres!$A$1:$I$88,5,0)</f>
        <v>0</v>
      </c>
      <c r="P202" s="14" t="e">
        <f t="shared" si="21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314.72063458462026</v>
      </c>
      <c r="T202" s="62">
        <f t="shared" si="192"/>
        <v>216.4380325968244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projet'!$B$9,Paramètres!$A$1:$I$88,7,0))</f>
        <v>0</v>
      </c>
      <c r="X202" s="17">
        <f>IF(ISNA(VLOOKUP(A202,'Données projet'!$A$35:$I$55,6,0)),0%,VLOOKUP(A202,'Données projet'!$A$35:$I$55,6,0)*VLOOKUP('Données projet'!$B$9,Paramètres!$A$1:$I$88,7,0))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projet'!$B$9,Paramètres!$A$1:$I$88,3,0)*0.475*44/12</f>
        <v>0</v>
      </c>
      <c r="AA202" s="23">
        <f>EXP(-LN(2)/25)*AA201+(1-EXP(-LN(2)/25))/(LN(2)/25)*Calculateur!V202*Calculateur!X202*VLOOKUP('Données projet'!$B$9,Paramètres!$A$1:$I$88,3,0)*0.475*44/12</f>
        <v>0</v>
      </c>
      <c r="AB202" s="23">
        <f>EXP(-LN(2)/2)*AB201+(1-EXP(-LN(2)/2))/(LN(2)/2)*V202*Y202*VLOOKUP('Données projet'!$B$9,Paramètres!$A$1:$I$88,3,0)*0.475*44/12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IF(A202&lt;'Données projet'!$A$62,$AF$205^A202,IF(A202='Données projet'!$A$62,'Données projet'!$B$62,AI201+AH202-AQ201))</f>
        <v>1.1368683772161603E-13</v>
      </c>
      <c r="AJ202" s="14">
        <f>AI202*VLOOKUP('Données projet'!$B$10,Paramètres!$A$1:$I$88,3,0)*VLOOKUP('Données projet'!$B$10,Paramètres!$A$1:$I$88,5,0)</f>
        <v>1.1882548278663309E-13</v>
      </c>
      <c r="AK202" s="14">
        <f t="shared" si="164"/>
        <v>1.7496137229198366E-12</v>
      </c>
      <c r="AL202" s="22">
        <f t="shared" si="165"/>
        <v>3.2541982832721012E-12</v>
      </c>
      <c r="AM202" s="62">
        <f t="shared" si="194"/>
        <v>289.05155190806084</v>
      </c>
      <c r="AN202" s="62">
        <f ca="1">AVERAGE(OFFSET($AM$3,0,0,'Données projet'!$E$10+1,1))-AVERAGE(OFFSET($H$3,0,0,'Données projet'!$E$10+1,1))</f>
        <v>458.33072853676879</v>
      </c>
      <c r="AO202" s="62">
        <f t="shared" si="195"/>
        <v>254.1734169352687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projet'!$B$10,Paramètres!$A$1:$I$88,7,0))</f>
        <v>0</v>
      </c>
      <c r="AS202" s="17">
        <f>IF(ISNA(VLOOKUP(A202,'Données projet'!$A$61:$I$81,6,0)),0%,VLOOKUP(A202,'Données projet'!$A$61:$I$81,6,0)*VLOOKUP('Données projet'!$B$10,Paramètres!$A$1:$I$88,7,0))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projet'!$B$9,Paramètres!$A$1:$I$88,3,0)*0.475*44/12</f>
        <v>0</v>
      </c>
      <c r="AV202" s="23">
        <f>EXP(-LN(2)/25)*AV201+(1-EXP(-LN(2)/25))/(LN(2)/25)*Calculateur!AQ202*Calculateur!AS202*VLOOKUP('Données projet'!$B$9,Paramètres!$A$1:$I$88,3,0)*0.475*44/12</f>
        <v>0</v>
      </c>
      <c r="AW202" s="23">
        <f>EXP(-LN(2)/2)*AW201+(1-EXP(-LN(2)/2))/(LN(2)/2)*AQ202*AT202*VLOOKUP('Données projet'!$B$9,Paramètres!$A$1:$I$88,3,0)*0.475*44/12</f>
        <v>0</v>
      </c>
      <c r="AX202" s="23">
        <f t="shared" si="166"/>
        <v>0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IF(A202&lt;'Données projet'!$A$88,$BA$205^A202,IF(A202='Données projet'!$A$88,'Données projet'!$B$88,BD201+BC202-BL201))</f>
        <v>1.1368683772161603E-13</v>
      </c>
      <c r="BE202" s="14">
        <f>BD202*VLOOKUP('Données projet'!$B$11,Paramètres!$A$1:$I$88,3,0)*VLOOKUP('Données projet'!$B$11,Paramètres!$A$1:$I$88,5,0)</f>
        <v>1.1527845344971866E-13</v>
      </c>
      <c r="BF202" s="14">
        <f t="shared" si="167"/>
        <v>1.7033846239409443E-12</v>
      </c>
      <c r="BG202" s="22">
        <f t="shared" si="168"/>
        <v>3.1675048597887374E-12</v>
      </c>
      <c r="BH202" s="62">
        <f t="shared" si="196"/>
        <v>289.05155190806079</v>
      </c>
      <c r="BI202" s="62">
        <f ca="1">AVERAGE(OFFSET($BH$3,0,0,'Données projet'!$E$11+1,1))-AVERAGE(OFFSET($H$3,0,0,'Données projet'!$E$11+1,1))</f>
        <v>447.82618173893104</v>
      </c>
      <c r="BJ202" s="62">
        <f t="shared" si="197"/>
        <v>248.96509970783379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projet'!$B$11,Paramètres!$A$1:$I$88,7,0))</f>
        <v>0</v>
      </c>
      <c r="BN202" s="17">
        <f>IF(ISNA(VLOOKUP(A202,'Données projet'!$A$87:$I$107,6,0)),0%,VLOOKUP(A202,'Données projet'!$A$87:$I$107,6,0)*VLOOKUP('Données projet'!$B$11,Paramètres!$A$1:$I$88,7,0))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projet'!$B$9,Paramètres!$A$1:$I$88,3,0)*0.475*44/12</f>
        <v>0</v>
      </c>
      <c r="BQ202" s="23">
        <f>EXP(-LN(2)/25)*BQ201+(1-EXP(-LN(2)/25))/(LN(2)/25)*Calculateur!BL202*Calculateur!BN202*VLOOKUP('Données projet'!$B$9,Paramètres!$A$1:$I$88,3,0)*0.475*44/12</f>
        <v>0</v>
      </c>
      <c r="BR202" s="23">
        <f>EXP(-LN(2)/2)*BR201+(1-EXP(-LN(2)/2))/(LN(2)/2)*BL202*BO202*VLOOKUP('Données projet'!$B$9,Paramètres!$A$1:$I$88,3,0)*0.475*44/12</f>
        <v>0</v>
      </c>
      <c r="BS202" s="24">
        <f t="shared" si="169"/>
        <v>0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IF(A202&lt;'Données projet'!$A$114,$BV$205^A202,IF(A202='Données projet'!$A$114,'Données projet'!$B$114,BY201+BX202-CG201))</f>
        <v>1.1368683772161603E-13</v>
      </c>
      <c r="BZ202" s="14">
        <f>BY202*VLOOKUP('Données projet'!$B$12,Paramètres!$A$1:$I$88,3,0)*VLOOKUP('Données projet'!$B$12,Paramètres!$A$1:$I$88,5,0)</f>
        <v>1.223725121235475E-13</v>
      </c>
      <c r="CA202" s="14">
        <f t="shared" si="170"/>
        <v>1.7956824466038182E-12</v>
      </c>
      <c r="CB202" s="22">
        <f t="shared" si="171"/>
        <v>3.3406123864501612E-12</v>
      </c>
      <c r="CC202" s="62">
        <f t="shared" si="198"/>
        <v>289.05155190806096</v>
      </c>
      <c r="CD202" s="62">
        <f ca="1">AVERAGE(OFFSET($CC$3,0,0,'Données projet'!$E$12+1,1))-AVERAGE(OFFSET($H$3,0,0,'Données projet'!$E$12+1,1))</f>
        <v>468.82871618425406</v>
      </c>
      <c r="CE202" s="62">
        <f t="shared" si="199"/>
        <v>259.37818128554397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projet'!$B$12,Paramètres!$A$1:$I$88,7,0))</f>
        <v>0</v>
      </c>
      <c r="CI202" s="17">
        <f>IF(ISNA(VLOOKUP(A202,'Données projet'!$A$113:$I$133,6,0)),0%,VLOOKUP(A202,'Données projet'!$A$113:$I$133,6,0)*VLOOKUP('Données projet'!$B$12,Paramètres!$A$1:$I$88,7,0))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projet'!$B$9,Paramètres!$A$1:$I$88,3,0)*0.475*44/12</f>
        <v>0</v>
      </c>
      <c r="CL202" s="23">
        <f>EXP(-LN(2)/25)*CL201+(1-EXP(-LN(2)/25))/(LN(2)/25)*Calculateur!CG202*Calculateur!CI202*VLOOKUP('Données projet'!$B$9,Paramètres!$A$1:$I$88,3,0)*0.475*44/12</f>
        <v>0</v>
      </c>
      <c r="CM202" s="23">
        <f>EXP(-LN(2)/2)*CM201+(1-EXP(-LN(2)/2))/(LN(2)/2)*CG202*CJ202*VLOOKUP('Données projet'!$B$9,Paramètres!$A$1:$I$88,3,0)*0.475*44/12</f>
        <v>0</v>
      </c>
      <c r="CN202" s="24">
        <f t="shared" si="172"/>
        <v>0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IF(A202&lt;'Données projet'!$A$140,$CQ$205^A202,IF(A202='Données projet'!$A$140,'Données projet'!$B$140,CT201+CS202-DB201))</f>
        <v>1.1368683772161603E-13</v>
      </c>
      <c r="CU202" s="18">
        <f>CT202*VLOOKUP('Données projet'!$B$13,Paramètres!$A$1:$I$88,3,0)*VLOOKUP('Données projet'!$B$13,Paramètres!$A$1:$I$88,5,0)</f>
        <v>9.7543306765146564E-14</v>
      </c>
      <c r="CV202" s="14">
        <f t="shared" si="173"/>
        <v>1.4696264278629426E-12</v>
      </c>
      <c r="CW202" s="22">
        <f t="shared" si="174"/>
        <v>2.7294872878105889E-12</v>
      </c>
      <c r="CX202" s="62">
        <f t="shared" si="200"/>
        <v>289.05155190806033</v>
      </c>
      <c r="CY202" s="62">
        <f ca="1">AVERAGE(OFFSET($CX$3,0,0,'Données projet'!$E$13+1,1))-AVERAGE(OFFSET($H$3,0,0,'Données projet'!$E$13+1,1))</f>
        <v>395.19659151668884</v>
      </c>
      <c r="CZ202" s="62">
        <f t="shared" si="201"/>
        <v>222.86563304507339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projet'!$B$13,Paramètres!$A$1:$I$88,7,0))</f>
        <v>0</v>
      </c>
      <c r="DD202" s="17">
        <f>IF(ISNA(VLOOKUP(A202,'Données projet'!$A$139:$I$159,6,0)),0%,VLOOKUP(A202,'Données projet'!$A$139:$I$159,6,0)*VLOOKUP('Données projet'!$B$13,Paramètres!$A$1:$I$88,7,0))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projet'!$B$9,Paramètres!$A$1:$I$88,3,0)*0.475*44/12</f>
        <v>0</v>
      </c>
      <c r="DG202" s="23">
        <f>EXP(-LN(2)/25)*DG201+(1-EXP(-LN(2)/25))/(LN(2)/25)*Calculateur!DB202*Calculateur!DD202*VLOOKUP('Données projet'!$B$9,Paramètres!$A$1:$I$88,3,0)*0.475*44/12</f>
        <v>0</v>
      </c>
      <c r="DH202" s="23">
        <f>EXP(-LN(2)/2)*DH201+(1-EXP(-LN(2)/2))/(LN(2)/2)*DB202*DE202*VLOOKUP('Données projet'!$B$9,Paramètres!$A$1:$I$88,3,0)*0.475*44/12</f>
        <v>0</v>
      </c>
      <c r="DI202" s="24">
        <f t="shared" si="175"/>
        <v>0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IF(A202&lt;'Données projet'!$A$166,$DL$205^A202,IF(A202='Données projet'!$A$166,'Données projet'!$B$166,DO201+DN202-DW201))</f>
        <v>-8.5265128291212022E-14</v>
      </c>
      <c r="DP202" s="18">
        <f>DO202*VLOOKUP('Données projet'!$B$14,Paramètres!$A$1:$I$88,3,0)*VLOOKUP('Données projet'!$B$14,Paramètres!$A$1:$I$88,5,0)</f>
        <v>-4.9880100050359036E-14</v>
      </c>
      <c r="DQ202" s="14" t="e">
        <f t="shared" si="176"/>
        <v>#NUM!</v>
      </c>
      <c r="DR202" s="22" t="e">
        <f t="shared" si="177"/>
        <v>#NUM!</v>
      </c>
      <c r="DS202" s="62" t="e">
        <f t="shared" si="202"/>
        <v>#NUM!</v>
      </c>
      <c r="DT202" s="62">
        <f ca="1">AVERAGE(OFFSET($DS$3,0,0,'Données projet'!$E$14+1,1))-AVERAGE(OFFSET($H$3,0,0,'Données projet'!$E$14+1,1))</f>
        <v>155.18073137151848</v>
      </c>
      <c r="DU202" s="62">
        <f t="shared" si="203"/>
        <v>115.19459155667272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projet'!$B$14,Paramètres!$A$1:$I$88,7,0))</f>
        <v>0</v>
      </c>
      <c r="DY202" s="17">
        <f>IF(ISNA(VLOOKUP(A202,'Données projet'!$A$165:$I$185,6,0)),0%,VLOOKUP(A202,'Données projet'!$A$165:$I$185,6,0)*VLOOKUP('Données projet'!$B$14,Paramètres!$A$1:$I$88,7,0))</f>
        <v>0</v>
      </c>
      <c r="DZ202" s="17">
        <f>IF(ISNA(VLOOKUP(A202,'Données projet'!$A$165:$I$185,7,0)),0%,VLOOKUP(A202,'Données projet'!$A$165:$I$185,7,0))</f>
        <v>0</v>
      </c>
      <c r="EA202" s="23">
        <f>EXP(-LN(2)/35)*EA201+(1-EXP(-LN(2)/35))/(LN(2)/35)*DW202*DX202*VLOOKUP('Données projet'!$B$9,Paramètres!$A$1:$I$88,3,0)*0.475*44/12</f>
        <v>0</v>
      </c>
      <c r="EB202" s="23">
        <f>EXP(-LN(2)/25)*EB201+(1-EXP(-LN(2)/25))/(LN(2)/25)*Calculateur!DW202*Calculateur!DY202*VLOOKUP('Données projet'!$B$9,Paramètres!$A$1:$I$88,3,0)*0.475*44/12</f>
        <v>0</v>
      </c>
      <c r="EC202" s="23">
        <f>EXP(-LN(2)/2)*EC201+(1-EXP(-LN(2)/2))/(LN(2)/2)*DW202*DZ202*VLOOKUP('Données projet'!$B$9,Paramètres!$A$1:$I$88,3,0)*0.475*44/12</f>
        <v>0</v>
      </c>
      <c r="ED202" s="24">
        <f t="shared" si="178"/>
        <v>0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IF(A202&lt;'Données projet'!$A$192,$EG$205^A202,IF(A202='Données projet'!$A$192,'Données projet'!$B$192,EJ201+EI202-ER201))</f>
        <v>-5.6843418860808015E-14</v>
      </c>
      <c r="EK202" s="18">
        <f>EJ202*VLOOKUP('Données projet'!$B$15,Paramètres!$A$1:$I$88,3,0)*VLOOKUP('Données projet'!$B$15,Paramètres!$A$1:$I$88,5,0)</f>
        <v>-2.6602720026858149E-14</v>
      </c>
      <c r="EL202" s="14" t="e">
        <f t="shared" si="179"/>
        <v>#NUM!</v>
      </c>
      <c r="EM202" s="22" t="e">
        <f t="shared" si="180"/>
        <v>#NUM!</v>
      </c>
      <c r="EN202" s="62" t="e">
        <f t="shared" si="204"/>
        <v>#NUM!</v>
      </c>
      <c r="EO202" s="62">
        <f ca="1">AVERAGE(OFFSET($EN$3,0,0,'Données projet'!$E$15+1,1))-AVERAGE(OFFSET($H$3,0,0,'Données projet'!$E$15+1,1))</f>
        <v>238.59014604384171</v>
      </c>
      <c r="EP202" s="62">
        <f t="shared" si="205"/>
        <v>90.841373219575217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projet'!$B$15,Paramètres!$A$1:$I$88,7,0))</f>
        <v>0</v>
      </c>
      <c r="ET202" s="17">
        <f>IF(ISNA(VLOOKUP(A202,'Données projet'!$A$191:$I$211,6,0)),0%,VLOOKUP(A202,'Données projet'!$A$191:$I$211,6,0)*VLOOKUP('Données projet'!$B$15,Paramètres!$A$1:$I$88,7,0))</f>
        <v>0</v>
      </c>
      <c r="EU202" s="17">
        <f>IF(ISNA(VLOOKUP(A202,'Données projet'!$A$191:$I$211,7,0)),0%,VLOOKUP(A202,'Données projet'!$A$191:$I$211,7,0))</f>
        <v>0</v>
      </c>
      <c r="EV202" s="23">
        <f>EXP(-LN(2)/35)*EV201+(1-EXP(-LN(2)/35))/(LN(2)/35)*ER202*ES202*VLOOKUP('Données projet'!$B$9,Paramètres!$A$1:$I$88,3,0)*0.475*44/12</f>
        <v>0</v>
      </c>
      <c r="EW202" s="23">
        <f>EXP(-LN(2)/25)*EW201+(1-EXP(-LN(2)/25))/(LN(2)/25)*Calculateur!ER202*Calculateur!ET202*VLOOKUP('Données projet'!$B$9,Paramètres!$A$1:$I$88,3,0)*0.475*44/12</f>
        <v>0</v>
      </c>
      <c r="EX202" s="23">
        <f>EXP(-LN(2)/2)*EX201+(1-EXP(-LN(2)/2))/(LN(2)/2)*ER202*EU202*VLOOKUP('Données projet'!$B$9,Paramètres!$A$1:$I$88,3,0)*0.475*44/12</f>
        <v>0</v>
      </c>
      <c r="EY202" s="24">
        <f t="shared" si="181"/>
        <v>0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IF(A202&lt;'Données projet'!$A$218,$FB$205^A202,IF(A202='Données projet'!$A$218,'Données projet'!$B$218,FE201+FD202-FM201))</f>
        <v>0</v>
      </c>
      <c r="FF202" s="18" t="e">
        <f>FE202*VLOOKUP('Données projet'!$B$16,Paramètres!$A$1:$I$88,3,0)*VLOOKUP('Données projet'!$B$16,Paramètres!$A$1:$I$88,5,0)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206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07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projet'!$B$16,Paramètres!$A$1:$I$88,7,0))</f>
        <v>0</v>
      </c>
      <c r="FO202" s="17">
        <f>IF(ISNA(VLOOKUP(A202,'Données projet'!$A$217:$I$237,6,0)),0%,VLOOKUP(A202,'Données projet'!$A$217:$I$237,6,0)*VLOOKUP('Données projet'!$B$16,Paramètres!$A$1:$I$88,7,0))</f>
        <v>0</v>
      </c>
      <c r="FP202" s="17">
        <f>IF(ISNA(VLOOKUP(A202,'Données projet'!$A$217:$I$237,7,0)),0%,VLOOKUP(A202,'Données projet'!$A$217:$I$237,7,0))</f>
        <v>0</v>
      </c>
      <c r="FQ202" s="23">
        <f>EXP(-LN(2)/35)*FQ201+(1-EXP(-LN(2)/35))/(LN(2)/35)*FM202*FN202*VLOOKUP('Données projet'!$B$9,Paramètres!$A$1:$I$88,3,0)*0.475*44/12</f>
        <v>0</v>
      </c>
      <c r="FR202" s="23">
        <f>EXP(-LN(2)/25)*FR201+(1-EXP(-LN(2)/25))/(LN(2)/25)*Calculateur!FM202*Calculateur!FO202*VLOOKUP('Données projet'!$B$9,Paramètres!$A$1:$I$88,3,0)*0.475*44/12</f>
        <v>0</v>
      </c>
      <c r="FS202" s="23">
        <f>EXP(-LN(2)/2)*FS201+(1-EXP(-LN(2)/2))/(LN(2)/2)*FM202*FP202*VLOOKUP('Données projet'!$B$9,Paramètres!$A$1:$I$88,3,0)*0.475*44/12</f>
        <v>0</v>
      </c>
      <c r="FT202" s="24">
        <f t="shared" si="184"/>
        <v>0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IF(A202&lt;'Données projet'!$A$244,$FW$205^A202,IF(A202='Données projet'!$A$244,'Données projet'!$B$244,FZ201+FY202-GH201))</f>
        <v>0</v>
      </c>
      <c r="GA202" s="18" t="e">
        <f>FZ202*VLOOKUP('Données projet'!$B$17,Paramètres!$A$1:$I$88,3,0)*VLOOKUP('Données projet'!$B$17,Paramètres!$A$1:$I$88,5,0)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8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09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projet'!$B$17,Paramètres!$A$1:$I$88,7,0))</f>
        <v>0</v>
      </c>
      <c r="GJ202" s="17">
        <f>IF(ISNA(VLOOKUP(A202,'Données projet'!$A$243:$I$263,6,0)),0%,VLOOKUP(A202,'Données projet'!$A$243:$I$263,6,0)*VLOOKUP('Données projet'!$B$17,Paramètres!$A$1:$I$88,7,0))</f>
        <v>0</v>
      </c>
      <c r="GK202" s="17">
        <f>IF(ISNA(VLOOKUP(A202,'Données projet'!$A$243:$I$263,7,0)),0%,VLOOKUP(A202,'Données projet'!$A$243:$I$263,7,0))</f>
        <v>0</v>
      </c>
      <c r="GL202" s="23">
        <f>EXP(-LN(2)/35)*GL201+(1-EXP(-LN(2)/35))/(LN(2)/35)*GH202*GI202*VLOOKUP('Données projet'!$B$9,Paramètres!$A$1:$I$88,3,0)*0.475*44/12</f>
        <v>0</v>
      </c>
      <c r="GM202" s="23">
        <f>EXP(-LN(2)/25)*GM201+(1-EXP(-LN(2)/25))/(LN(2)/25)*Calculateur!GH202*Calculateur!GJ202*VLOOKUP('Données projet'!$B$9,Paramètres!$A$1:$I$88,3,0)*0.475*44/12</f>
        <v>0</v>
      </c>
      <c r="GN202" s="23">
        <f>EXP(-LN(2)/2)*GN201+(1-EXP(-LN(2)/2))/(LN(2)/2)*GH202*GK202*VLOOKUP('Données projet'!$B$9,Paramètres!$A$1:$I$88,3,0)*0.475*44/12</f>
        <v>0</v>
      </c>
      <c r="GO202" s="23">
        <f t="shared" si="187"/>
        <v>0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IF(A202&lt;'Données projet'!$A$270,$GR$205^A202,IF(A202='Données projet'!$A$270,'Données projet'!$B$270,GU201+GT202-HC201))</f>
        <v>0</v>
      </c>
      <c r="GV202" s="18" t="e">
        <f>GU202*VLOOKUP('Données projet'!$B$18,Paramètres!$A$1:$I$88,3,0)*VLOOKUP('Données projet'!$B$18,Paramètres!$A$1:$I$88,5,0)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10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1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projet'!$B$18,Paramètres!$A$1:$I$88,7,0))</f>
        <v>0</v>
      </c>
      <c r="HE202" s="17">
        <f>IF(ISNA(VLOOKUP(A202,'Données projet'!$A$269:$I$289,6,0)),0%,VLOOKUP(A202,'Données projet'!$A$269:$I$289,6,0)*VLOOKUP('Données projet'!$B$18,Paramètres!$A$1:$I$88,7,0))</f>
        <v>0</v>
      </c>
      <c r="HF202" s="17">
        <f>IF(ISNA(VLOOKUP(A202,'Données projet'!$A$269:$I$289,7,0)),0%,VLOOKUP(A202,'Données projet'!$A$269:$I$289,7,0))</f>
        <v>0</v>
      </c>
      <c r="HG202" s="23">
        <f>EXP(-LN(2)/35)*HG201+(1-EXP(-LN(2)/35))/(LN(2)/35)*HC202*HD202*VLOOKUP('Données projet'!$B$9,Paramètres!$A$1:$I$88,3,0)*0.475*44/12</f>
        <v>0</v>
      </c>
      <c r="HH202" s="23">
        <f>EXP(-LN(2)/25)*HH201+(1-EXP(-LN(2)/25))/(LN(2)/25)*Calculateur!HC202*Calculateur!HE202*VLOOKUP('Données projet'!$B$9,Paramètres!$A$1:$I$88,3,0)*0.475*44/12</f>
        <v>0</v>
      </c>
      <c r="HI202" s="23">
        <f>EXP(-LN(2)/2)*HI201+(1-EXP(-LN(2)/2))/(LN(2)/2)*HC202*HF202*VLOOKUP('Données projet'!$B$9,Paramètres!$A$1:$I$88,3,0)*0.475*44/12</f>
        <v>0</v>
      </c>
      <c r="HJ202" s="24">
        <f t="shared" si="190"/>
        <v>0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référence'!$G$15,Paramètres!$A$1:$I$88,3,0)*VLOOKUP('Scénario référence'!$G$15,Paramètres!$A$1:$I$88,5,0)+'Scénario référence'!$F$8*VLOOKUP('Scénario référence'!$G$15,Paramètres!$A$1:$I$88,3,0)*VLOOKUP('Scénario référence'!$G$15,Paramètres!$A$1:$I$88,5,0)+'Scénario référence'!$B$10*0.5*VLOOKUP('Scénario référence'!$G$15,Paramètres!$A$1:$I$88,3,0)*VLOOKUP('Scénario référence'!$G$15,Paramètres!$A$1:$I$88,5,0)+'Scénario référence'!$F$9*0.5*VLOOKUP('Scénario référence'!$G$15,Paramètres!$A$1:$I$88,3,0)*VLOOKUP('Scénario référence'!$G$15,Paramètres!$A$1:$I$88,5,0)</f>
        <v>0</v>
      </c>
      <c r="D203" s="12">
        <f t="shared" si="21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193"/>
        <v>135.66666666666666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IF(A203&lt;'Données projet'!$A$36,$K$205^A203,IF(A203='Données projet'!$A$36,'Données projet'!$B$36,N202+M203-V202))</f>
        <v>0</v>
      </c>
      <c r="O203" s="14">
        <f>N203*VLOOKUP('Données projet'!$B$9,Paramètres!$A$1:$I$88,3,0)*VLOOKUP('Données projet'!$B$9,Paramètres!$A$1:$I$88,5,0)</f>
        <v>0</v>
      </c>
      <c r="P203" s="14" t="e">
        <f t="shared" si="21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314.72063458462026</v>
      </c>
      <c r="T203" s="62">
        <f t="shared" si="192"/>
        <v>216.4380325968244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projet'!$B$9,Paramètres!$A$1:$I$88,7,0))</f>
        <v>0</v>
      </c>
      <c r="X203" s="17">
        <f>IF(ISNA(VLOOKUP(A203,'Données projet'!$A$35:$I$55,6,0)),0%,VLOOKUP(A203,'Données projet'!$A$35:$I$55,6,0)*VLOOKUP('Données projet'!$B$9,Paramètres!$A$1:$I$88,7,0))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projet'!$B$9,Paramètres!$A$1:$I$88,3,0)*0.475*44/12</f>
        <v>0</v>
      </c>
      <c r="AA203" s="23">
        <f>EXP(-LN(2)/25)*AA202+(1-EXP(-LN(2)/25))/(LN(2)/25)*Calculateur!V203*Calculateur!X203*VLOOKUP('Données projet'!$B$9,Paramètres!$A$1:$I$88,3,0)*0.475*44/12</f>
        <v>0</v>
      </c>
      <c r="AB203" s="23">
        <f>EXP(-LN(2)/2)*AB202+(1-EXP(-LN(2)/2))/(LN(2)/2)*V203*Y203*VLOOKUP('Données projet'!$B$9,Paramètres!$A$1:$I$88,3,0)*0.475*44/12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IF(A203&lt;'Données projet'!$A$62,$AF$205^A203,IF(A203='Données projet'!$A$62,'Données projet'!$B$62,AI202+AH203-AQ202))</f>
        <v>1.1368683772161603E-13</v>
      </c>
      <c r="AJ203" s="14">
        <f>AI203*VLOOKUP('Données projet'!$B$10,Paramètres!$A$1:$I$88,3,0)*VLOOKUP('Données projet'!$B$10,Paramètres!$A$1:$I$88,5,0)</f>
        <v>1.1882548278663309E-13</v>
      </c>
      <c r="AK203" s="14">
        <f t="shared" si="164"/>
        <v>1.7496137229198366E-12</v>
      </c>
      <c r="AL203" s="22">
        <f t="shared" si="165"/>
        <v>3.2541982832721012E-12</v>
      </c>
      <c r="AM203" s="62">
        <f t="shared" si="194"/>
        <v>289.12583124316023</v>
      </c>
      <c r="AN203" s="62">
        <f ca="1">AVERAGE(OFFSET($AM$3,0,0,'Données projet'!$E$10+1,1))-AVERAGE(OFFSET($H$3,0,0,'Données projet'!$E$10+1,1))</f>
        <v>458.33072853676879</v>
      </c>
      <c r="AO203" s="62">
        <f t="shared" si="195"/>
        <v>254.1734169352687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projet'!$B$10,Paramètres!$A$1:$I$88,7,0))</f>
        <v>0</v>
      </c>
      <c r="AS203" s="17">
        <f>IF(ISNA(VLOOKUP(A203,'Données projet'!$A$61:$I$81,6,0)),0%,VLOOKUP(A203,'Données projet'!$A$61:$I$81,6,0)*VLOOKUP('Données projet'!$B$10,Paramètres!$A$1:$I$88,7,0))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projet'!$B$9,Paramètres!$A$1:$I$88,3,0)*0.475*44/12</f>
        <v>0</v>
      </c>
      <c r="AV203" s="23">
        <f>EXP(-LN(2)/25)*AV202+(1-EXP(-LN(2)/25))/(LN(2)/25)*Calculateur!AQ203*Calculateur!AS203*VLOOKUP('Données projet'!$B$9,Paramètres!$A$1:$I$88,3,0)*0.475*44/12</f>
        <v>0</v>
      </c>
      <c r="AW203" s="23">
        <f>EXP(-LN(2)/2)*AW202+(1-EXP(-LN(2)/2))/(LN(2)/2)*AQ203*AT203*VLOOKUP('Données projet'!$B$9,Paramètres!$A$1:$I$88,3,0)*0.475*44/12</f>
        <v>0</v>
      </c>
      <c r="AX203" s="23">
        <f t="shared" si="166"/>
        <v>0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IF(A203&lt;'Données projet'!$A$88,$BA$205^A203,IF(A203='Données projet'!$A$88,'Données projet'!$B$88,BD202+BC203-BL202))</f>
        <v>1.1368683772161603E-13</v>
      </c>
      <c r="BE203" s="14">
        <f>BD203*VLOOKUP('Données projet'!$B$11,Paramètres!$A$1:$I$88,3,0)*VLOOKUP('Données projet'!$B$11,Paramètres!$A$1:$I$88,5,0)</f>
        <v>1.1527845344971866E-13</v>
      </c>
      <c r="BF203" s="14">
        <f t="shared" si="167"/>
        <v>1.7033846239409443E-12</v>
      </c>
      <c r="BG203" s="22">
        <f t="shared" si="168"/>
        <v>3.1675048597887374E-12</v>
      </c>
      <c r="BH203" s="62">
        <f t="shared" si="196"/>
        <v>289.12583124316018</v>
      </c>
      <c r="BI203" s="62">
        <f ca="1">AVERAGE(OFFSET($BH$3,0,0,'Données projet'!$E$11+1,1))-AVERAGE(OFFSET($H$3,0,0,'Données projet'!$E$11+1,1))</f>
        <v>447.82618173893104</v>
      </c>
      <c r="BJ203" s="62">
        <f t="shared" si="197"/>
        <v>248.96509970783379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projet'!$B$11,Paramètres!$A$1:$I$88,7,0))</f>
        <v>0</v>
      </c>
      <c r="BN203" s="17">
        <f>IF(ISNA(VLOOKUP(A203,'Données projet'!$A$87:$I$107,6,0)),0%,VLOOKUP(A203,'Données projet'!$A$87:$I$107,6,0)*VLOOKUP('Données projet'!$B$11,Paramètres!$A$1:$I$88,7,0))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projet'!$B$9,Paramètres!$A$1:$I$88,3,0)*0.475*44/12</f>
        <v>0</v>
      </c>
      <c r="BQ203" s="23">
        <f>EXP(-LN(2)/25)*BQ202+(1-EXP(-LN(2)/25))/(LN(2)/25)*Calculateur!BL203*Calculateur!BN203*VLOOKUP('Données projet'!$B$9,Paramètres!$A$1:$I$88,3,0)*0.475*44/12</f>
        <v>0</v>
      </c>
      <c r="BR203" s="23">
        <f>EXP(-LN(2)/2)*BR202+(1-EXP(-LN(2)/2))/(LN(2)/2)*BL203*BO203*VLOOKUP('Données projet'!$B$9,Paramètres!$A$1:$I$88,3,0)*0.475*44/12</f>
        <v>0</v>
      </c>
      <c r="BS203" s="24">
        <f t="shared" si="169"/>
        <v>0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IF(A203&lt;'Données projet'!$A$114,$BV$205^A203,IF(A203='Données projet'!$A$114,'Données projet'!$B$114,BY202+BX203-CG202))</f>
        <v>1.1368683772161603E-13</v>
      </c>
      <c r="BZ203" s="14">
        <f>BY203*VLOOKUP('Données projet'!$B$12,Paramètres!$A$1:$I$88,3,0)*VLOOKUP('Données projet'!$B$12,Paramètres!$A$1:$I$88,5,0)</f>
        <v>1.223725121235475E-13</v>
      </c>
      <c r="CA203" s="14">
        <f t="shared" si="170"/>
        <v>1.7956824466038182E-12</v>
      </c>
      <c r="CB203" s="22">
        <f t="shared" si="171"/>
        <v>3.3406123864501612E-12</v>
      </c>
      <c r="CC203" s="62">
        <f t="shared" si="198"/>
        <v>289.12583124316035</v>
      </c>
      <c r="CD203" s="62">
        <f ca="1">AVERAGE(OFFSET($CC$3,0,0,'Données projet'!$E$12+1,1))-AVERAGE(OFFSET($H$3,0,0,'Données projet'!$E$12+1,1))</f>
        <v>468.82871618425406</v>
      </c>
      <c r="CE203" s="62">
        <f t="shared" si="199"/>
        <v>259.37818128554397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projet'!$B$12,Paramètres!$A$1:$I$88,7,0))</f>
        <v>0</v>
      </c>
      <c r="CI203" s="17">
        <f>IF(ISNA(VLOOKUP(A203,'Données projet'!$A$113:$I$133,6,0)),0%,VLOOKUP(A203,'Données projet'!$A$113:$I$133,6,0)*VLOOKUP('Données projet'!$B$12,Paramètres!$A$1:$I$88,7,0))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projet'!$B$9,Paramètres!$A$1:$I$88,3,0)*0.475*44/12</f>
        <v>0</v>
      </c>
      <c r="CL203" s="23">
        <f>EXP(-LN(2)/25)*CL202+(1-EXP(-LN(2)/25))/(LN(2)/25)*Calculateur!CG203*Calculateur!CI203*VLOOKUP('Données projet'!$B$9,Paramètres!$A$1:$I$88,3,0)*0.475*44/12</f>
        <v>0</v>
      </c>
      <c r="CM203" s="23">
        <f>EXP(-LN(2)/2)*CM202+(1-EXP(-LN(2)/2))/(LN(2)/2)*CG203*CJ203*VLOOKUP('Données projet'!$B$9,Paramètres!$A$1:$I$88,3,0)*0.475*44/12</f>
        <v>0</v>
      </c>
      <c r="CN203" s="24">
        <f t="shared" si="172"/>
        <v>0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IF(A203&lt;'Données projet'!$A$140,$CQ$205^A203,IF(A203='Données projet'!$A$140,'Données projet'!$B$140,CT202+CS203-DB202))</f>
        <v>1.1368683772161603E-13</v>
      </c>
      <c r="CU203" s="18">
        <f>CT203*VLOOKUP('Données projet'!$B$13,Paramètres!$A$1:$I$88,3,0)*VLOOKUP('Données projet'!$B$13,Paramètres!$A$1:$I$88,5,0)</f>
        <v>9.7543306765146564E-14</v>
      </c>
      <c r="CV203" s="14">
        <f t="shared" si="173"/>
        <v>1.4696264278629426E-12</v>
      </c>
      <c r="CW203" s="22">
        <f t="shared" si="174"/>
        <v>2.7294872878105889E-12</v>
      </c>
      <c r="CX203" s="62">
        <f t="shared" si="200"/>
        <v>289.12583124315972</v>
      </c>
      <c r="CY203" s="62">
        <f ca="1">AVERAGE(OFFSET($CX$3,0,0,'Données projet'!$E$13+1,1))-AVERAGE(OFFSET($H$3,0,0,'Données projet'!$E$13+1,1))</f>
        <v>395.19659151668884</v>
      </c>
      <c r="CZ203" s="62">
        <f t="shared" si="201"/>
        <v>222.86563304507339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projet'!$B$13,Paramètres!$A$1:$I$88,7,0))</f>
        <v>0</v>
      </c>
      <c r="DD203" s="17">
        <f>IF(ISNA(VLOOKUP(A203,'Données projet'!$A$139:$I$159,6,0)),0%,VLOOKUP(A203,'Données projet'!$A$139:$I$159,6,0)*VLOOKUP('Données projet'!$B$13,Paramètres!$A$1:$I$88,7,0))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projet'!$B$9,Paramètres!$A$1:$I$88,3,0)*0.475*44/12</f>
        <v>0</v>
      </c>
      <c r="DG203" s="23">
        <f>EXP(-LN(2)/25)*DG202+(1-EXP(-LN(2)/25))/(LN(2)/25)*Calculateur!DB203*Calculateur!DD203*VLOOKUP('Données projet'!$B$9,Paramètres!$A$1:$I$88,3,0)*0.475*44/12</f>
        <v>0</v>
      </c>
      <c r="DH203" s="23">
        <f>EXP(-LN(2)/2)*DH202+(1-EXP(-LN(2)/2))/(LN(2)/2)*DB203*DE203*VLOOKUP('Données projet'!$B$9,Paramètres!$A$1:$I$88,3,0)*0.475*44/12</f>
        <v>0</v>
      </c>
      <c r="DI203" s="24">
        <f t="shared" si="175"/>
        <v>0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IF(A203&lt;'Données projet'!$A$166,$DL$205^A203,IF(A203='Données projet'!$A$166,'Données projet'!$B$166,DO202+DN203-DW202))</f>
        <v>-8.5265128291212022E-14</v>
      </c>
      <c r="DP203" s="18">
        <f>DO203*VLOOKUP('Données projet'!$B$14,Paramètres!$A$1:$I$88,3,0)*VLOOKUP('Données projet'!$B$14,Paramètres!$A$1:$I$88,5,0)</f>
        <v>-4.9880100050359036E-14</v>
      </c>
      <c r="DQ203" s="14" t="e">
        <f t="shared" si="176"/>
        <v>#NUM!</v>
      </c>
      <c r="DR203" s="22" t="e">
        <f t="shared" si="177"/>
        <v>#NUM!</v>
      </c>
      <c r="DS203" s="62" t="e">
        <f t="shared" si="202"/>
        <v>#NUM!</v>
      </c>
      <c r="DT203" s="62">
        <f ca="1">AVERAGE(OFFSET($DS$3,0,0,'Données projet'!$E$14+1,1))-AVERAGE(OFFSET($H$3,0,0,'Données projet'!$E$14+1,1))</f>
        <v>155.18073137151848</v>
      </c>
      <c r="DU203" s="62">
        <f t="shared" si="203"/>
        <v>115.19459155667272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projet'!$B$14,Paramètres!$A$1:$I$88,7,0))</f>
        <v>0</v>
      </c>
      <c r="DY203" s="17">
        <f>IF(ISNA(VLOOKUP(A203,'Données projet'!$A$165:$I$185,6,0)),0%,VLOOKUP(A203,'Données projet'!$A$165:$I$185,6,0)*VLOOKUP('Données projet'!$B$14,Paramètres!$A$1:$I$88,7,0))</f>
        <v>0</v>
      </c>
      <c r="DZ203" s="17">
        <f>IF(ISNA(VLOOKUP(A203,'Données projet'!$A$165:$I$185,7,0)),0%,VLOOKUP(A203,'Données projet'!$A$165:$I$185,7,0))</f>
        <v>0</v>
      </c>
      <c r="EA203" s="23">
        <f>EXP(-LN(2)/35)*EA202+(1-EXP(-LN(2)/35))/(LN(2)/35)*DW203*DX203*VLOOKUP('Données projet'!$B$9,Paramètres!$A$1:$I$88,3,0)*0.475*44/12</f>
        <v>0</v>
      </c>
      <c r="EB203" s="23">
        <f>EXP(-LN(2)/25)*EB202+(1-EXP(-LN(2)/25))/(LN(2)/25)*Calculateur!DW203*Calculateur!DY203*VLOOKUP('Données projet'!$B$9,Paramètres!$A$1:$I$88,3,0)*0.475*44/12</f>
        <v>0</v>
      </c>
      <c r="EC203" s="23">
        <f>EXP(-LN(2)/2)*EC202+(1-EXP(-LN(2)/2))/(LN(2)/2)*DW203*DZ203*VLOOKUP('Données projet'!$B$9,Paramètres!$A$1:$I$88,3,0)*0.475*44/12</f>
        <v>0</v>
      </c>
      <c r="ED203" s="24">
        <f t="shared" si="178"/>
        <v>0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IF(A203&lt;'Données projet'!$A$192,$EG$205^A203,IF(A203='Données projet'!$A$192,'Données projet'!$B$192,EJ202+EI203-ER202))</f>
        <v>-5.6843418860808015E-14</v>
      </c>
      <c r="EK203" s="18">
        <f>EJ203*VLOOKUP('Données projet'!$B$15,Paramètres!$A$1:$I$88,3,0)*VLOOKUP('Données projet'!$B$15,Paramètres!$A$1:$I$88,5,0)</f>
        <v>-2.6602720026858149E-14</v>
      </c>
      <c r="EL203" s="14" t="e">
        <f t="shared" si="179"/>
        <v>#NUM!</v>
      </c>
      <c r="EM203" s="22" t="e">
        <f t="shared" si="180"/>
        <v>#NUM!</v>
      </c>
      <c r="EN203" s="62" t="e">
        <f t="shared" si="204"/>
        <v>#NUM!</v>
      </c>
      <c r="EO203" s="62">
        <f ca="1">AVERAGE(OFFSET($EN$3,0,0,'Données projet'!$E$15+1,1))-AVERAGE(OFFSET($H$3,0,0,'Données projet'!$E$15+1,1))</f>
        <v>238.59014604384171</v>
      </c>
      <c r="EP203" s="62">
        <f t="shared" si="205"/>
        <v>90.841373219575217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projet'!$B$15,Paramètres!$A$1:$I$88,7,0))</f>
        <v>0</v>
      </c>
      <c r="ET203" s="17">
        <f>IF(ISNA(VLOOKUP(A203,'Données projet'!$A$191:$I$211,6,0)),0%,VLOOKUP(A203,'Données projet'!$A$191:$I$211,6,0)*VLOOKUP('Données projet'!$B$15,Paramètres!$A$1:$I$88,7,0))</f>
        <v>0</v>
      </c>
      <c r="EU203" s="17">
        <f>IF(ISNA(VLOOKUP(A203,'Données projet'!$A$191:$I$211,7,0)),0%,VLOOKUP(A203,'Données projet'!$A$191:$I$211,7,0))</f>
        <v>0</v>
      </c>
      <c r="EV203" s="23">
        <f>EXP(-LN(2)/35)*EV202+(1-EXP(-LN(2)/35))/(LN(2)/35)*ER203*ES203*VLOOKUP('Données projet'!$B$9,Paramètres!$A$1:$I$88,3,0)*0.475*44/12</f>
        <v>0</v>
      </c>
      <c r="EW203" s="23">
        <f>EXP(-LN(2)/25)*EW202+(1-EXP(-LN(2)/25))/(LN(2)/25)*Calculateur!ER203*Calculateur!ET203*VLOOKUP('Données projet'!$B$9,Paramètres!$A$1:$I$88,3,0)*0.475*44/12</f>
        <v>0</v>
      </c>
      <c r="EX203" s="23">
        <f>EXP(-LN(2)/2)*EX202+(1-EXP(-LN(2)/2))/(LN(2)/2)*ER203*EU203*VLOOKUP('Données projet'!$B$9,Paramètres!$A$1:$I$88,3,0)*0.475*44/12</f>
        <v>0</v>
      </c>
      <c r="EY203" s="24">
        <f t="shared" si="181"/>
        <v>0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IF(A203&lt;'Données projet'!$A$218,$FB$205^A203,IF(A203='Données projet'!$A$218,'Données projet'!$B$218,FE202+FD203-FM202))</f>
        <v>0</v>
      </c>
      <c r="FF203" s="18" t="e">
        <f>FE203*VLOOKUP('Données projet'!$B$16,Paramètres!$A$1:$I$88,3,0)*VLOOKUP('Données projet'!$B$16,Paramètres!$A$1:$I$88,5,0)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206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07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projet'!$B$16,Paramètres!$A$1:$I$88,7,0))</f>
        <v>0</v>
      </c>
      <c r="FO203" s="17">
        <f>IF(ISNA(VLOOKUP(A203,'Données projet'!$A$217:$I$237,6,0)),0%,VLOOKUP(A203,'Données projet'!$A$217:$I$237,6,0)*VLOOKUP('Données projet'!$B$16,Paramètres!$A$1:$I$88,7,0))</f>
        <v>0</v>
      </c>
      <c r="FP203" s="17">
        <f>IF(ISNA(VLOOKUP(A203,'Données projet'!$A$217:$I$237,7,0)),0%,VLOOKUP(A203,'Données projet'!$A$217:$I$237,7,0))</f>
        <v>0</v>
      </c>
      <c r="FQ203" s="23">
        <f>EXP(-LN(2)/35)*FQ202+(1-EXP(-LN(2)/35))/(LN(2)/35)*FM203*FN203*VLOOKUP('Données projet'!$B$9,Paramètres!$A$1:$I$88,3,0)*0.475*44/12</f>
        <v>0</v>
      </c>
      <c r="FR203" s="23">
        <f>EXP(-LN(2)/25)*FR202+(1-EXP(-LN(2)/25))/(LN(2)/25)*Calculateur!FM203*Calculateur!FO203*VLOOKUP('Données projet'!$B$9,Paramètres!$A$1:$I$88,3,0)*0.475*44/12</f>
        <v>0</v>
      </c>
      <c r="FS203" s="23">
        <f>EXP(-LN(2)/2)*FS202+(1-EXP(-LN(2)/2))/(LN(2)/2)*FM203*FP203*VLOOKUP('Données projet'!$B$9,Paramètres!$A$1:$I$88,3,0)*0.475*44/12</f>
        <v>0</v>
      </c>
      <c r="FT203" s="24">
        <f t="shared" si="184"/>
        <v>0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IF(A203&lt;'Données projet'!$A$244,$FW$205^A203,IF(A203='Données projet'!$A$244,'Données projet'!$B$244,FZ202+FY203-GH202))</f>
        <v>0</v>
      </c>
      <c r="GA203" s="18" t="e">
        <f>FZ203*VLOOKUP('Données projet'!$B$17,Paramètres!$A$1:$I$88,3,0)*VLOOKUP('Données projet'!$B$17,Paramètres!$A$1:$I$88,5,0)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8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09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projet'!$B$17,Paramètres!$A$1:$I$88,7,0))</f>
        <v>0</v>
      </c>
      <c r="GJ203" s="17">
        <f>IF(ISNA(VLOOKUP(A203,'Données projet'!$A$243:$I$263,6,0)),0%,VLOOKUP(A203,'Données projet'!$A$243:$I$263,6,0)*VLOOKUP('Données projet'!$B$17,Paramètres!$A$1:$I$88,7,0))</f>
        <v>0</v>
      </c>
      <c r="GK203" s="17">
        <f>IF(ISNA(VLOOKUP(A203,'Données projet'!$A$243:$I$263,7,0)),0%,VLOOKUP(A203,'Données projet'!$A$243:$I$263,7,0))</f>
        <v>0</v>
      </c>
      <c r="GL203" s="23">
        <f>EXP(-LN(2)/35)*GL202+(1-EXP(-LN(2)/35))/(LN(2)/35)*GH203*GI203*VLOOKUP('Données projet'!$B$9,Paramètres!$A$1:$I$88,3,0)*0.475*44/12</f>
        <v>0</v>
      </c>
      <c r="GM203" s="23">
        <f>EXP(-LN(2)/25)*GM202+(1-EXP(-LN(2)/25))/(LN(2)/25)*Calculateur!GH203*Calculateur!GJ203*VLOOKUP('Données projet'!$B$9,Paramètres!$A$1:$I$88,3,0)*0.475*44/12</f>
        <v>0</v>
      </c>
      <c r="GN203" s="23">
        <f>EXP(-LN(2)/2)*GN202+(1-EXP(-LN(2)/2))/(LN(2)/2)*GH203*GK203*VLOOKUP('Données projet'!$B$9,Paramètres!$A$1:$I$88,3,0)*0.475*44/12</f>
        <v>0</v>
      </c>
      <c r="GO203" s="23">
        <f t="shared" si="187"/>
        <v>0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IF(A203&lt;'Données projet'!$A$270,$GR$205^A203,IF(A203='Données projet'!$A$270,'Données projet'!$B$270,GU202+GT203-HC202))</f>
        <v>0</v>
      </c>
      <c r="GV203" s="18" t="e">
        <f>GU203*VLOOKUP('Données projet'!$B$18,Paramètres!$A$1:$I$88,3,0)*VLOOKUP('Données projet'!$B$18,Paramètres!$A$1:$I$88,5,0)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10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1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projet'!$B$18,Paramètres!$A$1:$I$88,7,0))</f>
        <v>0</v>
      </c>
      <c r="HE203" s="17">
        <f>IF(ISNA(VLOOKUP(A203,'Données projet'!$A$269:$I$289,6,0)),0%,VLOOKUP(A203,'Données projet'!$A$269:$I$289,6,0)*VLOOKUP('Données projet'!$B$18,Paramètres!$A$1:$I$88,7,0))</f>
        <v>0</v>
      </c>
      <c r="HF203" s="17">
        <f>IF(ISNA(VLOOKUP(A203,'Données projet'!$A$269:$I$289,7,0)),0%,VLOOKUP(A203,'Données projet'!$A$269:$I$289,7,0))</f>
        <v>0</v>
      </c>
      <c r="HG203" s="23">
        <f>EXP(-LN(2)/35)*HG202+(1-EXP(-LN(2)/35))/(LN(2)/35)*HC203*HD203*VLOOKUP('Données projet'!$B$9,Paramètres!$A$1:$I$88,3,0)*0.475*44/12</f>
        <v>0</v>
      </c>
      <c r="HH203" s="23">
        <f>EXP(-LN(2)/25)*HH202+(1-EXP(-LN(2)/25))/(LN(2)/25)*Calculateur!HC203*Calculateur!HE203*VLOOKUP('Données projet'!$B$9,Paramètres!$A$1:$I$88,3,0)*0.475*44/12</f>
        <v>0</v>
      </c>
      <c r="HI203" s="23">
        <f>EXP(-LN(2)/2)*HI202+(1-EXP(-LN(2)/2))/(LN(2)/2)*HC203*HF203*VLOOKUP('Données projet'!$B$9,Paramètres!$A$1:$I$88,3,0)*0.475*44/12</f>
        <v>0</v>
      </c>
      <c r="HJ203" s="24">
        <f t="shared" si="190"/>
        <v>0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298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298</v>
      </c>
      <c r="BA204" s="87" t="s">
        <v>298</v>
      </c>
      <c r="BV204" s="87" t="s">
        <v>298</v>
      </c>
      <c r="CQ204" s="87" t="s">
        <v>298</v>
      </c>
      <c r="DL204" s="87" t="s">
        <v>298</v>
      </c>
      <c r="EG204" s="87" t="s">
        <v>298</v>
      </c>
      <c r="FB204" s="87" t="s">
        <v>298</v>
      </c>
      <c r="FW204" s="87" t="s">
        <v>298</v>
      </c>
      <c r="GR204" s="87" t="s">
        <v>298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1.3139754596796083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1.1693884504284608</v>
      </c>
      <c r="BA205" s="88">
        <f>EXP(LN('Données projet'!B88)/'Données projet'!A88)</f>
        <v>1.1693884504284608</v>
      </c>
      <c r="BV205" s="88">
        <f>EXP(LN('Données projet'!B114)/'Données projet'!A114)</f>
        <v>1.1693884504284608</v>
      </c>
      <c r="CQ205" s="88">
        <f>EXP(LN('Données projet'!B140)/'Données projet'!A140)</f>
        <v>1.1693884504284608</v>
      </c>
      <c r="DL205" s="88">
        <f>EXP(LN('Données projet'!B166)/'Données projet'!A166)</f>
        <v>1.1193761124691008</v>
      </c>
      <c r="EG205" s="88">
        <f>EXP(LN('Données projet'!B192)/'Données projet'!A192)</f>
        <v>1.0918607228121426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pTT+DtMEmlAim6T4a6DW8X05eHX8Dh+Nolm+0eC/4OZByioVMrpXJ6NftXWuJe90LAyhQNQ8u6DrSJDQpYN/AQ==" saltValue="5LYUUpy1mChDhvf2CF1E5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4"/>
  <sheetViews>
    <sheetView topLeftCell="D1" workbookViewId="0">
      <selection activeCell="D1" sqref="A1:XFD1048576"/>
    </sheetView>
  </sheetViews>
  <sheetFormatPr baseColWidth="10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35" t="s">
        <v>0</v>
      </c>
      <c r="B1" s="136" t="s">
        <v>106</v>
      </c>
      <c r="C1" s="137" t="s">
        <v>144</v>
      </c>
      <c r="D1" s="136" t="s">
        <v>100</v>
      </c>
      <c r="E1" s="137" t="s">
        <v>145</v>
      </c>
      <c r="F1" s="137" t="s">
        <v>100</v>
      </c>
      <c r="G1" s="137" t="s">
        <v>146</v>
      </c>
      <c r="H1" s="137" t="s">
        <v>100</v>
      </c>
      <c r="I1" s="138" t="s">
        <v>147</v>
      </c>
      <c r="J1" s="105"/>
      <c r="K1" s="105"/>
      <c r="L1" s="105"/>
      <c r="M1" s="105"/>
      <c r="N1" s="105"/>
    </row>
    <row r="2" spans="1:16" x14ac:dyDescent="0.25">
      <c r="A2" s="139" t="s">
        <v>1</v>
      </c>
      <c r="B2" s="140" t="s">
        <v>53</v>
      </c>
      <c r="C2" s="141">
        <v>0.62</v>
      </c>
      <c r="D2" s="141" t="s">
        <v>161</v>
      </c>
      <c r="E2" s="141">
        <v>1.56</v>
      </c>
      <c r="F2" s="141" t="s">
        <v>275</v>
      </c>
      <c r="G2" s="142">
        <v>0.43</v>
      </c>
      <c r="H2" s="143" t="s">
        <v>279</v>
      </c>
      <c r="I2" s="144">
        <v>0.25</v>
      </c>
      <c r="J2" s="105"/>
      <c r="K2" s="105"/>
      <c r="L2" s="105"/>
      <c r="M2" s="105"/>
      <c r="N2" s="105"/>
      <c r="O2" s="272" t="s">
        <v>238</v>
      </c>
      <c r="P2" s="145">
        <v>0</v>
      </c>
    </row>
    <row r="3" spans="1:16" ht="15.75" thickBot="1" x14ac:dyDescent="0.3">
      <c r="A3" s="146" t="s">
        <v>2</v>
      </c>
      <c r="B3" s="147" t="s">
        <v>54</v>
      </c>
      <c r="C3" s="148">
        <v>0.64</v>
      </c>
      <c r="D3" s="148" t="s">
        <v>161</v>
      </c>
      <c r="E3" s="148">
        <v>1.56</v>
      </c>
      <c r="F3" s="149" t="s">
        <v>275</v>
      </c>
      <c r="G3" s="150">
        <v>0.43</v>
      </c>
      <c r="H3" s="148" t="s">
        <v>279</v>
      </c>
      <c r="I3" s="151">
        <v>0.25</v>
      </c>
      <c r="J3" s="105"/>
      <c r="K3" s="105"/>
      <c r="L3" s="105"/>
      <c r="M3" s="105"/>
      <c r="N3" s="105"/>
      <c r="O3" s="273"/>
      <c r="P3" s="152">
        <v>0.2</v>
      </c>
    </row>
    <row r="4" spans="1:16" ht="15.75" thickBot="1" x14ac:dyDescent="0.3">
      <c r="A4" s="146" t="s">
        <v>98</v>
      </c>
      <c r="B4" s="147" t="s">
        <v>99</v>
      </c>
      <c r="C4" s="148">
        <v>0.42</v>
      </c>
      <c r="D4" s="148" t="s">
        <v>161</v>
      </c>
      <c r="E4" s="148">
        <v>1.56</v>
      </c>
      <c r="F4" s="149" t="s">
        <v>275</v>
      </c>
      <c r="G4" s="150">
        <v>0.43</v>
      </c>
      <c r="H4" s="148" t="s">
        <v>279</v>
      </c>
      <c r="I4" s="151">
        <v>0.25</v>
      </c>
      <c r="J4" s="105"/>
      <c r="K4" s="105"/>
      <c r="L4" s="105"/>
      <c r="M4" s="105"/>
      <c r="N4" s="105"/>
    </row>
    <row r="5" spans="1:16" x14ac:dyDescent="0.25">
      <c r="A5" s="146" t="s">
        <v>4</v>
      </c>
      <c r="B5" s="147" t="s">
        <v>55</v>
      </c>
      <c r="C5" s="148">
        <v>0.42</v>
      </c>
      <c r="D5" s="148" t="s">
        <v>161</v>
      </c>
      <c r="E5" s="148">
        <v>1.56</v>
      </c>
      <c r="F5" s="149" t="s">
        <v>275</v>
      </c>
      <c r="G5" s="150">
        <v>0.43</v>
      </c>
      <c r="H5" s="148" t="s">
        <v>279</v>
      </c>
      <c r="I5" s="151">
        <v>0.25</v>
      </c>
      <c r="J5" s="105"/>
      <c r="K5" s="105"/>
      <c r="L5" s="105"/>
      <c r="M5" s="105"/>
      <c r="N5" s="105"/>
      <c r="O5" s="272" t="s">
        <v>237</v>
      </c>
      <c r="P5" s="145">
        <v>0</v>
      </c>
    </row>
    <row r="6" spans="1:16" x14ac:dyDescent="0.25">
      <c r="A6" s="146" t="s">
        <v>3</v>
      </c>
      <c r="B6" s="147" t="s">
        <v>97</v>
      </c>
      <c r="C6" s="148">
        <v>0.42</v>
      </c>
      <c r="D6" s="148" t="s">
        <v>161</v>
      </c>
      <c r="E6" s="148">
        <v>1.56</v>
      </c>
      <c r="F6" s="149" t="s">
        <v>275</v>
      </c>
      <c r="G6" s="150">
        <v>0.43</v>
      </c>
      <c r="H6" s="148" t="s">
        <v>279</v>
      </c>
      <c r="I6" s="151">
        <v>0.25</v>
      </c>
      <c r="J6" s="105"/>
      <c r="K6" s="105"/>
      <c r="L6" s="105"/>
      <c r="M6" s="105"/>
      <c r="N6" s="105"/>
      <c r="O6" s="274"/>
      <c r="P6" s="153">
        <v>0.05</v>
      </c>
    </row>
    <row r="7" spans="1:16" x14ac:dyDescent="0.25">
      <c r="A7" s="146" t="s">
        <v>5</v>
      </c>
      <c r="B7" s="147" t="s">
        <v>56</v>
      </c>
      <c r="C7" s="148">
        <v>0.52</v>
      </c>
      <c r="D7" s="148" t="s">
        <v>161</v>
      </c>
      <c r="E7" s="148">
        <v>1.56</v>
      </c>
      <c r="F7" s="149" t="s">
        <v>275</v>
      </c>
      <c r="G7" s="150">
        <v>0.43</v>
      </c>
      <c r="H7" s="148" t="s">
        <v>279</v>
      </c>
      <c r="I7" s="151">
        <v>0.25</v>
      </c>
      <c r="J7" s="105"/>
      <c r="K7" s="105"/>
      <c r="L7" s="105"/>
      <c r="M7" s="105"/>
      <c r="N7" s="105"/>
      <c r="O7" s="274"/>
      <c r="P7" s="153">
        <v>0.1</v>
      </c>
    </row>
    <row r="8" spans="1:16" ht="15.75" thickBot="1" x14ac:dyDescent="0.3">
      <c r="A8" s="146" t="s">
        <v>164</v>
      </c>
      <c r="B8" s="147" t="s">
        <v>57</v>
      </c>
      <c r="C8" s="148">
        <v>0.36</v>
      </c>
      <c r="D8" s="148" t="s">
        <v>161</v>
      </c>
      <c r="E8" s="148">
        <v>1.3</v>
      </c>
      <c r="F8" s="149" t="s">
        <v>275</v>
      </c>
      <c r="G8" s="150">
        <v>0.55000000000000004</v>
      </c>
      <c r="H8" s="148" t="s">
        <v>153</v>
      </c>
      <c r="I8" s="151">
        <v>0.43</v>
      </c>
      <c r="J8" s="105"/>
      <c r="K8" s="105"/>
      <c r="L8" s="105"/>
      <c r="M8" s="105"/>
      <c r="N8" s="105"/>
      <c r="O8" s="273"/>
      <c r="P8" s="152">
        <v>0.15</v>
      </c>
    </row>
    <row r="9" spans="1:16" ht="15.75" thickBot="1" x14ac:dyDescent="0.3">
      <c r="A9" s="146" t="s">
        <v>6</v>
      </c>
      <c r="B9" s="147" t="s">
        <v>58</v>
      </c>
      <c r="C9" s="148">
        <v>0.61</v>
      </c>
      <c r="D9" s="148" t="s">
        <v>161</v>
      </c>
      <c r="E9" s="148">
        <v>1.56</v>
      </c>
      <c r="F9" s="149" t="s">
        <v>275</v>
      </c>
      <c r="G9" s="150">
        <v>0.43</v>
      </c>
      <c r="H9" s="148" t="s">
        <v>279</v>
      </c>
      <c r="I9" s="151">
        <v>0.25</v>
      </c>
      <c r="J9" s="105"/>
      <c r="K9" s="105"/>
      <c r="L9" s="105"/>
      <c r="M9" s="105"/>
      <c r="N9" s="105"/>
    </row>
    <row r="10" spans="1:16" x14ac:dyDescent="0.25">
      <c r="A10" s="146" t="s">
        <v>7</v>
      </c>
      <c r="B10" s="147" t="s">
        <v>59</v>
      </c>
      <c r="C10" s="148">
        <v>0.66</v>
      </c>
      <c r="D10" s="148" t="s">
        <v>161</v>
      </c>
      <c r="E10" s="148">
        <v>1.56</v>
      </c>
      <c r="F10" s="149" t="s">
        <v>275</v>
      </c>
      <c r="G10" s="150">
        <v>0.43</v>
      </c>
      <c r="H10" s="148" t="s">
        <v>279</v>
      </c>
      <c r="I10" s="151">
        <v>0.25</v>
      </c>
      <c r="J10" s="105"/>
      <c r="K10" s="105"/>
      <c r="L10" s="105"/>
      <c r="M10" s="105"/>
      <c r="N10" s="105"/>
      <c r="O10" s="272" t="s">
        <v>236</v>
      </c>
      <c r="P10" s="145">
        <v>0</v>
      </c>
    </row>
    <row r="11" spans="1:16" ht="15.75" thickBot="1" x14ac:dyDescent="0.3">
      <c r="A11" s="146" t="s">
        <v>8</v>
      </c>
      <c r="B11" s="147" t="s">
        <v>60</v>
      </c>
      <c r="C11" s="148">
        <v>0.47</v>
      </c>
      <c r="D11" s="148" t="s">
        <v>161</v>
      </c>
      <c r="E11" s="148">
        <v>1.56</v>
      </c>
      <c r="F11" s="149" t="s">
        <v>275</v>
      </c>
      <c r="G11" s="150">
        <v>0.43</v>
      </c>
      <c r="H11" s="148" t="s">
        <v>279</v>
      </c>
      <c r="I11" s="151">
        <v>0.25</v>
      </c>
      <c r="J11" s="105"/>
      <c r="K11" s="105"/>
      <c r="L11" s="105"/>
      <c r="M11" s="105"/>
      <c r="N11" s="105"/>
      <c r="O11" s="273"/>
      <c r="P11" s="152">
        <v>0.1</v>
      </c>
    </row>
    <row r="12" spans="1:16" x14ac:dyDescent="0.25">
      <c r="A12" s="146" t="s">
        <v>9</v>
      </c>
      <c r="B12" s="147" t="s">
        <v>61</v>
      </c>
      <c r="C12" s="148">
        <v>0.67</v>
      </c>
      <c r="D12" s="148" t="s">
        <v>161</v>
      </c>
      <c r="E12" s="148">
        <v>1.56</v>
      </c>
      <c r="F12" s="149" t="s">
        <v>275</v>
      </c>
      <c r="G12" s="150">
        <v>0.43</v>
      </c>
      <c r="H12" s="148" t="s">
        <v>152</v>
      </c>
      <c r="I12" s="151">
        <v>0.25</v>
      </c>
      <c r="J12" s="105"/>
      <c r="K12" s="105"/>
      <c r="L12" s="105"/>
      <c r="M12" s="105"/>
      <c r="N12" s="105"/>
    </row>
    <row r="13" spans="1:16" x14ac:dyDescent="0.25">
      <c r="A13" s="146" t="s">
        <v>10</v>
      </c>
      <c r="B13" s="147" t="s">
        <v>62</v>
      </c>
      <c r="C13" s="148">
        <v>0.7</v>
      </c>
      <c r="D13" s="148" t="s">
        <v>161</v>
      </c>
      <c r="E13" s="148">
        <v>1.56</v>
      </c>
      <c r="F13" s="149" t="s">
        <v>275</v>
      </c>
      <c r="G13" s="150">
        <v>0.43</v>
      </c>
      <c r="H13" s="148" t="s">
        <v>152</v>
      </c>
      <c r="I13" s="151">
        <v>0.25</v>
      </c>
      <c r="J13" s="105"/>
      <c r="K13" s="105"/>
      <c r="L13" s="105"/>
      <c r="M13" s="105"/>
      <c r="N13" s="105"/>
    </row>
    <row r="14" spans="1:16" x14ac:dyDescent="0.25">
      <c r="A14" s="146" t="s">
        <v>11</v>
      </c>
      <c r="B14" s="147" t="s">
        <v>63</v>
      </c>
      <c r="C14" s="148">
        <v>0.54</v>
      </c>
      <c r="D14" s="148" t="s">
        <v>161</v>
      </c>
      <c r="E14" s="148">
        <v>1.56</v>
      </c>
      <c r="F14" s="149" t="s">
        <v>275</v>
      </c>
      <c r="G14" s="150">
        <v>0.43</v>
      </c>
      <c r="H14" s="148" t="s">
        <v>152</v>
      </c>
      <c r="I14" s="151">
        <v>0.25</v>
      </c>
      <c r="J14" s="105"/>
      <c r="K14" s="105"/>
      <c r="L14" s="105"/>
      <c r="M14" s="105"/>
      <c r="N14" s="105"/>
    </row>
    <row r="15" spans="1:16" x14ac:dyDescent="0.25">
      <c r="A15" s="146" t="s">
        <v>12</v>
      </c>
      <c r="B15" s="147" t="s">
        <v>64</v>
      </c>
      <c r="C15" s="148">
        <v>0.65</v>
      </c>
      <c r="D15" s="148" t="s">
        <v>161</v>
      </c>
      <c r="E15" s="148">
        <v>1.56</v>
      </c>
      <c r="F15" s="149" t="s">
        <v>275</v>
      </c>
      <c r="G15" s="150">
        <v>0.43</v>
      </c>
      <c r="H15" s="148" t="s">
        <v>152</v>
      </c>
      <c r="I15" s="151">
        <v>0.25</v>
      </c>
      <c r="J15" s="105"/>
      <c r="K15" s="105"/>
      <c r="L15" s="105"/>
      <c r="M15" s="105"/>
      <c r="N15" s="105"/>
    </row>
    <row r="16" spans="1:16" x14ac:dyDescent="0.25">
      <c r="A16" s="146" t="s">
        <v>13</v>
      </c>
      <c r="B16" s="147" t="s">
        <v>65</v>
      </c>
      <c r="C16" s="148">
        <v>0.56000000000000005</v>
      </c>
      <c r="D16" s="148" t="s">
        <v>161</v>
      </c>
      <c r="E16" s="148">
        <v>1.56</v>
      </c>
      <c r="F16" s="149" t="s">
        <v>275</v>
      </c>
      <c r="G16" s="150">
        <v>0.43</v>
      </c>
      <c r="H16" s="148" t="s">
        <v>152</v>
      </c>
      <c r="I16" s="151">
        <v>0.25</v>
      </c>
      <c r="J16" s="105"/>
      <c r="K16" s="105"/>
      <c r="L16" s="105"/>
      <c r="M16" s="105"/>
      <c r="N16" s="105"/>
    </row>
    <row r="17" spans="1:14" x14ac:dyDescent="0.25">
      <c r="A17" s="146" t="s">
        <v>14</v>
      </c>
      <c r="B17" s="147" t="s">
        <v>66</v>
      </c>
      <c r="C17" s="148">
        <v>0.57999999999999996</v>
      </c>
      <c r="D17" s="148" t="s">
        <v>161</v>
      </c>
      <c r="E17" s="148">
        <v>1.56</v>
      </c>
      <c r="F17" s="149" t="s">
        <v>275</v>
      </c>
      <c r="G17" s="150">
        <v>0.43</v>
      </c>
      <c r="H17" s="148" t="s">
        <v>152</v>
      </c>
      <c r="I17" s="151">
        <v>0.25</v>
      </c>
      <c r="J17" s="105"/>
      <c r="K17" s="105"/>
      <c r="L17" s="105"/>
      <c r="M17" s="105"/>
      <c r="N17" s="105"/>
    </row>
    <row r="18" spans="1:14" x14ac:dyDescent="0.25">
      <c r="A18" s="146" t="s">
        <v>15</v>
      </c>
      <c r="B18" s="147" t="s">
        <v>67</v>
      </c>
      <c r="C18" s="148">
        <v>0.64</v>
      </c>
      <c r="D18" s="148" t="s">
        <v>161</v>
      </c>
      <c r="E18" s="148">
        <v>1.56</v>
      </c>
      <c r="F18" s="149" t="s">
        <v>275</v>
      </c>
      <c r="G18" s="150">
        <v>0.43</v>
      </c>
      <c r="H18" s="148" t="s">
        <v>152</v>
      </c>
      <c r="I18" s="151">
        <v>0.25</v>
      </c>
      <c r="J18" s="105"/>
      <c r="K18" s="105"/>
      <c r="L18" s="105"/>
      <c r="M18" s="105"/>
      <c r="N18" s="105"/>
    </row>
    <row r="19" spans="1:14" x14ac:dyDescent="0.25">
      <c r="A19" s="146" t="s">
        <v>16</v>
      </c>
      <c r="B19" s="147" t="s">
        <v>68</v>
      </c>
      <c r="C19" s="148">
        <v>0.73</v>
      </c>
      <c r="D19" s="148" t="s">
        <v>161</v>
      </c>
      <c r="E19" s="148">
        <v>1.56</v>
      </c>
      <c r="F19" s="149" t="s">
        <v>275</v>
      </c>
      <c r="G19" s="150">
        <v>0.43</v>
      </c>
      <c r="H19" s="148" t="s">
        <v>152</v>
      </c>
      <c r="I19" s="151">
        <v>0.25</v>
      </c>
      <c r="J19" s="105"/>
      <c r="K19" s="105"/>
      <c r="L19" s="105"/>
      <c r="M19" s="105"/>
      <c r="N19" s="105"/>
    </row>
    <row r="20" spans="1:14" x14ac:dyDescent="0.25">
      <c r="A20" s="146" t="s">
        <v>52</v>
      </c>
      <c r="B20" s="147" t="s">
        <v>69</v>
      </c>
      <c r="C20" s="148">
        <v>0.69</v>
      </c>
      <c r="D20" s="148" t="s">
        <v>131</v>
      </c>
      <c r="E20" s="148">
        <v>1.56</v>
      </c>
      <c r="F20" s="149" t="s">
        <v>275</v>
      </c>
      <c r="G20" s="150">
        <v>0.43</v>
      </c>
      <c r="H20" s="148" t="s">
        <v>283</v>
      </c>
      <c r="I20" s="151">
        <v>0.25</v>
      </c>
      <c r="J20" s="105"/>
      <c r="K20" s="105"/>
      <c r="L20" s="105"/>
      <c r="M20" s="105"/>
      <c r="N20" s="105"/>
    </row>
    <row r="21" spans="1:14" x14ac:dyDescent="0.25">
      <c r="A21" s="146" t="s">
        <v>154</v>
      </c>
      <c r="B21" s="147" t="s">
        <v>155</v>
      </c>
      <c r="C21" s="148">
        <v>0.36</v>
      </c>
      <c r="D21" s="148" t="s">
        <v>161</v>
      </c>
      <c r="E21" s="148">
        <v>1.3</v>
      </c>
      <c r="F21" s="149" t="s">
        <v>275</v>
      </c>
      <c r="G21" s="150">
        <v>0.55000000000000004</v>
      </c>
      <c r="H21" s="148" t="s">
        <v>153</v>
      </c>
      <c r="I21" s="151">
        <v>0.43</v>
      </c>
      <c r="J21" s="105"/>
      <c r="K21" s="105"/>
      <c r="L21" s="105"/>
      <c r="M21" s="105"/>
      <c r="N21" s="105"/>
    </row>
    <row r="22" spans="1:14" x14ac:dyDescent="0.25">
      <c r="A22" s="146" t="s">
        <v>17</v>
      </c>
      <c r="B22" s="147" t="s">
        <v>70</v>
      </c>
      <c r="C22" s="148">
        <v>0.4</v>
      </c>
      <c r="D22" s="148" t="s">
        <v>161</v>
      </c>
      <c r="E22" s="148">
        <v>1.3</v>
      </c>
      <c r="F22" s="149" t="s">
        <v>275</v>
      </c>
      <c r="G22" s="150">
        <v>0.55000000000000004</v>
      </c>
      <c r="H22" s="148" t="s">
        <v>153</v>
      </c>
      <c r="I22" s="151">
        <v>0.43</v>
      </c>
      <c r="J22" s="105"/>
      <c r="K22" s="105"/>
      <c r="L22" s="105"/>
      <c r="M22" s="105"/>
      <c r="N22" s="105"/>
    </row>
    <row r="23" spans="1:14" x14ac:dyDescent="0.25">
      <c r="A23" s="146" t="s">
        <v>18</v>
      </c>
      <c r="B23" s="147" t="s">
        <v>71</v>
      </c>
      <c r="C23" s="148">
        <v>0.43</v>
      </c>
      <c r="D23" s="148" t="s">
        <v>161</v>
      </c>
      <c r="E23" s="148">
        <v>1.3</v>
      </c>
      <c r="F23" s="149" t="s">
        <v>275</v>
      </c>
      <c r="G23" s="150">
        <v>0.55000000000000004</v>
      </c>
      <c r="H23" s="148" t="s">
        <v>153</v>
      </c>
      <c r="I23" s="151">
        <v>0.43</v>
      </c>
      <c r="J23" s="105"/>
      <c r="K23" s="105"/>
      <c r="L23" s="105"/>
      <c r="M23" s="105"/>
      <c r="N23" s="105"/>
    </row>
    <row r="24" spans="1:14" x14ac:dyDescent="0.25">
      <c r="A24" s="146" t="s">
        <v>19</v>
      </c>
      <c r="B24" s="147" t="s">
        <v>72</v>
      </c>
      <c r="C24" s="148">
        <v>0.37</v>
      </c>
      <c r="D24" s="148" t="s">
        <v>161</v>
      </c>
      <c r="E24" s="148">
        <v>1.3</v>
      </c>
      <c r="F24" s="149" t="s">
        <v>275</v>
      </c>
      <c r="G24" s="150">
        <v>0.55000000000000004</v>
      </c>
      <c r="H24" s="148" t="s">
        <v>152</v>
      </c>
      <c r="I24" s="151">
        <v>0.43</v>
      </c>
      <c r="J24" s="105"/>
      <c r="K24" s="105"/>
      <c r="L24" s="105"/>
      <c r="M24" s="105"/>
      <c r="N24" s="105"/>
    </row>
    <row r="25" spans="1:14" x14ac:dyDescent="0.25">
      <c r="A25" s="146" t="s">
        <v>20</v>
      </c>
      <c r="B25" s="147" t="s">
        <v>73</v>
      </c>
      <c r="C25" s="148">
        <v>0.36</v>
      </c>
      <c r="D25" s="148" t="s">
        <v>161</v>
      </c>
      <c r="E25" s="148">
        <v>1.3</v>
      </c>
      <c r="F25" s="149" t="s">
        <v>275</v>
      </c>
      <c r="G25" s="150">
        <v>0.55000000000000004</v>
      </c>
      <c r="H25" s="148" t="s">
        <v>152</v>
      </c>
      <c r="I25" s="151">
        <v>0.43</v>
      </c>
      <c r="J25" s="105"/>
      <c r="K25" s="105"/>
      <c r="L25" s="105"/>
      <c r="M25" s="105"/>
      <c r="N25" s="105"/>
    </row>
    <row r="26" spans="1:14" x14ac:dyDescent="0.25">
      <c r="A26" s="146" t="s">
        <v>21</v>
      </c>
      <c r="B26" s="147" t="s">
        <v>74</v>
      </c>
      <c r="C26" s="148">
        <v>0.56000000000000005</v>
      </c>
      <c r="D26" s="148" t="s">
        <v>161</v>
      </c>
      <c r="E26" s="148">
        <v>1.56</v>
      </c>
      <c r="F26" s="149" t="s">
        <v>275</v>
      </c>
      <c r="G26" s="150">
        <v>0.53</v>
      </c>
      <c r="H26" s="148" t="s">
        <v>276</v>
      </c>
      <c r="I26" s="151">
        <v>0.25</v>
      </c>
      <c r="J26" s="105"/>
      <c r="K26" s="105"/>
      <c r="L26" s="105"/>
      <c r="M26" s="105"/>
      <c r="N26" s="105"/>
    </row>
    <row r="27" spans="1:14" x14ac:dyDescent="0.25">
      <c r="A27" s="146" t="s">
        <v>22</v>
      </c>
      <c r="B27" s="147" t="s">
        <v>75</v>
      </c>
      <c r="C27" s="148">
        <v>0.51</v>
      </c>
      <c r="D27" s="148" t="s">
        <v>161</v>
      </c>
      <c r="E27" s="148">
        <v>1.56</v>
      </c>
      <c r="F27" s="149" t="s">
        <v>275</v>
      </c>
      <c r="G27" s="150">
        <v>0.53</v>
      </c>
      <c r="H27" s="148" t="s">
        <v>276</v>
      </c>
      <c r="I27" s="151">
        <v>0.25</v>
      </c>
      <c r="J27" s="105"/>
      <c r="K27" s="105"/>
      <c r="L27" s="105"/>
      <c r="M27" s="105"/>
      <c r="N27" s="105"/>
    </row>
    <row r="28" spans="1:14" x14ac:dyDescent="0.25">
      <c r="A28" s="146" t="s">
        <v>23</v>
      </c>
      <c r="B28" s="147" t="s">
        <v>76</v>
      </c>
      <c r="C28" s="148">
        <v>0.51</v>
      </c>
      <c r="D28" s="148" t="s">
        <v>161</v>
      </c>
      <c r="E28" s="148">
        <v>1.56</v>
      </c>
      <c r="F28" s="149" t="s">
        <v>275</v>
      </c>
      <c r="G28" s="150">
        <v>0.53</v>
      </c>
      <c r="H28" s="148" t="s">
        <v>276</v>
      </c>
      <c r="I28" s="151">
        <v>0.25</v>
      </c>
      <c r="J28" s="105"/>
      <c r="K28" s="105"/>
      <c r="L28" s="105"/>
      <c r="M28" s="105"/>
      <c r="N28" s="105"/>
    </row>
    <row r="29" spans="1:14" x14ac:dyDescent="0.25">
      <c r="A29" s="146" t="s">
        <v>24</v>
      </c>
      <c r="B29" s="147" t="s">
        <v>24</v>
      </c>
      <c r="C29" s="148">
        <v>0.56000000000000005</v>
      </c>
      <c r="D29" s="148" t="s">
        <v>161</v>
      </c>
      <c r="E29" s="148">
        <v>1.56</v>
      </c>
      <c r="F29" s="149" t="s">
        <v>275</v>
      </c>
      <c r="G29" s="150">
        <v>0.53</v>
      </c>
      <c r="H29" s="148" t="s">
        <v>276</v>
      </c>
      <c r="I29" s="151">
        <v>0.25</v>
      </c>
      <c r="J29" s="105"/>
      <c r="K29" s="105"/>
      <c r="L29" s="105"/>
      <c r="M29" s="105"/>
      <c r="N29" s="105"/>
    </row>
    <row r="30" spans="1:14" x14ac:dyDescent="0.25">
      <c r="A30" s="146" t="s">
        <v>25</v>
      </c>
      <c r="B30" s="147" t="s">
        <v>77</v>
      </c>
      <c r="C30" s="148">
        <v>0.55000000000000004</v>
      </c>
      <c r="D30" s="148" t="s">
        <v>161</v>
      </c>
      <c r="E30" s="148">
        <v>1.56</v>
      </c>
      <c r="F30" s="149" t="s">
        <v>275</v>
      </c>
      <c r="G30" s="150">
        <v>0.53</v>
      </c>
      <c r="H30" s="148" t="s">
        <v>152</v>
      </c>
      <c r="I30" s="151">
        <v>0.25</v>
      </c>
      <c r="J30" s="105"/>
      <c r="K30" s="105"/>
      <c r="L30" s="105"/>
      <c r="M30" s="105"/>
      <c r="N30" s="105"/>
    </row>
    <row r="31" spans="1:14" x14ac:dyDescent="0.25">
      <c r="A31" s="146" t="s">
        <v>26</v>
      </c>
      <c r="B31" s="147" t="s">
        <v>78</v>
      </c>
      <c r="C31" s="148">
        <v>0.56000000000000005</v>
      </c>
      <c r="D31" s="148" t="s">
        <v>161</v>
      </c>
      <c r="E31" s="148">
        <v>1.56</v>
      </c>
      <c r="F31" s="149" t="s">
        <v>275</v>
      </c>
      <c r="G31" s="150">
        <v>0.43</v>
      </c>
      <c r="H31" s="148" t="s">
        <v>279</v>
      </c>
      <c r="I31" s="151">
        <v>0.25</v>
      </c>
      <c r="J31" s="105"/>
      <c r="K31" s="105"/>
      <c r="L31" s="105"/>
      <c r="M31" s="105"/>
      <c r="N31" s="105"/>
    </row>
    <row r="32" spans="1:14" x14ac:dyDescent="0.25">
      <c r="A32" s="146" t="s">
        <v>27</v>
      </c>
      <c r="B32" s="147" t="s">
        <v>79</v>
      </c>
      <c r="C32" s="148">
        <v>0.48</v>
      </c>
      <c r="D32" s="148" t="s">
        <v>161</v>
      </c>
      <c r="E32" s="148">
        <v>1.3</v>
      </c>
      <c r="F32" s="149" t="s">
        <v>275</v>
      </c>
      <c r="G32" s="150">
        <v>0.6</v>
      </c>
      <c r="H32" s="148" t="s">
        <v>282</v>
      </c>
      <c r="I32" s="151">
        <v>0.43</v>
      </c>
      <c r="J32" s="105"/>
      <c r="K32" s="105"/>
      <c r="L32" s="105"/>
      <c r="M32" s="105"/>
      <c r="N32" s="105"/>
    </row>
    <row r="33" spans="1:14" x14ac:dyDescent="0.25">
      <c r="A33" s="146" t="s">
        <v>28</v>
      </c>
      <c r="B33" s="147" t="s">
        <v>80</v>
      </c>
      <c r="C33" s="148">
        <v>0.42</v>
      </c>
      <c r="D33" s="148" t="s">
        <v>161</v>
      </c>
      <c r="E33" s="148">
        <v>1.3</v>
      </c>
      <c r="F33" s="149" t="s">
        <v>275</v>
      </c>
      <c r="G33" s="150">
        <v>0.6</v>
      </c>
      <c r="H33" s="148" t="s">
        <v>282</v>
      </c>
      <c r="I33" s="151">
        <v>0.43</v>
      </c>
      <c r="J33" s="105"/>
      <c r="K33" s="105"/>
      <c r="L33" s="105"/>
      <c r="M33" s="105"/>
      <c r="N33" s="105"/>
    </row>
    <row r="34" spans="1:14" x14ac:dyDescent="0.25">
      <c r="A34" s="146" t="s">
        <v>81</v>
      </c>
      <c r="B34" s="147" t="s">
        <v>163</v>
      </c>
      <c r="C34" s="148">
        <v>0.42</v>
      </c>
      <c r="D34" s="148" t="s">
        <v>103</v>
      </c>
      <c r="E34" s="148">
        <v>1.3</v>
      </c>
      <c r="F34" s="149" t="s">
        <v>275</v>
      </c>
      <c r="G34" s="150">
        <v>0.6</v>
      </c>
      <c r="H34" s="147" t="s">
        <v>281</v>
      </c>
      <c r="I34" s="151">
        <v>0.43</v>
      </c>
      <c r="J34" s="105"/>
      <c r="K34" s="105"/>
      <c r="L34" s="105"/>
      <c r="M34" s="105"/>
      <c r="N34" s="105"/>
    </row>
    <row r="35" spans="1:14" x14ac:dyDescent="0.25">
      <c r="A35" s="146" t="s">
        <v>29</v>
      </c>
      <c r="B35" s="147" t="s">
        <v>82</v>
      </c>
      <c r="C35" s="148">
        <v>0.5</v>
      </c>
      <c r="D35" s="148" t="s">
        <v>161</v>
      </c>
      <c r="E35" s="148">
        <v>1.56</v>
      </c>
      <c r="F35" s="149" t="s">
        <v>275</v>
      </c>
      <c r="G35" s="150">
        <v>0.43</v>
      </c>
      <c r="H35" s="148" t="s">
        <v>279</v>
      </c>
      <c r="I35" s="151">
        <v>0.25</v>
      </c>
      <c r="J35" s="105"/>
      <c r="K35" s="105"/>
      <c r="L35" s="105"/>
      <c r="M35" s="105"/>
      <c r="N35" s="105"/>
    </row>
    <row r="36" spans="1:14" x14ac:dyDescent="0.25">
      <c r="A36" s="146" t="s">
        <v>102</v>
      </c>
      <c r="B36" s="147" t="s">
        <v>101</v>
      </c>
      <c r="C36" s="148">
        <v>0.55000000000000004</v>
      </c>
      <c r="D36" s="148" t="s">
        <v>161</v>
      </c>
      <c r="E36" s="148">
        <v>1.56</v>
      </c>
      <c r="F36" s="149" t="s">
        <v>275</v>
      </c>
      <c r="G36" s="150">
        <v>0.53</v>
      </c>
      <c r="H36" s="148" t="s">
        <v>276</v>
      </c>
      <c r="I36" s="151">
        <v>0.25</v>
      </c>
      <c r="J36" s="105"/>
      <c r="K36" s="105"/>
      <c r="L36" s="105"/>
      <c r="M36" s="105"/>
      <c r="N36" s="105"/>
    </row>
    <row r="37" spans="1:14" x14ac:dyDescent="0.25">
      <c r="A37" s="146" t="s">
        <v>30</v>
      </c>
      <c r="B37" s="147" t="s">
        <v>104</v>
      </c>
      <c r="C37" s="148">
        <v>0.52</v>
      </c>
      <c r="D37" s="148" t="s">
        <v>161</v>
      </c>
      <c r="E37" s="148">
        <v>1.56</v>
      </c>
      <c r="F37" s="149" t="s">
        <v>275</v>
      </c>
      <c r="G37" s="150">
        <v>0.53</v>
      </c>
      <c r="H37" s="148" t="s">
        <v>276</v>
      </c>
      <c r="I37" s="151">
        <v>0.25</v>
      </c>
      <c r="J37" s="105"/>
      <c r="K37" s="105"/>
      <c r="L37" s="105"/>
      <c r="M37" s="105"/>
      <c r="N37" s="105"/>
    </row>
    <row r="38" spans="1:14" x14ac:dyDescent="0.25">
      <c r="A38" s="146" t="s">
        <v>31</v>
      </c>
      <c r="B38" s="147" t="s">
        <v>105</v>
      </c>
      <c r="C38" s="148">
        <v>0.52</v>
      </c>
      <c r="D38" s="148" t="s">
        <v>161</v>
      </c>
      <c r="E38" s="148">
        <v>1.56</v>
      </c>
      <c r="F38" s="149" t="s">
        <v>275</v>
      </c>
      <c r="G38" s="150">
        <v>0.43</v>
      </c>
      <c r="H38" s="148" t="s">
        <v>279</v>
      </c>
      <c r="I38" s="151">
        <v>0.25</v>
      </c>
      <c r="J38" s="105"/>
      <c r="K38" s="105"/>
      <c r="L38" s="105"/>
      <c r="M38" s="105"/>
      <c r="N38" s="105"/>
    </row>
    <row r="39" spans="1:14" x14ac:dyDescent="0.25">
      <c r="A39" s="146" t="s">
        <v>107</v>
      </c>
      <c r="B39" s="147" t="s">
        <v>132</v>
      </c>
      <c r="C39" s="148">
        <v>0.313</v>
      </c>
      <c r="D39" s="148" t="s">
        <v>130</v>
      </c>
      <c r="E39" s="148">
        <v>1.56</v>
      </c>
      <c r="F39" s="149" t="s">
        <v>275</v>
      </c>
      <c r="G39" s="150">
        <v>0.6</v>
      </c>
      <c r="H39" s="148" t="s">
        <v>284</v>
      </c>
      <c r="I39" s="151">
        <v>1.03</v>
      </c>
      <c r="J39" s="105"/>
      <c r="K39" s="105"/>
      <c r="L39" s="105"/>
      <c r="M39" s="105"/>
      <c r="N39" s="105"/>
    </row>
    <row r="40" spans="1:14" x14ac:dyDescent="0.25">
      <c r="A40" s="146" t="s">
        <v>108</v>
      </c>
      <c r="B40" s="147" t="s">
        <v>132</v>
      </c>
      <c r="C40" s="148">
        <v>0.35199999999999998</v>
      </c>
      <c r="D40" s="148" t="s">
        <v>130</v>
      </c>
      <c r="E40" s="148">
        <v>1.56</v>
      </c>
      <c r="F40" s="149" t="s">
        <v>275</v>
      </c>
      <c r="G40" s="150">
        <v>0.6</v>
      </c>
      <c r="H40" s="148" t="s">
        <v>284</v>
      </c>
      <c r="I40" s="151">
        <v>1.03</v>
      </c>
      <c r="J40" s="105"/>
      <c r="K40" s="105"/>
      <c r="L40" s="105"/>
      <c r="M40" s="105"/>
      <c r="N40" s="105"/>
    </row>
    <row r="41" spans="1:14" x14ac:dyDescent="0.25">
      <c r="A41" s="146" t="s">
        <v>121</v>
      </c>
      <c r="B41" s="147" t="s">
        <v>132</v>
      </c>
      <c r="C41" s="148">
        <v>0.32200000000000001</v>
      </c>
      <c r="D41" s="148" t="s">
        <v>130</v>
      </c>
      <c r="E41" s="148">
        <v>1.56</v>
      </c>
      <c r="F41" s="149" t="s">
        <v>275</v>
      </c>
      <c r="G41" s="150">
        <v>0.6</v>
      </c>
      <c r="H41" s="148" t="s">
        <v>284</v>
      </c>
      <c r="I41" s="151">
        <v>1.03</v>
      </c>
      <c r="J41" s="105"/>
      <c r="K41" s="105"/>
      <c r="L41" s="105"/>
      <c r="M41" s="105"/>
      <c r="N41" s="105"/>
    </row>
    <row r="42" spans="1:14" x14ac:dyDescent="0.25">
      <c r="A42" s="146" t="s">
        <v>122</v>
      </c>
      <c r="B42" s="147" t="s">
        <v>132</v>
      </c>
      <c r="C42" s="148">
        <v>0.311</v>
      </c>
      <c r="D42" s="148" t="s">
        <v>130</v>
      </c>
      <c r="E42" s="148">
        <v>1.56</v>
      </c>
      <c r="F42" s="149" t="s">
        <v>275</v>
      </c>
      <c r="G42" s="150">
        <v>0.6</v>
      </c>
      <c r="H42" s="148" t="s">
        <v>284</v>
      </c>
      <c r="I42" s="151">
        <v>1.03</v>
      </c>
      <c r="J42" s="105"/>
      <c r="K42" s="105"/>
      <c r="L42" s="105"/>
      <c r="M42" s="105"/>
      <c r="N42" s="105"/>
    </row>
    <row r="43" spans="1:14" x14ac:dyDescent="0.25">
      <c r="A43" s="146" t="s">
        <v>109</v>
      </c>
      <c r="B43" s="147" t="s">
        <v>132</v>
      </c>
      <c r="C43" s="148">
        <v>0.33900000000000002</v>
      </c>
      <c r="D43" s="148" t="s">
        <v>130</v>
      </c>
      <c r="E43" s="148">
        <v>1.56</v>
      </c>
      <c r="F43" s="149" t="s">
        <v>275</v>
      </c>
      <c r="G43" s="150">
        <v>0.6</v>
      </c>
      <c r="H43" s="148" t="s">
        <v>284</v>
      </c>
      <c r="I43" s="151">
        <v>1.03</v>
      </c>
      <c r="J43" s="105"/>
      <c r="K43" s="105"/>
      <c r="L43" s="105"/>
      <c r="M43" s="105"/>
      <c r="N43" s="105"/>
    </row>
    <row r="44" spans="1:14" x14ac:dyDescent="0.25">
      <c r="A44" s="146" t="s">
        <v>123</v>
      </c>
      <c r="B44" s="147" t="s">
        <v>132</v>
      </c>
      <c r="C44" s="148">
        <v>0.33600000000000002</v>
      </c>
      <c r="D44" s="148" t="s">
        <v>130</v>
      </c>
      <c r="E44" s="148">
        <v>1.56</v>
      </c>
      <c r="F44" s="149" t="s">
        <v>275</v>
      </c>
      <c r="G44" s="150">
        <v>0.6</v>
      </c>
      <c r="H44" s="148" t="s">
        <v>284</v>
      </c>
      <c r="I44" s="151">
        <v>1.03</v>
      </c>
      <c r="J44" s="105"/>
      <c r="K44" s="105"/>
      <c r="L44" s="105"/>
      <c r="M44" s="105"/>
      <c r="N44" s="105"/>
    </row>
    <row r="45" spans="1:14" x14ac:dyDescent="0.25">
      <c r="A45" s="146" t="s">
        <v>110</v>
      </c>
      <c r="B45" s="147" t="s">
        <v>132</v>
      </c>
      <c r="C45" s="148">
        <v>0.32900000000000001</v>
      </c>
      <c r="D45" s="148" t="s">
        <v>130</v>
      </c>
      <c r="E45" s="148">
        <v>1.56</v>
      </c>
      <c r="F45" s="149" t="s">
        <v>275</v>
      </c>
      <c r="G45" s="150">
        <v>0.6</v>
      </c>
      <c r="H45" s="148" t="s">
        <v>284</v>
      </c>
      <c r="I45" s="151">
        <v>1.03</v>
      </c>
      <c r="J45" s="105"/>
      <c r="K45" s="105"/>
      <c r="L45" s="105"/>
      <c r="M45" s="105"/>
      <c r="N45" s="105"/>
    </row>
    <row r="46" spans="1:14" x14ac:dyDescent="0.25">
      <c r="A46" s="146" t="s">
        <v>124</v>
      </c>
      <c r="B46" s="147" t="s">
        <v>132</v>
      </c>
      <c r="C46" s="148">
        <v>0.34300000000000003</v>
      </c>
      <c r="D46" s="148" t="s">
        <v>130</v>
      </c>
      <c r="E46" s="148">
        <v>1.56</v>
      </c>
      <c r="F46" s="149" t="s">
        <v>275</v>
      </c>
      <c r="G46" s="150">
        <v>0.6</v>
      </c>
      <c r="H46" s="148" t="s">
        <v>284</v>
      </c>
      <c r="I46" s="151">
        <v>1.03</v>
      </c>
      <c r="J46" s="105"/>
      <c r="K46" s="105"/>
      <c r="L46" s="105"/>
      <c r="M46" s="105"/>
      <c r="N46" s="105"/>
    </row>
    <row r="47" spans="1:14" x14ac:dyDescent="0.25">
      <c r="A47" s="146" t="s">
        <v>125</v>
      </c>
      <c r="B47" s="147" t="s">
        <v>132</v>
      </c>
      <c r="C47" s="148">
        <v>0.32500000000000001</v>
      </c>
      <c r="D47" s="148" t="s">
        <v>130</v>
      </c>
      <c r="E47" s="148">
        <v>1.56</v>
      </c>
      <c r="F47" s="149" t="s">
        <v>275</v>
      </c>
      <c r="G47" s="150">
        <v>0.6</v>
      </c>
      <c r="H47" s="148" t="s">
        <v>284</v>
      </c>
      <c r="I47" s="151">
        <v>1.03</v>
      </c>
      <c r="J47" s="105"/>
      <c r="K47" s="105"/>
      <c r="L47" s="105"/>
      <c r="M47" s="105"/>
      <c r="N47" s="105"/>
    </row>
    <row r="48" spans="1:14" x14ac:dyDescent="0.25">
      <c r="A48" s="146" t="s">
        <v>126</v>
      </c>
      <c r="B48" s="147" t="s">
        <v>132</v>
      </c>
      <c r="C48" s="148">
        <v>0.32</v>
      </c>
      <c r="D48" s="148" t="s">
        <v>130</v>
      </c>
      <c r="E48" s="148">
        <v>1.56</v>
      </c>
      <c r="F48" s="149" t="s">
        <v>275</v>
      </c>
      <c r="G48" s="150">
        <v>0.6</v>
      </c>
      <c r="H48" s="148" t="s">
        <v>284</v>
      </c>
      <c r="I48" s="151">
        <v>1.03</v>
      </c>
      <c r="J48" s="105"/>
      <c r="K48" s="105"/>
      <c r="L48" s="105"/>
      <c r="M48" s="105"/>
      <c r="N48" s="105"/>
    </row>
    <row r="49" spans="1:14" x14ac:dyDescent="0.25">
      <c r="A49" s="146" t="s">
        <v>111</v>
      </c>
      <c r="B49" s="147" t="s">
        <v>132</v>
      </c>
      <c r="C49" s="148">
        <v>0.28199999999999997</v>
      </c>
      <c r="D49" s="148" t="s">
        <v>130</v>
      </c>
      <c r="E49" s="148">
        <v>1.56</v>
      </c>
      <c r="F49" s="149" t="s">
        <v>275</v>
      </c>
      <c r="G49" s="150">
        <v>0.6</v>
      </c>
      <c r="H49" s="148" t="s">
        <v>284</v>
      </c>
      <c r="I49" s="151">
        <v>1.03</v>
      </c>
      <c r="J49" s="105"/>
      <c r="K49" s="105"/>
      <c r="L49" s="105"/>
      <c r="M49" s="105"/>
      <c r="N49" s="105"/>
    </row>
    <row r="50" spans="1:14" x14ac:dyDescent="0.25">
      <c r="A50" s="146" t="s">
        <v>127</v>
      </c>
      <c r="B50" s="147" t="s">
        <v>132</v>
      </c>
      <c r="C50" s="148">
        <v>0.32800000000000001</v>
      </c>
      <c r="D50" s="148" t="s">
        <v>130</v>
      </c>
      <c r="E50" s="148">
        <v>1.56</v>
      </c>
      <c r="F50" s="149" t="s">
        <v>275</v>
      </c>
      <c r="G50" s="150">
        <v>0.6</v>
      </c>
      <c r="H50" s="148" t="s">
        <v>284</v>
      </c>
      <c r="I50" s="151">
        <v>1.03</v>
      </c>
      <c r="J50" s="105"/>
      <c r="K50" s="105"/>
      <c r="L50" s="105"/>
      <c r="M50" s="105"/>
      <c r="N50" s="105"/>
    </row>
    <row r="51" spans="1:14" x14ac:dyDescent="0.25">
      <c r="A51" s="146" t="s">
        <v>112</v>
      </c>
      <c r="B51" s="147" t="s">
        <v>132</v>
      </c>
      <c r="C51" s="148">
        <v>0.32600000000000001</v>
      </c>
      <c r="D51" s="148" t="s">
        <v>130</v>
      </c>
      <c r="E51" s="148">
        <v>1.56</v>
      </c>
      <c r="F51" s="149" t="s">
        <v>275</v>
      </c>
      <c r="G51" s="150">
        <v>0.6</v>
      </c>
      <c r="H51" s="148" t="s">
        <v>284</v>
      </c>
      <c r="I51" s="151">
        <v>1.03</v>
      </c>
      <c r="J51" s="105"/>
      <c r="K51" s="105"/>
      <c r="L51" s="105"/>
      <c r="M51" s="105"/>
      <c r="N51" s="105"/>
    </row>
    <row r="52" spans="1:14" x14ac:dyDescent="0.25">
      <c r="A52" s="146" t="s">
        <v>113</v>
      </c>
      <c r="B52" s="147" t="s">
        <v>132</v>
      </c>
      <c r="C52" s="148">
        <v>0.35899999999999999</v>
      </c>
      <c r="D52" s="148" t="s">
        <v>130</v>
      </c>
      <c r="E52" s="148">
        <v>1.56</v>
      </c>
      <c r="F52" s="149" t="s">
        <v>275</v>
      </c>
      <c r="G52" s="150">
        <v>0.6</v>
      </c>
      <c r="H52" s="148" t="s">
        <v>284</v>
      </c>
      <c r="I52" s="151">
        <v>1.03</v>
      </c>
      <c r="J52" s="105"/>
      <c r="K52" s="105"/>
      <c r="L52" s="105"/>
      <c r="M52" s="105"/>
      <c r="N52" s="105"/>
    </row>
    <row r="53" spans="1:14" x14ac:dyDescent="0.25">
      <c r="A53" s="146" t="s">
        <v>114</v>
      </c>
      <c r="B53" s="147" t="s">
        <v>132</v>
      </c>
      <c r="C53" s="148">
        <v>0.34599999999999997</v>
      </c>
      <c r="D53" s="148" t="s">
        <v>130</v>
      </c>
      <c r="E53" s="148">
        <v>1.56</v>
      </c>
      <c r="F53" s="149" t="s">
        <v>275</v>
      </c>
      <c r="G53" s="150">
        <v>0.6</v>
      </c>
      <c r="H53" s="148" t="s">
        <v>284</v>
      </c>
      <c r="I53" s="151">
        <v>1.03</v>
      </c>
      <c r="J53" s="105"/>
      <c r="K53" s="105"/>
      <c r="L53" s="105"/>
      <c r="M53" s="105"/>
      <c r="N53" s="105"/>
    </row>
    <row r="54" spans="1:14" x14ac:dyDescent="0.25">
      <c r="A54" s="146" t="s">
        <v>115</v>
      </c>
      <c r="B54" s="147" t="s">
        <v>132</v>
      </c>
      <c r="C54" s="148">
        <v>0.32600000000000001</v>
      </c>
      <c r="D54" s="148" t="s">
        <v>130</v>
      </c>
      <c r="E54" s="148">
        <v>1.56</v>
      </c>
      <c r="F54" s="149" t="s">
        <v>275</v>
      </c>
      <c r="G54" s="150">
        <v>0.6</v>
      </c>
      <c r="H54" s="148" t="s">
        <v>284</v>
      </c>
      <c r="I54" s="151">
        <v>1.03</v>
      </c>
      <c r="J54" s="105"/>
      <c r="K54" s="105"/>
      <c r="L54" s="105"/>
      <c r="M54" s="105"/>
      <c r="N54" s="105"/>
    </row>
    <row r="55" spans="1:14" x14ac:dyDescent="0.25">
      <c r="A55" s="146" t="s">
        <v>116</v>
      </c>
      <c r="B55" s="147" t="s">
        <v>132</v>
      </c>
      <c r="C55" s="148">
        <v>0.30499999999999999</v>
      </c>
      <c r="D55" s="148" t="s">
        <v>130</v>
      </c>
      <c r="E55" s="148">
        <v>1.56</v>
      </c>
      <c r="F55" s="149" t="s">
        <v>275</v>
      </c>
      <c r="G55" s="150">
        <v>0.6</v>
      </c>
      <c r="H55" s="148" t="s">
        <v>284</v>
      </c>
      <c r="I55" s="151">
        <v>1.03</v>
      </c>
      <c r="J55" s="105"/>
      <c r="K55" s="105"/>
      <c r="L55" s="105"/>
      <c r="M55" s="105"/>
      <c r="N55" s="105"/>
    </row>
    <row r="56" spans="1:14" x14ac:dyDescent="0.25">
      <c r="A56" s="146" t="s">
        <v>128</v>
      </c>
      <c r="B56" s="147" t="s">
        <v>132</v>
      </c>
      <c r="C56" s="148">
        <v>0.32300000000000001</v>
      </c>
      <c r="D56" s="148" t="s">
        <v>130</v>
      </c>
      <c r="E56" s="148">
        <v>1.56</v>
      </c>
      <c r="F56" s="149" t="s">
        <v>275</v>
      </c>
      <c r="G56" s="150">
        <v>0.6</v>
      </c>
      <c r="H56" s="148" t="s">
        <v>284</v>
      </c>
      <c r="I56" s="151">
        <v>1.03</v>
      </c>
      <c r="J56" s="105"/>
      <c r="K56" s="105"/>
      <c r="L56" s="105"/>
      <c r="M56" s="105"/>
      <c r="N56" s="105"/>
    </row>
    <row r="57" spans="1:14" x14ac:dyDescent="0.25">
      <c r="A57" s="146" t="s">
        <v>129</v>
      </c>
      <c r="B57" s="147" t="s">
        <v>132</v>
      </c>
      <c r="C57" s="148">
        <v>0.36699999999999999</v>
      </c>
      <c r="D57" s="148" t="s">
        <v>130</v>
      </c>
      <c r="E57" s="148">
        <v>1.56</v>
      </c>
      <c r="F57" s="149" t="s">
        <v>275</v>
      </c>
      <c r="G57" s="150">
        <v>0.6</v>
      </c>
      <c r="H57" s="148" t="s">
        <v>284</v>
      </c>
      <c r="I57" s="151">
        <v>1.03</v>
      </c>
      <c r="J57" s="105"/>
      <c r="K57" s="105"/>
      <c r="L57" s="105"/>
      <c r="M57" s="105"/>
      <c r="N57" s="105"/>
    </row>
    <row r="58" spans="1:14" x14ac:dyDescent="0.25">
      <c r="A58" s="146" t="s">
        <v>117</v>
      </c>
      <c r="B58" s="147" t="s">
        <v>132</v>
      </c>
      <c r="C58" s="148">
        <v>0.36</v>
      </c>
      <c r="D58" s="148" t="s">
        <v>130</v>
      </c>
      <c r="E58" s="148">
        <v>1.56</v>
      </c>
      <c r="F58" s="149" t="s">
        <v>275</v>
      </c>
      <c r="G58" s="150">
        <v>0.6</v>
      </c>
      <c r="H58" s="148" t="s">
        <v>284</v>
      </c>
      <c r="I58" s="151">
        <v>1.03</v>
      </c>
      <c r="J58" s="105"/>
      <c r="K58" s="105"/>
      <c r="L58" s="105"/>
      <c r="M58" s="105"/>
      <c r="N58" s="105"/>
    </row>
    <row r="59" spans="1:14" x14ac:dyDescent="0.25">
      <c r="A59" s="146" t="s">
        <v>118</v>
      </c>
      <c r="B59" s="147" t="s">
        <v>132</v>
      </c>
      <c r="C59" s="148">
        <v>0.36799999999999999</v>
      </c>
      <c r="D59" s="148" t="s">
        <v>130</v>
      </c>
      <c r="E59" s="148">
        <v>1.56</v>
      </c>
      <c r="F59" s="149" t="s">
        <v>275</v>
      </c>
      <c r="G59" s="150">
        <v>0.6</v>
      </c>
      <c r="H59" s="148" t="s">
        <v>284</v>
      </c>
      <c r="I59" s="151">
        <v>1.03</v>
      </c>
      <c r="J59" s="105"/>
      <c r="K59" s="105"/>
      <c r="L59" s="105"/>
      <c r="M59" s="105"/>
      <c r="N59" s="105"/>
    </row>
    <row r="60" spans="1:14" x14ac:dyDescent="0.25">
      <c r="A60" s="146" t="s">
        <v>119</v>
      </c>
      <c r="B60" s="147" t="s">
        <v>132</v>
      </c>
      <c r="C60" s="148">
        <v>0.30599999999999999</v>
      </c>
      <c r="D60" s="148" t="s">
        <v>130</v>
      </c>
      <c r="E60" s="148">
        <v>1.56</v>
      </c>
      <c r="F60" s="149" t="s">
        <v>275</v>
      </c>
      <c r="G60" s="150">
        <v>0.6</v>
      </c>
      <c r="H60" s="148" t="s">
        <v>284</v>
      </c>
      <c r="I60" s="151">
        <v>1.03</v>
      </c>
      <c r="J60" s="105"/>
      <c r="K60" s="105"/>
      <c r="L60" s="105"/>
      <c r="M60" s="105"/>
      <c r="N60" s="105"/>
    </row>
    <row r="61" spans="1:14" x14ac:dyDescent="0.25">
      <c r="A61" s="146" t="s">
        <v>120</v>
      </c>
      <c r="B61" s="147" t="s">
        <v>132</v>
      </c>
      <c r="C61" s="148">
        <v>0.313</v>
      </c>
      <c r="D61" s="148" t="s">
        <v>130</v>
      </c>
      <c r="E61" s="148">
        <v>1.56</v>
      </c>
      <c r="F61" s="149" t="s">
        <v>275</v>
      </c>
      <c r="G61" s="150">
        <v>0.6</v>
      </c>
      <c r="H61" s="148" t="s">
        <v>284</v>
      </c>
      <c r="I61" s="151">
        <v>1.03</v>
      </c>
      <c r="J61" s="105"/>
      <c r="K61" s="105"/>
      <c r="L61" s="105"/>
      <c r="M61" s="105"/>
      <c r="N61" s="105"/>
    </row>
    <row r="62" spans="1:14" x14ac:dyDescent="0.25">
      <c r="A62" s="146" t="s">
        <v>32</v>
      </c>
      <c r="B62" s="147" t="s">
        <v>133</v>
      </c>
      <c r="C62" s="148">
        <v>0.37</v>
      </c>
      <c r="D62" s="148" t="s">
        <v>161</v>
      </c>
      <c r="E62" s="148">
        <v>1.56</v>
      </c>
      <c r="F62" s="149" t="s">
        <v>275</v>
      </c>
      <c r="G62" s="150">
        <v>0.6</v>
      </c>
      <c r="H62" s="148" t="s">
        <v>284</v>
      </c>
      <c r="I62" s="151">
        <v>1.03</v>
      </c>
      <c r="J62" s="105"/>
      <c r="K62" s="105"/>
      <c r="L62" s="105"/>
      <c r="M62" s="105"/>
      <c r="N62" s="105"/>
    </row>
    <row r="63" spans="1:14" x14ac:dyDescent="0.25">
      <c r="A63" s="146" t="s">
        <v>90</v>
      </c>
      <c r="B63" s="147" t="s">
        <v>83</v>
      </c>
      <c r="C63" s="148">
        <v>0.45</v>
      </c>
      <c r="D63" s="148" t="s">
        <v>161</v>
      </c>
      <c r="E63" s="148">
        <v>1.3</v>
      </c>
      <c r="F63" s="149" t="s">
        <v>275</v>
      </c>
      <c r="G63" s="150">
        <v>0.45</v>
      </c>
      <c r="H63" s="148" t="s">
        <v>277</v>
      </c>
      <c r="I63" s="151">
        <v>0.43</v>
      </c>
      <c r="J63" s="105"/>
      <c r="K63" s="105"/>
      <c r="L63" s="105"/>
      <c r="M63" s="105"/>
      <c r="N63" s="105"/>
    </row>
    <row r="64" spans="1:14" x14ac:dyDescent="0.25">
      <c r="A64" s="146" t="s">
        <v>33</v>
      </c>
      <c r="B64" s="147" t="s">
        <v>134</v>
      </c>
      <c r="C64" s="148">
        <v>0.39</v>
      </c>
      <c r="D64" s="148" t="s">
        <v>161</v>
      </c>
      <c r="E64" s="148">
        <v>1.3</v>
      </c>
      <c r="F64" s="149" t="s">
        <v>275</v>
      </c>
      <c r="G64" s="150">
        <v>0.45</v>
      </c>
      <c r="H64" s="148" t="s">
        <v>277</v>
      </c>
      <c r="I64" s="151">
        <v>0.43</v>
      </c>
      <c r="J64" s="105"/>
      <c r="K64" s="105"/>
      <c r="L64" s="105"/>
      <c r="M64" s="105"/>
      <c r="N64" s="105"/>
    </row>
    <row r="65" spans="1:14" x14ac:dyDescent="0.25">
      <c r="A65" s="146" t="s">
        <v>34</v>
      </c>
      <c r="B65" s="147" t="s">
        <v>135</v>
      </c>
      <c r="C65" s="148">
        <v>0.44</v>
      </c>
      <c r="D65" s="148" t="s">
        <v>161</v>
      </c>
      <c r="E65" s="148">
        <v>1.3</v>
      </c>
      <c r="F65" s="149" t="s">
        <v>275</v>
      </c>
      <c r="G65" s="150">
        <v>0.45</v>
      </c>
      <c r="H65" s="148" t="s">
        <v>277</v>
      </c>
      <c r="I65" s="151">
        <v>0.43</v>
      </c>
      <c r="J65" s="105"/>
      <c r="K65" s="105"/>
      <c r="L65" s="105"/>
      <c r="M65" s="105"/>
      <c r="N65" s="105"/>
    </row>
    <row r="66" spans="1:14" x14ac:dyDescent="0.25">
      <c r="A66" s="146" t="s">
        <v>35</v>
      </c>
      <c r="B66" s="147" t="s">
        <v>84</v>
      </c>
      <c r="C66" s="148">
        <v>0.46</v>
      </c>
      <c r="D66" s="148" t="s">
        <v>161</v>
      </c>
      <c r="E66" s="148">
        <v>1.3</v>
      </c>
      <c r="F66" s="149" t="s">
        <v>275</v>
      </c>
      <c r="G66" s="150">
        <v>0.45</v>
      </c>
      <c r="H66" s="148" t="s">
        <v>277</v>
      </c>
      <c r="I66" s="151">
        <v>0.43</v>
      </c>
      <c r="J66" s="105"/>
      <c r="K66" s="105"/>
      <c r="L66" s="105"/>
      <c r="M66" s="105"/>
      <c r="N66" s="105"/>
    </row>
    <row r="67" spans="1:14" x14ac:dyDescent="0.25">
      <c r="A67" s="146" t="s">
        <v>36</v>
      </c>
      <c r="B67" s="147" t="s">
        <v>85</v>
      </c>
      <c r="C67" s="148">
        <v>0.46</v>
      </c>
      <c r="D67" s="148" t="s">
        <v>161</v>
      </c>
      <c r="E67" s="148">
        <v>1.3</v>
      </c>
      <c r="F67" s="149" t="s">
        <v>275</v>
      </c>
      <c r="G67" s="150">
        <v>0.45</v>
      </c>
      <c r="H67" s="148" t="s">
        <v>152</v>
      </c>
      <c r="I67" s="151">
        <v>0.59</v>
      </c>
      <c r="J67" s="105"/>
      <c r="K67" s="105"/>
      <c r="L67" s="105"/>
      <c r="M67" s="105"/>
      <c r="N67" s="105"/>
    </row>
    <row r="68" spans="1:14" x14ac:dyDescent="0.25">
      <c r="A68" s="146" t="s">
        <v>37</v>
      </c>
      <c r="B68" s="147" t="s">
        <v>136</v>
      </c>
      <c r="C68" s="148">
        <v>0.44</v>
      </c>
      <c r="D68" s="148" t="s">
        <v>161</v>
      </c>
      <c r="E68" s="148">
        <v>1.3</v>
      </c>
      <c r="F68" s="149" t="s">
        <v>275</v>
      </c>
      <c r="G68" s="150">
        <v>0.45</v>
      </c>
      <c r="H68" s="148" t="s">
        <v>277</v>
      </c>
      <c r="I68" s="151">
        <v>0.43</v>
      </c>
      <c r="J68" s="105"/>
      <c r="K68" s="105"/>
      <c r="L68" s="105"/>
      <c r="M68" s="105"/>
      <c r="N68" s="105"/>
    </row>
    <row r="69" spans="1:14" x14ac:dyDescent="0.25">
      <c r="A69" s="146" t="s">
        <v>38</v>
      </c>
      <c r="B69" s="147" t="s">
        <v>86</v>
      </c>
      <c r="C69" s="148">
        <v>0.46</v>
      </c>
      <c r="D69" s="148" t="s">
        <v>161</v>
      </c>
      <c r="E69" s="148">
        <v>1.3</v>
      </c>
      <c r="F69" s="149" t="s">
        <v>275</v>
      </c>
      <c r="G69" s="150">
        <v>0.45</v>
      </c>
      <c r="H69" s="148" t="s">
        <v>277</v>
      </c>
      <c r="I69" s="151">
        <v>0.43</v>
      </c>
      <c r="J69" s="105"/>
      <c r="K69" s="105"/>
      <c r="L69" s="105"/>
      <c r="M69" s="105"/>
      <c r="N69" s="105"/>
    </row>
    <row r="70" spans="1:14" x14ac:dyDescent="0.25">
      <c r="A70" s="146" t="s">
        <v>39</v>
      </c>
      <c r="B70" s="147" t="s">
        <v>137</v>
      </c>
      <c r="C70" s="148">
        <v>0.48</v>
      </c>
      <c r="D70" s="148" t="s">
        <v>161</v>
      </c>
      <c r="E70" s="148">
        <v>2.4</v>
      </c>
      <c r="F70" s="148" t="s">
        <v>285</v>
      </c>
      <c r="G70" s="150">
        <v>0.45</v>
      </c>
      <c r="H70" s="148" t="s">
        <v>277</v>
      </c>
      <c r="I70" s="151">
        <v>0.43</v>
      </c>
      <c r="J70" s="105"/>
      <c r="K70" s="105"/>
      <c r="L70" s="105"/>
      <c r="M70" s="105"/>
      <c r="N70" s="105"/>
    </row>
    <row r="71" spans="1:14" x14ac:dyDescent="0.25">
      <c r="A71" s="146" t="s">
        <v>40</v>
      </c>
      <c r="B71" s="147" t="s">
        <v>87</v>
      </c>
      <c r="C71" s="148">
        <v>0.46</v>
      </c>
      <c r="D71" s="148" t="s">
        <v>150</v>
      </c>
      <c r="E71" s="148">
        <v>1.3</v>
      </c>
      <c r="F71" s="149" t="s">
        <v>275</v>
      </c>
      <c r="G71" s="150">
        <v>0.45</v>
      </c>
      <c r="H71" s="148" t="s">
        <v>277</v>
      </c>
      <c r="I71" s="151">
        <v>0.43</v>
      </c>
      <c r="J71" s="105"/>
      <c r="K71" s="105"/>
      <c r="L71" s="105"/>
      <c r="M71" s="105"/>
      <c r="N71" s="105"/>
    </row>
    <row r="72" spans="1:14" x14ac:dyDescent="0.25">
      <c r="A72" s="146" t="s">
        <v>41</v>
      </c>
      <c r="B72" s="147" t="s">
        <v>88</v>
      </c>
      <c r="C72" s="148">
        <v>0.44</v>
      </c>
      <c r="D72" s="148" t="s">
        <v>161</v>
      </c>
      <c r="E72" s="148">
        <v>1.3</v>
      </c>
      <c r="F72" s="149" t="s">
        <v>275</v>
      </c>
      <c r="G72" s="150">
        <v>0.45</v>
      </c>
      <c r="H72" s="148" t="s">
        <v>277</v>
      </c>
      <c r="I72" s="151">
        <v>0.43</v>
      </c>
      <c r="J72" s="105"/>
      <c r="K72" s="105"/>
      <c r="L72" s="105"/>
      <c r="M72" s="105"/>
      <c r="N72" s="105"/>
    </row>
    <row r="73" spans="1:14" x14ac:dyDescent="0.25">
      <c r="A73" s="146" t="s">
        <v>138</v>
      </c>
      <c r="B73" s="147" t="s">
        <v>140</v>
      </c>
      <c r="C73" s="148">
        <v>0.46</v>
      </c>
      <c r="D73" s="148" t="s">
        <v>151</v>
      </c>
      <c r="E73" s="148">
        <v>1.3</v>
      </c>
      <c r="F73" s="149" t="s">
        <v>275</v>
      </c>
      <c r="G73" s="150">
        <v>0.45</v>
      </c>
      <c r="H73" s="148" t="s">
        <v>277</v>
      </c>
      <c r="I73" s="151">
        <v>0.43</v>
      </c>
      <c r="J73" s="105"/>
      <c r="K73" s="105"/>
      <c r="L73" s="105"/>
      <c r="M73" s="105"/>
      <c r="N73" s="105"/>
    </row>
    <row r="74" spans="1:14" x14ac:dyDescent="0.25">
      <c r="A74" s="146" t="s">
        <v>42</v>
      </c>
      <c r="B74" s="147" t="s">
        <v>139</v>
      </c>
      <c r="C74" s="148">
        <v>0.34</v>
      </c>
      <c r="D74" s="148" t="s">
        <v>161</v>
      </c>
      <c r="E74" s="148">
        <v>1.3</v>
      </c>
      <c r="F74" s="149" t="s">
        <v>275</v>
      </c>
      <c r="G74" s="150">
        <v>0.45</v>
      </c>
      <c r="H74" s="148" t="s">
        <v>277</v>
      </c>
      <c r="I74" s="151">
        <v>0.43</v>
      </c>
      <c r="J74" s="105"/>
      <c r="K74" s="105"/>
      <c r="L74" s="105"/>
      <c r="M74" s="105"/>
      <c r="N74" s="105"/>
    </row>
    <row r="75" spans="1:14" x14ac:dyDescent="0.25">
      <c r="A75" s="146" t="s">
        <v>43</v>
      </c>
      <c r="B75" s="147" t="s">
        <v>162</v>
      </c>
      <c r="C75" s="148">
        <v>0.5</v>
      </c>
      <c r="D75" s="148" t="s">
        <v>161</v>
      </c>
      <c r="E75" s="148">
        <v>1.56</v>
      </c>
      <c r="F75" s="149" t="s">
        <v>275</v>
      </c>
      <c r="G75" s="150">
        <v>0.53</v>
      </c>
      <c r="H75" s="148" t="s">
        <v>276</v>
      </c>
      <c r="I75" s="151">
        <v>0.25</v>
      </c>
      <c r="J75" s="105"/>
      <c r="K75" s="105"/>
      <c r="L75" s="105"/>
      <c r="M75" s="105"/>
      <c r="N75" s="105"/>
    </row>
    <row r="76" spans="1:14" x14ac:dyDescent="0.25">
      <c r="A76" s="146" t="s">
        <v>44</v>
      </c>
      <c r="B76" s="147" t="s">
        <v>89</v>
      </c>
      <c r="C76" s="148">
        <v>0.57999999999999996</v>
      </c>
      <c r="D76" s="148" t="s">
        <v>161</v>
      </c>
      <c r="E76" s="148">
        <v>1.56</v>
      </c>
      <c r="F76" s="149" t="s">
        <v>275</v>
      </c>
      <c r="G76" s="150">
        <v>0.3</v>
      </c>
      <c r="H76" s="148" t="s">
        <v>278</v>
      </c>
      <c r="I76" s="151">
        <v>0.25</v>
      </c>
      <c r="J76" s="105"/>
      <c r="K76" s="105"/>
      <c r="L76" s="105"/>
      <c r="M76" s="105"/>
      <c r="N76" s="105"/>
    </row>
    <row r="77" spans="1:14" x14ac:dyDescent="0.25">
      <c r="A77" s="146" t="s">
        <v>47</v>
      </c>
      <c r="B77" s="147" t="s">
        <v>141</v>
      </c>
      <c r="C77" s="148">
        <v>0.37</v>
      </c>
      <c r="D77" s="148" t="s">
        <v>161</v>
      </c>
      <c r="E77" s="148">
        <v>1.3</v>
      </c>
      <c r="F77" s="149" t="s">
        <v>275</v>
      </c>
      <c r="G77" s="150">
        <v>0.55000000000000004</v>
      </c>
      <c r="H77" s="148" t="s">
        <v>152</v>
      </c>
      <c r="I77" s="151">
        <v>0.43</v>
      </c>
      <c r="J77" s="105"/>
      <c r="K77" s="105"/>
      <c r="L77" s="105"/>
      <c r="M77" s="105"/>
      <c r="N77" s="105"/>
    </row>
    <row r="78" spans="1:14" x14ac:dyDescent="0.25">
      <c r="A78" s="146" t="s">
        <v>45</v>
      </c>
      <c r="B78" s="147" t="s">
        <v>96</v>
      </c>
      <c r="C78" s="148">
        <v>0.37</v>
      </c>
      <c r="D78" s="148" t="s">
        <v>161</v>
      </c>
      <c r="E78" s="148">
        <v>1.3</v>
      </c>
      <c r="F78" s="149" t="s">
        <v>275</v>
      </c>
      <c r="G78" s="150">
        <v>0.55000000000000004</v>
      </c>
      <c r="H78" s="148" t="s">
        <v>152</v>
      </c>
      <c r="I78" s="151">
        <v>0.43</v>
      </c>
      <c r="J78" s="105"/>
      <c r="K78" s="105"/>
      <c r="L78" s="105"/>
      <c r="M78" s="105"/>
      <c r="N78" s="105"/>
    </row>
    <row r="79" spans="1:14" x14ac:dyDescent="0.25">
      <c r="A79" s="146" t="s">
        <v>46</v>
      </c>
      <c r="B79" s="147" t="s">
        <v>95</v>
      </c>
      <c r="C79" s="148">
        <v>0.38</v>
      </c>
      <c r="D79" s="148" t="s">
        <v>161</v>
      </c>
      <c r="E79" s="148">
        <v>1.3</v>
      </c>
      <c r="F79" s="149" t="s">
        <v>275</v>
      </c>
      <c r="G79" s="150">
        <v>0.55000000000000004</v>
      </c>
      <c r="H79" s="148" t="s">
        <v>153</v>
      </c>
      <c r="I79" s="151">
        <v>0.43</v>
      </c>
      <c r="J79" s="105"/>
      <c r="K79" s="105"/>
      <c r="L79" s="105"/>
      <c r="M79" s="105"/>
      <c r="N79" s="105"/>
    </row>
    <row r="80" spans="1:14" x14ac:dyDescent="0.25">
      <c r="A80" s="146" t="s">
        <v>48</v>
      </c>
      <c r="B80" s="147" t="s">
        <v>94</v>
      </c>
      <c r="C80" s="148">
        <v>0.36</v>
      </c>
      <c r="D80" s="148" t="s">
        <v>161</v>
      </c>
      <c r="E80" s="148">
        <v>1.3</v>
      </c>
      <c r="F80" s="149" t="s">
        <v>275</v>
      </c>
      <c r="G80" s="150">
        <v>0.55000000000000004</v>
      </c>
      <c r="H80" s="148" t="s">
        <v>153</v>
      </c>
      <c r="I80" s="151">
        <v>0.43</v>
      </c>
      <c r="J80" s="105"/>
      <c r="K80" s="105"/>
      <c r="L80" s="105"/>
      <c r="M80" s="105"/>
      <c r="N80" s="105"/>
    </row>
    <row r="81" spans="1:14" x14ac:dyDescent="0.25">
      <c r="A81" s="146" t="s">
        <v>49</v>
      </c>
      <c r="B81" s="147" t="s">
        <v>142</v>
      </c>
      <c r="C81" s="148">
        <v>0.37</v>
      </c>
      <c r="D81" s="148" t="s">
        <v>161</v>
      </c>
      <c r="E81" s="148">
        <v>1.56</v>
      </c>
      <c r="F81" s="149" t="s">
        <v>275</v>
      </c>
      <c r="G81" s="150">
        <v>0.43</v>
      </c>
      <c r="H81" s="148" t="s">
        <v>279</v>
      </c>
      <c r="I81" s="151">
        <v>0.25</v>
      </c>
      <c r="J81" s="105"/>
      <c r="K81" s="105"/>
      <c r="L81" s="105"/>
      <c r="M81" s="105"/>
      <c r="N81" s="105"/>
    </row>
    <row r="82" spans="1:14" x14ac:dyDescent="0.25">
      <c r="A82" s="146" t="s">
        <v>158</v>
      </c>
      <c r="B82" s="147" t="s">
        <v>159</v>
      </c>
      <c r="C82" s="148">
        <v>0.35</v>
      </c>
      <c r="D82" s="148" t="s">
        <v>160</v>
      </c>
      <c r="E82" s="148">
        <v>1.3</v>
      </c>
      <c r="F82" s="149" t="s">
        <v>275</v>
      </c>
      <c r="G82" s="150">
        <v>0.55000000000000004</v>
      </c>
      <c r="H82" s="148" t="s">
        <v>153</v>
      </c>
      <c r="I82" s="151">
        <v>0.43</v>
      </c>
      <c r="J82" s="105"/>
      <c r="K82" s="105"/>
      <c r="L82" s="105"/>
      <c r="M82" s="105"/>
      <c r="N82" s="105"/>
    </row>
    <row r="83" spans="1:14" x14ac:dyDescent="0.25">
      <c r="A83" s="146" t="s">
        <v>156</v>
      </c>
      <c r="B83" s="147" t="s">
        <v>157</v>
      </c>
      <c r="C83" s="148">
        <v>0.34</v>
      </c>
      <c r="D83" s="148" t="s">
        <v>161</v>
      </c>
      <c r="E83" s="148">
        <v>1.3</v>
      </c>
      <c r="F83" s="149" t="s">
        <v>275</v>
      </c>
      <c r="G83" s="150">
        <v>0.55000000000000004</v>
      </c>
      <c r="H83" s="148" t="s">
        <v>153</v>
      </c>
      <c r="I83" s="151">
        <v>0.43</v>
      </c>
      <c r="J83" s="105"/>
      <c r="K83" s="105"/>
      <c r="L83" s="105"/>
      <c r="M83" s="105"/>
      <c r="N83" s="105"/>
    </row>
    <row r="84" spans="1:14" x14ac:dyDescent="0.25">
      <c r="A84" s="146" t="s">
        <v>92</v>
      </c>
      <c r="B84" s="147" t="s">
        <v>93</v>
      </c>
      <c r="C84" s="148">
        <v>0.31</v>
      </c>
      <c r="D84" s="148" t="s">
        <v>161</v>
      </c>
      <c r="E84" s="148">
        <v>1.3</v>
      </c>
      <c r="F84" s="149" t="s">
        <v>275</v>
      </c>
      <c r="G84" s="150">
        <v>0.55000000000000004</v>
      </c>
      <c r="H84" s="148" t="s">
        <v>153</v>
      </c>
      <c r="I84" s="151">
        <v>0.43</v>
      </c>
      <c r="J84" s="105"/>
      <c r="K84" s="105"/>
      <c r="L84" s="105"/>
      <c r="M84" s="105"/>
      <c r="N84" s="105"/>
    </row>
    <row r="85" spans="1:14" x14ac:dyDescent="0.25">
      <c r="A85" s="146" t="s">
        <v>50</v>
      </c>
      <c r="B85" s="147" t="s">
        <v>143</v>
      </c>
      <c r="C85" s="148">
        <v>0.43</v>
      </c>
      <c r="D85" s="148" t="s">
        <v>161</v>
      </c>
      <c r="E85" s="148">
        <v>1.56</v>
      </c>
      <c r="F85" s="149" t="s">
        <v>275</v>
      </c>
      <c r="G85" s="150">
        <v>0.53</v>
      </c>
      <c r="H85" s="148" t="s">
        <v>276</v>
      </c>
      <c r="I85" s="151">
        <v>0.25</v>
      </c>
      <c r="J85" s="105"/>
      <c r="K85" s="105"/>
      <c r="L85" s="105"/>
      <c r="M85" s="105"/>
      <c r="N85" s="105"/>
    </row>
    <row r="86" spans="1:14" x14ac:dyDescent="0.25">
      <c r="A86" s="146" t="s">
        <v>51</v>
      </c>
      <c r="B86" s="147" t="s">
        <v>91</v>
      </c>
      <c r="C86" s="148">
        <v>0.38</v>
      </c>
      <c r="D86" s="148" t="s">
        <v>161</v>
      </c>
      <c r="E86" s="148">
        <v>1.56</v>
      </c>
      <c r="F86" s="149" t="s">
        <v>275</v>
      </c>
      <c r="G86" s="150">
        <v>0.6</v>
      </c>
      <c r="H86" s="148" t="s">
        <v>280</v>
      </c>
      <c r="I86" s="151">
        <v>0.25</v>
      </c>
      <c r="J86" s="105"/>
      <c r="K86" s="105"/>
      <c r="L86" s="105"/>
      <c r="M86" s="105"/>
      <c r="N86" s="105"/>
    </row>
    <row r="87" spans="1:14" x14ac:dyDescent="0.25">
      <c r="A87" s="146" t="s">
        <v>148</v>
      </c>
      <c r="B87" s="154"/>
      <c r="C87" s="148">
        <v>0.42</v>
      </c>
      <c r="D87" s="148" t="s">
        <v>161</v>
      </c>
      <c r="E87" s="148">
        <v>1.3</v>
      </c>
      <c r="F87" s="149" t="s">
        <v>275</v>
      </c>
      <c r="G87" s="155"/>
      <c r="H87" s="154"/>
      <c r="I87" s="156"/>
    </row>
    <row r="88" spans="1:14" ht="15.75" thickBot="1" x14ac:dyDescent="0.3">
      <c r="A88" s="157" t="s">
        <v>149</v>
      </c>
      <c r="B88" s="158"/>
      <c r="C88" s="159">
        <v>0.56999999999999995</v>
      </c>
      <c r="D88" s="160" t="s">
        <v>161</v>
      </c>
      <c r="E88" s="159">
        <v>1.56</v>
      </c>
      <c r="F88" s="159" t="s">
        <v>275</v>
      </c>
      <c r="G88" s="158"/>
      <c r="H88" s="158"/>
      <c r="I88" s="161"/>
    </row>
    <row r="92" spans="1:14" x14ac:dyDescent="0.25">
      <c r="A92" s="146" t="s">
        <v>208</v>
      </c>
    </row>
    <row r="93" spans="1:14" x14ac:dyDescent="0.25">
      <c r="A93" s="146" t="s">
        <v>209</v>
      </c>
    </row>
    <row r="94" spans="1:14" x14ac:dyDescent="0.25">
      <c r="A94" s="146" t="s">
        <v>210</v>
      </c>
    </row>
  </sheetData>
  <sheetProtection algorithmName="SHA-512" hashValue="SU8v9sh0HK2j7Ogy/cb6KacbfRqtnO7n52wtgLVAit1FvWCcc+9YsrQFKwVx34OtTH0HMtzU1UNx2LBAmhOgWA==" saltValue="Ik5XPr131wfHnZW4R2rluw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topLeftCell="A31" workbookViewId="0">
      <selection activeCell="I40" sqref="I40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263" t="s">
        <v>272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5"/>
      <c r="B3" s="5"/>
      <c r="C3" s="5"/>
      <c r="D3" s="5"/>
      <c r="E3" s="5"/>
      <c r="F3" s="5"/>
      <c r="G3" s="5"/>
      <c r="H3" s="5"/>
      <c r="I3" s="71"/>
      <c r="J3" s="71"/>
      <c r="K3" s="71"/>
      <c r="L3" s="71"/>
      <c r="M3" s="71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5"/>
      <c r="B4" s="5"/>
      <c r="C4" s="5"/>
      <c r="D4" s="5"/>
      <c r="E4" s="5"/>
      <c r="F4" s="5"/>
      <c r="G4" s="5"/>
      <c r="H4" s="5"/>
      <c r="I4" s="71"/>
      <c r="J4" s="71"/>
      <c r="K4" s="71"/>
      <c r="L4" s="71"/>
      <c r="M4" s="71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62" t="s">
        <v>207</v>
      </c>
      <c r="B5" s="163" t="s">
        <v>250</v>
      </c>
      <c r="C5" s="164" t="str">
        <f>Calculateur!S2</f>
        <v>Stock moyen de long terme (tCO₂/ha)</v>
      </c>
      <c r="D5" s="164" t="str">
        <f>Calculateur!T2</f>
        <v>Δstock CO₂ 30 ans (tCO₂/ha)</v>
      </c>
      <c r="E5" s="164" t="s">
        <v>228</v>
      </c>
      <c r="F5" s="164" t="s">
        <v>239</v>
      </c>
      <c r="G5" s="164" t="s">
        <v>240</v>
      </c>
      <c r="H5" s="165" t="s">
        <v>241</v>
      </c>
      <c r="I5" s="166" t="s">
        <v>242</v>
      </c>
      <c r="J5" s="167" t="s">
        <v>243</v>
      </c>
      <c r="K5" s="168" t="s">
        <v>244</v>
      </c>
      <c r="L5" s="90" t="s">
        <v>245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69" t="str">
        <f>IF('Données projet'!$B$9="","",'Données projet'!$B$9)</f>
        <v>Pin pignon</v>
      </c>
      <c r="B6" s="170">
        <f>'Données projet'!D9</f>
        <v>2.0629499999999998</v>
      </c>
      <c r="C6" s="171">
        <f ca="1">IF(OR('Données projet'!B9="",'Données projet'!C9="",'Données projet'!C9=0%),0,Calculateur!S3)</f>
        <v>314.72063458462026</v>
      </c>
      <c r="D6" s="171">
        <f>IF(OR('Données projet'!B9="",'Données projet'!C9="",'Données projet'!C9=0%),0,Calculateur!T3)</f>
        <v>216.4380325968244</v>
      </c>
      <c r="E6" s="171">
        <f ca="1">MIN(C6,D6)</f>
        <v>216.4380325968244</v>
      </c>
      <c r="F6" s="171">
        <f ca="1">E6*B6</f>
        <v>446.50083934561889</v>
      </c>
      <c r="G6" s="171">
        <f ca="1">F6*(100%-'Données projet'!$C$24)*(100%-'Données projet'!$C$25)*(100%-'Données projet'!$C$26)*(100%-'Données projet'!$C$27)</f>
        <v>381.75821764050409</v>
      </c>
      <c r="H6" s="172">
        <f>IF(OR('Données projet'!B9="",'Données projet'!C9="",'Données projet'!C9=0%),0,AVERAGE(Calculateur!$AC$3:$AC$33)*B6)</f>
        <v>0</v>
      </c>
      <c r="I6" s="173">
        <f>H6*(100%-'Données projet'!$C$24)*(100%-'Données projet'!$C$25)*(100%-'Données projet'!$C$26)*(100%-'Données projet'!$C$27)</f>
        <v>0</v>
      </c>
      <c r="J6" s="174">
        <f>IF(OR('Données projet'!B9="",'Données projet'!C9="",'Données projet'!C9=0%),0,SUM(Calculateur!$V$3:$V$33)*VLOOKUP('Données projet'!$B$9,Paramètres!$A$1:$I$88,9,0)*B6)</f>
        <v>10.090404187499999</v>
      </c>
      <c r="K6" s="175">
        <f>J6*(100%-'Données projet'!$C$24)*(100%-'Données projet'!$C$25)*(100%-'Données projet'!$C$26)*(100%-'Données projet'!$C$27)</f>
        <v>8.6272955803125004</v>
      </c>
      <c r="L6" s="176">
        <f ca="1">G6+I6+K6</f>
        <v>390.38551322081656</v>
      </c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77" t="str">
        <f>IF('Données projet'!$B$10="","",'Données projet'!$B$10)</f>
        <v>Chêne chevelu</v>
      </c>
      <c r="B7" s="178">
        <f>'Données projet'!D10</f>
        <v>0.52784999999999993</v>
      </c>
      <c r="C7" s="171">
        <f ca="1">IF(OR('Données projet'!B10="",'Données projet'!C10="",'Données projet'!C10=0%),0,Calculateur!AN3)</f>
        <v>458.33072853676879</v>
      </c>
      <c r="D7" s="171">
        <f>IF(OR('Données projet'!B10="",'Données projet'!C10="",'Données projet'!C10=0%),0,Calculateur!AO3)</f>
        <v>254.1734169352687</v>
      </c>
      <c r="E7" s="171">
        <f t="shared" ref="E7:E15" ca="1" si="0">MIN(C7,D7)</f>
        <v>254.1734169352687</v>
      </c>
      <c r="F7" s="171">
        <f t="shared" ref="F7:F15" ca="1" si="1">E7*B7</f>
        <v>134.16543812928157</v>
      </c>
      <c r="G7" s="171">
        <f ca="1">F7*(100%-'Données projet'!$C$24)*(100%-'Données projet'!$C$25)*(100%-'Données projet'!$C$26)*(100%-'Données projet'!$C$27)</f>
        <v>114.71144960053574</v>
      </c>
      <c r="H7" s="179">
        <f>IF(OR('Données projet'!B10="",'Données projet'!C10="",'Données projet'!C10=0%),0,AVERAGE(Calculateur!$AX$3:$AX$33)*B7)</f>
        <v>0</v>
      </c>
      <c r="I7" s="173">
        <f>H7*(100%-'Données projet'!$C$24)*(100%-'Données projet'!$C$25)*(100%-'Données projet'!$C$26)*(100%-'Données projet'!$C$27)</f>
        <v>0</v>
      </c>
      <c r="J7" s="174">
        <f>IF(OR('Données projet'!B10="",'Données projet'!C10="",'Données projet'!C10=0%),0,SUM(Calculateur!$AQ$3:$AQ$33)*VLOOKUP('Données projet'!$B$10,Paramètres!$A$1:$I$88,9,0)*B7)</f>
        <v>1.7155124999999998</v>
      </c>
      <c r="K7" s="175">
        <f>J7*(100%-'Données projet'!$C$24)*(100%-'Données projet'!$C$25)*(100%-'Données projet'!$C$26)*(100%-'Données projet'!$C$27)</f>
        <v>1.4667631874999996</v>
      </c>
      <c r="L7" s="176">
        <f t="shared" ref="L7:L15" ca="1" si="2">G7+I7+K7</f>
        <v>116.17821278803574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77" t="str">
        <f>IF('Données projet'!$B$11="","",'Données projet'!$B$11)</f>
        <v>Chêne pubescent</v>
      </c>
      <c r="B8" s="178">
        <f>'Données projet'!D11</f>
        <v>0.52784999999999993</v>
      </c>
      <c r="C8" s="171">
        <f ca="1">IF(OR('Données projet'!B11="",'Données projet'!C11="",'Données projet'!C11=0%),0,Calculateur!BI3)</f>
        <v>447.82618173893104</v>
      </c>
      <c r="D8" s="171">
        <f>IF(OR('Données projet'!B11="",'Données projet'!C11="",'Données projet'!C11=0%),0,Calculateur!BJ3)</f>
        <v>248.96509970783379</v>
      </c>
      <c r="E8" s="171">
        <f t="shared" ca="1" si="0"/>
        <v>248.96509970783379</v>
      </c>
      <c r="F8" s="171">
        <f t="shared" ca="1" si="1"/>
        <v>131.41622788078004</v>
      </c>
      <c r="G8" s="171">
        <f ca="1">F8*(100%-'Données projet'!$C$24)*(100%-'Données projet'!$C$25)*(100%-'Données projet'!$C$26)*(100%-'Données projet'!$C$27)</f>
        <v>112.36087483806693</v>
      </c>
      <c r="H8" s="179">
        <f>IF(OR('Données projet'!B11="",'Données projet'!C11="",'Données projet'!C11=0%),0,AVERAGE(Calculateur!$BS$3:$BS$33)*B8)</f>
        <v>0</v>
      </c>
      <c r="I8" s="173">
        <f>H8*(100%-'Données projet'!$C$24)*(100%-'Données projet'!$C$25)*(100%-'Données projet'!$C$26)*(100%-'Données projet'!$C$27)</f>
        <v>0</v>
      </c>
      <c r="J8" s="174">
        <f>IF(OR('Données projet'!B11="",'Données projet'!C11="",'Données projet'!C11=0%),0,SUM(Calculateur!$BL$3:$BL$33)*VLOOKUP('Données projet'!$B$11,Paramètres!$A$1:$I$88,9,0)*B8)</f>
        <v>1.7155124999999998</v>
      </c>
      <c r="K8" s="175">
        <f>J8*(100%-'Données projet'!$C$24)*(100%-'Données projet'!$C$25)*(100%-'Données projet'!$C$26)*(100%-'Données projet'!$C$27)</f>
        <v>1.4667631874999996</v>
      </c>
      <c r="L8" s="176">
        <f t="shared" ca="1" si="2"/>
        <v>113.82763802556693</v>
      </c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77" t="str">
        <f>IF('Données projet'!$B$12="","",'Données projet'!$B$12)</f>
        <v>Cormier</v>
      </c>
      <c r="B9" s="178">
        <f>'Données projet'!D12</f>
        <v>0.52784999999999993</v>
      </c>
      <c r="C9" s="171">
        <f ca="1">IF(OR('Données projet'!B12="",'Données projet'!C12="",'Données projet'!C12=0%),0,Calculateur!CD3)</f>
        <v>468.82871618425406</v>
      </c>
      <c r="D9" s="171">
        <f>IF(OR('Données projet'!B12="",'Données projet'!C12="",'Données projet'!C12=0%),0,Calculateur!CE3)</f>
        <v>259.37818128554397</v>
      </c>
      <c r="E9" s="171">
        <f t="shared" ca="1" si="0"/>
        <v>259.37818128554397</v>
      </c>
      <c r="F9" s="171">
        <f t="shared" ca="1" si="1"/>
        <v>136.91277299157437</v>
      </c>
      <c r="G9" s="171">
        <f ca="1">F9*(100%-'Données projet'!$C$24)*(100%-'Données projet'!$C$25)*(100%-'Données projet'!$C$26)*(100%-'Données projet'!$C$27)</f>
        <v>117.06042090779609</v>
      </c>
      <c r="H9" s="179">
        <f>IF(OR('Données projet'!B12="",'Données projet'!C12="",'Données projet'!C12=0%),0,AVERAGE(Calculateur!$CN$3:$CN$33)*B9)</f>
        <v>0</v>
      </c>
      <c r="I9" s="173">
        <f>H9*(100%-'Données projet'!$C$24)*(100%-'Données projet'!$C$25)*(100%-'Données projet'!$C$26)*(100%-'Données projet'!$C$27)</f>
        <v>0</v>
      </c>
      <c r="J9" s="174">
        <f>IF(OR('Données projet'!B12="",'Données projet'!C12="",'Données projet'!C12=0%),0,SUM(Calculateur!$CG$3:$CG$33)*VLOOKUP('Données projet'!$B$12,Paramètres!$A$1:$I$88,9,0)*B9)</f>
        <v>1.7155124999999998</v>
      </c>
      <c r="K9" s="175">
        <f>J9*(100%-'Données projet'!$C$24)*(100%-'Données projet'!$C$25)*(100%-'Données projet'!$C$26)*(100%-'Données projet'!$C$27)</f>
        <v>1.4667631874999996</v>
      </c>
      <c r="L9" s="176">
        <f t="shared" ca="1" si="2"/>
        <v>118.52718409529608</v>
      </c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77" t="str">
        <f>IF('Données projet'!$B$13="","",'Données projet'!$B$13)</f>
        <v>Micocoulier de Provence</v>
      </c>
      <c r="B10" s="178">
        <f>'Données projet'!D13</f>
        <v>0.52784999999999993</v>
      </c>
      <c r="C10" s="171">
        <f ca="1">IF(OR('Données projet'!B13="",'Données projet'!C13="",'Données projet'!C13=0%),0,Calculateur!CY3)</f>
        <v>395.19659151668884</v>
      </c>
      <c r="D10" s="171">
        <f>IF(OR('Données projet'!B13="",'Données projet'!C13="",'Données projet'!C13=0%),0,Calculateur!CZ3)</f>
        <v>222.86563304507339</v>
      </c>
      <c r="E10" s="171">
        <f t="shared" ca="1" si="0"/>
        <v>222.86563304507339</v>
      </c>
      <c r="F10" s="171">
        <f t="shared" ca="1" si="1"/>
        <v>117.63962440284197</v>
      </c>
      <c r="G10" s="171">
        <f ca="1">F10*(100%-'Données projet'!$C$24)*(100%-'Données projet'!$C$25)*(100%-'Données projet'!$C$26)*(100%-'Données projet'!$C$27)</f>
        <v>100.5818788644299</v>
      </c>
      <c r="H10" s="179">
        <f>IF(OR('Données projet'!B13="",'Données projet'!C13="",'Données projet'!C13=0%),0,AVERAGE(Calculateur!$DI$3:$DI$33)*B10)</f>
        <v>0</v>
      </c>
      <c r="I10" s="173">
        <f>H10*(100%-'Données projet'!$C$24)*(100%-'Données projet'!$C$25)*(100%-'Données projet'!$C$26)*(100%-'Données projet'!$C$27)</f>
        <v>0</v>
      </c>
      <c r="J10" s="174">
        <f>IF(OR('Données projet'!B13="",'Données projet'!C13="",'Données projet'!C13=0%),0,SUM(Calculateur!$DB$3:$DB$33)*VLOOKUP('Données projet'!$B$13,Paramètres!$A$1:$I$88,9,0)*B10)</f>
        <v>1.7155124999999998</v>
      </c>
      <c r="K10" s="175">
        <f>J10*(100%-'Données projet'!$C$24)*(100%-'Données projet'!$C$25)*(100%-'Données projet'!$C$26)*(100%-'Données projet'!$C$27)</f>
        <v>1.4667631874999996</v>
      </c>
      <c r="L10" s="176">
        <f t="shared" ca="1" si="2"/>
        <v>102.04864205192989</v>
      </c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77" t="str">
        <f>IF('Données projet'!$B$14="","",'Données projet'!$B$14)</f>
        <v>Pin d'Alep</v>
      </c>
      <c r="B11" s="178">
        <f>'Données projet'!D14</f>
        <v>0.30854999999999999</v>
      </c>
      <c r="C11" s="171">
        <f ca="1">IF(OR('Données projet'!B14="",'Données projet'!C14="",'Données projet'!C14=0%),0,Calculateur!DT3)</f>
        <v>155.18073137151848</v>
      </c>
      <c r="D11" s="171">
        <f>IF(OR('Données projet'!B14="",'Données projet'!C14="",'Données projet'!C14=0%),0,Calculateur!DU3)</f>
        <v>115.19459155667272</v>
      </c>
      <c r="E11" s="171">
        <f t="shared" ca="1" si="0"/>
        <v>115.19459155667272</v>
      </c>
      <c r="F11" s="171">
        <f t="shared" ca="1" si="1"/>
        <v>35.543291224811369</v>
      </c>
      <c r="G11" s="171">
        <f ca="1">F11*(100%-'Données projet'!$C$24)*(100%-'Données projet'!$C$25)*(100%-'Données projet'!$C$26)*(100%-'Données projet'!$C$27)</f>
        <v>30.389513997213722</v>
      </c>
      <c r="H11" s="179">
        <f>IF(OR('Données projet'!B14="",'Données projet'!C14="",'Données projet'!C14=0%),0,AVERAGE(Calculateur!$ED$3:$ED$33)*B11)</f>
        <v>0</v>
      </c>
      <c r="I11" s="173">
        <f>H11*(100%-'Données projet'!$C$24)*(100%-'Données projet'!$C$25)*(100%-'Données projet'!$C$26)*(100%-'Données projet'!$C$27)</f>
        <v>0</v>
      </c>
      <c r="J11" s="174">
        <f>IF(OR('Données projet'!B14="",'Données projet'!C14="",'Données projet'!C14=0%),0,SUM(Calculateur!$DW$3:$DW$33)*VLOOKUP('Données projet'!$B$14,Paramètres!$A$1:$I$88,9,0)*B11)</f>
        <v>0</v>
      </c>
      <c r="K11" s="175">
        <f>J11*(100%-'Données projet'!$C$24)*(100%-'Données projet'!$C$25)*(100%-'Données projet'!$C$26)*(100%-'Données projet'!$C$27)</f>
        <v>0</v>
      </c>
      <c r="L11" s="176">
        <f t="shared" ca="1" si="2"/>
        <v>30.389513997213722</v>
      </c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77" t="str">
        <f>IF('Données projet'!$B$15="","",'Données projet'!$B$15)</f>
        <v>Cèdre de l'Atlas</v>
      </c>
      <c r="B12" s="178">
        <f>'Données projet'!D15</f>
        <v>0.30854999999999999</v>
      </c>
      <c r="C12" s="171">
        <f ca="1">IF(OR('Données projet'!B15="",'Données projet'!C15="",'Données projet'!C15=0%),0,Calculateur!EO3)</f>
        <v>238.59014604384171</v>
      </c>
      <c r="D12" s="171">
        <f>IF(OR('Données projet'!B15="",'Données projet'!C15="",'Données projet'!C15=0%),0,Calculateur!EP3)</f>
        <v>90.841373219575217</v>
      </c>
      <c r="E12" s="171">
        <f t="shared" ca="1" si="0"/>
        <v>90.841373219575217</v>
      </c>
      <c r="F12" s="171">
        <f t="shared" ca="1" si="1"/>
        <v>28.029105706899934</v>
      </c>
      <c r="G12" s="171">
        <f ca="1">F12*(100%-'Données projet'!$C$24)*(100%-'Données projet'!$C$25)*(100%-'Données projet'!$C$26)*(100%-'Données projet'!$C$27)</f>
        <v>23.964885379399444</v>
      </c>
      <c r="H12" s="179">
        <f>IF(OR('Données projet'!B15="",'Données projet'!C15="",'Données projet'!C15=0%),0,AVERAGE(Calculateur!$EY$3:$EY$33)*B12)</f>
        <v>0</v>
      </c>
      <c r="I12" s="173">
        <f>H12*(100%-'Données projet'!$C$24)*(100%-'Données projet'!$C$25)*(100%-'Données projet'!$C$26)*(100%-'Données projet'!$C$27)</f>
        <v>0</v>
      </c>
      <c r="J12" s="174">
        <f>IF(OR('Données projet'!B15="",'Données projet'!C15="",'Données projet'!C15=0%),0,SUM(Calculateur!$ER$3:$ER$33)*VLOOKUP('Données projet'!$B$15,Paramètres!$A$1:$I$88,9,0)*B12)</f>
        <v>0</v>
      </c>
      <c r="K12" s="175">
        <f>J12*(100%-'Données projet'!$C$24)*(100%-'Données projet'!$C$25)*(100%-'Données projet'!$C$26)*(100%-'Données projet'!$C$27)</f>
        <v>0</v>
      </c>
      <c r="L12" s="176">
        <f t="shared" ca="1" si="2"/>
        <v>23.964885379399444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77" t="str">
        <f>IF('Données projet'!$B$16="","",'Données projet'!$B$16)</f>
        <v/>
      </c>
      <c r="B13" s="178">
        <f>'Données projet'!D16</f>
        <v>0</v>
      </c>
      <c r="C13" s="171">
        <f>IF(OR('Données projet'!B16="",'Données projet'!C16="",'Données projet'!C16=0%),0,Calculateur!FJ3)</f>
        <v>0</v>
      </c>
      <c r="D13" s="171">
        <f>IF(OR('Données projet'!B16="",'Données projet'!C16="",'Données projet'!C16=0%),0,Calculateur!FK3)</f>
        <v>0</v>
      </c>
      <c r="E13" s="171">
        <f t="shared" si="0"/>
        <v>0</v>
      </c>
      <c r="F13" s="171">
        <f t="shared" si="1"/>
        <v>0</v>
      </c>
      <c r="G13" s="171">
        <f>F13*(100%-'Données projet'!$C$24)*(100%-'Données projet'!$C$25)*(100%-'Données projet'!$C$26)*(100%-'Données projet'!$C$27)</f>
        <v>0</v>
      </c>
      <c r="H13" s="179">
        <f>IF(OR('Données projet'!B16="",'Données projet'!C16="",'Données projet'!C16=0%),0,AVERAGE(Calculateur!$FT$3:$FT$33)*B13)</f>
        <v>0</v>
      </c>
      <c r="I13" s="173">
        <f>H13*(100%-'Données projet'!$C$24)*(100%-'Données projet'!$C$25)*(100%-'Données projet'!$C$26)*(100%-'Données projet'!$C$27)</f>
        <v>0</v>
      </c>
      <c r="J13" s="174">
        <f>IF(OR('Données projet'!C16="",'Données projet'!C16=0%),0,SUM(Calculateur!$FM$3:$FM$33)*VLOOKUP('Données projet'!$B$16,Paramètres!$A$1:$I$88,9,0)*B13)</f>
        <v>0</v>
      </c>
      <c r="K13" s="175">
        <f>J13*(100%-'Données projet'!$C$24)*(100%-'Données projet'!$C$25)*(100%-'Données projet'!$C$26)*(100%-'Données projet'!$C$27)</f>
        <v>0</v>
      </c>
      <c r="L13" s="176">
        <f t="shared" si="2"/>
        <v>0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77" t="str">
        <f>IF('Données projet'!$B$17="","",'Données projet'!$B$17)</f>
        <v/>
      </c>
      <c r="B14" s="178">
        <f>'Données projet'!D17</f>
        <v>0</v>
      </c>
      <c r="C14" s="171">
        <f>IF(OR('Données projet'!B17="",'Données projet'!C17="",'Données projet'!C17=0%),0,Calculateur!GE3)</f>
        <v>0</v>
      </c>
      <c r="D14" s="171">
        <f>IF(OR('Données projet'!B17="",'Données projet'!C17="",'Données projet'!C17=0%),0,Calculateur!GF3)</f>
        <v>0</v>
      </c>
      <c r="E14" s="171">
        <f t="shared" si="0"/>
        <v>0</v>
      </c>
      <c r="F14" s="171">
        <f t="shared" si="1"/>
        <v>0</v>
      </c>
      <c r="G14" s="171">
        <f>F14*(100%-'Données projet'!$C$24)*(100%-'Données projet'!$C$25)*(100%-'Données projet'!$C$26)*(100%-'Données projet'!$C$27)</f>
        <v>0</v>
      </c>
      <c r="H14" s="179">
        <f>IF(OR('Données projet'!B17="",'Données projet'!C17="",'Données projet'!C17=0%),0,AVERAGE(Calculateur!$GO$3:$GO$33)*B14)</f>
        <v>0</v>
      </c>
      <c r="I14" s="173">
        <f>H14*(100%-'Données projet'!$C$24)*(100%-'Données projet'!$C$25)*(100%-'Données projet'!$C$26)*(100%-'Données projet'!$C$27)</f>
        <v>0</v>
      </c>
      <c r="J14" s="174">
        <f>IF(OR('Données projet'!B17="",'Données projet'!C17="",'Données projet'!C17=0%),0,SUM(Calculateur!$GH$3:$GH$33)*VLOOKUP('Données projet'!$B$17,Paramètres!$A$1:$I$88,9,0)*B14)</f>
        <v>0</v>
      </c>
      <c r="K14" s="175">
        <f>J14*(100%-'Données projet'!$C$24)*(100%-'Données projet'!$C$25)*(100%-'Données projet'!$C$26)*(100%-'Données projet'!$C$27)</f>
        <v>0</v>
      </c>
      <c r="L14" s="176">
        <f t="shared" si="2"/>
        <v>0</v>
      </c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80" t="str">
        <f>IF('Données projet'!B18="","",'Données projet'!B18)</f>
        <v/>
      </c>
      <c r="B15" s="181">
        <f>'Données projet'!D18</f>
        <v>0</v>
      </c>
      <c r="C15" s="182">
        <f>IF(OR('Données projet'!B18="",'Données projet'!C18="",'Données projet'!C18=0%),0,Calculateur!GZ3)</f>
        <v>0</v>
      </c>
      <c r="D15" s="182">
        <f>IF(OR('Données projet'!B18="",'Données projet'!C18="",'Données projet'!C18=0%),0,Calculateur!HA3)</f>
        <v>0</v>
      </c>
      <c r="E15" s="182">
        <f t="shared" si="0"/>
        <v>0</v>
      </c>
      <c r="F15" s="183">
        <f t="shared" si="1"/>
        <v>0</v>
      </c>
      <c r="G15" s="183">
        <f>F15*(100%-'Données projet'!$C$24)*(100%-'Données projet'!$C$25)*(100%-'Données projet'!$C$26)*(100%-'Données projet'!$C$27)</f>
        <v>0</v>
      </c>
      <c r="H15" s="184">
        <f>IF(OR('Données projet'!B18="",'Données projet'!C18="",'Données projet'!C18=0%),0,AVERAGE(Calculateur!$HJ$3:$HJ$33)*B15)</f>
        <v>0</v>
      </c>
      <c r="I15" s="185">
        <f>H15*(100%-'Données projet'!$C$24)*(100%-'Données projet'!$C$25)*(100%-'Données projet'!$C$26)*(100%-'Données projet'!$C$27)</f>
        <v>0</v>
      </c>
      <c r="J15" s="186">
        <f>IF(OR('Données projet'!B18="",'Données projet'!C18="",'Données projet'!C18=0%),0,SUM(Calculateur!$HC$3:$HC$33)*VLOOKUP('Données projet'!$B$18,Paramètres!$A$1:$I$88,9,0)*B15)</f>
        <v>0</v>
      </c>
      <c r="K15" s="187">
        <f>J15*(100%-'Données projet'!$C$24)*(100%-'Données projet'!$C$25)*(100%-'Données projet'!$C$26)*(100%-'Données projet'!$C$27)</f>
        <v>0</v>
      </c>
      <c r="L15" s="188">
        <f t="shared" si="2"/>
        <v>0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189"/>
      <c r="B16" s="190"/>
      <c r="C16" s="85"/>
      <c r="D16" s="5"/>
      <c r="E16" s="5"/>
      <c r="F16" s="191">
        <f t="shared" ref="F16:L16" ca="1" si="3">SUM(F6:F15)</f>
        <v>1030.2072996818081</v>
      </c>
      <c r="G16" s="192">
        <f t="shared" ca="1" si="3"/>
        <v>880.82724122794593</v>
      </c>
      <c r="H16" s="193">
        <f t="shared" si="3"/>
        <v>0</v>
      </c>
      <c r="I16" s="193">
        <f t="shared" si="3"/>
        <v>0</v>
      </c>
      <c r="J16" s="194">
        <f t="shared" si="3"/>
        <v>16.952454187499995</v>
      </c>
      <c r="K16" s="194">
        <f t="shared" si="3"/>
        <v>14.4943483303125</v>
      </c>
      <c r="L16" s="195">
        <f t="shared" ca="1" si="3"/>
        <v>895.32158955825832</v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189"/>
      <c r="B17" s="190"/>
      <c r="C17" s="85"/>
      <c r="D17" s="71"/>
      <c r="E17" s="71"/>
      <c r="F17" s="275" t="s">
        <v>246</v>
      </c>
      <c r="G17" s="276"/>
      <c r="H17" s="276"/>
      <c r="I17" s="276"/>
      <c r="J17" s="276"/>
      <c r="K17" s="276"/>
      <c r="L17" s="276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189"/>
      <c r="B18" s="190"/>
      <c r="C18" s="85"/>
      <c r="D18" s="71"/>
      <c r="E18" s="71"/>
      <c r="F18" s="277"/>
      <c r="G18" s="277"/>
      <c r="H18" s="277"/>
      <c r="I18" s="277"/>
      <c r="J18" s="277"/>
      <c r="K18" s="277"/>
      <c r="L18" s="277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5"/>
      <c r="B19" s="5"/>
      <c r="C19" s="5"/>
      <c r="D19" s="5"/>
      <c r="E19" s="5"/>
      <c r="F19" s="5"/>
      <c r="G19" s="5"/>
      <c r="H19" s="5"/>
      <c r="I19" s="71"/>
      <c r="J19" s="71"/>
      <c r="K19" s="71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5"/>
      <c r="B20" s="5"/>
      <c r="C20" s="5"/>
      <c r="D20" s="5"/>
      <c r="E20" s="5"/>
      <c r="F20" s="5"/>
      <c r="G20" s="5"/>
      <c r="H20" s="5"/>
      <c r="I20" s="71"/>
      <c r="J20" s="71"/>
      <c r="K20" s="71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96" t="str">
        <f>A6</f>
        <v>Pin pignon</v>
      </c>
      <c r="B21" s="5"/>
      <c r="C21" s="5"/>
      <c r="D21" s="5"/>
      <c r="E21" s="5"/>
      <c r="F21" s="5"/>
      <c r="G21" s="5"/>
      <c r="H21" s="5"/>
      <c r="I21" s="71"/>
      <c r="J21" s="71"/>
      <c r="K21" s="71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71"/>
      <c r="J22" s="71"/>
      <c r="K22" s="71"/>
      <c r="L22" s="71"/>
      <c r="M22" s="71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71"/>
      <c r="J23" s="71"/>
      <c r="K23" s="71"/>
      <c r="L23" s="71"/>
      <c r="M23" s="71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71"/>
      <c r="J24" s="71"/>
      <c r="K24" s="71"/>
      <c r="L24" s="71"/>
      <c r="M24" s="71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71"/>
      <c r="J25" s="71"/>
      <c r="K25" s="71"/>
      <c r="L25" s="71"/>
      <c r="M25" s="71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71"/>
      <c r="J26" s="71"/>
      <c r="K26" s="71"/>
      <c r="L26" s="71"/>
      <c r="M26" s="71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71"/>
      <c r="J27" s="71"/>
      <c r="K27" s="71"/>
      <c r="L27" s="71"/>
      <c r="M27" s="71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71"/>
      <c r="J28" s="71"/>
      <c r="K28" s="71"/>
      <c r="L28" s="71"/>
      <c r="M28" s="71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71"/>
      <c r="J29" s="71"/>
      <c r="K29" s="71"/>
      <c r="L29" s="71"/>
      <c r="M29" s="71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71"/>
      <c r="J30" s="71"/>
      <c r="K30" s="71"/>
      <c r="L30" s="71"/>
      <c r="M30" s="71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71"/>
      <c r="J31" s="71"/>
      <c r="K31" s="71"/>
      <c r="L31" s="71"/>
      <c r="M31" s="71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71"/>
      <c r="J32" s="71"/>
      <c r="K32" s="71"/>
      <c r="L32" s="71"/>
      <c r="M32" s="71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71"/>
      <c r="J33" s="71"/>
      <c r="K33" s="71"/>
      <c r="L33" s="71"/>
      <c r="M33" s="71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71"/>
      <c r="J34" s="71"/>
      <c r="K34" s="71"/>
      <c r="L34" s="71"/>
      <c r="M34" s="71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71"/>
      <c r="J35" s="71"/>
      <c r="K35" s="71"/>
      <c r="L35" s="71"/>
      <c r="M35" s="71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71"/>
      <c r="J36" s="71"/>
      <c r="K36" s="71"/>
      <c r="L36" s="71"/>
      <c r="M36" s="71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71"/>
      <c r="J37" s="71"/>
      <c r="K37" s="71"/>
      <c r="L37" s="71"/>
      <c r="M37" s="71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71"/>
      <c r="J38" s="71"/>
      <c r="K38" s="71"/>
      <c r="L38" s="71"/>
      <c r="M38" s="71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96" t="str">
        <f>A7</f>
        <v>Chêne chevelu</v>
      </c>
      <c r="B39" s="5"/>
      <c r="C39" s="5"/>
      <c r="D39" s="5"/>
      <c r="E39" s="5"/>
      <c r="F39" s="5"/>
      <c r="G39" s="5"/>
      <c r="H39" s="5"/>
      <c r="I39" s="71"/>
      <c r="J39" s="71"/>
      <c r="K39" s="71"/>
      <c r="L39" s="71"/>
      <c r="M39" s="71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71"/>
      <c r="J40" s="71"/>
      <c r="K40" s="71"/>
      <c r="L40" s="71"/>
      <c r="M40" s="71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71"/>
      <c r="J41" s="71"/>
      <c r="K41" s="71"/>
      <c r="L41" s="71"/>
      <c r="M41" s="71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71"/>
      <c r="J42" s="71"/>
      <c r="K42" s="71"/>
      <c r="L42" s="71"/>
      <c r="M42" s="71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71"/>
      <c r="J43" s="71"/>
      <c r="K43" s="71"/>
      <c r="L43" s="71"/>
      <c r="M43" s="71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71"/>
      <c r="J44" s="71"/>
      <c r="K44" s="71"/>
      <c r="L44" s="71"/>
      <c r="M44" s="71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71"/>
      <c r="J45" s="71"/>
      <c r="K45" s="71"/>
      <c r="L45" s="71"/>
      <c r="M45" s="71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71"/>
      <c r="J46" s="71"/>
      <c r="K46" s="71"/>
      <c r="L46" s="71"/>
      <c r="M46" s="71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71"/>
      <c r="J47" s="71"/>
      <c r="K47" s="71"/>
      <c r="L47" s="71"/>
      <c r="M47" s="71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71"/>
      <c r="J48" s="71"/>
      <c r="K48" s="71"/>
      <c r="L48" s="71"/>
      <c r="M48" s="71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71"/>
      <c r="J49" s="71"/>
      <c r="K49" s="71"/>
      <c r="L49" s="71"/>
      <c r="M49" s="71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71"/>
      <c r="J50" s="71"/>
      <c r="K50" s="71"/>
      <c r="L50" s="71"/>
      <c r="M50" s="71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71"/>
      <c r="J51" s="71"/>
      <c r="K51" s="71"/>
      <c r="L51" s="71"/>
      <c r="M51" s="71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71"/>
      <c r="J52" s="71"/>
      <c r="K52" s="71"/>
      <c r="L52" s="71"/>
      <c r="M52" s="71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71"/>
      <c r="J53" s="71"/>
      <c r="K53" s="71"/>
      <c r="L53" s="71"/>
      <c r="M53" s="71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71"/>
      <c r="J54" s="71"/>
      <c r="K54" s="71"/>
      <c r="L54" s="71"/>
      <c r="M54" s="71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71"/>
      <c r="J55" s="71"/>
      <c r="K55" s="71"/>
      <c r="L55" s="71"/>
      <c r="M55" s="71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71"/>
      <c r="J56" s="71"/>
      <c r="K56" s="71"/>
      <c r="L56" s="71"/>
      <c r="M56" s="71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96" t="str">
        <f>A8</f>
        <v>Chêne pubescent</v>
      </c>
      <c r="B57" s="5"/>
      <c r="C57" s="5"/>
      <c r="D57" s="5"/>
      <c r="E57" s="5"/>
      <c r="F57" s="5"/>
      <c r="G57" s="5"/>
      <c r="H57" s="5"/>
      <c r="I57" s="71"/>
      <c r="J57" s="71"/>
      <c r="K57" s="71"/>
      <c r="L57" s="71"/>
      <c r="M57" s="71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71"/>
      <c r="J58" s="71"/>
      <c r="K58" s="71"/>
      <c r="L58" s="71"/>
      <c r="M58" s="71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71"/>
      <c r="J59" s="71"/>
      <c r="K59" s="71"/>
      <c r="L59" s="71"/>
      <c r="M59" s="71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71"/>
      <c r="J60" s="71"/>
      <c r="K60" s="71"/>
      <c r="L60" s="71"/>
      <c r="M60" s="71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71"/>
      <c r="J61" s="71"/>
      <c r="K61" s="71"/>
      <c r="L61" s="71"/>
      <c r="M61" s="71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71"/>
      <c r="J62" s="71"/>
      <c r="K62" s="71"/>
      <c r="L62" s="71"/>
      <c r="M62" s="71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71"/>
      <c r="J63" s="71"/>
      <c r="K63" s="71"/>
      <c r="L63" s="71"/>
      <c r="M63" s="71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71"/>
      <c r="J64" s="71"/>
      <c r="K64" s="71"/>
      <c r="L64" s="71"/>
      <c r="M64" s="71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71"/>
      <c r="J65" s="71"/>
      <c r="K65" s="71"/>
      <c r="L65" s="71"/>
      <c r="M65" s="71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71"/>
      <c r="J66" s="71"/>
      <c r="K66" s="71"/>
      <c r="L66" s="71"/>
      <c r="M66" s="71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71"/>
      <c r="J67" s="71"/>
      <c r="K67" s="71"/>
      <c r="L67" s="71"/>
      <c r="M67" s="71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71"/>
      <c r="J68" s="71"/>
      <c r="K68" s="71"/>
      <c r="L68" s="71"/>
      <c r="M68" s="71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71"/>
      <c r="J69" s="71"/>
      <c r="K69" s="71"/>
      <c r="L69" s="71"/>
      <c r="M69" s="71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71"/>
      <c r="J70" s="71"/>
      <c r="K70" s="71"/>
      <c r="L70" s="71"/>
      <c r="M70" s="71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71"/>
      <c r="J71" s="71"/>
      <c r="K71" s="71"/>
      <c r="L71" s="71"/>
      <c r="M71" s="71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71"/>
      <c r="J72" s="71"/>
      <c r="K72" s="71"/>
      <c r="L72" s="71"/>
      <c r="M72" s="71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71"/>
      <c r="J73" s="71"/>
      <c r="K73" s="71"/>
      <c r="L73" s="71"/>
      <c r="M73" s="71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71"/>
      <c r="J74" s="71"/>
      <c r="K74" s="71"/>
      <c r="L74" s="71"/>
      <c r="M74" s="71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71"/>
      <c r="J75" s="71"/>
      <c r="K75" s="71"/>
      <c r="L75" s="71"/>
      <c r="M75" s="71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96" t="str">
        <f>A9</f>
        <v>Cormier</v>
      </c>
      <c r="B76" s="5"/>
      <c r="C76" s="5"/>
      <c r="D76" s="5"/>
      <c r="E76" s="5"/>
      <c r="F76" s="5"/>
      <c r="G76" s="5"/>
      <c r="H76" s="5"/>
      <c r="I76" s="71"/>
      <c r="J76" s="71"/>
      <c r="K76" s="71"/>
      <c r="L76" s="71"/>
      <c r="M76" s="71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71"/>
      <c r="J77" s="71"/>
      <c r="K77" s="71"/>
      <c r="L77" s="71"/>
      <c r="M77" s="71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71"/>
      <c r="J78" s="71"/>
      <c r="K78" s="71"/>
      <c r="L78" s="71"/>
      <c r="M78" s="71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71"/>
      <c r="J79" s="71"/>
      <c r="K79" s="71"/>
      <c r="L79" s="71"/>
      <c r="M79" s="71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71"/>
      <c r="J80" s="71"/>
      <c r="K80" s="71"/>
      <c r="L80" s="71"/>
      <c r="M80" s="71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71"/>
      <c r="J81" s="71"/>
      <c r="K81" s="71"/>
      <c r="L81" s="71"/>
      <c r="M81" s="71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71"/>
      <c r="J82" s="71"/>
      <c r="K82" s="71"/>
      <c r="L82" s="71"/>
      <c r="M82" s="71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71"/>
      <c r="J83" s="71"/>
      <c r="K83" s="71"/>
      <c r="L83" s="71"/>
      <c r="M83" s="71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71"/>
      <c r="J84" s="71"/>
      <c r="K84" s="71"/>
      <c r="L84" s="71"/>
      <c r="M84" s="71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71"/>
      <c r="J85" s="71"/>
      <c r="K85" s="71"/>
      <c r="L85" s="71"/>
      <c r="M85" s="71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71"/>
      <c r="J86" s="71"/>
      <c r="K86" s="71"/>
      <c r="L86" s="71"/>
      <c r="M86" s="71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71"/>
      <c r="J87" s="71"/>
      <c r="K87" s="71"/>
      <c r="L87" s="71"/>
      <c r="M87" s="71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71"/>
      <c r="J88" s="71"/>
      <c r="K88" s="71"/>
      <c r="L88" s="71"/>
      <c r="M88" s="71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71"/>
      <c r="J89" s="71"/>
      <c r="K89" s="71"/>
      <c r="L89" s="71"/>
      <c r="M89" s="71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71"/>
      <c r="J90" s="71"/>
      <c r="K90" s="71"/>
      <c r="L90" s="71"/>
      <c r="M90" s="71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71"/>
      <c r="J91" s="71"/>
      <c r="K91" s="71"/>
      <c r="L91" s="71"/>
      <c r="M91" s="71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71"/>
      <c r="J92" s="71"/>
      <c r="K92" s="71"/>
      <c r="L92" s="71"/>
      <c r="M92" s="71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71"/>
      <c r="J93" s="71"/>
      <c r="K93" s="71"/>
      <c r="L93" s="71"/>
      <c r="M93" s="71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96" t="str">
        <f>A10</f>
        <v>Micocoulier de Provence</v>
      </c>
      <c r="B94" s="5"/>
      <c r="C94" s="5"/>
      <c r="D94" s="5"/>
      <c r="E94" s="5"/>
      <c r="F94" s="5"/>
      <c r="G94" s="5"/>
      <c r="H94" s="5"/>
      <c r="I94" s="71"/>
      <c r="J94" s="71"/>
      <c r="K94" s="71"/>
      <c r="L94" s="71"/>
      <c r="M94" s="71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71"/>
      <c r="J95" s="71"/>
      <c r="K95" s="71"/>
      <c r="L95" s="71"/>
      <c r="M95" s="71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71"/>
      <c r="J96" s="71"/>
      <c r="K96" s="71"/>
      <c r="L96" s="71"/>
      <c r="M96" s="71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71"/>
      <c r="J97" s="71"/>
      <c r="K97" s="71"/>
      <c r="L97" s="71"/>
      <c r="M97" s="71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71"/>
      <c r="J98" s="71"/>
      <c r="K98" s="71"/>
      <c r="L98" s="71"/>
      <c r="M98" s="71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71"/>
      <c r="J99" s="71"/>
      <c r="K99" s="71"/>
      <c r="L99" s="71"/>
      <c r="M99" s="71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71"/>
      <c r="J100" s="71"/>
      <c r="K100" s="71"/>
      <c r="L100" s="71"/>
      <c r="M100" s="71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71"/>
      <c r="J101" s="71"/>
      <c r="K101" s="71"/>
      <c r="L101" s="71"/>
      <c r="M101" s="71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71"/>
      <c r="J102" s="71"/>
      <c r="K102" s="71"/>
      <c r="L102" s="71"/>
      <c r="M102" s="71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71"/>
      <c r="J103" s="71"/>
      <c r="K103" s="71"/>
      <c r="L103" s="71"/>
      <c r="M103" s="71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71"/>
      <c r="J104" s="71"/>
      <c r="K104" s="71"/>
      <c r="L104" s="71"/>
      <c r="M104" s="71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71"/>
      <c r="J105" s="71"/>
      <c r="K105" s="71"/>
      <c r="L105" s="71"/>
      <c r="M105" s="71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71"/>
      <c r="J106" s="71"/>
      <c r="K106" s="71"/>
      <c r="L106" s="71"/>
      <c r="M106" s="71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71"/>
      <c r="J107" s="71"/>
      <c r="K107" s="71"/>
      <c r="L107" s="71"/>
      <c r="M107" s="71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71"/>
      <c r="J108" s="71"/>
      <c r="K108" s="71"/>
      <c r="L108" s="71"/>
      <c r="M108" s="71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71"/>
      <c r="J109" s="71"/>
      <c r="K109" s="71"/>
      <c r="L109" s="71"/>
      <c r="M109" s="71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71"/>
      <c r="J110" s="71"/>
      <c r="K110" s="71"/>
      <c r="L110" s="71"/>
      <c r="M110" s="71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71"/>
      <c r="J111" s="71"/>
      <c r="K111" s="71"/>
      <c r="L111" s="71"/>
      <c r="M111" s="71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96" t="str">
        <f>A11</f>
        <v>Pin d'Alep</v>
      </c>
      <c r="B112" s="5"/>
      <c r="C112" s="5"/>
      <c r="D112" s="5"/>
      <c r="E112" s="5"/>
      <c r="F112" s="5"/>
      <c r="G112" s="5"/>
      <c r="H112" s="5"/>
      <c r="I112" s="71"/>
      <c r="J112" s="71"/>
      <c r="K112" s="71"/>
      <c r="L112" s="71"/>
      <c r="M112" s="71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71"/>
      <c r="J113" s="71"/>
      <c r="K113" s="71"/>
      <c r="L113" s="71"/>
      <c r="M113" s="71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71"/>
      <c r="J114" s="71"/>
      <c r="K114" s="71"/>
      <c r="L114" s="71"/>
      <c r="M114" s="71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71"/>
      <c r="J115" s="71"/>
      <c r="K115" s="71"/>
      <c r="L115" s="71"/>
      <c r="M115" s="71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71"/>
      <c r="J116" s="71"/>
      <c r="K116" s="71"/>
      <c r="L116" s="71"/>
      <c r="M116" s="71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71"/>
      <c r="J117" s="71"/>
      <c r="K117" s="71"/>
      <c r="L117" s="71"/>
      <c r="M117" s="71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71"/>
      <c r="J118" s="71"/>
      <c r="K118" s="71"/>
      <c r="L118" s="71"/>
      <c r="M118" s="71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71"/>
      <c r="J119" s="71"/>
      <c r="K119" s="71"/>
      <c r="L119" s="71"/>
      <c r="M119" s="71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71"/>
      <c r="J120" s="71"/>
      <c r="K120" s="71"/>
      <c r="L120" s="71"/>
      <c r="M120" s="71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71"/>
      <c r="J121" s="71"/>
      <c r="K121" s="71"/>
      <c r="L121" s="71"/>
      <c r="M121" s="71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71"/>
      <c r="J122" s="71"/>
      <c r="K122" s="71"/>
      <c r="L122" s="71"/>
      <c r="M122" s="71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71"/>
      <c r="J123" s="71"/>
      <c r="K123" s="71"/>
      <c r="L123" s="71"/>
      <c r="M123" s="71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71"/>
      <c r="J124" s="71"/>
      <c r="K124" s="71"/>
      <c r="L124" s="71"/>
      <c r="M124" s="71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71"/>
      <c r="J125" s="71"/>
      <c r="K125" s="71"/>
      <c r="L125" s="71"/>
      <c r="M125" s="71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71"/>
      <c r="J126" s="71"/>
      <c r="K126" s="71"/>
      <c r="L126" s="71"/>
      <c r="M126" s="71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71"/>
      <c r="J127" s="71"/>
      <c r="K127" s="71"/>
      <c r="L127" s="71"/>
      <c r="M127" s="71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71"/>
      <c r="J128" s="71"/>
      <c r="K128" s="71"/>
      <c r="L128" s="71"/>
      <c r="M128" s="71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71"/>
      <c r="J129" s="71"/>
      <c r="K129" s="71"/>
      <c r="L129" s="71"/>
      <c r="M129" s="71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96" t="str">
        <f>A12</f>
        <v>Cèdre de l'Atlas</v>
      </c>
      <c r="B130" s="5"/>
      <c r="C130" s="5"/>
      <c r="D130" s="5"/>
      <c r="E130" s="5"/>
      <c r="F130" s="5"/>
      <c r="G130" s="5"/>
      <c r="H130" s="5"/>
      <c r="I130" s="71"/>
      <c r="J130" s="71"/>
      <c r="K130" s="71"/>
      <c r="L130" s="71"/>
      <c r="M130" s="71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71"/>
      <c r="J131" s="71"/>
      <c r="K131" s="71"/>
      <c r="L131" s="71"/>
      <c r="M131" s="71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71"/>
      <c r="J132" s="71"/>
      <c r="K132" s="71"/>
      <c r="L132" s="71"/>
      <c r="M132" s="71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71"/>
      <c r="J133" s="71"/>
      <c r="K133" s="71"/>
      <c r="L133" s="71"/>
      <c r="M133" s="71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71"/>
      <c r="J134" s="71"/>
      <c r="K134" s="71"/>
      <c r="L134" s="71"/>
      <c r="M134" s="71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71"/>
      <c r="J135" s="71"/>
      <c r="K135" s="71"/>
      <c r="L135" s="71"/>
      <c r="M135" s="71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71"/>
      <c r="J136" s="71"/>
      <c r="K136" s="71"/>
      <c r="L136" s="71"/>
      <c r="M136" s="71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71"/>
      <c r="J137" s="71"/>
      <c r="K137" s="71"/>
      <c r="L137" s="71"/>
      <c r="M137" s="71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71"/>
      <c r="J138" s="71"/>
      <c r="K138" s="71"/>
      <c r="L138" s="71"/>
      <c r="M138" s="71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71"/>
      <c r="J139" s="71"/>
      <c r="K139" s="71"/>
      <c r="L139" s="71"/>
      <c r="M139" s="71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71"/>
      <c r="J140" s="71"/>
      <c r="K140" s="71"/>
      <c r="L140" s="71"/>
      <c r="M140" s="71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71"/>
      <c r="J141" s="71"/>
      <c r="K141" s="71"/>
      <c r="L141" s="71"/>
      <c r="M141" s="71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71"/>
      <c r="J142" s="71"/>
      <c r="K142" s="71"/>
      <c r="L142" s="71"/>
      <c r="M142" s="71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71"/>
      <c r="J143" s="71"/>
      <c r="K143" s="71"/>
      <c r="L143" s="71"/>
      <c r="M143" s="71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71"/>
      <c r="J144" s="71"/>
      <c r="K144" s="71"/>
      <c r="L144" s="71"/>
      <c r="M144" s="71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71"/>
      <c r="J145" s="71"/>
      <c r="K145" s="71"/>
      <c r="L145" s="71"/>
      <c r="M145" s="71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71"/>
      <c r="J146" s="71"/>
      <c r="K146" s="71"/>
      <c r="L146" s="71"/>
      <c r="M146" s="71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71"/>
      <c r="J147" s="71"/>
      <c r="K147" s="71"/>
      <c r="L147" s="71"/>
      <c r="M147" s="71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96" t="str">
        <f>A13</f>
        <v/>
      </c>
      <c r="B148" s="5"/>
      <c r="C148" s="5"/>
      <c r="D148" s="5"/>
      <c r="E148" s="5"/>
      <c r="F148" s="5"/>
      <c r="G148" s="5"/>
      <c r="H148" s="5"/>
      <c r="I148" s="71"/>
      <c r="J148" s="71"/>
      <c r="K148" s="71"/>
      <c r="L148" s="71"/>
      <c r="M148" s="71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71"/>
      <c r="J149" s="71"/>
      <c r="K149" s="71"/>
      <c r="L149" s="71"/>
      <c r="M149" s="71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71"/>
      <c r="J150" s="71"/>
      <c r="K150" s="71"/>
      <c r="L150" s="71"/>
      <c r="M150" s="71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71"/>
      <c r="J151" s="71"/>
      <c r="K151" s="71"/>
      <c r="L151" s="71"/>
      <c r="M151" s="71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71"/>
      <c r="J152" s="71"/>
      <c r="K152" s="71"/>
      <c r="L152" s="71"/>
      <c r="M152" s="71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71"/>
      <c r="J153" s="71"/>
      <c r="K153" s="71"/>
      <c r="L153" s="71"/>
      <c r="M153" s="71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71"/>
      <c r="J154" s="71"/>
      <c r="K154" s="71"/>
      <c r="L154" s="71"/>
      <c r="M154" s="71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71"/>
      <c r="J155" s="71"/>
      <c r="K155" s="71"/>
      <c r="L155" s="71"/>
      <c r="M155" s="71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71"/>
      <c r="J156" s="71"/>
      <c r="K156" s="71"/>
      <c r="L156" s="71"/>
      <c r="M156" s="71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71"/>
      <c r="J157" s="71"/>
      <c r="K157" s="71"/>
      <c r="L157" s="71"/>
      <c r="M157" s="71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71"/>
      <c r="J158" s="71"/>
      <c r="K158" s="71"/>
      <c r="L158" s="71"/>
      <c r="M158" s="71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71"/>
      <c r="J159" s="71"/>
      <c r="K159" s="71"/>
      <c r="L159" s="71"/>
      <c r="M159" s="71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71"/>
      <c r="J160" s="71"/>
      <c r="K160" s="71"/>
      <c r="L160" s="71"/>
      <c r="M160" s="71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71"/>
      <c r="J161" s="71"/>
      <c r="K161" s="71"/>
      <c r="L161" s="71"/>
      <c r="M161" s="71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71"/>
      <c r="J162" s="71"/>
      <c r="K162" s="71"/>
      <c r="L162" s="71"/>
      <c r="M162" s="71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71"/>
      <c r="J163" s="71"/>
      <c r="K163" s="71"/>
      <c r="L163" s="71"/>
      <c r="M163" s="71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71"/>
      <c r="J164" s="71"/>
      <c r="K164" s="71"/>
      <c r="L164" s="71"/>
      <c r="M164" s="71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71"/>
      <c r="J165" s="71"/>
      <c r="K165" s="71"/>
      <c r="L165" s="71"/>
      <c r="M165" s="71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96" t="str">
        <f>A14</f>
        <v/>
      </c>
      <c r="B166" s="5"/>
      <c r="C166" s="5"/>
      <c r="D166" s="5"/>
      <c r="E166" s="5"/>
      <c r="F166" s="5"/>
      <c r="G166" s="5"/>
      <c r="H166" s="5"/>
      <c r="I166" s="71"/>
      <c r="J166" s="71"/>
      <c r="K166" s="71"/>
      <c r="L166" s="71"/>
      <c r="M166" s="71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71"/>
      <c r="J167" s="71"/>
      <c r="K167" s="71"/>
      <c r="L167" s="71"/>
      <c r="M167" s="71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71"/>
      <c r="J168" s="71"/>
      <c r="K168" s="71"/>
      <c r="L168" s="71"/>
      <c r="M168" s="71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71"/>
      <c r="J169" s="71"/>
      <c r="K169" s="71"/>
      <c r="L169" s="71"/>
      <c r="M169" s="71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71"/>
      <c r="J170" s="71"/>
      <c r="K170" s="71"/>
      <c r="L170" s="71"/>
      <c r="M170" s="71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71"/>
      <c r="J171" s="71"/>
      <c r="K171" s="71"/>
      <c r="L171" s="71"/>
      <c r="M171" s="71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71"/>
      <c r="J172" s="71"/>
      <c r="K172" s="71"/>
      <c r="L172" s="71"/>
      <c r="M172" s="71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71"/>
      <c r="J173" s="71"/>
      <c r="K173" s="71"/>
      <c r="L173" s="71"/>
      <c r="M173" s="71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71"/>
      <c r="J174" s="71"/>
      <c r="K174" s="71"/>
      <c r="L174" s="71"/>
      <c r="M174" s="71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71"/>
      <c r="J175" s="71"/>
      <c r="K175" s="71"/>
      <c r="L175" s="71"/>
      <c r="M175" s="71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71"/>
      <c r="J176" s="71"/>
      <c r="K176" s="71"/>
      <c r="L176" s="71"/>
      <c r="M176" s="71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71"/>
      <c r="J177" s="71"/>
      <c r="K177" s="71"/>
      <c r="L177" s="71"/>
      <c r="M177" s="71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71"/>
      <c r="J178" s="71"/>
      <c r="K178" s="71"/>
      <c r="L178" s="71"/>
      <c r="M178" s="71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71"/>
      <c r="J179" s="71"/>
      <c r="K179" s="71"/>
      <c r="L179" s="71"/>
      <c r="M179" s="71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71"/>
      <c r="J180" s="71"/>
      <c r="K180" s="71"/>
      <c r="L180" s="71"/>
      <c r="M180" s="71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71"/>
      <c r="J181" s="71"/>
      <c r="K181" s="71"/>
      <c r="L181" s="71"/>
      <c r="M181" s="71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71"/>
      <c r="J182" s="71"/>
      <c r="K182" s="71"/>
      <c r="L182" s="71"/>
      <c r="M182" s="71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71"/>
      <c r="J183" s="71"/>
      <c r="K183" s="71"/>
      <c r="L183" s="71"/>
      <c r="M183" s="71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96" t="str">
        <f>A15</f>
        <v/>
      </c>
      <c r="B184" s="5"/>
      <c r="C184" s="5"/>
      <c r="D184" s="5"/>
      <c r="E184" s="5"/>
      <c r="F184" s="5"/>
      <c r="G184" s="5"/>
      <c r="H184" s="5"/>
      <c r="I184" s="71"/>
      <c r="J184" s="71"/>
      <c r="K184" s="71"/>
      <c r="L184" s="71"/>
      <c r="M184" s="71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71"/>
      <c r="J185" s="71"/>
      <c r="K185" s="71"/>
      <c r="L185" s="71"/>
      <c r="M185" s="71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71"/>
      <c r="J186" s="71"/>
      <c r="K186" s="71"/>
      <c r="L186" s="71"/>
      <c r="M186" s="71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71"/>
      <c r="J187" s="71"/>
      <c r="K187" s="71"/>
      <c r="L187" s="71"/>
      <c r="M187" s="71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71"/>
      <c r="J188" s="71"/>
      <c r="K188" s="71"/>
      <c r="L188" s="71"/>
      <c r="M188" s="71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71"/>
      <c r="J189" s="71"/>
      <c r="K189" s="71"/>
      <c r="L189" s="71"/>
      <c r="M189" s="71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71"/>
      <c r="J190" s="71"/>
      <c r="K190" s="71"/>
      <c r="L190" s="71"/>
      <c r="M190" s="71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71"/>
      <c r="J191" s="71"/>
      <c r="K191" s="71"/>
      <c r="L191" s="71"/>
      <c r="M191" s="71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71"/>
      <c r="J192" s="71"/>
      <c r="K192" s="71"/>
      <c r="L192" s="71"/>
      <c r="M192" s="71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71"/>
      <c r="J193" s="71"/>
      <c r="K193" s="71"/>
      <c r="L193" s="71"/>
      <c r="M193" s="71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71"/>
      <c r="J194" s="71"/>
      <c r="K194" s="71"/>
      <c r="L194" s="71"/>
      <c r="M194" s="71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71"/>
      <c r="J195" s="71"/>
      <c r="K195" s="71"/>
      <c r="L195" s="71"/>
      <c r="M195" s="71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71"/>
      <c r="J196" s="71"/>
      <c r="K196" s="71"/>
      <c r="L196" s="71"/>
      <c r="M196" s="71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71"/>
      <c r="J197" s="71"/>
      <c r="K197" s="71"/>
      <c r="L197" s="71"/>
      <c r="M197" s="71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71"/>
      <c r="J198" s="71"/>
      <c r="K198" s="71"/>
      <c r="L198" s="71"/>
      <c r="M198" s="71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71"/>
      <c r="J199" s="71"/>
      <c r="K199" s="71"/>
      <c r="L199" s="71"/>
      <c r="M199" s="71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71"/>
      <c r="J200" s="71"/>
      <c r="K200" s="71"/>
      <c r="L200" s="71"/>
      <c r="M200" s="71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71"/>
      <c r="J201" s="71"/>
      <c r="K201" s="71"/>
      <c r="L201" s="71"/>
      <c r="M201" s="71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71"/>
      <c r="J202" s="71"/>
      <c r="K202" s="71"/>
      <c r="L202" s="71"/>
      <c r="M202" s="71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71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gHWnSkZDUvbZGBkz4pH43Reool8jQ+8KooLZ7vfzGE4mN+3+IXxCZGPn1BxcumbExZyWmRlMBD1vD0iimYd0Lg==" saltValue="ynACckI7acFZjT2lFFCthw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P490"/>
  <sheetViews>
    <sheetView topLeftCell="H16" zoomScale="85" zoomScaleNormal="85" workbookViewId="0">
      <selection activeCell="J7" sqref="J7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34" style="3" customWidth="1"/>
    <col min="7" max="7" width="11.42578125" style="3"/>
    <col min="8" max="8" width="11.42578125" style="1"/>
    <col min="9" max="9" width="33" style="1" customWidth="1"/>
    <col min="10" max="10" width="37" style="1" customWidth="1"/>
    <col min="11" max="15" width="11.42578125" style="1"/>
    <col min="16" max="16" width="21" style="1" customWidth="1"/>
    <col min="17" max="16384" width="11.42578125" style="1"/>
  </cols>
  <sheetData>
    <row r="1" spans="1:46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</row>
    <row r="2" spans="1:46" ht="27" thickBot="1" x14ac:dyDescent="0.45">
      <c r="A2" s="5"/>
      <c r="B2" s="263" t="s">
        <v>273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s="238" customFormat="1" x14ac:dyDescent="0.25">
      <c r="A3" s="101"/>
      <c r="B3" s="101"/>
      <c r="C3" s="101"/>
      <c r="D3" s="101"/>
      <c r="E3" s="101"/>
      <c r="F3" s="197"/>
      <c r="G3" s="197"/>
      <c r="H3" s="101"/>
      <c r="I3" s="198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</row>
    <row r="4" spans="1:46" s="238" customFormat="1" x14ac:dyDescent="0.25">
      <c r="A4" s="101"/>
      <c r="B4" s="101"/>
      <c r="C4" s="101"/>
      <c r="D4" s="101"/>
      <c r="E4" s="101"/>
      <c r="F4" s="197"/>
      <c r="G4" s="197"/>
      <c r="H4" s="101"/>
      <c r="I4" s="248" t="s">
        <v>190</v>
      </c>
      <c r="J4" s="248"/>
      <c r="K4" s="248"/>
      <c r="L4" s="248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</row>
    <row r="5" spans="1:46" s="238" customFormat="1" x14ac:dyDescent="0.25">
      <c r="A5" s="101"/>
      <c r="B5" s="101"/>
      <c r="C5" s="101"/>
      <c r="D5" s="101"/>
      <c r="E5" s="101"/>
      <c r="F5" s="197"/>
      <c r="G5" s="197"/>
      <c r="H5" s="101"/>
      <c r="I5" s="199"/>
      <c r="J5" s="199"/>
      <c r="K5" s="199"/>
      <c r="L5" s="199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</row>
    <row r="6" spans="1:46" s="238" customFormat="1" ht="26.25" x14ac:dyDescent="0.4">
      <c r="A6" s="101"/>
      <c r="B6" s="287" t="s">
        <v>192</v>
      </c>
      <c r="C6" s="287"/>
      <c r="D6" s="101"/>
      <c r="E6" s="101"/>
      <c r="F6" s="200"/>
      <c r="G6" s="112"/>
      <c r="H6" s="101"/>
      <c r="I6" s="212" t="s">
        <v>253</v>
      </c>
      <c r="J6" s="201">
        <v>4.4999999999999998E-2</v>
      </c>
      <c r="K6" s="101"/>
      <c r="L6" s="101"/>
      <c r="M6" s="101"/>
      <c r="N6" s="202"/>
      <c r="O6" s="287" t="s">
        <v>191</v>
      </c>
      <c r="P6" s="287"/>
      <c r="Q6" s="287"/>
      <c r="R6" s="287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</row>
    <row r="7" spans="1:46" x14ac:dyDescent="0.25">
      <c r="A7" s="5"/>
      <c r="B7" s="5"/>
      <c r="C7" s="5"/>
      <c r="D7" s="5"/>
      <c r="E7" s="5"/>
      <c r="F7" s="203"/>
      <c r="G7" s="113"/>
      <c r="H7" s="5"/>
      <c r="I7" s="5"/>
      <c r="J7" s="5"/>
      <c r="K7" s="204"/>
      <c r="L7" s="204"/>
      <c r="M7" s="5"/>
      <c r="N7" s="20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</row>
    <row r="8" spans="1:46" x14ac:dyDescent="0.25">
      <c r="A8" s="5"/>
      <c r="B8" s="5"/>
      <c r="C8" s="5"/>
      <c r="D8" s="5"/>
      <c r="E8" s="5"/>
      <c r="F8" s="203"/>
      <c r="G8" s="113"/>
      <c r="H8" s="5"/>
      <c r="I8" s="212" t="s">
        <v>178</v>
      </c>
      <c r="J8" s="212" t="s">
        <v>294</v>
      </c>
      <c r="K8" s="204"/>
      <c r="L8" s="204"/>
      <c r="M8" s="5"/>
      <c r="N8" s="20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</row>
    <row r="9" spans="1:46" x14ac:dyDescent="0.25">
      <c r="A9" s="5"/>
      <c r="B9" s="5"/>
      <c r="C9" s="5"/>
      <c r="D9" s="5"/>
      <c r="E9" s="5"/>
      <c r="F9" s="203"/>
      <c r="G9" s="113"/>
      <c r="H9" s="5"/>
      <c r="I9" s="240"/>
      <c r="J9" s="241">
        <v>0</v>
      </c>
      <c r="K9" s="204"/>
      <c r="L9" s="204"/>
      <c r="M9" s="5"/>
      <c r="N9" s="20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</row>
    <row r="10" spans="1:46" x14ac:dyDescent="0.25">
      <c r="A10" s="5"/>
      <c r="B10" s="5"/>
      <c r="C10" s="5"/>
      <c r="D10" s="5"/>
      <c r="E10" s="5"/>
      <c r="F10" s="203"/>
      <c r="G10" s="113"/>
      <c r="H10" s="5"/>
      <c r="I10" s="5"/>
      <c r="J10" s="5"/>
      <c r="K10" s="204"/>
      <c r="L10" s="204"/>
      <c r="M10" s="5"/>
      <c r="N10" s="20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</row>
    <row r="11" spans="1:46" x14ac:dyDescent="0.25">
      <c r="A11" s="5"/>
      <c r="B11" s="5"/>
      <c r="C11" s="5"/>
      <c r="D11" s="5"/>
      <c r="E11" s="5"/>
      <c r="F11" s="203"/>
      <c r="G11" s="5"/>
      <c r="H11" s="5"/>
      <c r="I11" s="239" t="s">
        <v>178</v>
      </c>
      <c r="J11" s="239" t="s">
        <v>289</v>
      </c>
      <c r="K11" s="5"/>
      <c r="L11" s="204"/>
      <c r="M11" s="5"/>
      <c r="N11" s="20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</row>
    <row r="12" spans="1:46" x14ac:dyDescent="0.25">
      <c r="A12" s="5"/>
      <c r="B12" s="5"/>
      <c r="C12" s="5"/>
      <c r="D12" s="5"/>
      <c r="E12" s="5"/>
      <c r="F12" s="206"/>
      <c r="G12" s="207"/>
      <c r="H12" s="5"/>
      <c r="I12" s="240"/>
      <c r="J12" s="241">
        <v>7000</v>
      </c>
      <c r="K12" s="208"/>
      <c r="L12" s="209"/>
      <c r="M12" s="5"/>
      <c r="N12" s="205"/>
      <c r="O12" s="210" t="s">
        <v>257</v>
      </c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</row>
    <row r="13" spans="1:46" x14ac:dyDescent="0.25">
      <c r="A13" s="5"/>
      <c r="B13" s="5"/>
      <c r="C13" s="5"/>
      <c r="D13" s="5"/>
      <c r="E13" s="5"/>
      <c r="F13" s="206"/>
      <c r="G13" s="207"/>
      <c r="H13" s="5"/>
      <c r="I13" s="240"/>
      <c r="J13" s="241"/>
      <c r="K13" s="211"/>
      <c r="L13" s="209"/>
      <c r="M13" s="5"/>
      <c r="N13" s="205"/>
      <c r="O13" s="210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</row>
    <row r="14" spans="1:46" x14ac:dyDescent="0.25">
      <c r="A14" s="5"/>
      <c r="B14" s="5"/>
      <c r="C14" s="5"/>
      <c r="D14" s="5"/>
      <c r="E14" s="5"/>
      <c r="F14" s="206"/>
      <c r="G14" s="207"/>
      <c r="H14" s="5"/>
      <c r="I14" s="240"/>
      <c r="J14" s="241"/>
      <c r="K14" s="211"/>
      <c r="L14" s="209"/>
      <c r="M14" s="5"/>
      <c r="N14" s="205"/>
      <c r="O14" s="210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</row>
    <row r="15" spans="1:46" x14ac:dyDescent="0.25">
      <c r="A15" s="5"/>
      <c r="B15" s="5"/>
      <c r="C15" s="5"/>
      <c r="D15" s="5"/>
      <c r="E15" s="5"/>
      <c r="F15" s="206"/>
      <c r="G15" s="207"/>
      <c r="H15" s="5"/>
      <c r="I15" s="240"/>
      <c r="J15" s="241"/>
      <c r="K15" s="211"/>
      <c r="L15" s="209"/>
      <c r="M15" s="5"/>
      <c r="N15" s="205"/>
      <c r="O15" s="210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</row>
    <row r="16" spans="1:46" x14ac:dyDescent="0.25">
      <c r="A16" s="5"/>
      <c r="B16" s="5"/>
      <c r="C16" s="5"/>
      <c r="D16" s="5"/>
      <c r="E16" s="5"/>
      <c r="F16" s="206"/>
      <c r="G16" s="207"/>
      <c r="H16" s="5"/>
      <c r="I16" s="240"/>
      <c r="J16" s="241"/>
      <c r="K16" s="211"/>
      <c r="L16" s="209"/>
      <c r="M16" s="5"/>
      <c r="N16" s="205"/>
      <c r="O16" s="210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</row>
    <row r="17" spans="1:60" ht="31.5" customHeight="1" x14ac:dyDescent="0.25">
      <c r="A17" s="199"/>
      <c r="B17" s="199"/>
      <c r="C17" s="5"/>
      <c r="D17" s="5"/>
      <c r="E17" s="5"/>
      <c r="F17" s="203"/>
      <c r="G17" s="113"/>
      <c r="H17" s="5"/>
      <c r="I17" s="278" t="s">
        <v>292</v>
      </c>
      <c r="J17" s="278"/>
      <c r="K17" s="278"/>
      <c r="L17" s="278"/>
      <c r="M17" s="5"/>
      <c r="N17" s="205"/>
      <c r="O17" s="288" t="s">
        <v>254</v>
      </c>
      <c r="P17" s="288"/>
      <c r="Q17" s="2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</row>
    <row r="18" spans="1:60" x14ac:dyDescent="0.25">
      <c r="A18" s="49" t="s">
        <v>165</v>
      </c>
      <c r="B18" s="213" t="str">
        <f>IF('Données projet'!$B$9="","",'Données projet'!$B$9)</f>
        <v>Pin pignon</v>
      </c>
      <c r="C18" s="5"/>
      <c r="D18" s="5"/>
      <c r="E18" s="5"/>
      <c r="F18" s="203"/>
      <c r="G18" s="113"/>
      <c r="H18" s="5"/>
      <c r="I18" s="5"/>
      <c r="J18" s="5"/>
      <c r="K18" s="5"/>
      <c r="L18" s="5"/>
      <c r="M18" s="5"/>
      <c r="N18" s="205"/>
      <c r="O18" s="249" t="s">
        <v>291</v>
      </c>
      <c r="P18" s="249"/>
      <c r="Q18" s="214">
        <f>VLOOKUP(Q17,Calculateur!$A$2:$H$153,3,0)/VLOOKUP('Scénario référence'!$G$15,Paramètres!A1:I88,3,0)/VLOOKUP('Scénario référence'!$G$15,Paramètres!A1:I88,5,0)</f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</row>
    <row r="19" spans="1:60" x14ac:dyDescent="0.25">
      <c r="A19" s="5"/>
      <c r="B19" s="5"/>
      <c r="C19" s="5"/>
      <c r="D19" s="5"/>
      <c r="E19" s="5"/>
      <c r="F19" s="203"/>
      <c r="G19" s="113"/>
      <c r="H19" s="5"/>
      <c r="I19" s="5"/>
      <c r="J19" s="212" t="s">
        <v>263</v>
      </c>
      <c r="K19" s="215" t="s">
        <v>249</v>
      </c>
      <c r="L19" s="212" t="s">
        <v>264</v>
      </c>
      <c r="M19" s="5"/>
      <c r="N19" s="205"/>
      <c r="O19" s="249" t="s">
        <v>255</v>
      </c>
      <c r="P19" s="249"/>
      <c r="Q19" s="242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</row>
    <row r="20" spans="1:60" ht="15.75" customHeight="1" x14ac:dyDescent="0.25">
      <c r="A20" s="212" t="s">
        <v>180</v>
      </c>
      <c r="B20" s="51" t="s">
        <v>256</v>
      </c>
      <c r="C20" s="51" t="s">
        <v>255</v>
      </c>
      <c r="D20" s="212" t="s">
        <v>252</v>
      </c>
      <c r="E20" s="212" t="s">
        <v>288</v>
      </c>
      <c r="F20" s="203"/>
      <c r="G20" s="216"/>
      <c r="H20" s="5"/>
      <c r="I20" s="212" t="str">
        <f>B18</f>
        <v>Pin pignon</v>
      </c>
      <c r="J20" s="217">
        <f>IF(B18&lt;&gt;"",(D21-E21)/(1+$J$6)^A21+(D22-E22)/(1+$J$6)^A22+(D23-E23)/(1+$J$6)^A23+(D24-E24)/(1+$J$6)^A24+(D25-E25)/(1+$J$6)^A25+(D26-E26)/(1+$J$6)^A26+(D27-E27)/(1+$J$6)^A27+(D28-E28)/(1+$J$6)^A28+(D29-E29)/(1+$J$6)^A29+(D30-E30)/(1+$J$6)^A30+(D31-E31)/(1+$J$6)^A31+(D32-E32)/(1+$J$6)^A32+(D33-E33)/(1+$J$6)^A33+(D34-E34)/(1+$J$6)^A34+(D35-E35)/(1+$J$6)^A35+(D36-E36)/(1+$J$6)^A36+(D37-E37)/(1+$J$6)^A37+(D38-E38)/(1+$J$6)^A38+(D39-E39)/(1+$J$6)^A39+(D40-E40)/(1+$J$6)^A40,0)</f>
        <v>83.165999773389814</v>
      </c>
      <c r="K20" s="218">
        <f>'Données projet'!D9</f>
        <v>2.0629499999999998</v>
      </c>
      <c r="L20" s="217">
        <f>K20*J20</f>
        <v>171.5672992325145</v>
      </c>
      <c r="M20" s="5"/>
      <c r="N20" s="205"/>
      <c r="O20" s="249" t="s">
        <v>290</v>
      </c>
      <c r="P20" s="249"/>
      <c r="Q20" s="219">
        <f>Q18*Q19</f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</row>
    <row r="21" spans="1:60" x14ac:dyDescent="0.25">
      <c r="A21" s="220">
        <f>'Données projet'!A36</f>
        <v>10</v>
      </c>
      <c r="B21" s="221">
        <f>'Données projet'!D36</f>
        <v>0</v>
      </c>
      <c r="C21" s="243"/>
      <c r="D21" s="222">
        <f>B21*C21</f>
        <v>0</v>
      </c>
      <c r="E21" s="243"/>
      <c r="F21" s="203"/>
      <c r="G21" s="223"/>
      <c r="H21" s="5"/>
      <c r="I21" s="212" t="str">
        <f>B43</f>
        <v>Chêne chevelu</v>
      </c>
      <c r="J21" s="217">
        <f>IF(B43&lt;&gt;"",(D46-E46)/(1+$J$6)^A46+(D47-D47)/(1+$J$6)^A47+(D48-E48)/(1+$J$6)^A48+(D49-E49)/(1+$J$6)^A49+(D50-E50)/(1+$J$6)^A50+(D51-E51)/(1+$J$6)^A51+(D52-E52)/(1+$J$6)^A52+(D53-E53)/(1+$J$6)^A53+(D54-E54)/(1+$J$6)^A54+(D55-E55)/(1+$J$6)^A55+(D56-E56)/(1+$J$6)^A56+(D57-E57)/(1+$J$6)^A57+(D58-E58)/(1+$J$6)^A58+(D59-E59)/(1+$J$6)^A59+(D60-E60)/(1+$J$6)^A60+(D61-E61)/(1+$J$6)^A61+(D62-E62)/(1+$J$6)^A62+(D63-E63)/(1+$J$6)^A63+(D64-E64)/(1+$J$6)^A64+(D65-E65)/(1+$J$6)^A65,0)</f>
        <v>222.3517015880995</v>
      </c>
      <c r="K21" s="218">
        <f>'Données projet'!D10</f>
        <v>0.52784999999999993</v>
      </c>
      <c r="L21" s="217">
        <f t="shared" ref="L21:L29" si="0">K21*J21</f>
        <v>117.36834568327831</v>
      </c>
      <c r="M21" s="5"/>
      <c r="N21" s="20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</row>
    <row r="22" spans="1:60" x14ac:dyDescent="0.25">
      <c r="A22" s="220">
        <f>'Données projet'!A37</f>
        <v>20</v>
      </c>
      <c r="B22" s="221">
        <f>'Données projet'!D37</f>
        <v>0</v>
      </c>
      <c r="C22" s="243"/>
      <c r="D22" s="222">
        <f t="shared" ref="D22:D40" si="1">B22*C22</f>
        <v>0</v>
      </c>
      <c r="E22" s="243"/>
      <c r="F22" s="224"/>
      <c r="G22" s="223"/>
      <c r="H22" s="5"/>
      <c r="I22" s="212" t="str">
        <f>B68</f>
        <v>Chêne pubescent</v>
      </c>
      <c r="J22" s="217">
        <f>IF(B68&lt;&gt;"",(D71-E71)/(1+$J$6)^A71+(D72-E72)/(1+$J$6)^A72+(D73-E73)/(1+$J$6)^A73+(D74-E74)/(1+$J$6)^A74+(D75-E75)/(1+$J$6)^A75+(D76-E76)/(1+$J$6)^A76+(D77-E77)/(1+$J$6)^A77+(D78-E78)/(1+$J$6)^A78+(D79-E79)/(1+$J$6)^A79+(D80-E80)/(1+$J$6)^A80+(D81-E81)/(1+$J$6)^A81+(D82-E82)/(1+$J$6)^A82+(D83-E83)/(1+$J$6)^A83+(D84-E84)/(1+$J$6)^A84+(D85-E85)/(1+$J$6)^A85+(D86-E86)/(1+$J$6)^A86+(D87-E87)/(1+$J$6)^A87+(D88-E88)/(1+$J$6)^A88+(D89-E89)/(1+$J$6)^A89+(D90-E90)/(1+$J$6)^A90,0)</f>
        <v>274.41670461196509</v>
      </c>
      <c r="K22" s="218">
        <f>'Données projet'!D11</f>
        <v>0.52784999999999993</v>
      </c>
      <c r="L22" s="217">
        <f t="shared" si="0"/>
        <v>144.85085752942575</v>
      </c>
      <c r="M22" s="210"/>
      <c r="N22" s="225"/>
      <c r="O22" s="291" t="s">
        <v>261</v>
      </c>
      <c r="P22" s="291"/>
      <c r="Q22" s="291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</row>
    <row r="23" spans="1:60" x14ac:dyDescent="0.25">
      <c r="A23" s="220">
        <f>'Données projet'!A38</f>
        <v>30</v>
      </c>
      <c r="B23" s="221">
        <f>'Données projet'!D38</f>
        <v>11.375</v>
      </c>
      <c r="C23" s="243">
        <v>10</v>
      </c>
      <c r="D23" s="222">
        <f t="shared" si="1"/>
        <v>113.75</v>
      </c>
      <c r="E23" s="243"/>
      <c r="F23" s="224"/>
      <c r="G23" s="223"/>
      <c r="H23" s="5"/>
      <c r="I23" s="212" t="str">
        <f>B93</f>
        <v>Cormier</v>
      </c>
      <c r="J23" s="217">
        <f>IF(B93&lt;&gt;"",(D96-E96)/(1+$J$6)^A96+(D97-E97)/(1+$J$6)^A97+(D98-E98)/(1+$J$6)^A98+(D99-E99)/(1+$J$6)^A99+(D100-E100)/(1+$J$6)^A100+(D101-E101)/(1+$J$6)^A101+(D102-E102)/(1+$J$6)^A102+(D103-E103)/(1+$J$6)^A103+(D104-E104)/(1+$J$6)^A104+(D105-E105)/(1+$J$6)^A105+(D106-E106)/(1+$J$6)^A106+(D107-E107)/(1+$J$6)^A107+(D108-E108)/(1+$J$6)^A108+(D109-E109)/(1+$J$6)^A109+(D110-E110)/(1+$J$6)^A110+(D111-E111)/(1+$J$6)^A111+(D112-E112)/(1+$J$6)^A112+(D113-E113)/(1+$J$6)^A113+(D114-E114)/(1+$J$6)^A114+(D115-E115)/(1+$J$6)^A115,0)</f>
        <v>274.41670461196509</v>
      </c>
      <c r="K23" s="218">
        <f>'Données projet'!D12</f>
        <v>0.52784999999999993</v>
      </c>
      <c r="L23" s="217">
        <f t="shared" si="0"/>
        <v>144.85085752942575</v>
      </c>
      <c r="M23" s="5"/>
      <c r="N23" s="205"/>
      <c r="O23" s="289" t="s">
        <v>286</v>
      </c>
      <c r="P23" s="289"/>
      <c r="Q23" s="289"/>
      <c r="R23" s="289"/>
      <c r="S23" s="289"/>
      <c r="T23" s="242">
        <v>5000</v>
      </c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</row>
    <row r="24" spans="1:60" ht="15" customHeight="1" x14ac:dyDescent="0.25">
      <c r="A24" s="220">
        <f>'Données projet'!A39</f>
        <v>40</v>
      </c>
      <c r="B24" s="221">
        <f>'Données projet'!D39</f>
        <v>7.0000000000000009</v>
      </c>
      <c r="C24" s="243">
        <v>10</v>
      </c>
      <c r="D24" s="222">
        <f t="shared" si="1"/>
        <v>70.000000000000014</v>
      </c>
      <c r="E24" s="243"/>
      <c r="F24" s="224"/>
      <c r="G24" s="223"/>
      <c r="H24" s="5"/>
      <c r="I24" s="212" t="str">
        <f>B118</f>
        <v>Micocoulier de Provence</v>
      </c>
      <c r="J24" s="217">
        <f>IF(B118&lt;&gt;"",(D121-E121)/(1+$J$6)^A121+(D122-E122)/(1+$J$6)^A122+(D123-E123)/(1+$J$6)^A123+(D124-E124)/(1+$J$6)^A124+(D125-E125)/(1+$J$6)^A125+(D126-E126)/(1+$J$6)^A126+(D127-E127)/(1+$J$6)^A127+(D128-E128)/(1+$J$6)^A128+(D129-E129)/(1+$J$6)^A129+(D130-E130)/(1+$J$6)^A130+(D131-E131)/(1+$J$6)^A131+(D132-E132)/(1+$J$6)^A132+(D133-E133)/(1+$J$6)^A133+(D134-E134)/(1+$J$6)^A134+(D135-E135)/(1+$J$6)^A135+(D136-E136)/(1+$J$6)^A136+(D137-E137)/(1+$J$6)^A137+(D138-E138)/(1+$J$6)^A138+(D139-E139)/(1+$J$6)^A139+(D140-E140)/(1+$J$6)^A140,0)</f>
        <v>274.41670461196509</v>
      </c>
      <c r="K24" s="218">
        <f>'Données projet'!D13</f>
        <v>0.52784999999999993</v>
      </c>
      <c r="L24" s="217">
        <f t="shared" si="0"/>
        <v>144.85085752942575</v>
      </c>
      <c r="M24" s="5"/>
      <c r="N24" s="205"/>
      <c r="O24" s="290" t="s">
        <v>258</v>
      </c>
      <c r="P24" s="290"/>
      <c r="Q24" s="290"/>
      <c r="R24" s="290"/>
      <c r="S24" s="290"/>
      <c r="T24" s="290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</row>
    <row r="25" spans="1:60" x14ac:dyDescent="0.25">
      <c r="A25" s="220">
        <f>'Données projet'!A40</f>
        <v>50</v>
      </c>
      <c r="B25" s="221">
        <f>'Données projet'!D40</f>
        <v>7.7500000000000009</v>
      </c>
      <c r="C25" s="243">
        <v>10</v>
      </c>
      <c r="D25" s="222">
        <f t="shared" si="1"/>
        <v>77.500000000000014</v>
      </c>
      <c r="E25" s="243"/>
      <c r="F25" s="224"/>
      <c r="G25" s="223"/>
      <c r="H25" s="5"/>
      <c r="I25" s="212" t="str">
        <f>B143</f>
        <v>Pin d'Alep</v>
      </c>
      <c r="J25" s="217">
        <f>IF(B143&lt;&gt;"",(D146-E146)/(1+$J$6)^A146+(D147-E147)/(1+$J$6)^A147+(D148-E148)/(1+$J$6)^A148+(D149-E149)/(1+$J$6)^A149+(D150-E150)/(1+$J$6)^A150+(D151-E151)/(1+$J$6)^A151+(D152-E152)/(1+$J$6)^A152+(D153-E153)/(1+$J$6)^A153+(D154-E154)/(1+$J$6)^A154+(D155-E155)/(1+$J$6)^A155+(D156-E156)/(1+$J$6)^A156+(D157-E157)/(1+$J$6)^A157+(D158-E158)/(1+$J$6)^A158+(D159-E159)/(1+$J$6)^A159+(D160-E160)/(1+$J$6)^A160+(D161-E161)/(1+$J$6)^A161+(D162-E162)/(1+$J$6)^A162+(D163-E163)/(1+$J$6)^A163+(D164-E164)/(1+$J$6)^A164+(D165-E165)/(1+$J$6)^A165,0)</f>
        <v>340.64112349665459</v>
      </c>
      <c r="K25" s="218">
        <f>'Données projet'!D14</f>
        <v>0.30854999999999999</v>
      </c>
      <c r="L25" s="217">
        <f t="shared" si="0"/>
        <v>105.10481865489277</v>
      </c>
      <c r="M25" s="5"/>
      <c r="N25" s="205"/>
      <c r="O25" s="290"/>
      <c r="P25" s="290"/>
      <c r="Q25" s="290"/>
      <c r="R25" s="290"/>
      <c r="S25" s="290"/>
      <c r="T25" s="290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</row>
    <row r="26" spans="1:60" x14ac:dyDescent="0.25">
      <c r="A26" s="220">
        <f>'Données projet'!A41</f>
        <v>60</v>
      </c>
      <c r="B26" s="221">
        <f>'Données projet'!D41</f>
        <v>8.25</v>
      </c>
      <c r="C26" s="243">
        <v>10</v>
      </c>
      <c r="D26" s="222">
        <f t="shared" si="1"/>
        <v>82.5</v>
      </c>
      <c r="E26" s="243"/>
      <c r="F26" s="224"/>
      <c r="G26" s="223"/>
      <c r="H26" s="5"/>
      <c r="I26" s="212" t="str">
        <f>B168</f>
        <v>Cèdre de l'Atlas</v>
      </c>
      <c r="J26" s="217">
        <f>IF(B168&lt;&gt;"",(D171-E171)/(1+$J$6)^A171+(D172-E172)/(1+$J$6)^A172+(D173-E173)/(1+$J$6)^A173+(D174-E174)/(1+$J$6)^A174+(D175-E175)/(1+$J$6)^A175+(D176-E176)/(1+$J$6)^A176+(D177-E177)/(1+$J$6)^A177+(D178-E178)/(1+$J$6)^A178+(D179-E179)/(1+$J$6)^A179+(D180-E180)/(1+$J$6)^A180+(D181-E181)/(1+$J$6)^A181+(D182-E182)/(1+$J$6)^A182+(D183-E183)/(1+$J$6)^A183+(D184-E184)/(1+$J$6)^A184+(D185-E185)/(1+$J$6)^A185+(D186-E186)/(1+$J$6)^A186+(D187-E187)/(1+$J$6)^A187+(D188-E188)/(1+$J$6)^A188+(D189-E189)/(1+$J$6)^A189+(D190-E190)/(1+$J$6)^A190,0)</f>
        <v>331.79442645520402</v>
      </c>
      <c r="K26" s="218">
        <f>'Données projet'!D15</f>
        <v>0.30854999999999999</v>
      </c>
      <c r="L26" s="217">
        <f t="shared" si="0"/>
        <v>102.3751702827532</v>
      </c>
      <c r="M26" s="5"/>
      <c r="N26" s="205"/>
      <c r="O26" s="226"/>
      <c r="P26" s="226"/>
      <c r="Q26" s="226"/>
      <c r="R26" s="226"/>
      <c r="S26" s="226"/>
      <c r="T26" s="226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</row>
    <row r="27" spans="1:60" x14ac:dyDescent="0.25">
      <c r="A27" s="220">
        <f>'Données projet'!A42</f>
        <v>70</v>
      </c>
      <c r="B27" s="221">
        <f>'Données projet'!D42</f>
        <v>8.5</v>
      </c>
      <c r="C27" s="243">
        <v>10</v>
      </c>
      <c r="D27" s="222">
        <f t="shared" si="1"/>
        <v>85</v>
      </c>
      <c r="E27" s="243"/>
      <c r="F27" s="224"/>
      <c r="G27" s="223"/>
      <c r="H27" s="5"/>
      <c r="I27" s="212" t="str">
        <f>B193</f>
        <v/>
      </c>
      <c r="J27" s="217">
        <f>IF(B193&lt;&gt;"",(D196-E196)/(1+$J$6)^A196+(D197-E197)/(1+$J$6)^A197+(D198-E198)/(1+$J$6)^A198+(D199-E199)/(1+$J$6)^A199+(D200-E200)/(1+$J$6)^A200+(D201-E201)/(1+$J$6)^A201+(D202-E202)/(1+$J$6)^A202+(D203-E203)/(1+$J$6)^A203+(D204-E204)/(1+$J$6)^A204+(D205-E205)/(1+$J$6)^A205+(D206-E206)/(1+$J$6)^A206+(D207-E207)/(1+$J$6)^A207+(D208-E208)/(1+$J$6)^A208+(D209-E209)/(1+$J$6)^A209+(D210-E210)/(1+$J$6)^A210+(D211-E211)/(1+$J$6)^A211+(D212-E212)/(1+$J$6)^A212+(D213-E213)/(1+$J$6)^A213+(D214-E214)/(1+$J$6)^A214+(D215-E215)/(1+$J$6)^A215,0)</f>
        <v>0</v>
      </c>
      <c r="K27" s="218">
        <f>'Données projet'!D16</f>
        <v>0</v>
      </c>
      <c r="L27" s="217">
        <f t="shared" si="0"/>
        <v>0</v>
      </c>
      <c r="M27" s="5"/>
      <c r="N27" s="205"/>
      <c r="O27" s="212" t="s">
        <v>259</v>
      </c>
      <c r="P27" s="227">
        <f ca="1">SUM(OFFSET($S$28,0,0,MIN('Données projet'!$E$9:$E$18)+1,1))</f>
        <v>108795.38590871595</v>
      </c>
      <c r="Q27" s="5"/>
      <c r="R27" s="93" t="s">
        <v>178</v>
      </c>
      <c r="S27" s="93" t="s">
        <v>252</v>
      </c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</row>
    <row r="28" spans="1:60" x14ac:dyDescent="0.25">
      <c r="A28" s="220">
        <f>'Données projet'!A43</f>
        <v>80</v>
      </c>
      <c r="B28" s="221">
        <f>'Données projet'!D43</f>
        <v>9.1666666666666679</v>
      </c>
      <c r="C28" s="243">
        <v>15</v>
      </c>
      <c r="D28" s="222">
        <f t="shared" si="1"/>
        <v>137.50000000000003</v>
      </c>
      <c r="E28" s="243"/>
      <c r="F28" s="224"/>
      <c r="G28" s="223"/>
      <c r="H28" s="5"/>
      <c r="I28" s="212" t="str">
        <f>B218</f>
        <v/>
      </c>
      <c r="J28" s="217">
        <f>IF(B218&lt;&gt;"",(D221-E221)/(1+$J$6)^A221+(D222-E222)/(1+$J$6)^A222+(D223-E223)/(1+$J$6)^A223+(D224-E224)/(1+$J$6)^A224+(D225-E225)/(1+$J$6)^A225+(D226-E226)/(1+$J$6)^A226+(D227-E227)/(1+$J$6)^A227+(D228-E228)/(1+$J$6)^A228+(D229-E229)/(1+$J$6)^A229+(D230-E230)/(1+$J$6)^A230+(D231-E231)/(1+$J$6)^A231+(D232-E232)/(1+$J$6)^A232+(D233-E233)/(1+$J$6)^A233+(D234-E234)/(1+$J$6)^A234+(D235-E235)/(1+$J$6)^A235+(D236-E236)/(1+$J$6)^A236+(D237-E237)/(1+$J$6)^A237+(D238-E238)/(1+$J$6)^A238+(D239-E239)/(1+$J$6)^A239+(D240-E240)/(1+$J$6)^A240,0)</f>
        <v>0</v>
      </c>
      <c r="K28" s="218">
        <f>'Données projet'!D17</f>
        <v>0</v>
      </c>
      <c r="L28" s="217">
        <f t="shared" si="0"/>
        <v>0</v>
      </c>
      <c r="M28" s="5"/>
      <c r="N28" s="205"/>
      <c r="O28" s="5"/>
      <c r="P28" s="5"/>
      <c r="Q28" s="5"/>
      <c r="R28" s="244">
        <v>0</v>
      </c>
      <c r="S28" s="228">
        <v>-16500</v>
      </c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</row>
    <row r="29" spans="1:60" x14ac:dyDescent="0.25">
      <c r="A29" s="220">
        <f>'Données projet'!A44</f>
        <v>90</v>
      </c>
      <c r="B29" s="221">
        <f>'Données projet'!D44</f>
        <v>9.1666666666666679</v>
      </c>
      <c r="C29" s="243">
        <v>20</v>
      </c>
      <c r="D29" s="222">
        <f t="shared" si="1"/>
        <v>183.33333333333337</v>
      </c>
      <c r="E29" s="243"/>
      <c r="F29" s="224"/>
      <c r="G29" s="223"/>
      <c r="H29" s="5"/>
      <c r="I29" s="212" t="str">
        <f>B243</f>
        <v/>
      </c>
      <c r="J29" s="217">
        <f>IF(B243&lt;&gt;"",(D246-E246)/(1+$J$6)^A246+(D247-D247)/(1+$J$6)^A247+(D248-E248)/(1+$J$6)^A248+(D249-E249)/(1+$J$6)^A249+(D250-E250)/(1+$J$6)^A250+(D251-E251)/(1+$J$6)^A251+(D252-E252)/(1+$J$6)^A252+(D253-E253)/(1+$J$6)^A253+(D254-E254)/(1+$J$6)^A254+(D255-E255)/(1+$J$6)^A255+(D256-E256)/(1+$J$6)^A256+(D257-E257)/(1+$J$6)^A257+(D258-E258)/(1+$J$6)^A258+(D259-E259)/(1+$J$6)^A259+(D260-E260)/(1+$J$6)^A260+(D261-E261)/(1+$J$6)^A261+(D262-E262)/(1+$J$6)^A262+(D263-E263)/(1+$J$6)^A263+(D264-E264)/(1+$J$6)^A264+(D265-E265)/(1+$J$6)^A265,0)</f>
        <v>0</v>
      </c>
      <c r="K29" s="218">
        <f>'Données projet'!D18</f>
        <v>0</v>
      </c>
      <c r="L29" s="217">
        <f t="shared" si="0"/>
        <v>0</v>
      </c>
      <c r="M29" s="5"/>
      <c r="N29" s="205"/>
      <c r="O29" s="285" t="s">
        <v>260</v>
      </c>
      <c r="P29" s="285"/>
      <c r="Q29" s="286"/>
      <c r="R29" s="244">
        <f>IF(R28+1&lt;=MIN('Données projet'!$E$9:$E$18),R28+1,"STOP")</f>
        <v>1</v>
      </c>
      <c r="S29" s="228">
        <v>0</v>
      </c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</row>
    <row r="30" spans="1:60" x14ac:dyDescent="0.25">
      <c r="A30" s="220">
        <f>'Données projet'!A45</f>
        <v>100</v>
      </c>
      <c r="B30" s="221">
        <f>'Données projet'!D45</f>
        <v>9.125</v>
      </c>
      <c r="C30" s="243">
        <v>25</v>
      </c>
      <c r="D30" s="222">
        <f t="shared" si="1"/>
        <v>228.125</v>
      </c>
      <c r="E30" s="243"/>
      <c r="F30" s="224"/>
      <c r="G30" s="223"/>
      <c r="H30" s="5"/>
      <c r="I30" s="5"/>
      <c r="J30" s="5"/>
      <c r="K30" s="5"/>
      <c r="L30" s="5"/>
      <c r="M30" s="5"/>
      <c r="N30" s="205"/>
      <c r="O30" s="285" t="s">
        <v>297</v>
      </c>
      <c r="P30" s="285"/>
      <c r="Q30" s="286"/>
      <c r="R30" s="244">
        <f>IF(R29+1&lt;=MIN('Données projet'!$E$9:$E$18),R29+1,"STOP")</f>
        <v>2</v>
      </c>
      <c r="S30" s="228">
        <v>0</v>
      </c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</row>
    <row r="31" spans="1:60" x14ac:dyDescent="0.25">
      <c r="A31" s="220">
        <f>'Données projet'!A46</f>
        <v>110</v>
      </c>
      <c r="B31" s="221">
        <f>'Données projet'!D46</f>
        <v>9.0416666666666661</v>
      </c>
      <c r="C31" s="243">
        <v>30</v>
      </c>
      <c r="D31" s="222">
        <f t="shared" si="1"/>
        <v>271.25</v>
      </c>
      <c r="E31" s="243"/>
      <c r="F31" s="224"/>
      <c r="G31" s="223"/>
      <c r="H31" s="5"/>
      <c r="I31" s="5"/>
      <c r="J31" s="5"/>
      <c r="K31" s="5"/>
      <c r="L31" s="5"/>
      <c r="M31" s="5"/>
      <c r="N31" s="205"/>
      <c r="O31" s="5"/>
      <c r="P31" s="5"/>
      <c r="Q31" s="5"/>
      <c r="R31" s="244">
        <f>IF(R30+1&lt;=MIN('Données projet'!$E$9:$E$18),R30+1,"STOP")</f>
        <v>3</v>
      </c>
      <c r="S31" s="228">
        <v>0</v>
      </c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</row>
    <row r="32" spans="1:60" x14ac:dyDescent="0.25">
      <c r="A32" s="220">
        <f>'Données projet'!A47</f>
        <v>120</v>
      </c>
      <c r="B32" s="221">
        <f>'Données projet'!D47</f>
        <v>8.875</v>
      </c>
      <c r="C32" s="243">
        <v>30</v>
      </c>
      <c r="D32" s="222">
        <f t="shared" si="1"/>
        <v>266.25</v>
      </c>
      <c r="E32" s="243"/>
      <c r="F32" s="224"/>
      <c r="G32" s="223"/>
      <c r="H32" s="5"/>
      <c r="I32" s="212" t="s">
        <v>265</v>
      </c>
      <c r="J32" s="281">
        <f>SUM(L20:L29) - (J12/(1+J6)^I12 + J13/(1+J6)^I13 + J14/(1+J6)^I14 + J15/(1+J6)^I15 + J16/(1+J6)^I16 + J9/(1+J6)^I9)*'Données projet'!C5</f>
        <v>-34769.031793558286</v>
      </c>
      <c r="K32" s="281"/>
      <c r="L32" s="281"/>
      <c r="M32" s="5"/>
      <c r="N32" s="205"/>
      <c r="O32" s="5"/>
      <c r="P32" s="5"/>
      <c r="Q32" s="5"/>
      <c r="R32" s="244">
        <f>IF(R31+1&lt;=MIN('Données projet'!$E$9:$E$18),R31+1,"STOP")</f>
        <v>4</v>
      </c>
      <c r="S32" s="228">
        <v>0</v>
      </c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</row>
    <row r="33" spans="1:60" x14ac:dyDescent="0.25">
      <c r="A33" s="220">
        <f>'Données projet'!A48</f>
        <v>130</v>
      </c>
      <c r="B33" s="221">
        <f>'Données projet'!D48</f>
        <v>8.7083333333333339</v>
      </c>
      <c r="C33" s="243">
        <v>30</v>
      </c>
      <c r="D33" s="222">
        <f t="shared" si="1"/>
        <v>261.25</v>
      </c>
      <c r="E33" s="243"/>
      <c r="F33" s="224"/>
      <c r="G33" s="223"/>
      <c r="H33" s="5"/>
      <c r="I33" s="212" t="s">
        <v>262</v>
      </c>
      <c r="J33" s="282">
        <f ca="1">'Scénario référence'!$B$8*$P$27*'Données projet'!$C$5+('Scénario référence'!B9+'Scénario référence'!B10+'Scénario référence'!F8+'Scénario référence'!F9)*$Q$20/(1+J6)^Q17*'Données projet'!$C$5</f>
        <v>554856.46813445131</v>
      </c>
      <c r="K33" s="282"/>
      <c r="L33" s="282"/>
      <c r="M33" s="5"/>
      <c r="N33" s="205"/>
      <c r="O33" s="5"/>
      <c r="P33" s="5"/>
      <c r="Q33" s="5"/>
      <c r="R33" s="244">
        <f>IF(R32+1&lt;=MIN('Données projet'!$E$9:$E$18),R32+1,"STOP")</f>
        <v>5</v>
      </c>
      <c r="S33" s="228">
        <f t="shared" ref="S33:S59" si="2">$T$23/(1+$J$6)^R33</f>
        <v>4012.2552325034208</v>
      </c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</row>
    <row r="34" spans="1:60" x14ac:dyDescent="0.25">
      <c r="A34" s="220">
        <f>'Données projet'!A49</f>
        <v>140</v>
      </c>
      <c r="B34" s="221">
        <f>'Données projet'!D49</f>
        <v>8.5416666666666679</v>
      </c>
      <c r="C34" s="243">
        <v>35</v>
      </c>
      <c r="D34" s="222">
        <f t="shared" si="1"/>
        <v>298.95833333333337</v>
      </c>
      <c r="E34" s="243"/>
      <c r="F34" s="224"/>
      <c r="G34" s="223"/>
      <c r="H34" s="5"/>
      <c r="I34" s="229" t="s">
        <v>267</v>
      </c>
      <c r="J34" s="283">
        <f ca="1">J32-J33</f>
        <v>-589625.49992800958</v>
      </c>
      <c r="K34" s="283"/>
      <c r="L34" s="283"/>
      <c r="M34" s="5"/>
      <c r="N34" s="205"/>
      <c r="O34" s="5"/>
      <c r="P34" s="5"/>
      <c r="Q34" s="5"/>
      <c r="R34" s="244">
        <f>IF(R33+1&lt;=MIN('Données projet'!$E$9:$E$18),R33+1,"STOP")</f>
        <v>6</v>
      </c>
      <c r="S34" s="228">
        <f t="shared" si="2"/>
        <v>3839.4786913908338</v>
      </c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</row>
    <row r="35" spans="1:60" x14ac:dyDescent="0.25">
      <c r="A35" s="220">
        <f>'Données projet'!A50</f>
        <v>150</v>
      </c>
      <c r="B35" s="221">
        <f>'Données projet'!D50</f>
        <v>130.21250000000001</v>
      </c>
      <c r="C35" s="243">
        <v>40</v>
      </c>
      <c r="D35" s="222">
        <f t="shared" si="1"/>
        <v>5208.5</v>
      </c>
      <c r="E35" s="243"/>
      <c r="F35" s="224"/>
      <c r="G35" s="223"/>
      <c r="H35" s="5"/>
      <c r="I35" s="229" t="s">
        <v>266</v>
      </c>
      <c r="J35" s="280" t="str">
        <f ca="1">IF(J34&lt;0,"Votre projet est additionnel","Votre projet n'est pas additionnel")</f>
        <v>Votre projet est additionnel</v>
      </c>
      <c r="K35" s="280"/>
      <c r="L35" s="280"/>
      <c r="M35" s="5"/>
      <c r="N35" s="205"/>
      <c r="O35" s="5"/>
      <c r="P35" s="5"/>
      <c r="Q35" s="5"/>
      <c r="R35" s="244">
        <f>IF(R34+1&lt;=MIN('Données projet'!$E$9:$E$18),R34+1,"STOP")</f>
        <v>7</v>
      </c>
      <c r="S35" s="228">
        <f t="shared" si="2"/>
        <v>3674.1422884122812</v>
      </c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</row>
    <row r="36" spans="1:60" x14ac:dyDescent="0.25">
      <c r="A36" s="220">
        <f>'Données projet'!A51</f>
        <v>0</v>
      </c>
      <c r="B36" s="221">
        <f>'Données projet'!D51</f>
        <v>0</v>
      </c>
      <c r="C36" s="243"/>
      <c r="D36" s="222">
        <f t="shared" si="1"/>
        <v>0</v>
      </c>
      <c r="E36" s="243"/>
      <c r="F36" s="224"/>
      <c r="G36" s="223"/>
      <c r="H36" s="5"/>
      <c r="I36" s="284" t="s">
        <v>268</v>
      </c>
      <c r="J36" s="284"/>
      <c r="K36" s="284"/>
      <c r="L36" s="284"/>
      <c r="M36" s="5"/>
      <c r="N36" s="205"/>
      <c r="O36" s="5"/>
      <c r="P36" s="5"/>
      <c r="Q36" s="5"/>
      <c r="R36" s="244">
        <f>IF(R35+1&lt;=MIN('Données projet'!$E$9:$E$18),R35+1,"STOP")</f>
        <v>8</v>
      </c>
      <c r="S36" s="228">
        <f t="shared" si="2"/>
        <v>3515.9256348442891</v>
      </c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</row>
    <row r="37" spans="1:60" x14ac:dyDescent="0.25">
      <c r="A37" s="220">
        <f>'Données projet'!A52</f>
        <v>0</v>
      </c>
      <c r="B37" s="221">
        <f>'Données projet'!D52</f>
        <v>0</v>
      </c>
      <c r="C37" s="243"/>
      <c r="D37" s="222">
        <f t="shared" si="1"/>
        <v>0</v>
      </c>
      <c r="E37" s="243"/>
      <c r="F37" s="224"/>
      <c r="G37" s="223"/>
      <c r="H37" s="5"/>
      <c r="I37" s="5"/>
      <c r="J37" s="5"/>
      <c r="K37" s="5"/>
      <c r="L37" s="5"/>
      <c r="M37" s="5"/>
      <c r="N37" s="205"/>
      <c r="O37" s="5"/>
      <c r="P37" s="5"/>
      <c r="Q37" s="5"/>
      <c r="R37" s="244">
        <f>IF(R36+1&lt;=MIN('Données projet'!$E$9:$E$18),R36+1,"STOP")</f>
        <v>9</v>
      </c>
      <c r="S37" s="228">
        <f t="shared" si="2"/>
        <v>3364.5221386069757</v>
      </c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</row>
    <row r="38" spans="1:60" x14ac:dyDescent="0.25">
      <c r="A38" s="220">
        <f>'Données projet'!A53</f>
        <v>0</v>
      </c>
      <c r="B38" s="221">
        <f>'Données projet'!D53</f>
        <v>0</v>
      </c>
      <c r="C38" s="243"/>
      <c r="D38" s="222">
        <f t="shared" si="1"/>
        <v>0</v>
      </c>
      <c r="E38" s="243"/>
      <c r="F38" s="224"/>
      <c r="G38" s="223"/>
      <c r="H38" s="5"/>
      <c r="I38" s="5"/>
      <c r="J38" s="5"/>
      <c r="K38" s="5"/>
      <c r="L38" s="5"/>
      <c r="M38" s="5"/>
      <c r="N38" s="205"/>
      <c r="O38" s="5"/>
      <c r="P38" s="5"/>
      <c r="Q38" s="5"/>
      <c r="R38" s="244">
        <f>IF(R37+1&lt;=MIN('Données projet'!$E$9:$E$18),R37+1,"STOP")</f>
        <v>10</v>
      </c>
      <c r="S38" s="228">
        <f t="shared" si="2"/>
        <v>3219.6384101502163</v>
      </c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</row>
    <row r="39" spans="1:60" x14ac:dyDescent="0.25">
      <c r="A39" s="220">
        <f>'Données projet'!A54</f>
        <v>0</v>
      </c>
      <c r="B39" s="221">
        <f>'Données projet'!D54</f>
        <v>0</v>
      </c>
      <c r="C39" s="243"/>
      <c r="D39" s="222">
        <f t="shared" si="1"/>
        <v>0</v>
      </c>
      <c r="E39" s="243"/>
      <c r="F39" s="224"/>
      <c r="G39" s="223"/>
      <c r="H39" s="5"/>
      <c r="I39" s="5"/>
      <c r="J39" s="5"/>
      <c r="K39" s="5"/>
      <c r="L39" s="5"/>
      <c r="M39" s="5"/>
      <c r="N39" s="205"/>
      <c r="O39" s="5"/>
      <c r="P39" s="5"/>
      <c r="Q39" s="5"/>
      <c r="R39" s="244">
        <f>IF(R38+1&lt;=MIN('Données projet'!$E$9:$E$18),R38+1,"STOP")</f>
        <v>11</v>
      </c>
      <c r="S39" s="228">
        <f t="shared" si="2"/>
        <v>3080.9936939236518</v>
      </c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</row>
    <row r="40" spans="1:60" x14ac:dyDescent="0.25">
      <c r="A40" s="220">
        <f>'Données projet'!A55</f>
        <v>0</v>
      </c>
      <c r="B40" s="221">
        <f>'Données projet'!D55</f>
        <v>0</v>
      </c>
      <c r="C40" s="243"/>
      <c r="D40" s="222">
        <f t="shared" si="1"/>
        <v>0</v>
      </c>
      <c r="E40" s="243"/>
      <c r="F40" s="224"/>
      <c r="G40" s="223"/>
      <c r="H40" s="5"/>
      <c r="I40" s="5"/>
      <c r="J40" s="5"/>
      <c r="K40" s="5"/>
      <c r="L40" s="5"/>
      <c r="M40" s="5"/>
      <c r="N40" s="205"/>
      <c r="O40" s="5"/>
      <c r="P40" s="5"/>
      <c r="Q40" s="5"/>
      <c r="R40" s="244">
        <f>IF(R39+1&lt;=MIN('Données projet'!$E$9:$E$18),R39+1,"STOP")</f>
        <v>12</v>
      </c>
      <c r="S40" s="228">
        <f t="shared" si="2"/>
        <v>2948.3193243288542</v>
      </c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</row>
    <row r="41" spans="1:60" s="245" customFormat="1" ht="47.25" customHeight="1" x14ac:dyDescent="0.25">
      <c r="A41" s="230"/>
      <c r="B41" s="230"/>
      <c r="C41" s="230"/>
      <c r="D41" s="230"/>
      <c r="E41" s="278" t="s">
        <v>293</v>
      </c>
      <c r="F41" s="279"/>
      <c r="G41" s="231"/>
      <c r="H41" s="230"/>
      <c r="I41" s="230"/>
      <c r="J41" s="230"/>
      <c r="K41" s="230"/>
      <c r="L41" s="230"/>
      <c r="M41" s="230"/>
      <c r="N41" s="232"/>
      <c r="O41" s="230"/>
      <c r="P41" s="230"/>
      <c r="Q41" s="230"/>
      <c r="R41" s="244">
        <f>IF(R40+1&lt;=MIN('Données projet'!$E$9:$E$18),R40+1,"STOP")</f>
        <v>13</v>
      </c>
      <c r="S41" s="233">
        <f t="shared" si="2"/>
        <v>2821.3582050993818</v>
      </c>
      <c r="T41" s="230"/>
      <c r="U41" s="230"/>
      <c r="V41" s="230"/>
      <c r="W41" s="230"/>
      <c r="X41" s="230"/>
      <c r="Y41" s="230"/>
      <c r="Z41" s="230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/>
      <c r="AN41" s="230"/>
      <c r="AO41" s="230"/>
      <c r="AP41" s="230"/>
      <c r="AQ41" s="230"/>
      <c r="AR41" s="230"/>
      <c r="AS41" s="230"/>
      <c r="AT41" s="230"/>
      <c r="AU41" s="230"/>
      <c r="AV41" s="230"/>
      <c r="AW41" s="230"/>
      <c r="AX41" s="230"/>
      <c r="AY41" s="230"/>
      <c r="AZ41" s="230"/>
      <c r="BA41" s="230"/>
      <c r="BB41" s="230"/>
      <c r="BC41" s="230"/>
      <c r="BD41" s="230"/>
      <c r="BE41" s="230"/>
      <c r="BF41" s="230"/>
      <c r="BG41" s="230"/>
      <c r="BH41" s="230"/>
    </row>
    <row r="42" spans="1:60" x14ac:dyDescent="0.25">
      <c r="A42" s="5"/>
      <c r="B42" s="5"/>
      <c r="C42" s="5"/>
      <c r="D42" s="5"/>
      <c r="E42" s="5"/>
      <c r="F42" s="203"/>
      <c r="G42" s="113"/>
      <c r="H42" s="5"/>
      <c r="I42" s="5"/>
      <c r="J42" s="5"/>
      <c r="K42" s="5"/>
      <c r="L42" s="5"/>
      <c r="M42" s="5"/>
      <c r="N42" s="205"/>
      <c r="O42" s="5"/>
      <c r="P42" s="5"/>
      <c r="Q42" s="5"/>
      <c r="R42" s="244">
        <f>IF(R41+1&lt;=MIN('Données projet'!$E$9:$E$18),R41+1,"STOP")</f>
        <v>14</v>
      </c>
      <c r="S42" s="228">
        <f t="shared" si="2"/>
        <v>2699.8643110998878</v>
      </c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</row>
    <row r="43" spans="1:60" x14ac:dyDescent="0.25">
      <c r="A43" s="49" t="s">
        <v>166</v>
      </c>
      <c r="B43" s="213" t="str">
        <f>IF('Données projet'!$B$10="","",'Données projet'!$B$10)</f>
        <v>Chêne chevelu</v>
      </c>
      <c r="C43" s="5"/>
      <c r="D43" s="5"/>
      <c r="E43" s="5"/>
      <c r="F43" s="203"/>
      <c r="G43" s="113"/>
      <c r="H43" s="5"/>
      <c r="I43" s="5"/>
      <c r="J43" s="5"/>
      <c r="K43" s="5"/>
      <c r="L43" s="5"/>
      <c r="M43" s="5"/>
      <c r="N43" s="205"/>
      <c r="O43" s="5"/>
      <c r="P43" s="5"/>
      <c r="Q43" s="5"/>
      <c r="R43" s="244">
        <f>IF(R42+1&lt;=MIN('Données projet'!$E$9:$E$18),R42+1,"STOP")</f>
        <v>15</v>
      </c>
      <c r="S43" s="228">
        <f t="shared" si="2"/>
        <v>2583.6022115788396</v>
      </c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</row>
    <row r="44" spans="1:60" x14ac:dyDescent="0.25">
      <c r="A44" s="5"/>
      <c r="B44" s="5"/>
      <c r="C44" s="5"/>
      <c r="D44" s="5"/>
      <c r="E44" s="5"/>
      <c r="F44" s="203"/>
      <c r="G44" s="113"/>
      <c r="H44" s="5"/>
      <c r="I44" s="5"/>
      <c r="J44" s="5"/>
      <c r="K44" s="5"/>
      <c r="L44" s="5"/>
      <c r="M44" s="5"/>
      <c r="N44" s="205"/>
      <c r="O44" s="5"/>
      <c r="P44" s="5"/>
      <c r="Q44" s="5"/>
      <c r="R44" s="244">
        <f>IF(R43+1&lt;=MIN('Données projet'!$E$9:$E$18),R43+1,"STOP")</f>
        <v>16</v>
      </c>
      <c r="S44" s="228">
        <f t="shared" si="2"/>
        <v>2472.3466139510438</v>
      </c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</row>
    <row r="45" spans="1:60" ht="15" customHeight="1" x14ac:dyDescent="0.25">
      <c r="A45" s="212" t="s">
        <v>180</v>
      </c>
      <c r="B45" s="51" t="s">
        <v>256</v>
      </c>
      <c r="C45" s="51" t="s">
        <v>255</v>
      </c>
      <c r="D45" s="212" t="s">
        <v>252</v>
      </c>
      <c r="E45" s="212" t="s">
        <v>288</v>
      </c>
      <c r="F45" s="234"/>
      <c r="G45" s="216"/>
      <c r="H45" s="5"/>
      <c r="I45" s="5"/>
      <c r="J45" s="5"/>
      <c r="K45" s="5"/>
      <c r="L45" s="5"/>
      <c r="M45" s="5"/>
      <c r="N45" s="205"/>
      <c r="O45" s="5"/>
      <c r="P45" s="5"/>
      <c r="Q45" s="5"/>
      <c r="R45" s="244">
        <f>IF(R44+1&lt;=MIN('Données projet'!$E$9:$E$18),R44+1,"STOP")</f>
        <v>17</v>
      </c>
      <c r="S45" s="228">
        <f t="shared" si="2"/>
        <v>2365.8819272258793</v>
      </c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</row>
    <row r="46" spans="1:60" x14ac:dyDescent="0.25">
      <c r="A46" s="220">
        <f>'Données projet'!A62</f>
        <v>25</v>
      </c>
      <c r="B46" s="221">
        <f>'Données projet'!D62</f>
        <v>0</v>
      </c>
      <c r="C46" s="241"/>
      <c r="D46" s="219">
        <f>B46*C46</f>
        <v>0</v>
      </c>
      <c r="E46" s="243"/>
      <c r="F46" s="235"/>
      <c r="G46" s="236"/>
      <c r="H46" s="5"/>
      <c r="I46" s="5"/>
      <c r="J46" s="5"/>
      <c r="K46" s="5"/>
      <c r="L46" s="5"/>
      <c r="M46" s="5"/>
      <c r="N46" s="205"/>
      <c r="O46" s="5"/>
      <c r="P46" s="5"/>
      <c r="Q46" s="5"/>
      <c r="R46" s="244">
        <f>IF(R45+1&lt;=MIN('Données projet'!$E$9:$E$18),R45+1,"STOP")</f>
        <v>18</v>
      </c>
      <c r="S46" s="228">
        <f t="shared" si="2"/>
        <v>2264.0018442352916</v>
      </c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</row>
    <row r="47" spans="1:60" x14ac:dyDescent="0.25">
      <c r="A47" s="220">
        <f>'Données projet'!A63</f>
        <v>30</v>
      </c>
      <c r="B47" s="221">
        <f>'Données projet'!D63</f>
        <v>13</v>
      </c>
      <c r="C47" s="241">
        <v>15</v>
      </c>
      <c r="D47" s="219">
        <f t="shared" ref="D47:D65" si="3">B47*C47</f>
        <v>195</v>
      </c>
      <c r="E47" s="243"/>
      <c r="F47" s="235"/>
      <c r="G47" s="236"/>
      <c r="H47" s="5"/>
      <c r="I47" s="5"/>
      <c r="J47" s="5"/>
      <c r="K47" s="5"/>
      <c r="L47" s="5"/>
      <c r="M47" s="5"/>
      <c r="N47" s="205"/>
      <c r="O47" s="5"/>
      <c r="P47" s="5"/>
      <c r="Q47" s="5"/>
      <c r="R47" s="244">
        <f>IF(R46+1&lt;=MIN('Données projet'!$E$9:$E$18),R46+1,"STOP")</f>
        <v>19</v>
      </c>
      <c r="S47" s="228">
        <f t="shared" si="2"/>
        <v>2166.5089418519538</v>
      </c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</row>
    <row r="48" spans="1:60" x14ac:dyDescent="0.25">
      <c r="A48" s="220">
        <f>'Données projet'!A64</f>
        <v>35</v>
      </c>
      <c r="B48" s="221">
        <f>'Données projet'!D64</f>
        <v>0</v>
      </c>
      <c r="C48" s="241"/>
      <c r="D48" s="219">
        <f t="shared" si="3"/>
        <v>0</v>
      </c>
      <c r="E48" s="243"/>
      <c r="F48" s="235"/>
      <c r="G48" s="236"/>
      <c r="H48" s="5"/>
      <c r="I48" s="5"/>
      <c r="J48" s="5"/>
      <c r="K48" s="5"/>
      <c r="L48" s="5"/>
      <c r="M48" s="5"/>
      <c r="N48" s="205"/>
      <c r="O48" s="5"/>
      <c r="P48" s="5"/>
      <c r="Q48" s="5"/>
      <c r="R48" s="244">
        <f>IF(R47+1&lt;=MIN('Données projet'!$E$9:$E$18),R47+1,"STOP")</f>
        <v>20</v>
      </c>
      <c r="S48" s="228">
        <f t="shared" si="2"/>
        <v>2073.2142984229226</v>
      </c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</row>
    <row r="49" spans="1:60" x14ac:dyDescent="0.25">
      <c r="A49" s="220">
        <f>'Données projet'!A65</f>
        <v>40</v>
      </c>
      <c r="B49" s="221">
        <f>'Données projet'!D65</f>
        <v>19</v>
      </c>
      <c r="C49" s="241">
        <v>15</v>
      </c>
      <c r="D49" s="219">
        <f t="shared" si="3"/>
        <v>285</v>
      </c>
      <c r="E49" s="243"/>
      <c r="F49" s="235"/>
      <c r="G49" s="236"/>
      <c r="H49" s="5"/>
      <c r="I49" s="5"/>
      <c r="J49" s="5"/>
      <c r="K49" s="5"/>
      <c r="L49" s="5"/>
      <c r="M49" s="5"/>
      <c r="N49" s="205"/>
      <c r="O49" s="5"/>
      <c r="P49" s="5"/>
      <c r="Q49" s="5"/>
      <c r="R49" s="244">
        <f>IF(R48+1&lt;=MIN('Données projet'!$E$9:$E$18),R48+1,"STOP")</f>
        <v>21</v>
      </c>
      <c r="S49" s="228">
        <f t="shared" si="2"/>
        <v>1983.9371276774377</v>
      </c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</row>
    <row r="50" spans="1:60" x14ac:dyDescent="0.25">
      <c r="A50" s="220">
        <f>'Données projet'!A66</f>
        <v>45</v>
      </c>
      <c r="B50" s="221">
        <f>'Données projet'!D66</f>
        <v>0</v>
      </c>
      <c r="C50" s="241"/>
      <c r="D50" s="219">
        <f t="shared" si="3"/>
        <v>0</v>
      </c>
      <c r="E50" s="243"/>
      <c r="F50" s="235"/>
      <c r="G50" s="236"/>
      <c r="H50" s="5"/>
      <c r="I50" s="5"/>
      <c r="J50" s="237"/>
      <c r="K50" s="237"/>
      <c r="L50" s="237"/>
      <c r="M50" s="5"/>
      <c r="N50" s="205"/>
      <c r="O50" s="5"/>
      <c r="P50" s="5"/>
      <c r="Q50" s="5"/>
      <c r="R50" s="244">
        <f>IF(R49+1&lt;=MIN('Données projet'!$E$9:$E$18),R49+1,"STOP")</f>
        <v>22</v>
      </c>
      <c r="S50" s="228">
        <f t="shared" si="2"/>
        <v>1898.5044283994628</v>
      </c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</row>
    <row r="51" spans="1:60" x14ac:dyDescent="0.25">
      <c r="A51" s="220">
        <f>'Données projet'!A67</f>
        <v>50</v>
      </c>
      <c r="B51" s="221">
        <f>'Données projet'!D67</f>
        <v>20</v>
      </c>
      <c r="C51" s="241">
        <v>15</v>
      </c>
      <c r="D51" s="219">
        <f t="shared" si="3"/>
        <v>300</v>
      </c>
      <c r="E51" s="243"/>
      <c r="F51" s="235"/>
      <c r="G51" s="236"/>
      <c r="H51" s="5"/>
      <c r="I51" s="5"/>
      <c r="J51" s="237"/>
      <c r="K51" s="237"/>
      <c r="L51" s="237"/>
      <c r="M51" s="5"/>
      <c r="N51" s="205"/>
      <c r="O51" s="5"/>
      <c r="P51" s="5"/>
      <c r="Q51" s="5"/>
      <c r="R51" s="244">
        <f>IF(R50+1&lt;=MIN('Données projet'!$E$9:$E$18),R50+1,"STOP")</f>
        <v>23</v>
      </c>
      <c r="S51" s="228">
        <f t="shared" si="2"/>
        <v>1816.7506491860886</v>
      </c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</row>
    <row r="52" spans="1:60" x14ac:dyDescent="0.25">
      <c r="A52" s="220">
        <f>'Données projet'!A68</f>
        <v>55</v>
      </c>
      <c r="B52" s="221">
        <f>'Données projet'!D68</f>
        <v>0</v>
      </c>
      <c r="C52" s="241"/>
      <c r="D52" s="219">
        <f t="shared" si="3"/>
        <v>0</v>
      </c>
      <c r="E52" s="243"/>
      <c r="F52" s="235"/>
      <c r="G52" s="236"/>
      <c r="H52" s="5"/>
      <c r="I52" s="5"/>
      <c r="J52" s="237"/>
      <c r="K52" s="237"/>
      <c r="L52" s="237"/>
      <c r="M52" s="5"/>
      <c r="N52" s="205"/>
      <c r="O52" s="5"/>
      <c r="P52" s="5"/>
      <c r="Q52" s="5"/>
      <c r="R52" s="244">
        <f>IF(R51+1&lt;=MIN('Données projet'!$E$9:$E$18),R51+1,"STOP")</f>
        <v>24</v>
      </c>
      <c r="S52" s="228">
        <f t="shared" si="2"/>
        <v>1738.5173676421905</v>
      </c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</row>
    <row r="53" spans="1:60" x14ac:dyDescent="0.25">
      <c r="A53" s="220">
        <f>'Données projet'!A69</f>
        <v>60</v>
      </c>
      <c r="B53" s="221">
        <f>'Données projet'!D69</f>
        <v>22</v>
      </c>
      <c r="C53" s="241">
        <v>15</v>
      </c>
      <c r="D53" s="219">
        <f t="shared" si="3"/>
        <v>330</v>
      </c>
      <c r="E53" s="243"/>
      <c r="F53" s="235"/>
      <c r="G53" s="236"/>
      <c r="H53" s="5"/>
      <c r="I53" s="5"/>
      <c r="J53" s="237"/>
      <c r="K53" s="237"/>
      <c r="L53" s="237"/>
      <c r="M53" s="5"/>
      <c r="N53" s="205"/>
      <c r="O53" s="5"/>
      <c r="P53" s="5"/>
      <c r="Q53" s="5"/>
      <c r="R53" s="244">
        <f>IF(R52+1&lt;=MIN('Données projet'!$E$9:$E$18),R52+1,"STOP")</f>
        <v>25</v>
      </c>
      <c r="S53" s="228">
        <f t="shared" si="2"/>
        <v>1663.6529833896559</v>
      </c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</row>
    <row r="54" spans="1:60" x14ac:dyDescent="0.25">
      <c r="A54" s="220">
        <f>'Données projet'!A70</f>
        <v>65</v>
      </c>
      <c r="B54" s="221">
        <f>'Données projet'!D70</f>
        <v>0</v>
      </c>
      <c r="C54" s="241"/>
      <c r="D54" s="219">
        <f t="shared" si="3"/>
        <v>0</v>
      </c>
      <c r="E54" s="243"/>
      <c r="F54" s="235"/>
      <c r="G54" s="236"/>
      <c r="H54" s="5"/>
      <c r="I54" s="5"/>
      <c r="J54" s="237"/>
      <c r="K54" s="237"/>
      <c r="L54" s="237"/>
      <c r="M54" s="5"/>
      <c r="N54" s="205"/>
      <c r="O54" s="5"/>
      <c r="P54" s="5"/>
      <c r="Q54" s="5"/>
      <c r="R54" s="244">
        <f>IF(R53+1&lt;=MIN('Données projet'!$E$9:$E$18),R53+1,"STOP")</f>
        <v>26</v>
      </c>
      <c r="S54" s="228">
        <f t="shared" si="2"/>
        <v>1592.012424296322</v>
      </c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</row>
    <row r="55" spans="1:60" x14ac:dyDescent="0.25">
      <c r="A55" s="220">
        <f>'Données projet'!A71</f>
        <v>70</v>
      </c>
      <c r="B55" s="221">
        <f>'Données projet'!D71</f>
        <v>21</v>
      </c>
      <c r="C55" s="241">
        <v>20</v>
      </c>
      <c r="D55" s="219">
        <f t="shared" si="3"/>
        <v>420</v>
      </c>
      <c r="E55" s="243"/>
      <c r="F55" s="235"/>
      <c r="G55" s="236"/>
      <c r="H55" s="5"/>
      <c r="I55" s="5"/>
      <c r="J55" s="237"/>
      <c r="K55" s="237"/>
      <c r="L55" s="237"/>
      <c r="M55" s="5"/>
      <c r="N55" s="205"/>
      <c r="O55" s="5"/>
      <c r="P55" s="5"/>
      <c r="Q55" s="5"/>
      <c r="R55" s="244">
        <f>IF(R54+1&lt;=MIN('Données projet'!$E$9:$E$18),R54+1,"STOP")</f>
        <v>27</v>
      </c>
      <c r="S55" s="228">
        <f t="shared" si="2"/>
        <v>1523.456865355332</v>
      </c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</row>
    <row r="56" spans="1:60" x14ac:dyDescent="0.25">
      <c r="A56" s="220">
        <f>'Données projet'!A72</f>
        <v>75</v>
      </c>
      <c r="B56" s="221">
        <f>'Données projet'!D72</f>
        <v>0</v>
      </c>
      <c r="C56" s="241"/>
      <c r="D56" s="219">
        <f t="shared" si="3"/>
        <v>0</v>
      </c>
      <c r="E56" s="243"/>
      <c r="F56" s="235"/>
      <c r="G56" s="236"/>
      <c r="H56" s="5"/>
      <c r="I56" s="5"/>
      <c r="J56" s="237"/>
      <c r="K56" s="237"/>
      <c r="L56" s="237"/>
      <c r="M56" s="5"/>
      <c r="N56" s="205"/>
      <c r="O56" s="5"/>
      <c r="P56" s="5"/>
      <c r="Q56" s="5"/>
      <c r="R56" s="244">
        <f>IF(R55+1&lt;=MIN('Données projet'!$E$9:$E$18),R55+1,"STOP")</f>
        <v>28</v>
      </c>
      <c r="S56" s="228">
        <f t="shared" si="2"/>
        <v>1457.8534596701745</v>
      </c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</row>
    <row r="57" spans="1:60" x14ac:dyDescent="0.25">
      <c r="A57" s="220">
        <f>'Données projet'!A73</f>
        <v>80</v>
      </c>
      <c r="B57" s="221">
        <f>'Données projet'!D73</f>
        <v>20</v>
      </c>
      <c r="C57" s="241">
        <v>25</v>
      </c>
      <c r="D57" s="219">
        <f t="shared" si="3"/>
        <v>500</v>
      </c>
      <c r="E57" s="243"/>
      <c r="F57" s="235"/>
      <c r="G57" s="236"/>
      <c r="H57" s="5"/>
      <c r="I57" s="5"/>
      <c r="J57" s="237"/>
      <c r="K57" s="237"/>
      <c r="L57" s="237"/>
      <c r="M57" s="5"/>
      <c r="N57" s="205"/>
      <c r="O57" s="5"/>
      <c r="P57" s="5"/>
      <c r="Q57" s="5"/>
      <c r="R57" s="244">
        <f>IF(R56+1&lt;=MIN('Données projet'!$E$9:$E$18),R56+1,"STOP")</f>
        <v>29</v>
      </c>
      <c r="S57" s="228">
        <f t="shared" si="2"/>
        <v>1395.0750810240902</v>
      </c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</row>
    <row r="58" spans="1:60" x14ac:dyDescent="0.25">
      <c r="A58" s="220">
        <f>'Données projet'!A74</f>
        <v>85</v>
      </c>
      <c r="B58" s="221">
        <f>'Données projet'!D74</f>
        <v>0</v>
      </c>
      <c r="C58" s="241"/>
      <c r="D58" s="219">
        <f t="shared" si="3"/>
        <v>0</v>
      </c>
      <c r="E58" s="243"/>
      <c r="F58" s="235"/>
      <c r="G58" s="236"/>
      <c r="H58" s="5"/>
      <c r="I58" s="5"/>
      <c r="J58" s="5"/>
      <c r="K58" s="5"/>
      <c r="L58" s="5"/>
      <c r="M58" s="5"/>
      <c r="N58" s="205"/>
      <c r="O58" s="5"/>
      <c r="P58" s="5"/>
      <c r="Q58" s="5"/>
      <c r="R58" s="244">
        <f>IF(R57+1&lt;=MIN('Données projet'!$E$9:$E$18),R57+1,"STOP")</f>
        <v>30</v>
      </c>
      <c r="S58" s="228">
        <f t="shared" si="2"/>
        <v>1335.000077535015</v>
      </c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</row>
    <row r="59" spans="1:60" x14ac:dyDescent="0.25">
      <c r="A59" s="220">
        <f>'Données projet'!A75</f>
        <v>90</v>
      </c>
      <c r="B59" s="221">
        <f>'Données projet'!D75</f>
        <v>20</v>
      </c>
      <c r="C59" s="241">
        <v>30</v>
      </c>
      <c r="D59" s="219">
        <f t="shared" si="3"/>
        <v>600</v>
      </c>
      <c r="E59" s="243"/>
      <c r="F59" s="235"/>
      <c r="G59" s="236"/>
      <c r="H59" s="5"/>
      <c r="I59" s="5"/>
      <c r="J59" s="5"/>
      <c r="K59" s="5"/>
      <c r="L59" s="5"/>
      <c r="M59" s="5"/>
      <c r="N59" s="205"/>
      <c r="O59" s="5"/>
      <c r="P59" s="5"/>
      <c r="Q59" s="5"/>
      <c r="R59" s="244">
        <f>IF(R58+1&lt;=MIN('Données projet'!$E$9:$E$18),R58+1,"STOP")</f>
        <v>31</v>
      </c>
      <c r="S59" s="228">
        <f t="shared" si="2"/>
        <v>1277.5120359186744</v>
      </c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</row>
    <row r="60" spans="1:60" x14ac:dyDescent="0.25">
      <c r="A60" s="220">
        <f>'Données projet'!A76</f>
        <v>95</v>
      </c>
      <c r="B60" s="221">
        <f>'Données projet'!D76</f>
        <v>0</v>
      </c>
      <c r="C60" s="241"/>
      <c r="D60" s="219">
        <f t="shared" si="3"/>
        <v>0</v>
      </c>
      <c r="E60" s="243"/>
      <c r="F60" s="235"/>
      <c r="G60" s="236"/>
      <c r="H60" s="5"/>
      <c r="I60" s="5"/>
      <c r="J60" s="5"/>
      <c r="K60" s="5"/>
      <c r="L60" s="5"/>
      <c r="M60" s="5"/>
      <c r="N60" s="205"/>
      <c r="O60" s="5"/>
      <c r="P60" s="5"/>
      <c r="Q60" s="5"/>
      <c r="R60" s="244">
        <f>IF(R59+1&lt;=MIN('Données projet'!$E$9:$E$18),R59+1,"STOP")</f>
        <v>32</v>
      </c>
      <c r="S60" s="228">
        <f t="shared" ref="S60:S91" si="4">$T$23/(1+$J$6)^R60</f>
        <v>1222.4995559030383</v>
      </c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</row>
    <row r="61" spans="1:60" x14ac:dyDescent="0.25">
      <c r="A61" s="220">
        <f>'Données projet'!A77</f>
        <v>100</v>
      </c>
      <c r="B61" s="221">
        <f>'Données projet'!D77</f>
        <v>18</v>
      </c>
      <c r="C61" s="241">
        <v>40</v>
      </c>
      <c r="D61" s="219">
        <f t="shared" si="3"/>
        <v>720</v>
      </c>
      <c r="E61" s="243"/>
      <c r="F61" s="235"/>
      <c r="G61" s="236"/>
      <c r="H61" s="5"/>
      <c r="I61" s="5"/>
      <c r="J61" s="5"/>
      <c r="K61" s="5"/>
      <c r="L61" s="5"/>
      <c r="M61" s="5"/>
      <c r="N61" s="205"/>
      <c r="O61" s="5"/>
      <c r="P61" s="5"/>
      <c r="Q61" s="5"/>
      <c r="R61" s="244">
        <f>IF(R60+1&lt;=MIN('Données projet'!$E$9:$E$18),R60+1,"STOP")</f>
        <v>33</v>
      </c>
      <c r="S61" s="228">
        <f t="shared" si="4"/>
        <v>1169.8560343569748</v>
      </c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</row>
    <row r="62" spans="1:60" x14ac:dyDescent="0.25">
      <c r="A62" s="220">
        <f>'Données projet'!A78</f>
        <v>110</v>
      </c>
      <c r="B62" s="221">
        <f>'Données projet'!D78</f>
        <v>17</v>
      </c>
      <c r="C62" s="241">
        <v>40</v>
      </c>
      <c r="D62" s="219">
        <f t="shared" si="3"/>
        <v>680</v>
      </c>
      <c r="E62" s="243"/>
      <c r="F62" s="235"/>
      <c r="G62" s="236"/>
      <c r="H62" s="5"/>
      <c r="I62" s="5"/>
      <c r="J62" s="5"/>
      <c r="K62" s="5"/>
      <c r="L62" s="5"/>
      <c r="M62" s="5"/>
      <c r="N62" s="205"/>
      <c r="O62" s="5"/>
      <c r="P62" s="5"/>
      <c r="Q62" s="5"/>
      <c r="R62" s="244">
        <f>IF(R61+1&lt;=MIN('Données projet'!$E$9:$E$18),R61+1,"STOP")</f>
        <v>34</v>
      </c>
      <c r="S62" s="228">
        <f t="shared" si="4"/>
        <v>1119.4794587148085</v>
      </c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</row>
    <row r="63" spans="1:60" x14ac:dyDescent="0.25">
      <c r="A63" s="220">
        <f>'Données projet'!A79</f>
        <v>120</v>
      </c>
      <c r="B63" s="221">
        <f>'Données projet'!D79</f>
        <v>0</v>
      </c>
      <c r="C63" s="241"/>
      <c r="D63" s="219">
        <f t="shared" si="3"/>
        <v>0</v>
      </c>
      <c r="E63" s="243"/>
      <c r="F63" s="235"/>
      <c r="G63" s="236"/>
      <c r="H63" s="5"/>
      <c r="I63" s="5"/>
      <c r="J63" s="5"/>
      <c r="K63" s="5"/>
      <c r="L63" s="5"/>
      <c r="M63" s="5"/>
      <c r="N63" s="205"/>
      <c r="O63" s="5"/>
      <c r="P63" s="5"/>
      <c r="Q63" s="5"/>
      <c r="R63" s="244">
        <f>IF(R62+1&lt;=MIN('Données projet'!$E$9:$E$18),R62+1,"STOP")</f>
        <v>35</v>
      </c>
      <c r="S63" s="228">
        <f t="shared" si="4"/>
        <v>1071.2722092964675</v>
      </c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</row>
    <row r="64" spans="1:60" x14ac:dyDescent="0.25">
      <c r="A64" s="220">
        <f>'Données projet'!A80</f>
        <v>130</v>
      </c>
      <c r="B64" s="221">
        <f>'Données projet'!D80</f>
        <v>290</v>
      </c>
      <c r="C64" s="241">
        <v>60</v>
      </c>
      <c r="D64" s="219">
        <f t="shared" si="3"/>
        <v>17400</v>
      </c>
      <c r="E64" s="243"/>
      <c r="F64" s="235"/>
      <c r="G64" s="236"/>
      <c r="H64" s="5"/>
      <c r="I64" s="5"/>
      <c r="J64" s="5"/>
      <c r="K64" s="5"/>
      <c r="L64" s="5"/>
      <c r="M64" s="5"/>
      <c r="N64" s="205"/>
      <c r="O64" s="5"/>
      <c r="P64" s="5"/>
      <c r="Q64" s="5"/>
      <c r="R64" s="244">
        <f>IF(R63+1&lt;=MIN('Données projet'!$E$9:$E$18),R63+1,"STOP")</f>
        <v>36</v>
      </c>
      <c r="S64" s="228">
        <f t="shared" si="4"/>
        <v>1025.1408701401604</v>
      </c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</row>
    <row r="65" spans="1:60" x14ac:dyDescent="0.25">
      <c r="A65" s="220">
        <f>'Données projet'!A81</f>
        <v>0</v>
      </c>
      <c r="B65" s="221">
        <f>'Données projet'!D81</f>
        <v>0</v>
      </c>
      <c r="C65" s="241"/>
      <c r="D65" s="219">
        <f t="shared" si="3"/>
        <v>0</v>
      </c>
      <c r="E65" s="243"/>
      <c r="F65" s="235"/>
      <c r="G65" s="236"/>
      <c r="H65" s="5"/>
      <c r="I65" s="5"/>
      <c r="J65" s="5"/>
      <c r="K65" s="5"/>
      <c r="L65" s="5"/>
      <c r="M65" s="5"/>
      <c r="N65" s="205"/>
      <c r="O65" s="5"/>
      <c r="P65" s="5"/>
      <c r="Q65" s="5"/>
      <c r="R65" s="244">
        <f>IF(R64+1&lt;=MIN('Données projet'!$E$9:$E$18),R64+1,"STOP")</f>
        <v>37</v>
      </c>
      <c r="S65" s="228">
        <f t="shared" si="4"/>
        <v>980.99604798101484</v>
      </c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</row>
    <row r="66" spans="1:60" x14ac:dyDescent="0.25">
      <c r="A66" s="5"/>
      <c r="B66" s="5"/>
      <c r="C66" s="5"/>
      <c r="D66" s="5"/>
      <c r="E66" s="5"/>
      <c r="F66" s="203"/>
      <c r="G66" s="113"/>
      <c r="H66" s="5"/>
      <c r="I66" s="5"/>
      <c r="J66" s="5"/>
      <c r="K66" s="5"/>
      <c r="L66" s="5"/>
      <c r="M66" s="5"/>
      <c r="N66" s="205"/>
      <c r="O66" s="5"/>
      <c r="P66" s="5"/>
      <c r="Q66" s="5"/>
      <c r="R66" s="244">
        <f>IF(R65+1&lt;=MIN('Données projet'!$E$9:$E$18),R65+1,"STOP")</f>
        <v>38</v>
      </c>
      <c r="S66" s="228">
        <f t="shared" si="4"/>
        <v>938.75219902489471</v>
      </c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</row>
    <row r="67" spans="1:60" x14ac:dyDescent="0.25">
      <c r="A67" s="5"/>
      <c r="B67" s="5"/>
      <c r="C67" s="5"/>
      <c r="D67" s="5"/>
      <c r="E67" s="5"/>
      <c r="F67" s="203"/>
      <c r="G67" s="113"/>
      <c r="H67" s="5"/>
      <c r="I67" s="5"/>
      <c r="J67" s="5"/>
      <c r="K67" s="5"/>
      <c r="L67" s="5"/>
      <c r="M67" s="5"/>
      <c r="N67" s="205"/>
      <c r="O67" s="5"/>
      <c r="P67" s="5"/>
      <c r="Q67" s="5"/>
      <c r="R67" s="244">
        <f>IF(R66+1&lt;=MIN('Données projet'!$E$9:$E$18),R66+1,"STOP")</f>
        <v>39</v>
      </c>
      <c r="S67" s="228">
        <f t="shared" si="4"/>
        <v>898.32746318171735</v>
      </c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</row>
    <row r="68" spans="1:60" x14ac:dyDescent="0.25">
      <c r="A68" s="49" t="s">
        <v>167</v>
      </c>
      <c r="B68" s="213" t="str">
        <f>IF('Données projet'!B11="","",'Données projet'!B11)</f>
        <v>Chêne pubescent</v>
      </c>
      <c r="C68" s="5"/>
      <c r="D68" s="5"/>
      <c r="E68" s="5"/>
      <c r="F68" s="203"/>
      <c r="G68" s="113"/>
      <c r="H68" s="5"/>
      <c r="I68" s="5"/>
      <c r="J68" s="5"/>
      <c r="K68" s="5"/>
      <c r="L68" s="5"/>
      <c r="M68" s="5"/>
      <c r="N68" s="205"/>
      <c r="O68" s="5"/>
      <c r="P68" s="5"/>
      <c r="Q68" s="5"/>
      <c r="R68" s="244">
        <f>IF(R67+1&lt;=MIN('Données projet'!$E$9:$E$18),R67+1,"STOP")</f>
        <v>40</v>
      </c>
      <c r="S68" s="228">
        <f t="shared" si="4"/>
        <v>859.64350543705041</v>
      </c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</row>
    <row r="69" spans="1:60" x14ac:dyDescent="0.25">
      <c r="A69" s="5"/>
      <c r="B69" s="5"/>
      <c r="C69" s="5"/>
      <c r="D69" s="5"/>
      <c r="E69" s="5"/>
      <c r="F69" s="203"/>
      <c r="G69" s="113"/>
      <c r="H69" s="5"/>
      <c r="I69" s="5"/>
      <c r="J69" s="5"/>
      <c r="K69" s="5"/>
      <c r="L69" s="5"/>
      <c r="M69" s="5"/>
      <c r="N69" s="205"/>
      <c r="O69" s="5"/>
      <c r="P69" s="5"/>
      <c r="Q69" s="5"/>
      <c r="R69" s="244">
        <f>IF(R68+1&lt;=MIN('Données projet'!$E$9:$E$18),R68+1,"STOP")</f>
        <v>41</v>
      </c>
      <c r="S69" s="228">
        <f t="shared" si="4"/>
        <v>822.62536405459377</v>
      </c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</row>
    <row r="70" spans="1:60" ht="16.5" customHeight="1" x14ac:dyDescent="0.25">
      <c r="A70" s="212" t="s">
        <v>180</v>
      </c>
      <c r="B70" s="51" t="s">
        <v>256</v>
      </c>
      <c r="C70" s="51" t="s">
        <v>255</v>
      </c>
      <c r="D70" s="212" t="s">
        <v>252</v>
      </c>
      <c r="E70" s="212" t="s">
        <v>288</v>
      </c>
      <c r="F70" s="234"/>
      <c r="G70" s="216"/>
      <c r="H70" s="5"/>
      <c r="I70" s="5"/>
      <c r="J70" s="5"/>
      <c r="K70" s="5"/>
      <c r="L70" s="5"/>
      <c r="M70" s="5"/>
      <c r="N70" s="205"/>
      <c r="O70" s="5"/>
      <c r="P70" s="5"/>
      <c r="Q70" s="5"/>
      <c r="R70" s="244">
        <f>IF(R69+1&lt;=MIN('Données projet'!$E$9:$E$18),R69+1,"STOP")</f>
        <v>42</v>
      </c>
      <c r="S70" s="228">
        <f t="shared" si="4"/>
        <v>787.20130531540087</v>
      </c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</row>
    <row r="71" spans="1:60" x14ac:dyDescent="0.25">
      <c r="A71" s="220">
        <f>'Données projet'!A88</f>
        <v>25</v>
      </c>
      <c r="B71" s="221">
        <f>'Données projet'!D88</f>
        <v>0</v>
      </c>
      <c r="C71" s="241"/>
      <c r="D71" s="219">
        <f>B71*C71</f>
        <v>0</v>
      </c>
      <c r="E71" s="243"/>
      <c r="F71" s="235"/>
      <c r="G71" s="236"/>
      <c r="H71" s="5"/>
      <c r="I71" s="5"/>
      <c r="J71" s="5"/>
      <c r="K71" s="5"/>
      <c r="L71" s="5"/>
      <c r="M71" s="5"/>
      <c r="N71" s="205"/>
      <c r="O71" s="5"/>
      <c r="P71" s="5"/>
      <c r="Q71" s="5"/>
      <c r="R71" s="244">
        <f>IF(R70+1&lt;=MIN('Données projet'!$E$9:$E$18),R70+1,"STOP")</f>
        <v>43</v>
      </c>
      <c r="S71" s="228">
        <f t="shared" si="4"/>
        <v>753.30268451234531</v>
      </c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</row>
    <row r="72" spans="1:60" x14ac:dyDescent="0.25">
      <c r="A72" s="220">
        <f>'Données projet'!A89</f>
        <v>30</v>
      </c>
      <c r="B72" s="221">
        <f>'Données projet'!D89</f>
        <v>13</v>
      </c>
      <c r="C72" s="241">
        <v>15</v>
      </c>
      <c r="D72" s="219">
        <f t="shared" ref="D72:D90" si="5">B72*C72</f>
        <v>195</v>
      </c>
      <c r="E72" s="243"/>
      <c r="F72" s="235"/>
      <c r="G72" s="236"/>
      <c r="H72" s="5"/>
      <c r="I72" s="5"/>
      <c r="J72" s="5"/>
      <c r="K72" s="5"/>
      <c r="L72" s="5"/>
      <c r="M72" s="5"/>
      <c r="N72" s="205"/>
      <c r="O72" s="5"/>
      <c r="P72" s="5"/>
      <c r="Q72" s="5"/>
      <c r="R72" s="244">
        <f>IF(R71+1&lt;=MIN('Données projet'!$E$9:$E$18),R71+1,"STOP")</f>
        <v>44</v>
      </c>
      <c r="S72" s="228">
        <f t="shared" si="4"/>
        <v>720.86381293047407</v>
      </c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</row>
    <row r="73" spans="1:60" x14ac:dyDescent="0.25">
      <c r="A73" s="220">
        <f>'Données projet'!A90</f>
        <v>35</v>
      </c>
      <c r="B73" s="221">
        <f>'Données projet'!D90</f>
        <v>0</v>
      </c>
      <c r="C73" s="241"/>
      <c r="D73" s="219">
        <f t="shared" si="5"/>
        <v>0</v>
      </c>
      <c r="E73" s="243"/>
      <c r="F73" s="235"/>
      <c r="G73" s="236"/>
      <c r="H73" s="5"/>
      <c r="I73" s="5"/>
      <c r="J73" s="5"/>
      <c r="K73" s="5"/>
      <c r="L73" s="5"/>
      <c r="M73" s="5"/>
      <c r="N73" s="205"/>
      <c r="O73" s="5"/>
      <c r="P73" s="5"/>
      <c r="Q73" s="5"/>
      <c r="R73" s="244">
        <f>IF(R72+1&lt;=MIN('Données projet'!$E$9:$E$18),R72+1,"STOP")</f>
        <v>45</v>
      </c>
      <c r="S73" s="228">
        <f t="shared" si="4"/>
        <v>689.82183055547762</v>
      </c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</row>
    <row r="74" spans="1:60" x14ac:dyDescent="0.25">
      <c r="A74" s="220">
        <f>'Données projet'!A91</f>
        <v>40</v>
      </c>
      <c r="B74" s="221">
        <f>'Données projet'!D91</f>
        <v>19</v>
      </c>
      <c r="C74" s="241">
        <v>15</v>
      </c>
      <c r="D74" s="219">
        <f t="shared" si="5"/>
        <v>285</v>
      </c>
      <c r="E74" s="243"/>
      <c r="F74" s="235"/>
      <c r="G74" s="236"/>
      <c r="H74" s="5"/>
      <c r="I74" s="5"/>
      <c r="J74" s="5"/>
      <c r="K74" s="5"/>
      <c r="L74" s="5"/>
      <c r="M74" s="5"/>
      <c r="N74" s="205"/>
      <c r="O74" s="5"/>
      <c r="P74" s="5"/>
      <c r="Q74" s="5"/>
      <c r="R74" s="244">
        <f>IF(R73+1&lt;=MIN('Données projet'!$E$9:$E$18),R73+1,"STOP")</f>
        <v>46</v>
      </c>
      <c r="S74" s="228">
        <f t="shared" si="4"/>
        <v>660.1165842636151</v>
      </c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</row>
    <row r="75" spans="1:60" x14ac:dyDescent="0.25">
      <c r="A75" s="220">
        <f>'Données projet'!A92</f>
        <v>45</v>
      </c>
      <c r="B75" s="221">
        <f>'Données projet'!D92</f>
        <v>0</v>
      </c>
      <c r="C75" s="241"/>
      <c r="D75" s="219">
        <f t="shared" si="5"/>
        <v>0</v>
      </c>
      <c r="E75" s="243"/>
      <c r="F75" s="235"/>
      <c r="G75" s="236"/>
      <c r="H75" s="5"/>
      <c r="I75" s="5"/>
      <c r="J75" s="5"/>
      <c r="K75" s="5"/>
      <c r="L75" s="5"/>
      <c r="M75" s="5"/>
      <c r="N75" s="205"/>
      <c r="O75" s="5"/>
      <c r="P75" s="5"/>
      <c r="Q75" s="5"/>
      <c r="R75" s="244">
        <f>IF(R74+1&lt;=MIN('Données projet'!$E$9:$E$18),R74+1,"STOP")</f>
        <v>47</v>
      </c>
      <c r="S75" s="228">
        <f t="shared" si="4"/>
        <v>631.69051125704789</v>
      </c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</row>
    <row r="76" spans="1:60" x14ac:dyDescent="0.25">
      <c r="A76" s="220">
        <f>'Données projet'!A93</f>
        <v>50</v>
      </c>
      <c r="B76" s="221">
        <f>'Données projet'!D93</f>
        <v>20</v>
      </c>
      <c r="C76" s="241">
        <v>15</v>
      </c>
      <c r="D76" s="219">
        <f t="shared" si="5"/>
        <v>300</v>
      </c>
      <c r="E76" s="243"/>
      <c r="F76" s="235"/>
      <c r="G76" s="236"/>
      <c r="H76" s="5"/>
      <c r="I76" s="5"/>
      <c r="J76" s="5"/>
      <c r="K76" s="5"/>
      <c r="L76" s="5"/>
      <c r="M76" s="5"/>
      <c r="N76" s="205"/>
      <c r="O76" s="5"/>
      <c r="P76" s="5"/>
      <c r="Q76" s="5"/>
      <c r="R76" s="244">
        <f>IF(R75+1&lt;=MIN('Données projet'!$E$9:$E$18),R75+1,"STOP")</f>
        <v>48</v>
      </c>
      <c r="S76" s="228">
        <f t="shared" si="4"/>
        <v>604.48852751870629</v>
      </c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</row>
    <row r="77" spans="1:60" x14ac:dyDescent="0.25">
      <c r="A77" s="220">
        <f>'Données projet'!A94</f>
        <v>55</v>
      </c>
      <c r="B77" s="221">
        <f>'Données projet'!D94</f>
        <v>0</v>
      </c>
      <c r="C77" s="241"/>
      <c r="D77" s="219">
        <f t="shared" si="5"/>
        <v>0</v>
      </c>
      <c r="E77" s="243"/>
      <c r="F77" s="235"/>
      <c r="G77" s="236"/>
      <c r="H77" s="5"/>
      <c r="I77" s="5"/>
      <c r="J77" s="5"/>
      <c r="K77" s="5"/>
      <c r="L77" s="5"/>
      <c r="M77" s="5"/>
      <c r="N77" s="205"/>
      <c r="O77" s="5"/>
      <c r="P77" s="5"/>
      <c r="Q77" s="5"/>
      <c r="R77" s="244">
        <f>IF(R76+1&lt;=MIN('Données projet'!$E$9:$E$18),R76+1,"STOP")</f>
        <v>49</v>
      </c>
      <c r="S77" s="228">
        <f t="shared" si="4"/>
        <v>578.45792107053239</v>
      </c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</row>
    <row r="78" spans="1:60" x14ac:dyDescent="0.25">
      <c r="A78" s="220">
        <f>'Données projet'!A95</f>
        <v>60</v>
      </c>
      <c r="B78" s="221">
        <f>'Données projet'!D95</f>
        <v>22</v>
      </c>
      <c r="C78" s="241">
        <v>15</v>
      </c>
      <c r="D78" s="219">
        <f t="shared" si="5"/>
        <v>330</v>
      </c>
      <c r="E78" s="243"/>
      <c r="F78" s="235"/>
      <c r="G78" s="236"/>
      <c r="H78" s="5"/>
      <c r="I78" s="5"/>
      <c r="J78" s="5"/>
      <c r="K78" s="5"/>
      <c r="L78" s="5"/>
      <c r="M78" s="5"/>
      <c r="N78" s="205"/>
      <c r="O78" s="5"/>
      <c r="P78" s="5"/>
      <c r="Q78" s="5"/>
      <c r="R78" s="244">
        <f>IF(R77+1&lt;=MIN('Données projet'!$E$9:$E$18),R77+1,"STOP")</f>
        <v>50</v>
      </c>
      <c r="S78" s="228">
        <f t="shared" si="4"/>
        <v>553.54824982826074</v>
      </c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</row>
    <row r="79" spans="1:60" x14ac:dyDescent="0.25">
      <c r="A79" s="220">
        <f>'Données projet'!A96</f>
        <v>65</v>
      </c>
      <c r="B79" s="221">
        <f>'Données projet'!D96</f>
        <v>0</v>
      </c>
      <c r="C79" s="241"/>
      <c r="D79" s="219">
        <f t="shared" si="5"/>
        <v>0</v>
      </c>
      <c r="E79" s="243"/>
      <c r="F79" s="235"/>
      <c r="G79" s="236"/>
      <c r="H79" s="5"/>
      <c r="I79" s="5"/>
      <c r="J79" s="5"/>
      <c r="K79" s="5"/>
      <c r="L79" s="5"/>
      <c r="M79" s="5"/>
      <c r="N79" s="205"/>
      <c r="O79" s="5"/>
      <c r="P79" s="5"/>
      <c r="Q79" s="5"/>
      <c r="R79" s="244">
        <f>IF(R78+1&lt;=MIN('Données projet'!$E$9:$E$18),R78+1,"STOP")</f>
        <v>51</v>
      </c>
      <c r="S79" s="228">
        <f t="shared" si="4"/>
        <v>529.71124385479504</v>
      </c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</row>
    <row r="80" spans="1:60" x14ac:dyDescent="0.25">
      <c r="A80" s="220">
        <f>'Données projet'!A97</f>
        <v>70</v>
      </c>
      <c r="B80" s="221">
        <f>'Données projet'!D97</f>
        <v>21</v>
      </c>
      <c r="C80" s="241">
        <v>20</v>
      </c>
      <c r="D80" s="219">
        <f t="shared" si="5"/>
        <v>420</v>
      </c>
      <c r="E80" s="243"/>
      <c r="F80" s="235"/>
      <c r="G80" s="236"/>
      <c r="H80" s="5"/>
      <c r="I80" s="5"/>
      <c r="J80" s="5"/>
      <c r="K80" s="5"/>
      <c r="L80" s="5"/>
      <c r="M80" s="5"/>
      <c r="N80" s="205"/>
      <c r="O80" s="5"/>
      <c r="P80" s="5"/>
      <c r="Q80" s="5"/>
      <c r="R80" s="244">
        <f>IF(R79+1&lt;=MIN('Données projet'!$E$9:$E$18),R79+1,"STOP")</f>
        <v>52</v>
      </c>
      <c r="S80" s="228">
        <f t="shared" si="4"/>
        <v>506.9007118227704</v>
      </c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</row>
    <row r="81" spans="1:60" x14ac:dyDescent="0.25">
      <c r="A81" s="220">
        <f>'Données projet'!A98</f>
        <v>75</v>
      </c>
      <c r="B81" s="221">
        <f>'Données projet'!D98</f>
        <v>0</v>
      </c>
      <c r="C81" s="241"/>
      <c r="D81" s="219">
        <f t="shared" si="5"/>
        <v>0</v>
      </c>
      <c r="E81" s="243"/>
      <c r="F81" s="235"/>
      <c r="G81" s="236"/>
      <c r="H81" s="5"/>
      <c r="I81" s="5"/>
      <c r="J81" s="5"/>
      <c r="K81" s="5"/>
      <c r="L81" s="5"/>
      <c r="M81" s="5"/>
      <c r="N81" s="205"/>
      <c r="O81" s="5"/>
      <c r="P81" s="5"/>
      <c r="Q81" s="5"/>
      <c r="R81" s="244">
        <f>IF(R80+1&lt;=MIN('Données projet'!$E$9:$E$18),R80+1,"STOP")</f>
        <v>53</v>
      </c>
      <c r="S81" s="228">
        <f t="shared" si="4"/>
        <v>485.07245150504343</v>
      </c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</row>
    <row r="82" spans="1:60" x14ac:dyDescent="0.25">
      <c r="A82" s="220">
        <f>'Données projet'!A99</f>
        <v>80</v>
      </c>
      <c r="B82" s="221">
        <f>'Données projet'!D99</f>
        <v>20</v>
      </c>
      <c r="C82" s="241">
        <v>25</v>
      </c>
      <c r="D82" s="219">
        <f t="shared" si="5"/>
        <v>500</v>
      </c>
      <c r="E82" s="243"/>
      <c r="F82" s="235"/>
      <c r="G82" s="236"/>
      <c r="H82" s="5"/>
      <c r="I82" s="5"/>
      <c r="J82" s="5"/>
      <c r="K82" s="5"/>
      <c r="L82" s="5"/>
      <c r="M82" s="5"/>
      <c r="N82" s="205"/>
      <c r="O82" s="5"/>
      <c r="P82" s="5"/>
      <c r="Q82" s="5"/>
      <c r="R82" s="244">
        <f>IF(R81+1&lt;=MIN('Données projet'!$E$9:$E$18),R81+1,"STOP")</f>
        <v>54</v>
      </c>
      <c r="S82" s="228">
        <f t="shared" si="4"/>
        <v>464.18416411965899</v>
      </c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</row>
    <row r="83" spans="1:60" x14ac:dyDescent="0.25">
      <c r="A83" s="220">
        <f>'Données projet'!A100</f>
        <v>85</v>
      </c>
      <c r="B83" s="221">
        <f>'Données projet'!D100</f>
        <v>0</v>
      </c>
      <c r="C83" s="241"/>
      <c r="D83" s="219">
        <f t="shared" si="5"/>
        <v>0</v>
      </c>
      <c r="E83" s="243"/>
      <c r="F83" s="235"/>
      <c r="G83" s="236"/>
      <c r="H83" s="5"/>
      <c r="I83" s="5"/>
      <c r="J83" s="5"/>
      <c r="K83" s="5"/>
      <c r="L83" s="5"/>
      <c r="M83" s="5"/>
      <c r="N83" s="205"/>
      <c r="O83" s="5"/>
      <c r="P83" s="5"/>
      <c r="Q83" s="5"/>
      <c r="R83" s="244">
        <f>IF(R82+1&lt;=MIN('Données projet'!$E$9:$E$18),R82+1,"STOP")</f>
        <v>55</v>
      </c>
      <c r="S83" s="228">
        <f t="shared" si="4"/>
        <v>444.19537236330996</v>
      </c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</row>
    <row r="84" spans="1:60" x14ac:dyDescent="0.25">
      <c r="A84" s="220">
        <f>'Données projet'!A101</f>
        <v>90</v>
      </c>
      <c r="B84" s="221">
        <f>'Données projet'!D101</f>
        <v>20</v>
      </c>
      <c r="C84" s="241">
        <v>30</v>
      </c>
      <c r="D84" s="219">
        <f t="shared" si="5"/>
        <v>600</v>
      </c>
      <c r="E84" s="243"/>
      <c r="F84" s="235"/>
      <c r="G84" s="236"/>
      <c r="H84" s="5"/>
      <c r="I84" s="5"/>
      <c r="J84" s="5"/>
      <c r="K84" s="5"/>
      <c r="L84" s="5"/>
      <c r="M84" s="5"/>
      <c r="N84" s="205"/>
      <c r="O84" s="5"/>
      <c r="P84" s="5"/>
      <c r="Q84" s="5"/>
      <c r="R84" s="244">
        <f>IF(R83+1&lt;=MIN('Données projet'!$E$9:$E$18),R83+1,"STOP")</f>
        <v>56</v>
      </c>
      <c r="S84" s="228">
        <f t="shared" si="4"/>
        <v>425.0673419744594</v>
      </c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</row>
    <row r="85" spans="1:60" x14ac:dyDescent="0.25">
      <c r="A85" s="220">
        <f>'Données projet'!A102</f>
        <v>95</v>
      </c>
      <c r="B85" s="221">
        <f>'Données projet'!D102</f>
        <v>0</v>
      </c>
      <c r="C85" s="241"/>
      <c r="D85" s="219">
        <f t="shared" si="5"/>
        <v>0</v>
      </c>
      <c r="E85" s="243"/>
      <c r="F85" s="235"/>
      <c r="G85" s="236"/>
      <c r="H85" s="5"/>
      <c r="I85" s="5"/>
      <c r="J85" s="5"/>
      <c r="K85" s="5"/>
      <c r="L85" s="5"/>
      <c r="M85" s="5"/>
      <c r="N85" s="205"/>
      <c r="O85" s="5"/>
      <c r="P85" s="5"/>
      <c r="Q85" s="5"/>
      <c r="R85" s="244">
        <f>IF(R84+1&lt;=MIN('Données projet'!$E$9:$E$18),R84+1,"STOP")</f>
        <v>57</v>
      </c>
      <c r="S85" s="228">
        <f t="shared" si="4"/>
        <v>406.76300667412391</v>
      </c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</row>
    <row r="86" spans="1:60" x14ac:dyDescent="0.25">
      <c r="A86" s="220">
        <f>'Données projet'!A103</f>
        <v>100</v>
      </c>
      <c r="B86" s="221">
        <f>'Données projet'!D103</f>
        <v>18</v>
      </c>
      <c r="C86" s="241">
        <v>40</v>
      </c>
      <c r="D86" s="219">
        <f t="shared" si="5"/>
        <v>720</v>
      </c>
      <c r="E86" s="243"/>
      <c r="F86" s="235"/>
      <c r="G86" s="236"/>
      <c r="H86" s="5"/>
      <c r="I86" s="5"/>
      <c r="J86" s="5"/>
      <c r="K86" s="5"/>
      <c r="L86" s="5"/>
      <c r="M86" s="5"/>
      <c r="N86" s="205"/>
      <c r="O86" s="5"/>
      <c r="P86" s="5"/>
      <c r="Q86" s="5"/>
      <c r="R86" s="244">
        <f>IF(R85+1&lt;=MIN('Données projet'!$E$9:$E$18),R85+1,"STOP")</f>
        <v>58</v>
      </c>
      <c r="S86" s="228">
        <f t="shared" si="4"/>
        <v>389.24689633887459</v>
      </c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</row>
    <row r="87" spans="1:60" x14ac:dyDescent="0.25">
      <c r="A87" s="220">
        <f>'Données projet'!A104</f>
        <v>110</v>
      </c>
      <c r="B87" s="221">
        <f>'Données projet'!D104</f>
        <v>17</v>
      </c>
      <c r="C87" s="241">
        <v>40</v>
      </c>
      <c r="D87" s="219">
        <f t="shared" si="5"/>
        <v>680</v>
      </c>
      <c r="E87" s="243"/>
      <c r="F87" s="235"/>
      <c r="G87" s="236"/>
      <c r="H87" s="5"/>
      <c r="I87" s="5"/>
      <c r="J87" s="5"/>
      <c r="K87" s="5"/>
      <c r="L87" s="5"/>
      <c r="M87" s="5"/>
      <c r="N87" s="205"/>
      <c r="O87" s="5"/>
      <c r="P87" s="5"/>
      <c r="Q87" s="5"/>
      <c r="R87" s="244">
        <f>IF(R86+1&lt;=MIN('Données projet'!$E$9:$E$18),R86+1,"STOP")</f>
        <v>59</v>
      </c>
      <c r="S87" s="228">
        <f t="shared" si="4"/>
        <v>372.48506826686565</v>
      </c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</row>
    <row r="88" spans="1:60" x14ac:dyDescent="0.25">
      <c r="A88" s="220">
        <f>'Données projet'!A105</f>
        <v>120</v>
      </c>
      <c r="B88" s="221">
        <f>'Données projet'!D105</f>
        <v>0</v>
      </c>
      <c r="C88" s="241"/>
      <c r="D88" s="219">
        <f t="shared" si="5"/>
        <v>0</v>
      </c>
      <c r="E88" s="243"/>
      <c r="F88" s="235"/>
      <c r="G88" s="236"/>
      <c r="H88" s="5"/>
      <c r="I88" s="5"/>
      <c r="J88" s="5"/>
      <c r="K88" s="5"/>
      <c r="L88" s="5"/>
      <c r="M88" s="5"/>
      <c r="N88" s="205"/>
      <c r="O88" s="5"/>
      <c r="P88" s="5"/>
      <c r="Q88" s="5"/>
      <c r="R88" s="244">
        <f>IF(R87+1&lt;=MIN('Données projet'!$E$9:$E$18),R87+1,"STOP")</f>
        <v>60</v>
      </c>
      <c r="S88" s="228">
        <f t="shared" si="4"/>
        <v>356.44504140369924</v>
      </c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</row>
    <row r="89" spans="1:60" x14ac:dyDescent="0.25">
      <c r="A89" s="220">
        <f>'Données projet'!A106</f>
        <v>130</v>
      </c>
      <c r="B89" s="221">
        <f>'Données projet'!D106</f>
        <v>290</v>
      </c>
      <c r="C89" s="241">
        <v>60</v>
      </c>
      <c r="D89" s="219">
        <f t="shared" si="5"/>
        <v>17400</v>
      </c>
      <c r="E89" s="243"/>
      <c r="F89" s="235"/>
      <c r="G89" s="236"/>
      <c r="H89" s="5"/>
      <c r="I89" s="5"/>
      <c r="J89" s="5"/>
      <c r="K89" s="5"/>
      <c r="L89" s="5"/>
      <c r="M89" s="5"/>
      <c r="N89" s="205"/>
      <c r="O89" s="5"/>
      <c r="P89" s="5"/>
      <c r="Q89" s="5"/>
      <c r="R89" s="244">
        <f>IF(R88+1&lt;=MIN('Données projet'!$E$9:$E$18),R88+1,"STOP")</f>
        <v>61</v>
      </c>
      <c r="S89" s="228">
        <f t="shared" si="4"/>
        <v>341.09573340066908</v>
      </c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</row>
    <row r="90" spans="1:60" x14ac:dyDescent="0.25">
      <c r="A90" s="220">
        <f>'Données projet'!A107</f>
        <v>0</v>
      </c>
      <c r="B90" s="221">
        <f>'Données projet'!D107</f>
        <v>0</v>
      </c>
      <c r="C90" s="241"/>
      <c r="D90" s="219">
        <f t="shared" si="5"/>
        <v>0</v>
      </c>
      <c r="E90" s="243"/>
      <c r="F90" s="235"/>
      <c r="G90" s="236"/>
      <c r="H90" s="5"/>
      <c r="I90" s="5"/>
      <c r="J90" s="5"/>
      <c r="K90" s="5"/>
      <c r="L90" s="5"/>
      <c r="M90" s="5"/>
      <c r="N90" s="205"/>
      <c r="O90" s="5"/>
      <c r="P90" s="5"/>
      <c r="Q90" s="5"/>
      <c r="R90" s="244">
        <f>IF(R89+1&lt;=MIN('Données projet'!$E$9:$E$18),R89+1,"STOP")</f>
        <v>62</v>
      </c>
      <c r="S90" s="228">
        <f t="shared" si="4"/>
        <v>326.40740038341556</v>
      </c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</row>
    <row r="91" spans="1:60" x14ac:dyDescent="0.25">
      <c r="A91" s="5"/>
      <c r="B91" s="5"/>
      <c r="C91" s="5"/>
      <c r="D91" s="5"/>
      <c r="E91" s="5"/>
      <c r="F91" s="203"/>
      <c r="G91" s="113"/>
      <c r="H91" s="5"/>
      <c r="I91" s="5"/>
      <c r="J91" s="5"/>
      <c r="K91" s="5"/>
      <c r="L91" s="5"/>
      <c r="M91" s="5"/>
      <c r="N91" s="205"/>
      <c r="O91" s="5"/>
      <c r="P91" s="5"/>
      <c r="Q91" s="5"/>
      <c r="R91" s="244">
        <f>IF(R90+1&lt;=MIN('Données projet'!$E$9:$E$18),R90+1,"STOP")</f>
        <v>63</v>
      </c>
      <c r="S91" s="228">
        <f t="shared" si="4"/>
        <v>312.35157931427318</v>
      </c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</row>
    <row r="92" spans="1:60" x14ac:dyDescent="0.25">
      <c r="A92" s="5"/>
      <c r="B92" s="5"/>
      <c r="C92" s="5"/>
      <c r="D92" s="5"/>
      <c r="E92" s="5"/>
      <c r="F92" s="203"/>
      <c r="G92" s="113"/>
      <c r="H92" s="5"/>
      <c r="I92" s="5"/>
      <c r="J92" s="5"/>
      <c r="K92" s="5"/>
      <c r="L92" s="5"/>
      <c r="M92" s="5"/>
      <c r="N92" s="205"/>
      <c r="O92" s="5"/>
      <c r="P92" s="5"/>
      <c r="Q92" s="5"/>
      <c r="R92" s="244">
        <f>IF(R91+1&lt;=MIN('Données projet'!$E$9:$E$18),R91+1,"STOP")</f>
        <v>64</v>
      </c>
      <c r="S92" s="228">
        <f t="shared" ref="S92:S123" si="6">$T$23/(1+$J$6)^R92</f>
        <v>298.90103283662523</v>
      </c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</row>
    <row r="93" spans="1:60" x14ac:dyDescent="0.25">
      <c r="A93" s="49" t="s">
        <v>168</v>
      </c>
      <c r="B93" s="213" t="str">
        <f>IF('Données projet'!B12="","",'Données projet'!B12)</f>
        <v>Cormier</v>
      </c>
      <c r="C93" s="5"/>
      <c r="D93" s="5"/>
      <c r="E93" s="5"/>
      <c r="F93" s="203"/>
      <c r="G93" s="113"/>
      <c r="H93" s="5"/>
      <c r="I93" s="5"/>
      <c r="J93" s="5"/>
      <c r="K93" s="5"/>
      <c r="L93" s="5"/>
      <c r="M93" s="5"/>
      <c r="N93" s="205"/>
      <c r="O93" s="5"/>
      <c r="P93" s="5"/>
      <c r="Q93" s="5"/>
      <c r="R93" s="244">
        <f>IF(R92+1&lt;=MIN('Données projet'!$E$9:$E$18),R92+1,"STOP")</f>
        <v>65</v>
      </c>
      <c r="S93" s="228">
        <f t="shared" si="6"/>
        <v>286.02969649437819</v>
      </c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</row>
    <row r="94" spans="1:60" x14ac:dyDescent="0.25">
      <c r="A94" s="5"/>
      <c r="B94" s="5"/>
      <c r="C94" s="5"/>
      <c r="D94" s="5"/>
      <c r="E94" s="5"/>
      <c r="F94" s="203"/>
      <c r="G94" s="113"/>
      <c r="H94" s="5"/>
      <c r="I94" s="5"/>
      <c r="J94" s="5"/>
      <c r="K94" s="5"/>
      <c r="L94" s="5"/>
      <c r="M94" s="5"/>
      <c r="N94" s="205"/>
      <c r="O94" s="5"/>
      <c r="P94" s="5"/>
      <c r="Q94" s="5"/>
      <c r="R94" s="244">
        <f>IF(R93+1&lt;=MIN('Données projet'!$E$9:$E$18),R93+1,"STOP")</f>
        <v>66</v>
      </c>
      <c r="S94" s="228">
        <f t="shared" si="6"/>
        <v>273.71262822428542</v>
      </c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</row>
    <row r="95" spans="1:60" ht="16.5" customHeight="1" x14ac:dyDescent="0.25">
      <c r="A95" s="212" t="s">
        <v>180</v>
      </c>
      <c r="B95" s="51" t="s">
        <v>256</v>
      </c>
      <c r="C95" s="51" t="s">
        <v>255</v>
      </c>
      <c r="D95" s="212" t="s">
        <v>252</v>
      </c>
      <c r="E95" s="212" t="s">
        <v>288</v>
      </c>
      <c r="F95" s="234"/>
      <c r="G95" s="216"/>
      <c r="H95" s="5"/>
      <c r="I95" s="5"/>
      <c r="J95" s="5"/>
      <c r="K95" s="5"/>
      <c r="L95" s="5"/>
      <c r="M95" s="5"/>
      <c r="N95" s="205"/>
      <c r="O95" s="5"/>
      <c r="P95" s="5"/>
      <c r="Q95" s="5"/>
      <c r="R95" s="244">
        <f>IF(R94+1&lt;=MIN('Données projet'!$E$9:$E$18),R94+1,"STOP")</f>
        <v>67</v>
      </c>
      <c r="S95" s="228">
        <f t="shared" si="6"/>
        <v>261.92596002323961</v>
      </c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</row>
    <row r="96" spans="1:60" x14ac:dyDescent="0.25">
      <c r="A96" s="220">
        <f>'Données projet'!A114</f>
        <v>25</v>
      </c>
      <c r="B96" s="221">
        <f>'Données projet'!D114</f>
        <v>0</v>
      </c>
      <c r="C96" s="241"/>
      <c r="D96" s="219">
        <f>B96*C96</f>
        <v>0</v>
      </c>
      <c r="E96" s="243"/>
      <c r="F96" s="235"/>
      <c r="G96" s="236"/>
      <c r="H96" s="5"/>
      <c r="I96" s="5"/>
      <c r="J96" s="5"/>
      <c r="K96" s="5"/>
      <c r="L96" s="5"/>
      <c r="M96" s="5"/>
      <c r="N96" s="205"/>
      <c r="O96" s="5"/>
      <c r="P96" s="5"/>
      <c r="Q96" s="5"/>
      <c r="R96" s="244">
        <f>IF(R95+1&lt;=MIN('Données projet'!$E$9:$E$18),R95+1,"STOP")</f>
        <v>68</v>
      </c>
      <c r="S96" s="228">
        <f t="shared" si="6"/>
        <v>250.64685169688008</v>
      </c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</row>
    <row r="97" spans="1:60" x14ac:dyDescent="0.25">
      <c r="A97" s="220">
        <f>'Données projet'!A115</f>
        <v>30</v>
      </c>
      <c r="B97" s="221">
        <f>'Données projet'!D115</f>
        <v>13</v>
      </c>
      <c r="C97" s="241">
        <v>15</v>
      </c>
      <c r="D97" s="219">
        <f t="shared" ref="D97:D115" si="7">B97*C97</f>
        <v>195</v>
      </c>
      <c r="E97" s="243"/>
      <c r="F97" s="235"/>
      <c r="G97" s="236"/>
      <c r="H97" s="5"/>
      <c r="I97" s="5"/>
      <c r="J97" s="5"/>
      <c r="K97" s="5"/>
      <c r="L97" s="5"/>
      <c r="M97" s="5"/>
      <c r="N97" s="205"/>
      <c r="O97" s="5"/>
      <c r="P97" s="5"/>
      <c r="Q97" s="5"/>
      <c r="R97" s="244">
        <f>IF(R96+1&lt;=MIN('Données projet'!$E$9:$E$18),R96+1,"STOP")</f>
        <v>69</v>
      </c>
      <c r="S97" s="228">
        <f t="shared" si="6"/>
        <v>239.85344659988525</v>
      </c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</row>
    <row r="98" spans="1:60" x14ac:dyDescent="0.25">
      <c r="A98" s="220">
        <f>'Données projet'!A116</f>
        <v>35</v>
      </c>
      <c r="B98" s="221">
        <f>'Données projet'!D116</f>
        <v>0</v>
      </c>
      <c r="C98" s="241"/>
      <c r="D98" s="219">
        <f t="shared" si="7"/>
        <v>0</v>
      </c>
      <c r="E98" s="243"/>
      <c r="F98" s="235"/>
      <c r="G98" s="236"/>
      <c r="H98" s="5"/>
      <c r="I98" s="5"/>
      <c r="J98" s="5"/>
      <c r="K98" s="5"/>
      <c r="L98" s="5"/>
      <c r="M98" s="5"/>
      <c r="N98" s="205"/>
      <c r="O98" s="5"/>
      <c r="P98" s="5"/>
      <c r="Q98" s="5"/>
      <c r="R98" s="244">
        <f>IF(R97+1&lt;=MIN('Données projet'!$E$9:$E$18),R97+1,"STOP")</f>
        <v>70</v>
      </c>
      <c r="S98" s="228">
        <f t="shared" si="6"/>
        <v>229.52482928218691</v>
      </c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</row>
    <row r="99" spans="1:60" x14ac:dyDescent="0.25">
      <c r="A99" s="220">
        <f>'Données projet'!A117</f>
        <v>40</v>
      </c>
      <c r="B99" s="221">
        <f>'Données projet'!D117</f>
        <v>19</v>
      </c>
      <c r="C99" s="241">
        <v>15</v>
      </c>
      <c r="D99" s="219">
        <f t="shared" si="7"/>
        <v>285</v>
      </c>
      <c r="E99" s="243"/>
      <c r="F99" s="235"/>
      <c r="G99" s="236"/>
      <c r="H99" s="5"/>
      <c r="I99" s="5"/>
      <c r="J99" s="5"/>
      <c r="K99" s="5"/>
      <c r="L99" s="5"/>
      <c r="M99" s="5"/>
      <c r="N99" s="205"/>
      <c r="O99" s="5"/>
      <c r="P99" s="5"/>
      <c r="Q99" s="5"/>
      <c r="R99" s="244">
        <f>IF(R98+1&lt;=MIN('Données projet'!$E$9:$E$18),R98+1,"STOP")</f>
        <v>71</v>
      </c>
      <c r="S99" s="228">
        <f t="shared" si="6"/>
        <v>219.64098495903053</v>
      </c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</row>
    <row r="100" spans="1:60" x14ac:dyDescent="0.25">
      <c r="A100" s="220">
        <f>'Données projet'!A118</f>
        <v>45</v>
      </c>
      <c r="B100" s="221">
        <f>'Données projet'!D118</f>
        <v>0</v>
      </c>
      <c r="C100" s="241"/>
      <c r="D100" s="219">
        <f t="shared" si="7"/>
        <v>0</v>
      </c>
      <c r="E100" s="243"/>
      <c r="F100" s="235"/>
      <c r="G100" s="236"/>
      <c r="H100" s="5"/>
      <c r="I100" s="5"/>
      <c r="J100" s="5"/>
      <c r="K100" s="5"/>
      <c r="L100" s="5"/>
      <c r="M100" s="5"/>
      <c r="N100" s="205"/>
      <c r="O100" s="5"/>
      <c r="P100" s="5"/>
      <c r="Q100" s="5"/>
      <c r="R100" s="244">
        <f>IF(R99+1&lt;=MIN('Données projet'!$E$9:$E$18),R99+1,"STOP")</f>
        <v>72</v>
      </c>
      <c r="S100" s="228">
        <f t="shared" si="6"/>
        <v>210.18276072634507</v>
      </c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</row>
    <row r="101" spans="1:60" x14ac:dyDescent="0.25">
      <c r="A101" s="220">
        <f>'Données projet'!A119</f>
        <v>50</v>
      </c>
      <c r="B101" s="221">
        <f>'Données projet'!D119</f>
        <v>20</v>
      </c>
      <c r="C101" s="241">
        <v>15</v>
      </c>
      <c r="D101" s="219">
        <f t="shared" si="7"/>
        <v>300</v>
      </c>
      <c r="E101" s="243"/>
      <c r="F101" s="235"/>
      <c r="G101" s="236"/>
      <c r="H101" s="5"/>
      <c r="I101" s="5"/>
      <c r="J101" s="5"/>
      <c r="K101" s="5"/>
      <c r="L101" s="5"/>
      <c r="M101" s="5"/>
      <c r="N101" s="205"/>
      <c r="O101" s="5"/>
      <c r="P101" s="5"/>
      <c r="Q101" s="5"/>
      <c r="R101" s="244">
        <f>IF(R100+1&lt;=MIN('Données projet'!$E$9:$E$18),R100+1,"STOP")</f>
        <v>73</v>
      </c>
      <c r="S101" s="228">
        <f t="shared" si="6"/>
        <v>201.13182844626323</v>
      </c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</row>
    <row r="102" spans="1:60" x14ac:dyDescent="0.25">
      <c r="A102" s="220">
        <f>'Données projet'!A120</f>
        <v>55</v>
      </c>
      <c r="B102" s="221">
        <f>'Données projet'!D120</f>
        <v>0</v>
      </c>
      <c r="C102" s="241"/>
      <c r="D102" s="219">
        <f t="shared" si="7"/>
        <v>0</v>
      </c>
      <c r="E102" s="243"/>
      <c r="F102" s="235"/>
      <c r="G102" s="236"/>
      <c r="H102" s="5"/>
      <c r="I102" s="5"/>
      <c r="J102" s="5"/>
      <c r="K102" s="5"/>
      <c r="L102" s="5"/>
      <c r="M102" s="5"/>
      <c r="N102" s="205"/>
      <c r="O102" s="5"/>
      <c r="P102" s="5"/>
      <c r="Q102" s="5"/>
      <c r="R102" s="244">
        <f>IF(R101+1&lt;=MIN('Données projet'!$E$9:$E$18),R101+1,"STOP")</f>
        <v>74</v>
      </c>
      <c r="S102" s="228">
        <f t="shared" si="6"/>
        <v>192.47064923087393</v>
      </c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</row>
    <row r="103" spans="1:60" x14ac:dyDescent="0.25">
      <c r="A103" s="220">
        <f>'Données projet'!A121</f>
        <v>60</v>
      </c>
      <c r="B103" s="221">
        <f>'Données projet'!D121</f>
        <v>22</v>
      </c>
      <c r="C103" s="241">
        <v>15</v>
      </c>
      <c r="D103" s="219">
        <f t="shared" si="7"/>
        <v>330</v>
      </c>
      <c r="E103" s="243"/>
      <c r="F103" s="235"/>
      <c r="G103" s="236"/>
      <c r="H103" s="5"/>
      <c r="I103" s="5"/>
      <c r="J103" s="5"/>
      <c r="K103" s="5"/>
      <c r="L103" s="5"/>
      <c r="M103" s="5"/>
      <c r="N103" s="205"/>
      <c r="O103" s="5"/>
      <c r="P103" s="5"/>
      <c r="Q103" s="5"/>
      <c r="R103" s="244">
        <f>IF(R102+1&lt;=MIN('Données projet'!$E$9:$E$18),R102+1,"STOP")</f>
        <v>75</v>
      </c>
      <c r="S103" s="228">
        <f t="shared" si="6"/>
        <v>184.18243945538174</v>
      </c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</row>
    <row r="104" spans="1:60" x14ac:dyDescent="0.25">
      <c r="A104" s="220">
        <f>'Données projet'!A122</f>
        <v>65</v>
      </c>
      <c r="B104" s="221">
        <f>'Données projet'!D122</f>
        <v>0</v>
      </c>
      <c r="C104" s="241"/>
      <c r="D104" s="219">
        <f t="shared" si="7"/>
        <v>0</v>
      </c>
      <c r="E104" s="243"/>
      <c r="F104" s="235"/>
      <c r="G104" s="236"/>
      <c r="H104" s="5"/>
      <c r="I104" s="5"/>
      <c r="J104" s="5"/>
      <c r="K104" s="5"/>
      <c r="L104" s="5"/>
      <c r="M104" s="5"/>
      <c r="N104" s="205"/>
      <c r="O104" s="5"/>
      <c r="P104" s="5"/>
      <c r="Q104" s="5"/>
      <c r="R104" s="244">
        <f>IF(R103+1&lt;=MIN('Données projet'!$E$9:$E$18),R103+1,"STOP")</f>
        <v>76</v>
      </c>
      <c r="S104" s="228">
        <f t="shared" si="6"/>
        <v>176.2511382348151</v>
      </c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</row>
    <row r="105" spans="1:60" x14ac:dyDescent="0.25">
      <c r="A105" s="220">
        <f>'Données projet'!A123</f>
        <v>70</v>
      </c>
      <c r="B105" s="221">
        <f>'Données projet'!D123</f>
        <v>21</v>
      </c>
      <c r="C105" s="241">
        <v>20</v>
      </c>
      <c r="D105" s="219">
        <f t="shared" si="7"/>
        <v>420</v>
      </c>
      <c r="E105" s="243"/>
      <c r="F105" s="235"/>
      <c r="G105" s="236"/>
      <c r="H105" s="5"/>
      <c r="I105" s="5"/>
      <c r="J105" s="5"/>
      <c r="K105" s="5"/>
      <c r="L105" s="5"/>
      <c r="M105" s="5"/>
      <c r="N105" s="205"/>
      <c r="O105" s="5"/>
      <c r="P105" s="5"/>
      <c r="Q105" s="5"/>
      <c r="R105" s="244">
        <f>IF(R104+1&lt;=MIN('Données projet'!$E$9:$E$18),R104+1,"STOP")</f>
        <v>77</v>
      </c>
      <c r="S105" s="228">
        <f t="shared" si="6"/>
        <v>168.66137630125849</v>
      </c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</row>
    <row r="106" spans="1:60" x14ac:dyDescent="0.25">
      <c r="A106" s="220">
        <f>'Données projet'!A124</f>
        <v>75</v>
      </c>
      <c r="B106" s="221">
        <f>'Données projet'!D124</f>
        <v>0</v>
      </c>
      <c r="C106" s="241"/>
      <c r="D106" s="219">
        <f t="shared" si="7"/>
        <v>0</v>
      </c>
      <c r="E106" s="243"/>
      <c r="F106" s="235"/>
      <c r="G106" s="236"/>
      <c r="H106" s="5"/>
      <c r="I106" s="5"/>
      <c r="J106" s="5"/>
      <c r="K106" s="5"/>
      <c r="L106" s="5"/>
      <c r="M106" s="5"/>
      <c r="N106" s="205"/>
      <c r="O106" s="5"/>
      <c r="P106" s="5"/>
      <c r="Q106" s="5"/>
      <c r="R106" s="244">
        <f>IF(R105+1&lt;=MIN('Données projet'!$E$9:$E$18),R105+1,"STOP")</f>
        <v>78</v>
      </c>
      <c r="S106" s="228">
        <f t="shared" si="6"/>
        <v>161.39844622130002</v>
      </c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</row>
    <row r="107" spans="1:60" x14ac:dyDescent="0.25">
      <c r="A107" s="220">
        <f>'Données projet'!A125</f>
        <v>80</v>
      </c>
      <c r="B107" s="221">
        <f>'Données projet'!D125</f>
        <v>20</v>
      </c>
      <c r="C107" s="241">
        <v>25</v>
      </c>
      <c r="D107" s="219">
        <f t="shared" si="7"/>
        <v>500</v>
      </c>
      <c r="E107" s="243"/>
      <c r="F107" s="235"/>
      <c r="G107" s="236"/>
      <c r="H107" s="5"/>
      <c r="I107" s="5"/>
      <c r="J107" s="5"/>
      <c r="K107" s="5"/>
      <c r="L107" s="5"/>
      <c r="M107" s="5"/>
      <c r="N107" s="205"/>
      <c r="O107" s="5"/>
      <c r="P107" s="5"/>
      <c r="Q107" s="5"/>
      <c r="R107" s="244">
        <f>IF(R106+1&lt;=MIN('Données projet'!$E$9:$E$18),R106+1,"STOP")</f>
        <v>79</v>
      </c>
      <c r="S107" s="228">
        <f t="shared" si="6"/>
        <v>154.44827389598086</v>
      </c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</row>
    <row r="108" spans="1:60" x14ac:dyDescent="0.25">
      <c r="A108" s="220">
        <f>'Données projet'!A126</f>
        <v>85</v>
      </c>
      <c r="B108" s="221">
        <f>'Données projet'!D126</f>
        <v>0</v>
      </c>
      <c r="C108" s="241"/>
      <c r="D108" s="219">
        <f t="shared" si="7"/>
        <v>0</v>
      </c>
      <c r="E108" s="243"/>
      <c r="F108" s="235"/>
      <c r="G108" s="236"/>
      <c r="H108" s="5"/>
      <c r="I108" s="5"/>
      <c r="J108" s="5"/>
      <c r="K108" s="5"/>
      <c r="L108" s="5"/>
      <c r="M108" s="5"/>
      <c r="N108" s="205"/>
      <c r="O108" s="5"/>
      <c r="P108" s="5"/>
      <c r="Q108" s="5"/>
      <c r="R108" s="244">
        <f>IF(R107+1&lt;=MIN('Données projet'!$E$9:$E$18),R107+1,"STOP")</f>
        <v>80</v>
      </c>
      <c r="S108" s="228">
        <f t="shared" si="6"/>
        <v>147.79739128802001</v>
      </c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</row>
    <row r="109" spans="1:60" x14ac:dyDescent="0.25">
      <c r="A109" s="220">
        <f>'Données projet'!A127</f>
        <v>90</v>
      </c>
      <c r="B109" s="221">
        <f>'Données projet'!D127</f>
        <v>20</v>
      </c>
      <c r="C109" s="241">
        <v>30</v>
      </c>
      <c r="D109" s="219">
        <f t="shared" si="7"/>
        <v>600</v>
      </c>
      <c r="E109" s="243"/>
      <c r="F109" s="235"/>
      <c r="G109" s="236"/>
      <c r="H109" s="5"/>
      <c r="I109" s="5"/>
      <c r="J109" s="5"/>
      <c r="K109" s="5"/>
      <c r="L109" s="5"/>
      <c r="M109" s="5"/>
      <c r="N109" s="205"/>
      <c r="O109" s="5"/>
      <c r="P109" s="5"/>
      <c r="Q109" s="5"/>
      <c r="R109" s="244">
        <f>IF(R108+1&lt;=MIN('Données projet'!$E$9:$E$18),R108+1,"STOP")</f>
        <v>81</v>
      </c>
      <c r="S109" s="228">
        <f t="shared" si="6"/>
        <v>141.43291032346414</v>
      </c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</row>
    <row r="110" spans="1:60" x14ac:dyDescent="0.25">
      <c r="A110" s="220">
        <f>'Données projet'!A128</f>
        <v>95</v>
      </c>
      <c r="B110" s="221">
        <f>'Données projet'!D128</f>
        <v>0</v>
      </c>
      <c r="C110" s="241"/>
      <c r="D110" s="219">
        <f t="shared" si="7"/>
        <v>0</v>
      </c>
      <c r="E110" s="243"/>
      <c r="F110" s="235"/>
      <c r="G110" s="236"/>
      <c r="H110" s="5"/>
      <c r="I110" s="5"/>
      <c r="J110" s="5"/>
      <c r="K110" s="5"/>
      <c r="L110" s="5"/>
      <c r="M110" s="5"/>
      <c r="N110" s="205"/>
      <c r="O110" s="5"/>
      <c r="P110" s="5"/>
      <c r="Q110" s="5"/>
      <c r="R110" s="244">
        <f>IF(R109+1&lt;=MIN('Données projet'!$E$9:$E$18),R109+1,"STOP")</f>
        <v>82</v>
      </c>
      <c r="S110" s="228">
        <f t="shared" si="6"/>
        <v>135.34249791719057</v>
      </c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</row>
    <row r="111" spans="1:60" x14ac:dyDescent="0.25">
      <c r="A111" s="220">
        <f>'Données projet'!A129</f>
        <v>100</v>
      </c>
      <c r="B111" s="221">
        <f>'Données projet'!D129</f>
        <v>18</v>
      </c>
      <c r="C111" s="241">
        <v>40</v>
      </c>
      <c r="D111" s="219">
        <f t="shared" si="7"/>
        <v>720</v>
      </c>
      <c r="E111" s="243"/>
      <c r="F111" s="235"/>
      <c r="G111" s="236"/>
      <c r="H111" s="5"/>
      <c r="I111" s="5"/>
      <c r="J111" s="5"/>
      <c r="K111" s="5"/>
      <c r="L111" s="5"/>
      <c r="M111" s="5"/>
      <c r="N111" s="205"/>
      <c r="O111" s="5"/>
      <c r="P111" s="5"/>
      <c r="Q111" s="5"/>
      <c r="R111" s="244">
        <f>IF(R110+1&lt;=MIN('Données projet'!$E$9:$E$18),R110+1,"STOP")</f>
        <v>83</v>
      </c>
      <c r="S111" s="228">
        <f t="shared" si="6"/>
        <v>129.5143520738666</v>
      </c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</row>
    <row r="112" spans="1:60" x14ac:dyDescent="0.25">
      <c r="A112" s="220">
        <f>'Données projet'!A130</f>
        <v>110</v>
      </c>
      <c r="B112" s="221">
        <f>'Données projet'!D130</f>
        <v>17</v>
      </c>
      <c r="C112" s="241">
        <v>40</v>
      </c>
      <c r="D112" s="219">
        <f t="shared" si="7"/>
        <v>680</v>
      </c>
      <c r="E112" s="243"/>
      <c r="F112" s="235"/>
      <c r="G112" s="236"/>
      <c r="H112" s="5"/>
      <c r="I112" s="5"/>
      <c r="J112" s="5"/>
      <c r="K112" s="5"/>
      <c r="L112" s="5"/>
      <c r="M112" s="5"/>
      <c r="N112" s="205"/>
      <c r="O112" s="5"/>
      <c r="P112" s="5"/>
      <c r="Q112" s="5"/>
      <c r="R112" s="244"/>
      <c r="S112" s="228">
        <f t="shared" si="6"/>
        <v>5000</v>
      </c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</row>
    <row r="113" spans="1:68" x14ac:dyDescent="0.25">
      <c r="A113" s="220">
        <f>'Données projet'!A131</f>
        <v>120</v>
      </c>
      <c r="B113" s="221">
        <f>'Données projet'!D131</f>
        <v>0</v>
      </c>
      <c r="C113" s="241"/>
      <c r="D113" s="219">
        <f t="shared" si="7"/>
        <v>0</v>
      </c>
      <c r="E113" s="243"/>
      <c r="F113" s="235"/>
      <c r="G113" s="236"/>
      <c r="H113" s="5"/>
      <c r="I113" s="5"/>
      <c r="J113" s="5"/>
      <c r="K113" s="5"/>
      <c r="L113" s="5"/>
      <c r="M113" s="5"/>
      <c r="N113" s="205"/>
      <c r="O113" s="5"/>
      <c r="P113" s="5"/>
      <c r="Q113" s="5"/>
      <c r="R113" s="244"/>
      <c r="S113" s="228">
        <f t="shared" si="6"/>
        <v>5000</v>
      </c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</row>
    <row r="114" spans="1:68" x14ac:dyDescent="0.25">
      <c r="A114" s="220">
        <f>'Données projet'!A132</f>
        <v>130</v>
      </c>
      <c r="B114" s="221">
        <f>'Données projet'!D132</f>
        <v>290</v>
      </c>
      <c r="C114" s="241">
        <v>60</v>
      </c>
      <c r="D114" s="219">
        <f t="shared" si="7"/>
        <v>17400</v>
      </c>
      <c r="E114" s="243"/>
      <c r="F114" s="235"/>
      <c r="G114" s="236"/>
      <c r="H114" s="5"/>
      <c r="I114" s="5"/>
      <c r="J114" s="5"/>
      <c r="K114" s="5"/>
      <c r="L114" s="5"/>
      <c r="M114" s="5"/>
      <c r="N114" s="205"/>
      <c r="O114" s="5"/>
      <c r="P114" s="5"/>
      <c r="Q114" s="5"/>
      <c r="R114" s="244"/>
      <c r="S114" s="228">
        <f t="shared" si="6"/>
        <v>5000</v>
      </c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</row>
    <row r="115" spans="1:68" x14ac:dyDescent="0.25">
      <c r="A115" s="220">
        <f>'Données projet'!A133</f>
        <v>0</v>
      </c>
      <c r="B115" s="221">
        <f>'Données projet'!D133</f>
        <v>0</v>
      </c>
      <c r="C115" s="241"/>
      <c r="D115" s="219">
        <f t="shared" si="7"/>
        <v>0</v>
      </c>
      <c r="E115" s="243"/>
      <c r="F115" s="235"/>
      <c r="G115" s="236"/>
      <c r="H115" s="5"/>
      <c r="I115" s="5"/>
      <c r="J115" s="5"/>
      <c r="K115" s="5"/>
      <c r="L115" s="5"/>
      <c r="M115" s="5"/>
      <c r="N115" s="205"/>
      <c r="O115" s="5"/>
      <c r="P115" s="5"/>
      <c r="Q115" s="5"/>
      <c r="R115" s="244"/>
      <c r="S115" s="228">
        <f t="shared" si="6"/>
        <v>5000</v>
      </c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</row>
    <row r="116" spans="1:68" x14ac:dyDescent="0.25">
      <c r="A116" s="5"/>
      <c r="B116" s="5"/>
      <c r="C116" s="5"/>
      <c r="D116" s="5"/>
      <c r="E116" s="5"/>
      <c r="F116" s="203"/>
      <c r="G116" s="113"/>
      <c r="H116" s="5"/>
      <c r="I116" s="5"/>
      <c r="J116" s="5"/>
      <c r="K116" s="5"/>
      <c r="L116" s="5"/>
      <c r="M116" s="5"/>
      <c r="N116" s="205"/>
      <c r="O116" s="5"/>
      <c r="P116" s="5"/>
      <c r="Q116" s="5"/>
      <c r="R116" s="244"/>
      <c r="S116" s="228">
        <f t="shared" si="6"/>
        <v>5000</v>
      </c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</row>
    <row r="117" spans="1:68" x14ac:dyDescent="0.25">
      <c r="A117" s="5"/>
      <c r="B117" s="5"/>
      <c r="C117" s="5"/>
      <c r="D117" s="5"/>
      <c r="E117" s="5"/>
      <c r="F117" s="203"/>
      <c r="G117" s="113"/>
      <c r="H117" s="5"/>
      <c r="I117" s="5"/>
      <c r="J117" s="5"/>
      <c r="K117" s="5"/>
      <c r="L117" s="5"/>
      <c r="M117" s="5"/>
      <c r="N117" s="205"/>
      <c r="O117" s="5"/>
      <c r="P117" s="5"/>
      <c r="Q117" s="5"/>
      <c r="R117" s="244"/>
      <c r="S117" s="228">
        <f t="shared" si="6"/>
        <v>5000</v>
      </c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</row>
    <row r="118" spans="1:68" x14ac:dyDescent="0.25">
      <c r="A118" s="49" t="s">
        <v>169</v>
      </c>
      <c r="B118" s="213" t="str">
        <f>IF('Données projet'!B13="","",'Données projet'!B13)</f>
        <v>Micocoulier de Provence</v>
      </c>
      <c r="C118" s="5"/>
      <c r="D118" s="5"/>
      <c r="E118" s="5"/>
      <c r="F118" s="203"/>
      <c r="G118" s="113"/>
      <c r="H118" s="5"/>
      <c r="I118" s="5"/>
      <c r="J118" s="5"/>
      <c r="K118" s="5"/>
      <c r="L118" s="5"/>
      <c r="M118" s="5"/>
      <c r="N118" s="205"/>
      <c r="O118" s="5"/>
      <c r="P118" s="5"/>
      <c r="Q118" s="5"/>
      <c r="R118" s="244"/>
      <c r="S118" s="228">
        <f t="shared" si="6"/>
        <v>5000</v>
      </c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</row>
    <row r="119" spans="1:68" x14ac:dyDescent="0.25">
      <c r="A119" s="5"/>
      <c r="B119" s="5"/>
      <c r="C119" s="5"/>
      <c r="D119" s="5"/>
      <c r="E119" s="5"/>
      <c r="F119" s="203"/>
      <c r="G119" s="113"/>
      <c r="H119" s="5"/>
      <c r="I119" s="5"/>
      <c r="J119" s="5"/>
      <c r="K119" s="5"/>
      <c r="L119" s="5"/>
      <c r="M119" s="5"/>
      <c r="N119" s="205"/>
      <c r="O119" s="5"/>
      <c r="P119" s="5"/>
      <c r="Q119" s="5"/>
      <c r="R119" s="244"/>
      <c r="S119" s="228">
        <f t="shared" si="6"/>
        <v>5000</v>
      </c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</row>
    <row r="120" spans="1:68" ht="15.75" customHeight="1" x14ac:dyDescent="0.25">
      <c r="A120" s="212" t="s">
        <v>180</v>
      </c>
      <c r="B120" s="51" t="s">
        <v>256</v>
      </c>
      <c r="C120" s="51" t="s">
        <v>255</v>
      </c>
      <c r="D120" s="212" t="s">
        <v>252</v>
      </c>
      <c r="E120" s="212" t="s">
        <v>288</v>
      </c>
      <c r="F120" s="234"/>
      <c r="G120" s="216"/>
      <c r="H120" s="5"/>
      <c r="I120" s="5"/>
      <c r="J120" s="5"/>
      <c r="K120" s="5"/>
      <c r="L120" s="5"/>
      <c r="M120" s="5"/>
      <c r="N120" s="205"/>
      <c r="O120" s="5"/>
      <c r="P120" s="5"/>
      <c r="Q120" s="5"/>
      <c r="R120" s="244"/>
      <c r="S120" s="228">
        <f t="shared" si="6"/>
        <v>5000</v>
      </c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</row>
    <row r="121" spans="1:68" x14ac:dyDescent="0.25">
      <c r="A121" s="45">
        <f>'Données projet'!A140</f>
        <v>25</v>
      </c>
      <c r="B121" s="214">
        <f>'Données projet'!D140</f>
        <v>0</v>
      </c>
      <c r="C121" s="241"/>
      <c r="D121" s="222">
        <f>B121*C121</f>
        <v>0</v>
      </c>
      <c r="E121" s="243"/>
      <c r="F121" s="224"/>
      <c r="G121" s="223"/>
      <c r="H121" s="5"/>
      <c r="I121" s="5"/>
      <c r="J121" s="5"/>
      <c r="K121" s="5"/>
      <c r="L121" s="5"/>
      <c r="M121" s="5"/>
      <c r="N121" s="205"/>
      <c r="O121" s="5"/>
      <c r="P121" s="5"/>
      <c r="Q121" s="5"/>
      <c r="R121" s="244"/>
      <c r="S121" s="228">
        <f t="shared" si="6"/>
        <v>5000</v>
      </c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</row>
    <row r="122" spans="1:68" x14ac:dyDescent="0.25">
      <c r="A122" s="45">
        <f>'Données projet'!A141</f>
        <v>30</v>
      </c>
      <c r="B122" s="214">
        <f>'Données projet'!D141</f>
        <v>13</v>
      </c>
      <c r="C122" s="241">
        <v>15</v>
      </c>
      <c r="D122" s="222">
        <f t="shared" ref="D122:D140" si="8">B122*C122</f>
        <v>195</v>
      </c>
      <c r="E122" s="243"/>
      <c r="F122" s="224"/>
      <c r="G122" s="223"/>
      <c r="H122" s="5"/>
      <c r="I122" s="5"/>
      <c r="J122" s="5"/>
      <c r="K122" s="5"/>
      <c r="L122" s="5"/>
      <c r="M122" s="5"/>
      <c r="N122" s="205"/>
      <c r="O122" s="5"/>
      <c r="P122" s="5"/>
      <c r="Q122" s="5"/>
      <c r="R122" s="244"/>
      <c r="S122" s="228">
        <f t="shared" si="6"/>
        <v>5000</v>
      </c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</row>
    <row r="123" spans="1:68" x14ac:dyDescent="0.25">
      <c r="A123" s="45">
        <f>'Données projet'!A142</f>
        <v>35</v>
      </c>
      <c r="B123" s="214">
        <f>'Données projet'!D142</f>
        <v>0</v>
      </c>
      <c r="C123" s="241"/>
      <c r="D123" s="222">
        <f t="shared" si="8"/>
        <v>0</v>
      </c>
      <c r="E123" s="243"/>
      <c r="F123" s="224"/>
      <c r="G123" s="223"/>
      <c r="H123" s="5"/>
      <c r="I123" s="5"/>
      <c r="J123" s="5"/>
      <c r="K123" s="5"/>
      <c r="L123" s="5"/>
      <c r="M123" s="5"/>
      <c r="N123" s="205"/>
      <c r="O123" s="5"/>
      <c r="P123" s="5"/>
      <c r="Q123" s="5"/>
      <c r="R123" s="244"/>
      <c r="S123" s="228">
        <f t="shared" si="6"/>
        <v>5000</v>
      </c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</row>
    <row r="124" spans="1:68" x14ac:dyDescent="0.25">
      <c r="A124" s="45">
        <f>'Données projet'!A143</f>
        <v>40</v>
      </c>
      <c r="B124" s="214">
        <f>'Données projet'!D143</f>
        <v>19</v>
      </c>
      <c r="C124" s="241">
        <v>15</v>
      </c>
      <c r="D124" s="222">
        <f t="shared" si="8"/>
        <v>285</v>
      </c>
      <c r="E124" s="243"/>
      <c r="F124" s="224"/>
      <c r="G124" s="223"/>
      <c r="H124" s="5"/>
      <c r="I124" s="5"/>
      <c r="J124" s="5"/>
      <c r="K124" s="5"/>
      <c r="L124" s="5"/>
      <c r="M124" s="5"/>
      <c r="N124" s="205"/>
      <c r="O124" s="5"/>
      <c r="P124" s="5"/>
      <c r="Q124" s="5"/>
      <c r="R124" s="244"/>
      <c r="S124" s="228">
        <f>$T$23/(1+$J$6)^R124</f>
        <v>5000</v>
      </c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</row>
    <row r="125" spans="1:68" x14ac:dyDescent="0.25">
      <c r="A125" s="45">
        <f>'Données projet'!A144</f>
        <v>45</v>
      </c>
      <c r="B125" s="214">
        <f>'Données projet'!D144</f>
        <v>0</v>
      </c>
      <c r="C125" s="241"/>
      <c r="D125" s="222">
        <f t="shared" si="8"/>
        <v>0</v>
      </c>
      <c r="E125" s="243"/>
      <c r="F125" s="224"/>
      <c r="G125" s="223"/>
      <c r="H125" s="5"/>
      <c r="I125" s="5"/>
      <c r="J125" s="5"/>
      <c r="K125" s="5"/>
      <c r="L125" s="5"/>
      <c r="M125" s="5"/>
      <c r="N125" s="205"/>
      <c r="O125" s="5"/>
      <c r="P125" s="5"/>
      <c r="Q125" s="5"/>
      <c r="R125" s="244"/>
      <c r="S125" s="228">
        <f>$T$23/(1+$J$6)^R125</f>
        <v>5000</v>
      </c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</row>
    <row r="126" spans="1:68" x14ac:dyDescent="0.25">
      <c r="A126" s="45">
        <f>'Données projet'!A145</f>
        <v>50</v>
      </c>
      <c r="B126" s="214">
        <f>'Données projet'!D145</f>
        <v>20</v>
      </c>
      <c r="C126" s="241">
        <v>15</v>
      </c>
      <c r="D126" s="222">
        <f t="shared" si="8"/>
        <v>300</v>
      </c>
      <c r="E126" s="243"/>
      <c r="F126" s="224"/>
      <c r="G126" s="223"/>
      <c r="H126" s="5"/>
      <c r="I126" s="5"/>
      <c r="J126" s="5"/>
      <c r="K126" s="5"/>
      <c r="L126" s="5"/>
      <c r="M126" s="5"/>
      <c r="N126" s="205"/>
      <c r="O126" s="5"/>
      <c r="P126" s="5"/>
      <c r="Q126" s="5"/>
      <c r="R126" s="244"/>
      <c r="S126" s="228">
        <f>$T$23/(1+$J$6)^R126</f>
        <v>5000</v>
      </c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</row>
    <row r="127" spans="1:68" x14ac:dyDescent="0.25">
      <c r="A127" s="45">
        <f>'Données projet'!A146</f>
        <v>55</v>
      </c>
      <c r="B127" s="214">
        <f>'Données projet'!D146</f>
        <v>0</v>
      </c>
      <c r="C127" s="241"/>
      <c r="D127" s="222">
        <f t="shared" si="8"/>
        <v>0</v>
      </c>
      <c r="E127" s="243"/>
      <c r="F127" s="224"/>
      <c r="G127" s="223"/>
      <c r="H127" s="5"/>
      <c r="I127" s="5"/>
      <c r="J127" s="5"/>
      <c r="K127" s="5"/>
      <c r="L127" s="5"/>
      <c r="M127" s="5"/>
      <c r="N127" s="205"/>
      <c r="O127" s="5"/>
      <c r="P127" s="5"/>
      <c r="Q127" s="5"/>
      <c r="R127" s="244"/>
      <c r="S127" s="228">
        <f>$T$23/(1+$J$6)^R127</f>
        <v>5000</v>
      </c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</row>
    <row r="128" spans="1:68" x14ac:dyDescent="0.25">
      <c r="A128" s="45">
        <f>'Données projet'!A147</f>
        <v>60</v>
      </c>
      <c r="B128" s="214">
        <f>'Données projet'!D147</f>
        <v>22</v>
      </c>
      <c r="C128" s="241">
        <v>15</v>
      </c>
      <c r="D128" s="222">
        <f t="shared" si="8"/>
        <v>330</v>
      </c>
      <c r="E128" s="243"/>
      <c r="F128" s="224"/>
      <c r="G128" s="223"/>
      <c r="H128" s="5"/>
      <c r="I128" s="5"/>
      <c r="J128" s="5"/>
      <c r="K128" s="5"/>
      <c r="L128" s="5"/>
      <c r="M128" s="5"/>
      <c r="N128" s="20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</row>
    <row r="129" spans="1:68" x14ac:dyDescent="0.25">
      <c r="A129" s="45">
        <f>'Données projet'!A148</f>
        <v>65</v>
      </c>
      <c r="B129" s="214">
        <f>'Données projet'!D148</f>
        <v>0</v>
      </c>
      <c r="C129" s="241"/>
      <c r="D129" s="222">
        <f t="shared" si="8"/>
        <v>0</v>
      </c>
      <c r="E129" s="243"/>
      <c r="F129" s="224"/>
      <c r="G129" s="223"/>
      <c r="H129" s="5"/>
      <c r="I129" s="5"/>
      <c r="J129" s="5"/>
      <c r="K129" s="5"/>
      <c r="L129" s="5"/>
      <c r="M129" s="5"/>
      <c r="N129" s="20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</row>
    <row r="130" spans="1:68" x14ac:dyDescent="0.25">
      <c r="A130" s="45">
        <f>'Données projet'!A149</f>
        <v>70</v>
      </c>
      <c r="B130" s="214">
        <f>'Données projet'!D149</f>
        <v>21</v>
      </c>
      <c r="C130" s="241">
        <v>20</v>
      </c>
      <c r="D130" s="222">
        <f t="shared" si="8"/>
        <v>420</v>
      </c>
      <c r="E130" s="243"/>
      <c r="F130" s="224"/>
      <c r="G130" s="223"/>
      <c r="H130" s="5"/>
      <c r="I130" s="5"/>
      <c r="J130" s="5"/>
      <c r="K130" s="5"/>
      <c r="L130" s="5"/>
      <c r="M130" s="5"/>
      <c r="N130" s="20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</row>
    <row r="131" spans="1:68" x14ac:dyDescent="0.25">
      <c r="A131" s="45">
        <f>'Données projet'!A150</f>
        <v>75</v>
      </c>
      <c r="B131" s="214">
        <f>'Données projet'!D150</f>
        <v>0</v>
      </c>
      <c r="C131" s="241"/>
      <c r="D131" s="222">
        <f t="shared" si="8"/>
        <v>0</v>
      </c>
      <c r="E131" s="243"/>
      <c r="F131" s="224"/>
      <c r="G131" s="223"/>
      <c r="H131" s="5"/>
      <c r="I131" s="5"/>
      <c r="J131" s="5"/>
      <c r="K131" s="5"/>
      <c r="L131" s="5"/>
      <c r="M131" s="5"/>
      <c r="N131" s="20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</row>
    <row r="132" spans="1:68" x14ac:dyDescent="0.25">
      <c r="A132" s="45">
        <f>'Données projet'!A151</f>
        <v>80</v>
      </c>
      <c r="B132" s="214">
        <f>'Données projet'!D151</f>
        <v>20</v>
      </c>
      <c r="C132" s="241">
        <v>25</v>
      </c>
      <c r="D132" s="222">
        <f t="shared" si="8"/>
        <v>500</v>
      </c>
      <c r="E132" s="243"/>
      <c r="F132" s="224"/>
      <c r="G132" s="223"/>
      <c r="H132" s="5"/>
      <c r="I132" s="5"/>
      <c r="J132" s="5"/>
      <c r="K132" s="5"/>
      <c r="L132" s="5"/>
      <c r="M132" s="5"/>
      <c r="N132" s="20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</row>
    <row r="133" spans="1:68" x14ac:dyDescent="0.25">
      <c r="A133" s="45">
        <f>'Données projet'!A152</f>
        <v>85</v>
      </c>
      <c r="B133" s="214">
        <f>'Données projet'!D152</f>
        <v>0</v>
      </c>
      <c r="C133" s="241"/>
      <c r="D133" s="222">
        <f t="shared" si="8"/>
        <v>0</v>
      </c>
      <c r="E133" s="243"/>
      <c r="F133" s="224"/>
      <c r="G133" s="223"/>
      <c r="H133" s="5"/>
      <c r="I133" s="5"/>
      <c r="J133" s="5"/>
      <c r="K133" s="5"/>
      <c r="L133" s="5"/>
      <c r="M133" s="5"/>
      <c r="N133" s="20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</row>
    <row r="134" spans="1:68" x14ac:dyDescent="0.25">
      <c r="A134" s="45">
        <f>'Données projet'!A153</f>
        <v>90</v>
      </c>
      <c r="B134" s="214">
        <f>'Données projet'!D153</f>
        <v>20</v>
      </c>
      <c r="C134" s="241">
        <v>30</v>
      </c>
      <c r="D134" s="222">
        <f t="shared" si="8"/>
        <v>600</v>
      </c>
      <c r="E134" s="243"/>
      <c r="F134" s="224"/>
      <c r="G134" s="223"/>
      <c r="H134" s="5"/>
      <c r="I134" s="5"/>
      <c r="J134" s="5"/>
      <c r="K134" s="5"/>
      <c r="L134" s="5"/>
      <c r="M134" s="5"/>
      <c r="N134" s="20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</row>
    <row r="135" spans="1:68" x14ac:dyDescent="0.25">
      <c r="A135" s="45">
        <f>'Données projet'!A154</f>
        <v>95</v>
      </c>
      <c r="B135" s="214">
        <f>'Données projet'!D154</f>
        <v>0</v>
      </c>
      <c r="C135" s="241"/>
      <c r="D135" s="222">
        <f t="shared" si="8"/>
        <v>0</v>
      </c>
      <c r="E135" s="243"/>
      <c r="F135" s="224"/>
      <c r="G135" s="223"/>
      <c r="H135" s="5"/>
      <c r="I135" s="5"/>
      <c r="J135" s="5"/>
      <c r="K135" s="5"/>
      <c r="L135" s="5"/>
      <c r="M135" s="5"/>
      <c r="N135" s="20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</row>
    <row r="136" spans="1:68" x14ac:dyDescent="0.25">
      <c r="A136" s="45">
        <f>'Données projet'!A155</f>
        <v>100</v>
      </c>
      <c r="B136" s="214">
        <f>'Données projet'!D155</f>
        <v>18</v>
      </c>
      <c r="C136" s="241">
        <v>40</v>
      </c>
      <c r="D136" s="222">
        <f t="shared" si="8"/>
        <v>720</v>
      </c>
      <c r="E136" s="243"/>
      <c r="F136" s="224"/>
      <c r="G136" s="223"/>
      <c r="H136" s="5"/>
      <c r="I136" s="5"/>
      <c r="J136" s="5"/>
      <c r="K136" s="5"/>
      <c r="L136" s="5"/>
      <c r="M136" s="5"/>
      <c r="N136" s="20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</row>
    <row r="137" spans="1:68" x14ac:dyDescent="0.25">
      <c r="A137" s="45">
        <f>'Données projet'!A156</f>
        <v>110</v>
      </c>
      <c r="B137" s="214">
        <f>'Données projet'!D156</f>
        <v>17</v>
      </c>
      <c r="C137" s="241">
        <v>40</v>
      </c>
      <c r="D137" s="222">
        <f t="shared" si="8"/>
        <v>680</v>
      </c>
      <c r="E137" s="243"/>
      <c r="F137" s="224"/>
      <c r="G137" s="223"/>
      <c r="H137" s="5"/>
      <c r="I137" s="5"/>
      <c r="J137" s="5"/>
      <c r="K137" s="5"/>
      <c r="L137" s="5"/>
      <c r="M137" s="5"/>
      <c r="N137" s="20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</row>
    <row r="138" spans="1:68" x14ac:dyDescent="0.25">
      <c r="A138" s="45">
        <f>'Données projet'!A157</f>
        <v>120</v>
      </c>
      <c r="B138" s="214">
        <f>'Données projet'!D157</f>
        <v>0</v>
      </c>
      <c r="C138" s="241"/>
      <c r="D138" s="222">
        <f t="shared" si="8"/>
        <v>0</v>
      </c>
      <c r="E138" s="243"/>
      <c r="F138" s="224"/>
      <c r="G138" s="223"/>
      <c r="H138" s="5"/>
      <c r="I138" s="5"/>
      <c r="J138" s="5"/>
      <c r="K138" s="5"/>
      <c r="L138" s="5"/>
      <c r="M138" s="5"/>
      <c r="N138" s="20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</row>
    <row r="139" spans="1:68" x14ac:dyDescent="0.25">
      <c r="A139" s="45">
        <f>'Données projet'!A158</f>
        <v>130</v>
      </c>
      <c r="B139" s="214">
        <f>'Données projet'!D158</f>
        <v>290</v>
      </c>
      <c r="C139" s="241">
        <v>60</v>
      </c>
      <c r="D139" s="222">
        <f t="shared" si="8"/>
        <v>17400</v>
      </c>
      <c r="E139" s="243"/>
      <c r="F139" s="224"/>
      <c r="G139" s="223"/>
      <c r="H139" s="5"/>
      <c r="I139" s="5"/>
      <c r="J139" s="5"/>
      <c r="K139" s="5"/>
      <c r="L139" s="5"/>
      <c r="M139" s="5"/>
      <c r="N139" s="20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</row>
    <row r="140" spans="1:68" x14ac:dyDescent="0.25">
      <c r="A140" s="45">
        <f>'Données projet'!A159</f>
        <v>0</v>
      </c>
      <c r="B140" s="214">
        <f>'Données projet'!D159</f>
        <v>0</v>
      </c>
      <c r="C140" s="241"/>
      <c r="D140" s="222">
        <f t="shared" si="8"/>
        <v>0</v>
      </c>
      <c r="E140" s="243"/>
      <c r="F140" s="224"/>
      <c r="G140" s="223"/>
      <c r="H140" s="5"/>
      <c r="I140" s="5"/>
      <c r="J140" s="5"/>
      <c r="K140" s="5"/>
      <c r="L140" s="5"/>
      <c r="M140" s="5"/>
      <c r="N140" s="20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</row>
    <row r="141" spans="1:68" x14ac:dyDescent="0.25">
      <c r="A141" s="5"/>
      <c r="B141" s="5"/>
      <c r="C141" s="5"/>
      <c r="D141" s="5"/>
      <c r="E141" s="5"/>
      <c r="F141" s="203"/>
      <c r="G141" s="113"/>
      <c r="H141" s="5"/>
      <c r="I141" s="5"/>
      <c r="J141" s="5"/>
      <c r="K141" s="5"/>
      <c r="L141" s="5"/>
      <c r="M141" s="5"/>
      <c r="N141" s="20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</row>
    <row r="142" spans="1:68" x14ac:dyDescent="0.25">
      <c r="A142" s="5"/>
      <c r="B142" s="5"/>
      <c r="C142" s="5"/>
      <c r="D142" s="5"/>
      <c r="E142" s="5"/>
      <c r="F142" s="203"/>
      <c r="G142" s="113"/>
      <c r="H142" s="5"/>
      <c r="I142" s="5"/>
      <c r="J142" s="5"/>
      <c r="K142" s="5"/>
      <c r="L142" s="5"/>
      <c r="M142" s="5"/>
      <c r="N142" s="20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</row>
    <row r="143" spans="1:68" x14ac:dyDescent="0.25">
      <c r="A143" s="49" t="s">
        <v>170</v>
      </c>
      <c r="B143" s="213" t="str">
        <f>IF('Données projet'!B14="","",'Données projet'!B14)</f>
        <v>Pin d'Alep</v>
      </c>
      <c r="C143" s="5"/>
      <c r="D143" s="5"/>
      <c r="E143" s="5"/>
      <c r="F143" s="203"/>
      <c r="G143" s="113"/>
      <c r="H143" s="5"/>
      <c r="I143" s="5"/>
      <c r="J143" s="5"/>
      <c r="K143" s="5"/>
      <c r="L143" s="5"/>
      <c r="M143" s="5"/>
      <c r="N143" s="20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</row>
    <row r="144" spans="1:68" x14ac:dyDescent="0.25">
      <c r="A144" s="5"/>
      <c r="B144" s="5"/>
      <c r="C144" s="5"/>
      <c r="D144" s="5"/>
      <c r="E144" s="5"/>
      <c r="F144" s="203"/>
      <c r="G144" s="113"/>
      <c r="H144" s="5"/>
      <c r="I144" s="5"/>
      <c r="J144" s="5"/>
      <c r="K144" s="5"/>
      <c r="L144" s="5"/>
      <c r="M144" s="5"/>
      <c r="N144" s="20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</row>
    <row r="145" spans="1:68" x14ac:dyDescent="0.25">
      <c r="A145" s="212" t="s">
        <v>180</v>
      </c>
      <c r="B145" s="51" t="s">
        <v>256</v>
      </c>
      <c r="C145" s="51" t="s">
        <v>255</v>
      </c>
      <c r="D145" s="212" t="s">
        <v>252</v>
      </c>
      <c r="E145" s="212" t="s">
        <v>288</v>
      </c>
      <c r="F145" s="234"/>
      <c r="G145" s="216"/>
      <c r="H145" s="5"/>
      <c r="I145" s="5"/>
      <c r="J145" s="5"/>
      <c r="K145" s="5"/>
      <c r="L145" s="5"/>
      <c r="M145" s="5"/>
      <c r="N145" s="20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</row>
    <row r="146" spans="1:68" x14ac:dyDescent="0.25">
      <c r="A146" s="220">
        <f>'Données projet'!A166</f>
        <v>40</v>
      </c>
      <c r="B146" s="221">
        <f>'Données projet'!D166</f>
        <v>50</v>
      </c>
      <c r="C146" s="243">
        <v>10</v>
      </c>
      <c r="D146" s="219">
        <f>B146*C146</f>
        <v>500</v>
      </c>
      <c r="E146" s="243"/>
      <c r="F146" s="235"/>
      <c r="G146" s="236"/>
      <c r="H146" s="5"/>
      <c r="I146" s="5"/>
      <c r="J146" s="5"/>
      <c r="K146" s="5"/>
      <c r="L146" s="5"/>
      <c r="M146" s="5"/>
      <c r="N146" s="20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</row>
    <row r="147" spans="1:68" x14ac:dyDescent="0.25">
      <c r="A147" s="220">
        <f>'Données projet'!A167</f>
        <v>55</v>
      </c>
      <c r="B147" s="221">
        <f>'Données projet'!D167</f>
        <v>63</v>
      </c>
      <c r="C147" s="243">
        <v>15</v>
      </c>
      <c r="D147" s="219">
        <f t="shared" ref="D147:D165" si="9">B147*C147</f>
        <v>945</v>
      </c>
      <c r="E147" s="243"/>
      <c r="F147" s="235"/>
      <c r="G147" s="236"/>
      <c r="H147" s="5"/>
      <c r="I147" s="5"/>
      <c r="J147" s="5"/>
      <c r="K147" s="5"/>
      <c r="L147" s="5"/>
      <c r="M147" s="5"/>
      <c r="N147" s="20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</row>
    <row r="148" spans="1:68" x14ac:dyDescent="0.25">
      <c r="A148" s="220">
        <f>'Données projet'!A168</f>
        <v>70</v>
      </c>
      <c r="B148" s="221">
        <f>'Données projet'!D168</f>
        <v>74</v>
      </c>
      <c r="C148" s="243">
        <v>20</v>
      </c>
      <c r="D148" s="219">
        <f t="shared" si="9"/>
        <v>1480</v>
      </c>
      <c r="E148" s="243"/>
      <c r="F148" s="235"/>
      <c r="G148" s="236"/>
      <c r="H148" s="5"/>
      <c r="I148" s="5"/>
      <c r="J148" s="5"/>
      <c r="K148" s="5"/>
      <c r="L148" s="5"/>
      <c r="M148" s="5"/>
      <c r="N148" s="20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</row>
    <row r="149" spans="1:68" x14ac:dyDescent="0.25">
      <c r="A149" s="220">
        <f>'Données projet'!A169</f>
        <v>90</v>
      </c>
      <c r="B149" s="221">
        <f>'Données projet'!D169</f>
        <v>135</v>
      </c>
      <c r="C149" s="243">
        <v>40</v>
      </c>
      <c r="D149" s="219">
        <f t="shared" si="9"/>
        <v>5400</v>
      </c>
      <c r="E149" s="243"/>
      <c r="F149" s="235"/>
      <c r="G149" s="236"/>
      <c r="H149" s="5"/>
      <c r="I149" s="5"/>
      <c r="J149" s="5"/>
      <c r="K149" s="5"/>
      <c r="L149" s="5"/>
      <c r="M149" s="5"/>
      <c r="N149" s="20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</row>
    <row r="150" spans="1:68" x14ac:dyDescent="0.25">
      <c r="A150" s="220">
        <f>'Données projet'!A170</f>
        <v>0</v>
      </c>
      <c r="B150" s="221">
        <f>'Données projet'!D170</f>
        <v>0</v>
      </c>
      <c r="C150" s="243"/>
      <c r="D150" s="219">
        <f t="shared" si="9"/>
        <v>0</v>
      </c>
      <c r="E150" s="243"/>
      <c r="F150" s="235"/>
      <c r="G150" s="236"/>
      <c r="H150" s="5"/>
      <c r="I150" s="5"/>
      <c r="J150" s="5"/>
      <c r="K150" s="5"/>
      <c r="L150" s="5"/>
      <c r="M150" s="5"/>
      <c r="N150" s="20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</row>
    <row r="151" spans="1:68" x14ac:dyDescent="0.25">
      <c r="A151" s="220">
        <f>'Données projet'!A171</f>
        <v>0</v>
      </c>
      <c r="B151" s="221">
        <f>'Données projet'!D171</f>
        <v>0</v>
      </c>
      <c r="C151" s="243"/>
      <c r="D151" s="219">
        <f t="shared" si="9"/>
        <v>0</v>
      </c>
      <c r="E151" s="243"/>
      <c r="F151" s="235"/>
      <c r="G151" s="236"/>
      <c r="H151" s="5"/>
      <c r="I151" s="5"/>
      <c r="J151" s="5"/>
      <c r="K151" s="5"/>
      <c r="L151" s="5"/>
      <c r="M151" s="5"/>
      <c r="N151" s="20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</row>
    <row r="152" spans="1:68" x14ac:dyDescent="0.25">
      <c r="A152" s="220">
        <f>'Données projet'!A172</f>
        <v>0</v>
      </c>
      <c r="B152" s="221">
        <f>'Données projet'!D172</f>
        <v>0</v>
      </c>
      <c r="C152" s="243"/>
      <c r="D152" s="219">
        <f t="shared" si="9"/>
        <v>0</v>
      </c>
      <c r="E152" s="243"/>
      <c r="F152" s="235"/>
      <c r="G152" s="236"/>
      <c r="H152" s="5"/>
      <c r="I152" s="5"/>
      <c r="J152" s="5"/>
      <c r="K152" s="5"/>
      <c r="L152" s="5"/>
      <c r="M152" s="5"/>
      <c r="N152" s="20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</row>
    <row r="153" spans="1:68" x14ac:dyDescent="0.25">
      <c r="A153" s="220">
        <f>'Données projet'!A173</f>
        <v>0</v>
      </c>
      <c r="B153" s="221">
        <f>'Données projet'!D173</f>
        <v>0</v>
      </c>
      <c r="C153" s="243"/>
      <c r="D153" s="219">
        <f t="shared" si="9"/>
        <v>0</v>
      </c>
      <c r="E153" s="243"/>
      <c r="F153" s="235"/>
      <c r="G153" s="236"/>
      <c r="H153" s="5"/>
      <c r="I153" s="5"/>
      <c r="J153" s="5"/>
      <c r="K153" s="5"/>
      <c r="L153" s="5"/>
      <c r="M153" s="5"/>
      <c r="N153" s="20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</row>
    <row r="154" spans="1:68" x14ac:dyDescent="0.25">
      <c r="A154" s="220">
        <f>'Données projet'!A174</f>
        <v>0</v>
      </c>
      <c r="B154" s="221">
        <f>'Données projet'!D174</f>
        <v>0</v>
      </c>
      <c r="C154" s="243"/>
      <c r="D154" s="219">
        <f t="shared" si="9"/>
        <v>0</v>
      </c>
      <c r="E154" s="243"/>
      <c r="F154" s="235"/>
      <c r="G154" s="236"/>
      <c r="H154" s="5"/>
      <c r="I154" s="5"/>
      <c r="J154" s="5"/>
      <c r="K154" s="5"/>
      <c r="L154" s="5"/>
      <c r="M154" s="5"/>
      <c r="N154" s="20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</row>
    <row r="155" spans="1:68" x14ac:dyDescent="0.25">
      <c r="A155" s="220">
        <f>'Données projet'!A175</f>
        <v>0</v>
      </c>
      <c r="B155" s="221">
        <f>'Données projet'!D175</f>
        <v>0</v>
      </c>
      <c r="C155" s="243"/>
      <c r="D155" s="219">
        <f t="shared" si="9"/>
        <v>0</v>
      </c>
      <c r="E155" s="243"/>
      <c r="F155" s="235"/>
      <c r="G155" s="236"/>
      <c r="H155" s="5"/>
      <c r="I155" s="5"/>
      <c r="J155" s="5"/>
      <c r="K155" s="5"/>
      <c r="L155" s="5"/>
      <c r="M155" s="5"/>
      <c r="N155" s="20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</row>
    <row r="156" spans="1:68" x14ac:dyDescent="0.25">
      <c r="A156" s="220">
        <f>'Données projet'!A176</f>
        <v>0</v>
      </c>
      <c r="B156" s="221">
        <f>'Données projet'!D176</f>
        <v>0</v>
      </c>
      <c r="C156" s="243"/>
      <c r="D156" s="219">
        <f t="shared" si="9"/>
        <v>0</v>
      </c>
      <c r="E156" s="243"/>
      <c r="F156" s="235"/>
      <c r="G156" s="236"/>
      <c r="H156" s="5"/>
      <c r="I156" s="5"/>
      <c r="J156" s="5"/>
      <c r="K156" s="5"/>
      <c r="L156" s="5"/>
      <c r="M156" s="5"/>
      <c r="N156" s="20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</row>
    <row r="157" spans="1:68" x14ac:dyDescent="0.25">
      <c r="A157" s="220">
        <f>'Données projet'!A177</f>
        <v>0</v>
      </c>
      <c r="B157" s="221">
        <f>'Données projet'!D177</f>
        <v>0</v>
      </c>
      <c r="C157" s="243"/>
      <c r="D157" s="219">
        <f t="shared" si="9"/>
        <v>0</v>
      </c>
      <c r="E157" s="243"/>
      <c r="F157" s="235"/>
      <c r="G157" s="236"/>
      <c r="H157" s="5"/>
      <c r="I157" s="5"/>
      <c r="J157" s="5"/>
      <c r="K157" s="5"/>
      <c r="L157" s="5"/>
      <c r="M157" s="5"/>
      <c r="N157" s="20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</row>
    <row r="158" spans="1:68" x14ac:dyDescent="0.25">
      <c r="A158" s="220">
        <f>'Données projet'!A178</f>
        <v>0</v>
      </c>
      <c r="B158" s="221">
        <f>'Données projet'!D178</f>
        <v>0</v>
      </c>
      <c r="C158" s="243"/>
      <c r="D158" s="219">
        <f t="shared" si="9"/>
        <v>0</v>
      </c>
      <c r="E158" s="243"/>
      <c r="F158" s="235"/>
      <c r="G158" s="236"/>
      <c r="H158" s="5"/>
      <c r="I158" s="5"/>
      <c r="J158" s="5"/>
      <c r="K158" s="5"/>
      <c r="L158" s="5"/>
      <c r="M158" s="5"/>
      <c r="N158" s="20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</row>
    <row r="159" spans="1:68" x14ac:dyDescent="0.25">
      <c r="A159" s="220">
        <f>'Données projet'!A179</f>
        <v>0</v>
      </c>
      <c r="B159" s="221">
        <f>'Données projet'!D179</f>
        <v>0</v>
      </c>
      <c r="C159" s="243"/>
      <c r="D159" s="219">
        <f t="shared" si="9"/>
        <v>0</v>
      </c>
      <c r="E159" s="243"/>
      <c r="F159" s="235"/>
      <c r="G159" s="236"/>
      <c r="H159" s="5"/>
      <c r="I159" s="5"/>
      <c r="J159" s="5"/>
      <c r="K159" s="5"/>
      <c r="L159" s="5"/>
      <c r="M159" s="5"/>
      <c r="N159" s="20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</row>
    <row r="160" spans="1:68" x14ac:dyDescent="0.25">
      <c r="A160" s="220">
        <f>'Données projet'!A180</f>
        <v>0</v>
      </c>
      <c r="B160" s="221">
        <f>'Données projet'!D180</f>
        <v>0</v>
      </c>
      <c r="C160" s="243"/>
      <c r="D160" s="219">
        <f t="shared" si="9"/>
        <v>0</v>
      </c>
      <c r="E160" s="243"/>
      <c r="F160" s="235"/>
      <c r="G160" s="236"/>
      <c r="H160" s="5"/>
      <c r="I160" s="5"/>
      <c r="J160" s="5"/>
      <c r="K160" s="5"/>
      <c r="L160" s="5"/>
      <c r="M160" s="5"/>
      <c r="N160" s="20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</row>
    <row r="161" spans="1:68" x14ac:dyDescent="0.25">
      <c r="A161" s="220">
        <f>'Données projet'!A181</f>
        <v>0</v>
      </c>
      <c r="B161" s="221">
        <f>'Données projet'!D181</f>
        <v>0</v>
      </c>
      <c r="C161" s="243"/>
      <c r="D161" s="219">
        <f t="shared" si="9"/>
        <v>0</v>
      </c>
      <c r="E161" s="243"/>
      <c r="F161" s="235"/>
      <c r="G161" s="236"/>
      <c r="H161" s="5"/>
      <c r="I161" s="5"/>
      <c r="J161" s="5"/>
      <c r="K161" s="5"/>
      <c r="L161" s="5"/>
      <c r="M161" s="5"/>
      <c r="N161" s="20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</row>
    <row r="162" spans="1:68" x14ac:dyDescent="0.25">
      <c r="A162" s="220">
        <f>'Données projet'!A182</f>
        <v>0</v>
      </c>
      <c r="B162" s="221">
        <f>'Données projet'!D182</f>
        <v>0</v>
      </c>
      <c r="C162" s="243"/>
      <c r="D162" s="219">
        <f t="shared" si="9"/>
        <v>0</v>
      </c>
      <c r="E162" s="243"/>
      <c r="F162" s="235"/>
      <c r="G162" s="236"/>
      <c r="H162" s="5"/>
      <c r="I162" s="5"/>
      <c r="J162" s="5"/>
      <c r="K162" s="5"/>
      <c r="L162" s="5"/>
      <c r="M162" s="5"/>
      <c r="N162" s="20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</row>
    <row r="163" spans="1:68" x14ac:dyDescent="0.25">
      <c r="A163" s="220">
        <f>'Données projet'!A183</f>
        <v>0</v>
      </c>
      <c r="B163" s="221">
        <f>'Données projet'!D183</f>
        <v>0</v>
      </c>
      <c r="C163" s="243"/>
      <c r="D163" s="219">
        <f t="shared" si="9"/>
        <v>0</v>
      </c>
      <c r="E163" s="243"/>
      <c r="F163" s="235"/>
      <c r="G163" s="236"/>
      <c r="H163" s="5"/>
      <c r="I163" s="5"/>
      <c r="J163" s="5"/>
      <c r="K163" s="5"/>
      <c r="L163" s="5"/>
      <c r="M163" s="5"/>
      <c r="N163" s="20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</row>
    <row r="164" spans="1:68" x14ac:dyDescent="0.25">
      <c r="A164" s="220">
        <f>'Données projet'!A184</f>
        <v>0</v>
      </c>
      <c r="B164" s="221">
        <f>'Données projet'!D184</f>
        <v>0</v>
      </c>
      <c r="C164" s="243"/>
      <c r="D164" s="219">
        <f t="shared" si="9"/>
        <v>0</v>
      </c>
      <c r="E164" s="243"/>
      <c r="F164" s="235"/>
      <c r="G164" s="236"/>
      <c r="H164" s="5"/>
      <c r="I164" s="5"/>
      <c r="J164" s="5"/>
      <c r="K164" s="5"/>
      <c r="L164" s="5"/>
      <c r="M164" s="5"/>
      <c r="N164" s="20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</row>
    <row r="165" spans="1:68" x14ac:dyDescent="0.25">
      <c r="A165" s="220">
        <f>'Données projet'!A185</f>
        <v>0</v>
      </c>
      <c r="B165" s="221">
        <f>'Données projet'!D185</f>
        <v>0</v>
      </c>
      <c r="C165" s="243"/>
      <c r="D165" s="219">
        <f t="shared" si="9"/>
        <v>0</v>
      </c>
      <c r="E165" s="243"/>
      <c r="F165" s="235"/>
      <c r="G165" s="236"/>
      <c r="H165" s="5"/>
      <c r="I165" s="5"/>
      <c r="J165" s="5"/>
      <c r="K165" s="5"/>
      <c r="L165" s="5"/>
      <c r="M165" s="5"/>
      <c r="N165" s="20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</row>
    <row r="166" spans="1:68" x14ac:dyDescent="0.25">
      <c r="A166" s="5"/>
      <c r="B166" s="5"/>
      <c r="C166" s="5"/>
      <c r="D166" s="5"/>
      <c r="E166" s="5"/>
      <c r="F166" s="203"/>
      <c r="G166" s="113"/>
      <c r="H166" s="5"/>
      <c r="I166" s="5"/>
      <c r="J166" s="5"/>
      <c r="K166" s="5"/>
      <c r="L166" s="5"/>
      <c r="M166" s="5"/>
      <c r="N166" s="20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</row>
    <row r="167" spans="1:68" x14ac:dyDescent="0.25">
      <c r="A167" s="5"/>
      <c r="B167" s="5"/>
      <c r="C167" s="5"/>
      <c r="D167" s="5"/>
      <c r="E167" s="5"/>
      <c r="F167" s="203"/>
      <c r="G167" s="113"/>
      <c r="H167" s="5"/>
      <c r="I167" s="5"/>
      <c r="J167" s="5"/>
      <c r="K167" s="5"/>
      <c r="L167" s="5"/>
      <c r="M167" s="5"/>
      <c r="N167" s="20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</row>
    <row r="168" spans="1:68" x14ac:dyDescent="0.25">
      <c r="A168" s="49" t="s">
        <v>171</v>
      </c>
      <c r="B168" s="213" t="str">
        <f>IF('Données projet'!$B$15="","",'Données projet'!$B$15)</f>
        <v>Cèdre de l'Atlas</v>
      </c>
      <c r="C168" s="5"/>
      <c r="D168" s="5"/>
      <c r="E168" s="5"/>
      <c r="F168" s="203"/>
      <c r="G168" s="113"/>
      <c r="H168" s="5"/>
      <c r="I168" s="5"/>
      <c r="J168" s="5"/>
      <c r="K168" s="5"/>
      <c r="L168" s="5"/>
      <c r="M168" s="5"/>
      <c r="N168" s="20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</row>
    <row r="169" spans="1:68" x14ac:dyDescent="0.25">
      <c r="A169" s="49"/>
      <c r="B169" s="5"/>
      <c r="C169" s="5"/>
      <c r="D169" s="5"/>
      <c r="E169" s="5"/>
      <c r="F169" s="203"/>
      <c r="G169" s="113"/>
      <c r="H169" s="5"/>
      <c r="I169" s="5"/>
      <c r="J169" s="5"/>
      <c r="K169" s="5"/>
      <c r="L169" s="5"/>
      <c r="M169" s="5"/>
      <c r="N169" s="20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</row>
    <row r="170" spans="1:68" x14ac:dyDescent="0.25">
      <c r="A170" s="212" t="s">
        <v>180</v>
      </c>
      <c r="B170" s="51" t="s">
        <v>256</v>
      </c>
      <c r="C170" s="51" t="s">
        <v>255</v>
      </c>
      <c r="D170" s="212" t="s">
        <v>252</v>
      </c>
      <c r="E170" s="212" t="s">
        <v>288</v>
      </c>
      <c r="F170" s="234"/>
      <c r="G170" s="216"/>
      <c r="H170" s="5"/>
      <c r="I170" s="5"/>
      <c r="J170" s="5"/>
      <c r="K170" s="5"/>
      <c r="L170" s="5"/>
      <c r="M170" s="5"/>
      <c r="N170" s="20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</row>
    <row r="171" spans="1:68" x14ac:dyDescent="0.25">
      <c r="A171" s="220">
        <f>'Données projet'!A192</f>
        <v>60</v>
      </c>
      <c r="B171" s="221">
        <f>'Données projet'!D192</f>
        <v>66</v>
      </c>
      <c r="C171" s="243">
        <v>20</v>
      </c>
      <c r="D171" s="219">
        <f>B171*C171</f>
        <v>1320</v>
      </c>
      <c r="E171" s="243"/>
      <c r="F171" s="235"/>
      <c r="G171" s="236"/>
      <c r="H171" s="5"/>
      <c r="I171" s="5"/>
      <c r="J171" s="5"/>
      <c r="K171" s="5"/>
      <c r="L171" s="5"/>
      <c r="M171" s="5"/>
      <c r="N171" s="20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</row>
    <row r="172" spans="1:68" x14ac:dyDescent="0.25">
      <c r="A172" s="220">
        <f>'Données projet'!A193</f>
        <v>75</v>
      </c>
      <c r="B172" s="221">
        <f>'Données projet'!D193</f>
        <v>74</v>
      </c>
      <c r="C172" s="243">
        <v>25</v>
      </c>
      <c r="D172" s="219">
        <f t="shared" ref="D172:D190" si="10">B172*C172</f>
        <v>1850</v>
      </c>
      <c r="E172" s="243"/>
      <c r="F172" s="235"/>
      <c r="G172" s="236"/>
      <c r="H172" s="5"/>
      <c r="I172" s="5"/>
      <c r="J172" s="5"/>
      <c r="K172" s="5"/>
      <c r="L172" s="5"/>
      <c r="M172" s="5"/>
      <c r="N172" s="20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</row>
    <row r="173" spans="1:68" x14ac:dyDescent="0.25">
      <c r="A173" s="220">
        <f>'Données projet'!A194</f>
        <v>90</v>
      </c>
      <c r="B173" s="221">
        <f>'Données projet'!D194</f>
        <v>76</v>
      </c>
      <c r="C173" s="243">
        <v>30</v>
      </c>
      <c r="D173" s="219">
        <f t="shared" si="10"/>
        <v>2280</v>
      </c>
      <c r="E173" s="243"/>
      <c r="F173" s="235"/>
      <c r="G173" s="236"/>
      <c r="H173" s="5"/>
      <c r="I173" s="5"/>
      <c r="J173" s="5"/>
      <c r="K173" s="5"/>
      <c r="L173" s="5"/>
      <c r="M173" s="5"/>
      <c r="N173" s="20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</row>
    <row r="174" spans="1:68" x14ac:dyDescent="0.25">
      <c r="A174" s="220">
        <f>'Données projet'!A195</f>
        <v>100</v>
      </c>
      <c r="B174" s="221">
        <f>'Données projet'!D195</f>
        <v>71</v>
      </c>
      <c r="C174" s="243">
        <v>40</v>
      </c>
      <c r="D174" s="219">
        <f t="shared" si="10"/>
        <v>2840</v>
      </c>
      <c r="E174" s="243"/>
      <c r="F174" s="235"/>
      <c r="G174" s="236"/>
      <c r="H174" s="5"/>
      <c r="I174" s="5"/>
      <c r="J174" s="5"/>
      <c r="K174" s="5"/>
      <c r="L174" s="5"/>
      <c r="M174" s="5"/>
      <c r="N174" s="20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</row>
    <row r="175" spans="1:68" x14ac:dyDescent="0.25">
      <c r="A175" s="220">
        <f>'Données projet'!A196</f>
        <v>110</v>
      </c>
      <c r="B175" s="221">
        <f>'Données projet'!D196</f>
        <v>64</v>
      </c>
      <c r="C175" s="243">
        <v>45</v>
      </c>
      <c r="D175" s="219">
        <f t="shared" si="10"/>
        <v>2880</v>
      </c>
      <c r="E175" s="243"/>
      <c r="F175" s="235"/>
      <c r="G175" s="236"/>
      <c r="H175" s="5"/>
      <c r="I175" s="5"/>
      <c r="J175" s="5"/>
      <c r="K175" s="5"/>
      <c r="L175" s="5"/>
      <c r="M175" s="5"/>
      <c r="N175" s="20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</row>
    <row r="176" spans="1:68" x14ac:dyDescent="0.25">
      <c r="A176" s="220">
        <f>'Données projet'!A197</f>
        <v>115</v>
      </c>
      <c r="B176" s="221">
        <f>'Données projet'!D197</f>
        <v>0</v>
      </c>
      <c r="C176" s="243"/>
      <c r="D176" s="219">
        <f t="shared" si="10"/>
        <v>0</v>
      </c>
      <c r="E176" s="243"/>
      <c r="F176" s="235"/>
      <c r="G176" s="236"/>
      <c r="H176" s="5"/>
      <c r="I176" s="5"/>
      <c r="J176" s="5"/>
      <c r="K176" s="5"/>
      <c r="L176" s="5"/>
      <c r="M176" s="5"/>
      <c r="N176" s="20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</row>
    <row r="177" spans="1:68" x14ac:dyDescent="0.25">
      <c r="A177" s="220">
        <f>'Données projet'!A198</f>
        <v>120</v>
      </c>
      <c r="B177" s="221">
        <f>'Données projet'!D198</f>
        <v>270</v>
      </c>
      <c r="C177" s="243">
        <v>50</v>
      </c>
      <c r="D177" s="219">
        <f t="shared" si="10"/>
        <v>13500</v>
      </c>
      <c r="E177" s="243"/>
      <c r="F177" s="235"/>
      <c r="G177" s="236"/>
      <c r="H177" s="5"/>
      <c r="I177" s="5"/>
      <c r="J177" s="5"/>
      <c r="K177" s="5"/>
      <c r="L177" s="5"/>
      <c r="M177" s="5"/>
      <c r="N177" s="20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</row>
    <row r="178" spans="1:68" x14ac:dyDescent="0.25">
      <c r="A178" s="220">
        <f>'Données projet'!A199</f>
        <v>0</v>
      </c>
      <c r="B178" s="221">
        <f>'Données projet'!D199</f>
        <v>0</v>
      </c>
      <c r="C178" s="243"/>
      <c r="D178" s="219">
        <f t="shared" si="10"/>
        <v>0</v>
      </c>
      <c r="E178" s="243"/>
      <c r="F178" s="235"/>
      <c r="G178" s="236"/>
      <c r="H178" s="5"/>
      <c r="I178" s="5"/>
      <c r="J178" s="5"/>
      <c r="K178" s="5"/>
      <c r="L178" s="5"/>
      <c r="M178" s="5"/>
      <c r="N178" s="20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</row>
    <row r="179" spans="1:68" x14ac:dyDescent="0.25">
      <c r="A179" s="220">
        <f>'Données projet'!A200</f>
        <v>0</v>
      </c>
      <c r="B179" s="221">
        <f>'Données projet'!D200</f>
        <v>0</v>
      </c>
      <c r="C179" s="243"/>
      <c r="D179" s="219">
        <f t="shared" si="10"/>
        <v>0</v>
      </c>
      <c r="E179" s="243"/>
      <c r="F179" s="235"/>
      <c r="G179" s="236"/>
      <c r="H179" s="5"/>
      <c r="I179" s="5"/>
      <c r="J179" s="5"/>
      <c r="K179" s="5"/>
      <c r="L179" s="5"/>
      <c r="M179" s="5"/>
      <c r="N179" s="20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</row>
    <row r="180" spans="1:68" x14ac:dyDescent="0.25">
      <c r="A180" s="220">
        <f>'Données projet'!A201</f>
        <v>0</v>
      </c>
      <c r="B180" s="221">
        <f>'Données projet'!D201</f>
        <v>0</v>
      </c>
      <c r="C180" s="243"/>
      <c r="D180" s="219">
        <f t="shared" si="10"/>
        <v>0</v>
      </c>
      <c r="E180" s="243"/>
      <c r="F180" s="235"/>
      <c r="G180" s="236"/>
      <c r="H180" s="5"/>
      <c r="I180" s="5"/>
      <c r="J180" s="5"/>
      <c r="K180" s="5"/>
      <c r="L180" s="5"/>
      <c r="M180" s="5"/>
      <c r="N180" s="20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</row>
    <row r="181" spans="1:68" x14ac:dyDescent="0.25">
      <c r="A181" s="220">
        <f>'Données projet'!A202</f>
        <v>0</v>
      </c>
      <c r="B181" s="221">
        <f>'Données projet'!D202</f>
        <v>0</v>
      </c>
      <c r="C181" s="243"/>
      <c r="D181" s="219">
        <f t="shared" si="10"/>
        <v>0</v>
      </c>
      <c r="E181" s="243"/>
      <c r="F181" s="235"/>
      <c r="G181" s="236"/>
      <c r="H181" s="5"/>
      <c r="I181" s="5"/>
      <c r="J181" s="5"/>
      <c r="K181" s="5"/>
      <c r="L181" s="5"/>
      <c r="M181" s="5"/>
      <c r="N181" s="20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</row>
    <row r="182" spans="1:68" x14ac:dyDescent="0.25">
      <c r="A182" s="220">
        <f>'Données projet'!A203</f>
        <v>0</v>
      </c>
      <c r="B182" s="221">
        <f>'Données projet'!D203</f>
        <v>0</v>
      </c>
      <c r="C182" s="243"/>
      <c r="D182" s="219">
        <f t="shared" si="10"/>
        <v>0</v>
      </c>
      <c r="E182" s="243"/>
      <c r="F182" s="235"/>
      <c r="G182" s="236"/>
      <c r="H182" s="5"/>
      <c r="I182" s="5"/>
      <c r="J182" s="5"/>
      <c r="K182" s="5"/>
      <c r="L182" s="5"/>
      <c r="M182" s="5"/>
      <c r="N182" s="20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</row>
    <row r="183" spans="1:68" x14ac:dyDescent="0.25">
      <c r="A183" s="220">
        <f>'Données projet'!A204</f>
        <v>0</v>
      </c>
      <c r="B183" s="221">
        <f>'Données projet'!D204</f>
        <v>0</v>
      </c>
      <c r="C183" s="243"/>
      <c r="D183" s="219">
        <f t="shared" si="10"/>
        <v>0</v>
      </c>
      <c r="E183" s="243"/>
      <c r="F183" s="235"/>
      <c r="G183" s="236"/>
      <c r="H183" s="5"/>
      <c r="I183" s="5"/>
      <c r="J183" s="5"/>
      <c r="K183" s="5"/>
      <c r="L183" s="5"/>
      <c r="M183" s="5"/>
      <c r="N183" s="20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</row>
    <row r="184" spans="1:68" x14ac:dyDescent="0.25">
      <c r="A184" s="220">
        <f>'Données projet'!A205</f>
        <v>0</v>
      </c>
      <c r="B184" s="221">
        <f>'Données projet'!D205</f>
        <v>0</v>
      </c>
      <c r="C184" s="243"/>
      <c r="D184" s="219">
        <f t="shared" si="10"/>
        <v>0</v>
      </c>
      <c r="E184" s="243"/>
      <c r="F184" s="235"/>
      <c r="G184" s="236"/>
      <c r="H184" s="5"/>
      <c r="I184" s="5"/>
      <c r="J184" s="5"/>
      <c r="K184" s="5"/>
      <c r="L184" s="5"/>
      <c r="M184" s="5"/>
      <c r="N184" s="20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</row>
    <row r="185" spans="1:68" x14ac:dyDescent="0.25">
      <c r="A185" s="220">
        <f>'Données projet'!A206</f>
        <v>0</v>
      </c>
      <c r="B185" s="221">
        <f>'Données projet'!D206</f>
        <v>0</v>
      </c>
      <c r="C185" s="243"/>
      <c r="D185" s="219">
        <f t="shared" si="10"/>
        <v>0</v>
      </c>
      <c r="E185" s="243"/>
      <c r="F185" s="235"/>
      <c r="G185" s="236"/>
      <c r="H185" s="5"/>
      <c r="I185" s="5"/>
      <c r="J185" s="5"/>
      <c r="K185" s="5"/>
      <c r="L185" s="5"/>
      <c r="M185" s="5"/>
      <c r="N185" s="20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</row>
    <row r="186" spans="1:68" x14ac:dyDescent="0.25">
      <c r="A186" s="220">
        <f>'Données projet'!A207</f>
        <v>0</v>
      </c>
      <c r="B186" s="221">
        <f>'Données projet'!D207</f>
        <v>0</v>
      </c>
      <c r="C186" s="243"/>
      <c r="D186" s="219">
        <f t="shared" si="10"/>
        <v>0</v>
      </c>
      <c r="E186" s="243"/>
      <c r="F186" s="235"/>
      <c r="G186" s="236"/>
      <c r="H186" s="5"/>
      <c r="I186" s="5"/>
      <c r="J186" s="5"/>
      <c r="K186" s="5"/>
      <c r="L186" s="5"/>
      <c r="M186" s="5"/>
      <c r="N186" s="20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</row>
    <row r="187" spans="1:68" x14ac:dyDescent="0.25">
      <c r="A187" s="220">
        <f>'Données projet'!A208</f>
        <v>0</v>
      </c>
      <c r="B187" s="221">
        <f>'Données projet'!D208</f>
        <v>0</v>
      </c>
      <c r="C187" s="243"/>
      <c r="D187" s="219">
        <f t="shared" si="10"/>
        <v>0</v>
      </c>
      <c r="E187" s="243"/>
      <c r="F187" s="235"/>
      <c r="G187" s="236"/>
      <c r="H187" s="5"/>
      <c r="I187" s="5"/>
      <c r="J187" s="5"/>
      <c r="K187" s="5"/>
      <c r="L187" s="5"/>
      <c r="M187" s="5"/>
      <c r="N187" s="20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</row>
    <row r="188" spans="1:68" x14ac:dyDescent="0.25">
      <c r="A188" s="220">
        <f>'Données projet'!A209</f>
        <v>0</v>
      </c>
      <c r="B188" s="221">
        <f>'Données projet'!D209</f>
        <v>0</v>
      </c>
      <c r="C188" s="243"/>
      <c r="D188" s="219">
        <f t="shared" si="10"/>
        <v>0</v>
      </c>
      <c r="E188" s="243"/>
      <c r="F188" s="235"/>
      <c r="G188" s="236"/>
      <c r="H188" s="5"/>
      <c r="I188" s="5"/>
      <c r="J188" s="5"/>
      <c r="K188" s="5"/>
      <c r="L188" s="5"/>
      <c r="M188" s="5"/>
      <c r="N188" s="20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</row>
    <row r="189" spans="1:68" x14ac:dyDescent="0.25">
      <c r="A189" s="220">
        <f>'Données projet'!A210</f>
        <v>0</v>
      </c>
      <c r="B189" s="221">
        <f>'Données projet'!D210</f>
        <v>0</v>
      </c>
      <c r="C189" s="243"/>
      <c r="D189" s="219">
        <f t="shared" si="10"/>
        <v>0</v>
      </c>
      <c r="E189" s="243"/>
      <c r="F189" s="235"/>
      <c r="G189" s="236"/>
      <c r="H189" s="5"/>
      <c r="I189" s="5"/>
      <c r="J189" s="5"/>
      <c r="K189" s="5"/>
      <c r="L189" s="5"/>
      <c r="M189" s="5"/>
      <c r="N189" s="20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</row>
    <row r="190" spans="1:68" x14ac:dyDescent="0.25">
      <c r="A190" s="220">
        <f>'Données projet'!A211</f>
        <v>0</v>
      </c>
      <c r="B190" s="221">
        <f>'Données projet'!D211</f>
        <v>0</v>
      </c>
      <c r="C190" s="243"/>
      <c r="D190" s="219">
        <f t="shared" si="10"/>
        <v>0</v>
      </c>
      <c r="E190" s="243"/>
      <c r="F190" s="235"/>
      <c r="G190" s="236"/>
      <c r="H190" s="5"/>
      <c r="I190" s="5"/>
      <c r="J190" s="5"/>
      <c r="K190" s="5"/>
      <c r="L190" s="5"/>
      <c r="M190" s="5"/>
      <c r="N190" s="20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</row>
    <row r="191" spans="1:68" x14ac:dyDescent="0.25">
      <c r="A191" s="5"/>
      <c r="B191" s="5"/>
      <c r="C191" s="5"/>
      <c r="D191" s="5"/>
      <c r="E191" s="5"/>
      <c r="F191" s="203"/>
      <c r="G191" s="113"/>
      <c r="H191" s="5"/>
      <c r="I191" s="5"/>
      <c r="J191" s="5"/>
      <c r="K191" s="5"/>
      <c r="L191" s="5"/>
      <c r="M191" s="5"/>
      <c r="N191" s="20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</row>
    <row r="192" spans="1:68" x14ac:dyDescent="0.25">
      <c r="A192" s="5"/>
      <c r="B192" s="5"/>
      <c r="C192" s="5"/>
      <c r="D192" s="5"/>
      <c r="E192" s="5"/>
      <c r="F192" s="203"/>
      <c r="G192" s="113"/>
      <c r="H192" s="5"/>
      <c r="I192" s="5"/>
      <c r="J192" s="5"/>
      <c r="K192" s="5"/>
      <c r="L192" s="5"/>
      <c r="M192" s="5"/>
      <c r="N192" s="20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</row>
    <row r="193" spans="1:68" x14ac:dyDescent="0.25">
      <c r="A193" s="49" t="s">
        <v>172</v>
      </c>
      <c r="B193" s="213" t="str">
        <f>IF('Données projet'!$B$16="","",'Données projet'!$B$16)</f>
        <v/>
      </c>
      <c r="C193" s="5"/>
      <c r="D193" s="5"/>
      <c r="E193" s="5"/>
      <c r="F193" s="203"/>
      <c r="G193" s="113"/>
      <c r="H193" s="5"/>
      <c r="I193" s="5"/>
      <c r="J193" s="5"/>
      <c r="K193" s="5"/>
      <c r="L193" s="5"/>
      <c r="M193" s="5"/>
      <c r="N193" s="20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</row>
    <row r="194" spans="1:68" x14ac:dyDescent="0.25">
      <c r="A194" s="49"/>
      <c r="B194" s="5"/>
      <c r="C194" s="5"/>
      <c r="D194" s="5"/>
      <c r="E194" s="5"/>
      <c r="F194" s="203"/>
      <c r="G194" s="113"/>
      <c r="H194" s="5"/>
      <c r="I194" s="5"/>
      <c r="J194" s="5"/>
      <c r="K194" s="5"/>
      <c r="L194" s="5"/>
      <c r="M194" s="5"/>
      <c r="N194" s="20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</row>
    <row r="195" spans="1:68" x14ac:dyDescent="0.25">
      <c r="A195" s="212" t="s">
        <v>180</v>
      </c>
      <c r="B195" s="51" t="s">
        <v>256</v>
      </c>
      <c r="C195" s="51" t="s">
        <v>255</v>
      </c>
      <c r="D195" s="212" t="s">
        <v>252</v>
      </c>
      <c r="E195" s="212" t="s">
        <v>288</v>
      </c>
      <c r="F195" s="234"/>
      <c r="G195" s="216"/>
      <c r="H195" s="5"/>
      <c r="I195" s="5"/>
      <c r="J195" s="5"/>
      <c r="K195" s="5"/>
      <c r="L195" s="5"/>
      <c r="M195" s="5"/>
      <c r="N195" s="20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</row>
    <row r="196" spans="1:68" x14ac:dyDescent="0.25">
      <c r="A196" s="220">
        <f>'Données projet'!A218</f>
        <v>0</v>
      </c>
      <c r="B196" s="221">
        <f>'Données projet'!D218</f>
        <v>0</v>
      </c>
      <c r="C196" s="243"/>
      <c r="D196" s="219">
        <f>B196*C196</f>
        <v>0</v>
      </c>
      <c r="E196" s="243"/>
      <c r="F196" s="235"/>
      <c r="G196" s="236"/>
      <c r="H196" s="5"/>
      <c r="I196" s="5"/>
      <c r="J196" s="5"/>
      <c r="K196" s="5"/>
      <c r="L196" s="5"/>
      <c r="M196" s="5"/>
      <c r="N196" s="20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</row>
    <row r="197" spans="1:68" x14ac:dyDescent="0.25">
      <c r="A197" s="220">
        <f>'Données projet'!A219</f>
        <v>0</v>
      </c>
      <c r="B197" s="221">
        <f>'Données projet'!D219</f>
        <v>0</v>
      </c>
      <c r="C197" s="243"/>
      <c r="D197" s="219">
        <f t="shared" ref="D197:D215" si="11">B197*C197</f>
        <v>0</v>
      </c>
      <c r="E197" s="243"/>
      <c r="F197" s="235"/>
      <c r="G197" s="236"/>
      <c r="H197" s="5"/>
      <c r="I197" s="5"/>
      <c r="J197" s="5"/>
      <c r="K197" s="5"/>
      <c r="L197" s="5"/>
      <c r="M197" s="5"/>
      <c r="N197" s="20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</row>
    <row r="198" spans="1:68" x14ac:dyDescent="0.25">
      <c r="A198" s="220">
        <f>'Données projet'!A220</f>
        <v>0</v>
      </c>
      <c r="B198" s="221">
        <f>'Données projet'!D220</f>
        <v>0</v>
      </c>
      <c r="C198" s="243"/>
      <c r="D198" s="219">
        <f t="shared" si="11"/>
        <v>0</v>
      </c>
      <c r="E198" s="243"/>
      <c r="F198" s="235"/>
      <c r="G198" s="236"/>
      <c r="H198" s="5"/>
      <c r="I198" s="5"/>
      <c r="J198" s="5"/>
      <c r="K198" s="5"/>
      <c r="L198" s="5"/>
      <c r="M198" s="5"/>
      <c r="N198" s="20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</row>
    <row r="199" spans="1:68" x14ac:dyDescent="0.25">
      <c r="A199" s="220">
        <f>'Données projet'!A221</f>
        <v>0</v>
      </c>
      <c r="B199" s="221">
        <f>'Données projet'!D221</f>
        <v>0</v>
      </c>
      <c r="C199" s="243"/>
      <c r="D199" s="219">
        <f t="shared" si="11"/>
        <v>0</v>
      </c>
      <c r="E199" s="243"/>
      <c r="F199" s="235"/>
      <c r="G199" s="236"/>
      <c r="H199" s="5"/>
      <c r="I199" s="5"/>
      <c r="J199" s="5"/>
      <c r="K199" s="5"/>
      <c r="L199" s="5"/>
      <c r="M199" s="5"/>
      <c r="N199" s="20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</row>
    <row r="200" spans="1:68" x14ac:dyDescent="0.25">
      <c r="A200" s="220">
        <f>'Données projet'!A222</f>
        <v>0</v>
      </c>
      <c r="B200" s="221">
        <f>'Données projet'!D222</f>
        <v>0</v>
      </c>
      <c r="C200" s="243"/>
      <c r="D200" s="219">
        <f t="shared" si="11"/>
        <v>0</v>
      </c>
      <c r="E200" s="243"/>
      <c r="F200" s="235"/>
      <c r="G200" s="236"/>
      <c r="H200" s="5"/>
      <c r="I200" s="5"/>
      <c r="J200" s="5"/>
      <c r="K200" s="5"/>
      <c r="L200" s="5"/>
      <c r="M200" s="5"/>
      <c r="N200" s="20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</row>
    <row r="201" spans="1:68" x14ac:dyDescent="0.25">
      <c r="A201" s="220">
        <f>'Données projet'!A223</f>
        <v>0</v>
      </c>
      <c r="B201" s="221">
        <f>'Données projet'!D223</f>
        <v>0</v>
      </c>
      <c r="C201" s="243"/>
      <c r="D201" s="219">
        <f t="shared" si="11"/>
        <v>0</v>
      </c>
      <c r="E201" s="243"/>
      <c r="F201" s="235"/>
      <c r="G201" s="236"/>
      <c r="H201" s="5"/>
      <c r="I201" s="5"/>
      <c r="J201" s="5"/>
      <c r="K201" s="5"/>
      <c r="L201" s="5"/>
      <c r="M201" s="5"/>
      <c r="N201" s="20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</row>
    <row r="202" spans="1:68" x14ac:dyDescent="0.25">
      <c r="A202" s="220">
        <f>'Données projet'!A224</f>
        <v>0</v>
      </c>
      <c r="B202" s="221">
        <f>'Données projet'!D224</f>
        <v>0</v>
      </c>
      <c r="C202" s="243"/>
      <c r="D202" s="219">
        <f t="shared" si="11"/>
        <v>0</v>
      </c>
      <c r="E202" s="243"/>
      <c r="F202" s="235"/>
      <c r="G202" s="236"/>
      <c r="H202" s="5"/>
      <c r="I202" s="5"/>
      <c r="J202" s="5"/>
      <c r="K202" s="5"/>
      <c r="L202" s="5"/>
      <c r="M202" s="5"/>
      <c r="N202" s="20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</row>
    <row r="203" spans="1:68" x14ac:dyDescent="0.25">
      <c r="A203" s="220">
        <f>'Données projet'!A225</f>
        <v>0</v>
      </c>
      <c r="B203" s="221">
        <f>'Données projet'!D225</f>
        <v>0</v>
      </c>
      <c r="C203" s="243"/>
      <c r="D203" s="219">
        <f t="shared" si="11"/>
        <v>0</v>
      </c>
      <c r="E203" s="243"/>
      <c r="F203" s="235"/>
      <c r="G203" s="236"/>
      <c r="H203" s="5"/>
      <c r="I203" s="5"/>
      <c r="J203" s="5"/>
      <c r="K203" s="5"/>
      <c r="L203" s="5"/>
      <c r="M203" s="5"/>
      <c r="N203" s="20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</row>
    <row r="204" spans="1:68" x14ac:dyDescent="0.25">
      <c r="A204" s="220">
        <f>'Données projet'!A226</f>
        <v>0</v>
      </c>
      <c r="B204" s="221">
        <f>'Données projet'!D226</f>
        <v>0</v>
      </c>
      <c r="C204" s="243"/>
      <c r="D204" s="219">
        <f t="shared" si="11"/>
        <v>0</v>
      </c>
      <c r="E204" s="243"/>
      <c r="F204" s="235"/>
      <c r="G204" s="236"/>
      <c r="H204" s="5"/>
      <c r="I204" s="5"/>
      <c r="J204" s="5"/>
      <c r="K204" s="5"/>
      <c r="L204" s="5"/>
      <c r="M204" s="5"/>
      <c r="N204" s="20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</row>
    <row r="205" spans="1:68" x14ac:dyDescent="0.25">
      <c r="A205" s="220">
        <f>'Données projet'!A227</f>
        <v>0</v>
      </c>
      <c r="B205" s="221">
        <f>'Données projet'!D227</f>
        <v>0</v>
      </c>
      <c r="C205" s="243"/>
      <c r="D205" s="219">
        <f t="shared" si="11"/>
        <v>0</v>
      </c>
      <c r="E205" s="243"/>
      <c r="F205" s="235"/>
      <c r="G205" s="236"/>
      <c r="H205" s="5"/>
      <c r="I205" s="5"/>
      <c r="J205" s="5"/>
      <c r="K205" s="5"/>
      <c r="L205" s="5"/>
      <c r="M205" s="5"/>
      <c r="N205" s="20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</row>
    <row r="206" spans="1:68" x14ac:dyDescent="0.25">
      <c r="A206" s="220">
        <f>'Données projet'!A228</f>
        <v>0</v>
      </c>
      <c r="B206" s="221">
        <f>'Données projet'!D228</f>
        <v>0</v>
      </c>
      <c r="C206" s="243"/>
      <c r="D206" s="219">
        <f t="shared" si="11"/>
        <v>0</v>
      </c>
      <c r="E206" s="243"/>
      <c r="F206" s="235"/>
      <c r="G206" s="236"/>
      <c r="H206" s="5"/>
      <c r="I206" s="5"/>
      <c r="J206" s="5"/>
      <c r="K206" s="5"/>
      <c r="L206" s="5"/>
      <c r="M206" s="5"/>
      <c r="N206" s="20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</row>
    <row r="207" spans="1:68" x14ac:dyDescent="0.25">
      <c r="A207" s="220">
        <f>'Données projet'!A229</f>
        <v>0</v>
      </c>
      <c r="B207" s="221">
        <f>'Données projet'!D229</f>
        <v>0</v>
      </c>
      <c r="C207" s="243"/>
      <c r="D207" s="219">
        <f t="shared" si="11"/>
        <v>0</v>
      </c>
      <c r="E207" s="243"/>
      <c r="F207" s="235"/>
      <c r="G207" s="236"/>
      <c r="H207" s="5"/>
      <c r="I207" s="5"/>
      <c r="J207" s="5"/>
      <c r="K207" s="5"/>
      <c r="L207" s="5"/>
      <c r="M207" s="5"/>
      <c r="N207" s="20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</row>
    <row r="208" spans="1:68" x14ac:dyDescent="0.25">
      <c r="A208" s="220">
        <f>'Données projet'!A230</f>
        <v>0</v>
      </c>
      <c r="B208" s="221">
        <f>'Données projet'!D230</f>
        <v>0</v>
      </c>
      <c r="C208" s="243"/>
      <c r="D208" s="219">
        <f t="shared" si="11"/>
        <v>0</v>
      </c>
      <c r="E208" s="243"/>
      <c r="F208" s="235"/>
      <c r="G208" s="236"/>
      <c r="H208" s="5"/>
      <c r="I208" s="5"/>
      <c r="J208" s="5"/>
      <c r="K208" s="5"/>
      <c r="L208" s="5"/>
      <c r="M208" s="5"/>
      <c r="N208" s="20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</row>
    <row r="209" spans="1:68" x14ac:dyDescent="0.25">
      <c r="A209" s="220">
        <f>'Données projet'!A231</f>
        <v>0</v>
      </c>
      <c r="B209" s="221">
        <f>'Données projet'!D231</f>
        <v>0</v>
      </c>
      <c r="C209" s="243"/>
      <c r="D209" s="219">
        <f t="shared" si="11"/>
        <v>0</v>
      </c>
      <c r="E209" s="243"/>
      <c r="F209" s="235"/>
      <c r="G209" s="236"/>
      <c r="H209" s="5"/>
      <c r="I209" s="5"/>
      <c r="J209" s="5"/>
      <c r="K209" s="5"/>
      <c r="L209" s="5"/>
      <c r="M209" s="5"/>
      <c r="N209" s="20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</row>
    <row r="210" spans="1:68" x14ac:dyDescent="0.25">
      <c r="A210" s="220">
        <f>'Données projet'!A232</f>
        <v>0</v>
      </c>
      <c r="B210" s="221">
        <f>'Données projet'!D232</f>
        <v>0</v>
      </c>
      <c r="C210" s="243"/>
      <c r="D210" s="219">
        <f t="shared" si="11"/>
        <v>0</v>
      </c>
      <c r="E210" s="243"/>
      <c r="F210" s="235"/>
      <c r="G210" s="236"/>
      <c r="H210" s="5"/>
      <c r="I210" s="5"/>
      <c r="J210" s="5"/>
      <c r="K210" s="5"/>
      <c r="L210" s="5"/>
      <c r="M210" s="5"/>
      <c r="N210" s="20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</row>
    <row r="211" spans="1:68" x14ac:dyDescent="0.25">
      <c r="A211" s="220">
        <f>'Données projet'!A233</f>
        <v>0</v>
      </c>
      <c r="B211" s="221">
        <f>'Données projet'!D233</f>
        <v>0</v>
      </c>
      <c r="C211" s="243"/>
      <c r="D211" s="219">
        <f t="shared" si="11"/>
        <v>0</v>
      </c>
      <c r="E211" s="243"/>
      <c r="F211" s="235"/>
      <c r="G211" s="236"/>
      <c r="H211" s="5"/>
      <c r="I211" s="5"/>
      <c r="J211" s="5"/>
      <c r="K211" s="5"/>
      <c r="L211" s="5"/>
      <c r="M211" s="5"/>
      <c r="N211" s="20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</row>
    <row r="212" spans="1:68" x14ac:dyDescent="0.25">
      <c r="A212" s="220">
        <f>'Données projet'!A234</f>
        <v>0</v>
      </c>
      <c r="B212" s="221">
        <f>'Données projet'!D234</f>
        <v>0</v>
      </c>
      <c r="C212" s="243"/>
      <c r="D212" s="219">
        <f t="shared" si="11"/>
        <v>0</v>
      </c>
      <c r="E212" s="243"/>
      <c r="F212" s="235"/>
      <c r="G212" s="236"/>
      <c r="H212" s="5"/>
      <c r="I212" s="5"/>
      <c r="J212" s="5"/>
      <c r="K212" s="5"/>
      <c r="L212" s="5"/>
      <c r="M212" s="5"/>
      <c r="N212" s="20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</row>
    <row r="213" spans="1:68" x14ac:dyDescent="0.25">
      <c r="A213" s="220">
        <f>'Données projet'!A235</f>
        <v>0</v>
      </c>
      <c r="B213" s="221">
        <f>'Données projet'!D235</f>
        <v>0</v>
      </c>
      <c r="C213" s="243"/>
      <c r="D213" s="219">
        <f t="shared" si="11"/>
        <v>0</v>
      </c>
      <c r="E213" s="243"/>
      <c r="F213" s="235"/>
      <c r="G213" s="236"/>
      <c r="H213" s="5"/>
      <c r="I213" s="5"/>
      <c r="J213" s="5"/>
      <c r="K213" s="5"/>
      <c r="L213" s="5"/>
      <c r="M213" s="5"/>
      <c r="N213" s="20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</row>
    <row r="214" spans="1:68" x14ac:dyDescent="0.25">
      <c r="A214" s="220">
        <f>'Données projet'!A236</f>
        <v>0</v>
      </c>
      <c r="B214" s="221">
        <f>'Données projet'!D236</f>
        <v>0</v>
      </c>
      <c r="C214" s="243"/>
      <c r="D214" s="219">
        <f t="shared" si="11"/>
        <v>0</v>
      </c>
      <c r="E214" s="243"/>
      <c r="F214" s="235"/>
      <c r="G214" s="236"/>
      <c r="H214" s="5"/>
      <c r="I214" s="5"/>
      <c r="J214" s="5"/>
      <c r="K214" s="5"/>
      <c r="L214" s="5"/>
      <c r="M214" s="5"/>
      <c r="N214" s="20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</row>
    <row r="215" spans="1:68" x14ac:dyDescent="0.25">
      <c r="A215" s="220">
        <f>'Données projet'!A237</f>
        <v>0</v>
      </c>
      <c r="B215" s="221">
        <f>'Données projet'!D237</f>
        <v>0</v>
      </c>
      <c r="C215" s="243"/>
      <c r="D215" s="219">
        <f t="shared" si="11"/>
        <v>0</v>
      </c>
      <c r="E215" s="243"/>
      <c r="F215" s="235"/>
      <c r="G215" s="236"/>
      <c r="H215" s="5"/>
      <c r="I215" s="5"/>
      <c r="J215" s="5"/>
      <c r="K215" s="5"/>
      <c r="L215" s="5"/>
      <c r="M215" s="5"/>
      <c r="N215" s="20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</row>
    <row r="216" spans="1:68" x14ac:dyDescent="0.25">
      <c r="A216" s="5"/>
      <c r="B216" s="5"/>
      <c r="C216" s="5"/>
      <c r="D216" s="5"/>
      <c r="E216" s="5"/>
      <c r="F216" s="203"/>
      <c r="G216" s="113"/>
      <c r="H216" s="5"/>
      <c r="I216" s="5"/>
      <c r="J216" s="5"/>
      <c r="K216" s="5"/>
      <c r="L216" s="5"/>
      <c r="M216" s="5"/>
      <c r="N216" s="20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</row>
    <row r="217" spans="1:68" x14ac:dyDescent="0.25">
      <c r="A217" s="5"/>
      <c r="B217" s="5"/>
      <c r="C217" s="5"/>
      <c r="D217" s="5"/>
      <c r="E217" s="5"/>
      <c r="F217" s="203"/>
      <c r="G217" s="113"/>
      <c r="H217" s="5"/>
      <c r="I217" s="5"/>
      <c r="J217" s="5"/>
      <c r="K217" s="5"/>
      <c r="L217" s="5"/>
      <c r="M217" s="5"/>
      <c r="N217" s="20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</row>
    <row r="218" spans="1:68" x14ac:dyDescent="0.25">
      <c r="A218" s="49" t="s">
        <v>173</v>
      </c>
      <c r="B218" s="213" t="str">
        <f>IF('Données projet'!$B$17="","",'Données projet'!$B$17)</f>
        <v/>
      </c>
      <c r="C218" s="5"/>
      <c r="D218" s="5"/>
      <c r="E218" s="5"/>
      <c r="F218" s="203"/>
      <c r="G218" s="113"/>
      <c r="H218" s="5"/>
      <c r="I218" s="5"/>
      <c r="J218" s="5"/>
      <c r="K218" s="5"/>
      <c r="L218" s="5"/>
      <c r="M218" s="5"/>
      <c r="N218" s="20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</row>
    <row r="219" spans="1:68" x14ac:dyDescent="0.25">
      <c r="A219" s="49"/>
      <c r="B219" s="5"/>
      <c r="C219" s="5"/>
      <c r="D219" s="5"/>
      <c r="E219" s="5"/>
      <c r="F219" s="203"/>
      <c r="G219" s="113"/>
      <c r="H219" s="5"/>
      <c r="I219" s="5"/>
      <c r="J219" s="5"/>
      <c r="K219" s="5"/>
      <c r="L219" s="5"/>
      <c r="M219" s="5"/>
      <c r="N219" s="20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</row>
    <row r="220" spans="1:68" x14ac:dyDescent="0.25">
      <c r="A220" s="212" t="s">
        <v>180</v>
      </c>
      <c r="B220" s="51" t="s">
        <v>256</v>
      </c>
      <c r="C220" s="51" t="s">
        <v>255</v>
      </c>
      <c r="D220" s="212" t="s">
        <v>252</v>
      </c>
      <c r="E220" s="212" t="s">
        <v>288</v>
      </c>
      <c r="F220" s="234"/>
      <c r="G220" s="216"/>
      <c r="H220" s="5"/>
      <c r="I220" s="5"/>
      <c r="J220" s="5"/>
      <c r="K220" s="5"/>
      <c r="L220" s="5"/>
      <c r="M220" s="5"/>
      <c r="N220" s="20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</row>
    <row r="221" spans="1:68" x14ac:dyDescent="0.25">
      <c r="A221" s="220">
        <f>'Données projet'!A244</f>
        <v>0</v>
      </c>
      <c r="B221" s="221">
        <f>'Données projet'!D244</f>
        <v>0</v>
      </c>
      <c r="C221" s="243"/>
      <c r="D221" s="219">
        <f>B221*C221</f>
        <v>0</v>
      </c>
      <c r="E221" s="243"/>
      <c r="F221" s="235"/>
      <c r="G221" s="236"/>
      <c r="H221" s="5"/>
      <c r="I221" s="5"/>
      <c r="J221" s="5"/>
      <c r="K221" s="5"/>
      <c r="L221" s="5"/>
      <c r="M221" s="5"/>
      <c r="N221" s="20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</row>
    <row r="222" spans="1:68" x14ac:dyDescent="0.25">
      <c r="A222" s="220">
        <f>'Données projet'!A245</f>
        <v>0</v>
      </c>
      <c r="B222" s="221">
        <f>'Données projet'!D245</f>
        <v>0</v>
      </c>
      <c r="C222" s="243"/>
      <c r="D222" s="219">
        <f t="shared" ref="D222:D240" si="12">B222*C222</f>
        <v>0</v>
      </c>
      <c r="E222" s="243"/>
      <c r="F222" s="235"/>
      <c r="G222" s="236"/>
      <c r="H222" s="5"/>
      <c r="I222" s="5"/>
      <c r="J222" s="5"/>
      <c r="K222" s="5"/>
      <c r="L222" s="5"/>
      <c r="M222" s="5"/>
      <c r="N222" s="20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</row>
    <row r="223" spans="1:68" x14ac:dyDescent="0.25">
      <c r="A223" s="220">
        <f>'Données projet'!A246</f>
        <v>0</v>
      </c>
      <c r="B223" s="221">
        <f>'Données projet'!D246</f>
        <v>0</v>
      </c>
      <c r="C223" s="243"/>
      <c r="D223" s="219">
        <f t="shared" si="12"/>
        <v>0</v>
      </c>
      <c r="E223" s="243"/>
      <c r="F223" s="235"/>
      <c r="G223" s="236"/>
      <c r="H223" s="5"/>
      <c r="I223" s="5"/>
      <c r="J223" s="5"/>
      <c r="K223" s="5"/>
      <c r="L223" s="5"/>
      <c r="M223" s="5"/>
      <c r="N223" s="20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</row>
    <row r="224" spans="1:68" x14ac:dyDescent="0.25">
      <c r="A224" s="220">
        <f>'Données projet'!A247</f>
        <v>0</v>
      </c>
      <c r="B224" s="221">
        <f>'Données projet'!D247</f>
        <v>0</v>
      </c>
      <c r="C224" s="243"/>
      <c r="D224" s="219">
        <f t="shared" si="12"/>
        <v>0</v>
      </c>
      <c r="E224" s="243"/>
      <c r="F224" s="235"/>
      <c r="G224" s="236"/>
      <c r="H224" s="5"/>
      <c r="I224" s="5"/>
      <c r="J224" s="5"/>
      <c r="K224" s="5"/>
      <c r="L224" s="5"/>
      <c r="M224" s="5"/>
      <c r="N224" s="20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</row>
    <row r="225" spans="1:68" x14ac:dyDescent="0.25">
      <c r="A225" s="220">
        <f>'Données projet'!A248</f>
        <v>0</v>
      </c>
      <c r="B225" s="221">
        <f>'Données projet'!D248</f>
        <v>0</v>
      </c>
      <c r="C225" s="243"/>
      <c r="D225" s="219">
        <f t="shared" si="12"/>
        <v>0</v>
      </c>
      <c r="E225" s="243"/>
      <c r="F225" s="235"/>
      <c r="G225" s="236"/>
      <c r="H225" s="5"/>
      <c r="I225" s="5"/>
      <c r="J225" s="5"/>
      <c r="K225" s="5"/>
      <c r="L225" s="5"/>
      <c r="M225" s="5"/>
      <c r="N225" s="20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</row>
    <row r="226" spans="1:68" x14ac:dyDescent="0.25">
      <c r="A226" s="220">
        <f>'Données projet'!A249</f>
        <v>0</v>
      </c>
      <c r="B226" s="221">
        <f>'Données projet'!D249</f>
        <v>0</v>
      </c>
      <c r="C226" s="243"/>
      <c r="D226" s="219">
        <f t="shared" si="12"/>
        <v>0</v>
      </c>
      <c r="E226" s="243"/>
      <c r="F226" s="235"/>
      <c r="G226" s="236"/>
      <c r="H226" s="5"/>
      <c r="I226" s="5"/>
      <c r="J226" s="5"/>
      <c r="K226" s="5"/>
      <c r="L226" s="5"/>
      <c r="M226" s="5"/>
      <c r="N226" s="20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</row>
    <row r="227" spans="1:68" x14ac:dyDescent="0.25">
      <c r="A227" s="220">
        <f>'Données projet'!A250</f>
        <v>0</v>
      </c>
      <c r="B227" s="221">
        <f>'Données projet'!D250</f>
        <v>0</v>
      </c>
      <c r="C227" s="243"/>
      <c r="D227" s="219">
        <f t="shared" si="12"/>
        <v>0</v>
      </c>
      <c r="E227" s="243"/>
      <c r="F227" s="235"/>
      <c r="G227" s="236"/>
      <c r="H227" s="5"/>
      <c r="I227" s="5"/>
      <c r="J227" s="5"/>
      <c r="K227" s="5"/>
      <c r="L227" s="5"/>
      <c r="M227" s="5"/>
      <c r="N227" s="20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</row>
    <row r="228" spans="1:68" x14ac:dyDescent="0.25">
      <c r="A228" s="220">
        <f>'Données projet'!A251</f>
        <v>0</v>
      </c>
      <c r="B228" s="221">
        <f>'Données projet'!D251</f>
        <v>0</v>
      </c>
      <c r="C228" s="243"/>
      <c r="D228" s="219">
        <f t="shared" si="12"/>
        <v>0</v>
      </c>
      <c r="E228" s="243"/>
      <c r="F228" s="235"/>
      <c r="G228" s="236"/>
      <c r="H228" s="5"/>
      <c r="I228" s="5"/>
      <c r="J228" s="5"/>
      <c r="K228" s="5"/>
      <c r="L228" s="5"/>
      <c r="M228" s="5"/>
      <c r="N228" s="20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</row>
    <row r="229" spans="1:68" x14ac:dyDescent="0.25">
      <c r="A229" s="220">
        <f>'Données projet'!A252</f>
        <v>0</v>
      </c>
      <c r="B229" s="221">
        <f>'Données projet'!D252</f>
        <v>0</v>
      </c>
      <c r="C229" s="243"/>
      <c r="D229" s="219">
        <f t="shared" si="12"/>
        <v>0</v>
      </c>
      <c r="E229" s="243"/>
      <c r="F229" s="235"/>
      <c r="G229" s="236"/>
      <c r="H229" s="5"/>
      <c r="I229" s="5"/>
      <c r="J229" s="5"/>
      <c r="K229" s="5"/>
      <c r="L229" s="5"/>
      <c r="M229" s="5"/>
      <c r="N229" s="20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</row>
    <row r="230" spans="1:68" x14ac:dyDescent="0.25">
      <c r="A230" s="220">
        <f>'Données projet'!A253</f>
        <v>0</v>
      </c>
      <c r="B230" s="221">
        <f>'Données projet'!D253</f>
        <v>0</v>
      </c>
      <c r="C230" s="243"/>
      <c r="D230" s="219">
        <f t="shared" si="12"/>
        <v>0</v>
      </c>
      <c r="E230" s="243"/>
      <c r="F230" s="235"/>
      <c r="G230" s="236"/>
      <c r="H230" s="5"/>
      <c r="I230" s="5"/>
      <c r="J230" s="5"/>
      <c r="K230" s="5"/>
      <c r="L230" s="5"/>
      <c r="M230" s="5"/>
      <c r="N230" s="20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</row>
    <row r="231" spans="1:68" x14ac:dyDescent="0.25">
      <c r="A231" s="220">
        <f>'Données projet'!A254</f>
        <v>0</v>
      </c>
      <c r="B231" s="221">
        <f>'Données projet'!D254</f>
        <v>0</v>
      </c>
      <c r="C231" s="243"/>
      <c r="D231" s="219">
        <f t="shared" si="12"/>
        <v>0</v>
      </c>
      <c r="E231" s="243"/>
      <c r="F231" s="235"/>
      <c r="G231" s="236"/>
      <c r="H231" s="5"/>
      <c r="I231" s="5"/>
      <c r="J231" s="5"/>
      <c r="K231" s="5"/>
      <c r="L231" s="5"/>
      <c r="M231" s="5"/>
      <c r="N231" s="20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</row>
    <row r="232" spans="1:68" x14ac:dyDescent="0.25">
      <c r="A232" s="220">
        <f>'Données projet'!A255</f>
        <v>0</v>
      </c>
      <c r="B232" s="221">
        <f>'Données projet'!D255</f>
        <v>0</v>
      </c>
      <c r="C232" s="243"/>
      <c r="D232" s="219">
        <f t="shared" si="12"/>
        <v>0</v>
      </c>
      <c r="E232" s="243"/>
      <c r="F232" s="235"/>
      <c r="G232" s="236"/>
      <c r="H232" s="5"/>
      <c r="I232" s="5"/>
      <c r="J232" s="5"/>
      <c r="K232" s="5"/>
      <c r="L232" s="5"/>
      <c r="M232" s="5"/>
      <c r="N232" s="20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</row>
    <row r="233" spans="1:68" x14ac:dyDescent="0.25">
      <c r="A233" s="220">
        <f>'Données projet'!A256</f>
        <v>0</v>
      </c>
      <c r="B233" s="221">
        <f>'Données projet'!D256</f>
        <v>0</v>
      </c>
      <c r="C233" s="243"/>
      <c r="D233" s="219">
        <f t="shared" si="12"/>
        <v>0</v>
      </c>
      <c r="E233" s="243"/>
      <c r="F233" s="235"/>
      <c r="G233" s="236"/>
      <c r="H233" s="5"/>
      <c r="I233" s="5"/>
      <c r="J233" s="5"/>
      <c r="K233" s="5"/>
      <c r="L233" s="5"/>
      <c r="M233" s="5"/>
      <c r="N233" s="20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</row>
    <row r="234" spans="1:68" x14ac:dyDescent="0.25">
      <c r="A234" s="220">
        <f>'Données projet'!A257</f>
        <v>0</v>
      </c>
      <c r="B234" s="221">
        <f>'Données projet'!D257</f>
        <v>0</v>
      </c>
      <c r="C234" s="243"/>
      <c r="D234" s="219">
        <f t="shared" si="12"/>
        <v>0</v>
      </c>
      <c r="E234" s="243"/>
      <c r="F234" s="235"/>
      <c r="G234" s="236"/>
      <c r="H234" s="5"/>
      <c r="I234" s="5"/>
      <c r="J234" s="5"/>
      <c r="K234" s="5"/>
      <c r="L234" s="5"/>
      <c r="M234" s="5"/>
      <c r="N234" s="20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</row>
    <row r="235" spans="1:68" x14ac:dyDescent="0.25">
      <c r="A235" s="220">
        <f>'Données projet'!A258</f>
        <v>0</v>
      </c>
      <c r="B235" s="221">
        <f>'Données projet'!D258</f>
        <v>0</v>
      </c>
      <c r="C235" s="243"/>
      <c r="D235" s="219">
        <f t="shared" si="12"/>
        <v>0</v>
      </c>
      <c r="E235" s="243"/>
      <c r="F235" s="235"/>
      <c r="G235" s="236"/>
      <c r="H235" s="5"/>
      <c r="I235" s="5"/>
      <c r="J235" s="5"/>
      <c r="K235" s="5"/>
      <c r="L235" s="5"/>
      <c r="M235" s="5"/>
      <c r="N235" s="20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</row>
    <row r="236" spans="1:68" x14ac:dyDescent="0.25">
      <c r="A236" s="220">
        <f>'Données projet'!A259</f>
        <v>0</v>
      </c>
      <c r="B236" s="221">
        <f>'Données projet'!D259</f>
        <v>0</v>
      </c>
      <c r="C236" s="243"/>
      <c r="D236" s="219">
        <f t="shared" si="12"/>
        <v>0</v>
      </c>
      <c r="E236" s="243"/>
      <c r="F236" s="235"/>
      <c r="G236" s="236"/>
      <c r="H236" s="5"/>
      <c r="I236" s="5"/>
      <c r="J236" s="5"/>
      <c r="K236" s="5"/>
      <c r="L236" s="5"/>
      <c r="M236" s="5"/>
      <c r="N236" s="20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</row>
    <row r="237" spans="1:68" x14ac:dyDescent="0.25">
      <c r="A237" s="220">
        <f>'Données projet'!A260</f>
        <v>0</v>
      </c>
      <c r="B237" s="221">
        <f>'Données projet'!D260</f>
        <v>0</v>
      </c>
      <c r="C237" s="243"/>
      <c r="D237" s="219">
        <f t="shared" si="12"/>
        <v>0</v>
      </c>
      <c r="E237" s="243"/>
      <c r="F237" s="235"/>
      <c r="G237" s="236"/>
      <c r="H237" s="5"/>
      <c r="I237" s="5"/>
      <c r="J237" s="5"/>
      <c r="K237" s="5"/>
      <c r="L237" s="5"/>
      <c r="M237" s="5"/>
      <c r="N237" s="20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</row>
    <row r="238" spans="1:68" x14ac:dyDescent="0.25">
      <c r="A238" s="220">
        <f>'Données projet'!A261</f>
        <v>0</v>
      </c>
      <c r="B238" s="221">
        <f>'Données projet'!D261</f>
        <v>0</v>
      </c>
      <c r="C238" s="243"/>
      <c r="D238" s="219">
        <f t="shared" si="12"/>
        <v>0</v>
      </c>
      <c r="E238" s="243"/>
      <c r="F238" s="235"/>
      <c r="G238" s="236"/>
      <c r="H238" s="5"/>
      <c r="I238" s="5"/>
      <c r="J238" s="5"/>
      <c r="K238" s="5"/>
      <c r="L238" s="5"/>
      <c r="M238" s="5"/>
      <c r="N238" s="20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</row>
    <row r="239" spans="1:68" x14ac:dyDescent="0.25">
      <c r="A239" s="220">
        <f>'Données projet'!A262</f>
        <v>0</v>
      </c>
      <c r="B239" s="221">
        <f>'Données projet'!D262</f>
        <v>0</v>
      </c>
      <c r="C239" s="243"/>
      <c r="D239" s="219">
        <f t="shared" si="12"/>
        <v>0</v>
      </c>
      <c r="E239" s="243"/>
      <c r="F239" s="235"/>
      <c r="G239" s="236"/>
      <c r="H239" s="5"/>
      <c r="I239" s="5"/>
      <c r="J239" s="5"/>
      <c r="K239" s="5"/>
      <c r="L239" s="5"/>
      <c r="M239" s="5"/>
      <c r="N239" s="20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</row>
    <row r="240" spans="1:68" x14ac:dyDescent="0.25">
      <c r="A240" s="220">
        <f>'Données projet'!A263</f>
        <v>0</v>
      </c>
      <c r="B240" s="221">
        <f>'Données projet'!D263</f>
        <v>0</v>
      </c>
      <c r="C240" s="243"/>
      <c r="D240" s="219">
        <f t="shared" si="12"/>
        <v>0</v>
      </c>
      <c r="E240" s="243"/>
      <c r="F240" s="235"/>
      <c r="G240" s="236"/>
      <c r="H240" s="5"/>
      <c r="I240" s="5"/>
      <c r="J240" s="5"/>
      <c r="K240" s="5"/>
      <c r="L240" s="5"/>
      <c r="M240" s="5"/>
      <c r="N240" s="20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</row>
    <row r="241" spans="1:68" x14ac:dyDescent="0.25">
      <c r="A241" s="5"/>
      <c r="B241" s="5"/>
      <c r="C241" s="5"/>
      <c r="D241" s="5"/>
      <c r="E241" s="5"/>
      <c r="F241" s="203"/>
      <c r="G241" s="113"/>
      <c r="H241" s="5"/>
      <c r="I241" s="5"/>
      <c r="J241" s="5"/>
      <c r="K241" s="5"/>
      <c r="L241" s="5"/>
      <c r="M241" s="5"/>
      <c r="N241" s="20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</row>
    <row r="242" spans="1:68" x14ac:dyDescent="0.25">
      <c r="A242" s="5"/>
      <c r="B242" s="5"/>
      <c r="C242" s="5"/>
      <c r="D242" s="5"/>
      <c r="E242" s="5"/>
      <c r="F242" s="203"/>
      <c r="G242" s="113"/>
      <c r="H242" s="5"/>
      <c r="I242" s="5"/>
      <c r="J242" s="5"/>
      <c r="K242" s="5"/>
      <c r="L242" s="5"/>
      <c r="M242" s="5"/>
      <c r="N242" s="20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</row>
    <row r="243" spans="1:68" x14ac:dyDescent="0.25">
      <c r="A243" s="49" t="s">
        <v>174</v>
      </c>
      <c r="B243" s="213" t="str">
        <f>IF('Données projet'!$B$18="","",'Données projet'!$B$18)</f>
        <v/>
      </c>
      <c r="C243" s="5"/>
      <c r="D243" s="5"/>
      <c r="E243" s="5"/>
      <c r="F243" s="203"/>
      <c r="G243" s="113"/>
      <c r="H243" s="5"/>
      <c r="I243" s="5"/>
      <c r="J243" s="5"/>
      <c r="K243" s="5"/>
      <c r="L243" s="5"/>
      <c r="M243" s="5"/>
      <c r="N243" s="20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</row>
    <row r="244" spans="1:68" x14ac:dyDescent="0.25">
      <c r="A244" s="49"/>
      <c r="B244" s="5"/>
      <c r="C244" s="5"/>
      <c r="D244" s="5"/>
      <c r="E244" s="5"/>
      <c r="F244" s="203"/>
      <c r="G244" s="113"/>
      <c r="H244" s="5"/>
      <c r="I244" s="5"/>
      <c r="J244" s="5"/>
      <c r="K244" s="5"/>
      <c r="L244" s="5"/>
      <c r="M244" s="5"/>
      <c r="N244" s="20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</row>
    <row r="245" spans="1:68" x14ac:dyDescent="0.25">
      <c r="A245" s="212" t="s">
        <v>180</v>
      </c>
      <c r="B245" s="51" t="s">
        <v>256</v>
      </c>
      <c r="C245" s="51" t="s">
        <v>255</v>
      </c>
      <c r="D245" s="212" t="s">
        <v>252</v>
      </c>
      <c r="E245" s="212" t="s">
        <v>288</v>
      </c>
      <c r="F245" s="234"/>
      <c r="G245" s="216"/>
      <c r="H245" s="5"/>
      <c r="I245" s="5"/>
      <c r="J245" s="5"/>
      <c r="K245" s="5"/>
      <c r="L245" s="5"/>
      <c r="M245" s="5"/>
      <c r="N245" s="20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</row>
    <row r="246" spans="1:68" x14ac:dyDescent="0.25">
      <c r="A246" s="220">
        <f>'Données projet'!A270</f>
        <v>0</v>
      </c>
      <c r="B246" s="221">
        <f>'Données projet'!D270</f>
        <v>0</v>
      </c>
      <c r="C246" s="241"/>
      <c r="D246" s="222">
        <f>B246*C246</f>
        <v>0</v>
      </c>
      <c r="E246" s="243"/>
      <c r="F246" s="224"/>
      <c r="G246" s="223"/>
      <c r="H246" s="5"/>
      <c r="I246" s="5"/>
      <c r="J246" s="5"/>
      <c r="K246" s="5"/>
      <c r="L246" s="5"/>
      <c r="M246" s="5"/>
      <c r="N246" s="20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</row>
    <row r="247" spans="1:68" x14ac:dyDescent="0.25">
      <c r="A247" s="220">
        <f>'Données projet'!A271</f>
        <v>0</v>
      </c>
      <c r="B247" s="221">
        <f>'Données projet'!D271</f>
        <v>0</v>
      </c>
      <c r="C247" s="241"/>
      <c r="D247" s="222">
        <f t="shared" ref="D247:D265" si="13">B247*C247</f>
        <v>0</v>
      </c>
      <c r="E247" s="243"/>
      <c r="F247" s="224"/>
      <c r="G247" s="223"/>
      <c r="H247" s="5"/>
      <c r="I247" s="5"/>
      <c r="J247" s="5"/>
      <c r="K247" s="5"/>
      <c r="L247" s="5"/>
      <c r="M247" s="5"/>
      <c r="N247" s="20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</row>
    <row r="248" spans="1:68" x14ac:dyDescent="0.25">
      <c r="A248" s="220">
        <f>'Données projet'!A272</f>
        <v>0</v>
      </c>
      <c r="B248" s="221">
        <f>'Données projet'!D272</f>
        <v>0</v>
      </c>
      <c r="C248" s="241"/>
      <c r="D248" s="222">
        <f t="shared" si="13"/>
        <v>0</v>
      </c>
      <c r="E248" s="243"/>
      <c r="F248" s="224"/>
      <c r="G248" s="223"/>
      <c r="H248" s="5"/>
      <c r="I248" s="5"/>
      <c r="J248" s="5"/>
      <c r="K248" s="5"/>
      <c r="L248" s="5"/>
      <c r="M248" s="5"/>
      <c r="N248" s="20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</row>
    <row r="249" spans="1:68" x14ac:dyDescent="0.25">
      <c r="A249" s="220">
        <f>'Données projet'!A273</f>
        <v>0</v>
      </c>
      <c r="B249" s="221">
        <f>'Données projet'!D273</f>
        <v>0</v>
      </c>
      <c r="C249" s="241"/>
      <c r="D249" s="222">
        <f t="shared" si="13"/>
        <v>0</v>
      </c>
      <c r="E249" s="243"/>
      <c r="F249" s="224"/>
      <c r="G249" s="223"/>
      <c r="H249" s="5"/>
      <c r="I249" s="5"/>
      <c r="J249" s="5"/>
      <c r="K249" s="5"/>
      <c r="L249" s="5"/>
      <c r="M249" s="5"/>
      <c r="N249" s="20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</row>
    <row r="250" spans="1:68" x14ac:dyDescent="0.25">
      <c r="A250" s="220">
        <f>'Données projet'!A274</f>
        <v>0</v>
      </c>
      <c r="B250" s="221">
        <f>'Données projet'!D274</f>
        <v>0</v>
      </c>
      <c r="C250" s="241"/>
      <c r="D250" s="222">
        <f t="shared" si="13"/>
        <v>0</v>
      </c>
      <c r="E250" s="243"/>
      <c r="F250" s="224"/>
      <c r="G250" s="223"/>
      <c r="H250" s="5"/>
      <c r="I250" s="5"/>
      <c r="J250" s="5"/>
      <c r="K250" s="5"/>
      <c r="L250" s="5"/>
      <c r="M250" s="5"/>
      <c r="N250" s="20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</row>
    <row r="251" spans="1:68" x14ac:dyDescent="0.25">
      <c r="A251" s="220">
        <f>'Données projet'!A275</f>
        <v>0</v>
      </c>
      <c r="B251" s="221">
        <f>'Données projet'!D275</f>
        <v>0</v>
      </c>
      <c r="C251" s="241"/>
      <c r="D251" s="222">
        <f t="shared" si="13"/>
        <v>0</v>
      </c>
      <c r="E251" s="243"/>
      <c r="F251" s="224"/>
      <c r="G251" s="223"/>
      <c r="H251" s="5"/>
      <c r="I251" s="5"/>
      <c r="J251" s="5"/>
      <c r="K251" s="5"/>
      <c r="L251" s="5"/>
      <c r="M251" s="5"/>
      <c r="N251" s="20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</row>
    <row r="252" spans="1:68" x14ac:dyDescent="0.25">
      <c r="A252" s="220">
        <f>'Données projet'!A276</f>
        <v>0</v>
      </c>
      <c r="B252" s="221">
        <f>'Données projet'!D276</f>
        <v>0</v>
      </c>
      <c r="C252" s="241"/>
      <c r="D252" s="222">
        <f t="shared" si="13"/>
        <v>0</v>
      </c>
      <c r="E252" s="243"/>
      <c r="F252" s="224"/>
      <c r="G252" s="223"/>
      <c r="H252" s="5"/>
      <c r="I252" s="5"/>
      <c r="J252" s="5"/>
      <c r="K252" s="5"/>
      <c r="L252" s="5"/>
      <c r="M252" s="5"/>
      <c r="N252" s="20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</row>
    <row r="253" spans="1:68" x14ac:dyDescent="0.25">
      <c r="A253" s="220">
        <f>'Données projet'!A277</f>
        <v>0</v>
      </c>
      <c r="B253" s="221">
        <f>'Données projet'!D277</f>
        <v>0</v>
      </c>
      <c r="C253" s="241"/>
      <c r="D253" s="222">
        <f t="shared" si="13"/>
        <v>0</v>
      </c>
      <c r="E253" s="243"/>
      <c r="F253" s="224"/>
      <c r="G253" s="223"/>
      <c r="H253" s="5"/>
      <c r="I253" s="5"/>
      <c r="J253" s="5"/>
      <c r="K253" s="5"/>
      <c r="L253" s="5"/>
      <c r="M253" s="5"/>
      <c r="N253" s="20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</row>
    <row r="254" spans="1:68" x14ac:dyDescent="0.25">
      <c r="A254" s="220">
        <f>'Données projet'!A278</f>
        <v>0</v>
      </c>
      <c r="B254" s="221">
        <f>'Données projet'!D278</f>
        <v>0</v>
      </c>
      <c r="C254" s="241"/>
      <c r="D254" s="222">
        <f t="shared" si="13"/>
        <v>0</v>
      </c>
      <c r="E254" s="243"/>
      <c r="F254" s="224"/>
      <c r="G254" s="223"/>
      <c r="H254" s="5"/>
      <c r="I254" s="5"/>
      <c r="J254" s="5"/>
      <c r="K254" s="5"/>
      <c r="L254" s="5"/>
      <c r="M254" s="5"/>
      <c r="N254" s="20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</row>
    <row r="255" spans="1:68" x14ac:dyDescent="0.25">
      <c r="A255" s="220">
        <f>'Données projet'!A279</f>
        <v>0</v>
      </c>
      <c r="B255" s="221">
        <f>'Données projet'!D279</f>
        <v>0</v>
      </c>
      <c r="C255" s="241"/>
      <c r="D255" s="222">
        <f t="shared" si="13"/>
        <v>0</v>
      </c>
      <c r="E255" s="243"/>
      <c r="F255" s="224"/>
      <c r="G255" s="223"/>
      <c r="H255" s="5"/>
      <c r="I255" s="5"/>
      <c r="J255" s="5"/>
      <c r="K255" s="5"/>
      <c r="L255" s="5"/>
      <c r="M255" s="5"/>
      <c r="N255" s="20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</row>
    <row r="256" spans="1:68" x14ac:dyDescent="0.25">
      <c r="A256" s="220">
        <f>'Données projet'!A280</f>
        <v>0</v>
      </c>
      <c r="B256" s="221">
        <f>'Données projet'!D280</f>
        <v>0</v>
      </c>
      <c r="C256" s="241"/>
      <c r="D256" s="222">
        <f t="shared" si="13"/>
        <v>0</v>
      </c>
      <c r="E256" s="243"/>
      <c r="F256" s="224"/>
      <c r="G256" s="223"/>
      <c r="H256" s="5"/>
      <c r="I256" s="5"/>
      <c r="J256" s="5"/>
      <c r="K256" s="5"/>
      <c r="L256" s="5"/>
      <c r="M256" s="5"/>
      <c r="N256" s="20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</row>
    <row r="257" spans="1:60" x14ac:dyDescent="0.25">
      <c r="A257" s="220">
        <f>'Données projet'!A281</f>
        <v>0</v>
      </c>
      <c r="B257" s="221">
        <f>'Données projet'!D281</f>
        <v>0</v>
      </c>
      <c r="C257" s="241"/>
      <c r="D257" s="222">
        <f t="shared" si="13"/>
        <v>0</v>
      </c>
      <c r="E257" s="243"/>
      <c r="F257" s="224"/>
      <c r="G257" s="223"/>
      <c r="H257" s="5"/>
      <c r="I257" s="5"/>
      <c r="J257" s="5"/>
      <c r="K257" s="5"/>
      <c r="L257" s="5"/>
      <c r="M257" s="5"/>
      <c r="N257" s="20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</row>
    <row r="258" spans="1:60" x14ac:dyDescent="0.25">
      <c r="A258" s="220">
        <f>'Données projet'!A282</f>
        <v>0</v>
      </c>
      <c r="B258" s="221">
        <f>'Données projet'!D282</f>
        <v>0</v>
      </c>
      <c r="C258" s="241"/>
      <c r="D258" s="222">
        <f t="shared" si="13"/>
        <v>0</v>
      </c>
      <c r="E258" s="243"/>
      <c r="F258" s="224"/>
      <c r="G258" s="223"/>
      <c r="H258" s="5"/>
      <c r="I258" s="5"/>
      <c r="J258" s="5"/>
      <c r="K258" s="5"/>
      <c r="L258" s="5"/>
      <c r="M258" s="5"/>
      <c r="N258" s="20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</row>
    <row r="259" spans="1:60" x14ac:dyDescent="0.25">
      <c r="A259" s="220">
        <f>'Données projet'!A283</f>
        <v>0</v>
      </c>
      <c r="B259" s="221">
        <f>'Données projet'!D283</f>
        <v>0</v>
      </c>
      <c r="C259" s="241"/>
      <c r="D259" s="222">
        <f t="shared" si="13"/>
        <v>0</v>
      </c>
      <c r="E259" s="243"/>
      <c r="F259" s="224"/>
      <c r="G259" s="223"/>
      <c r="H259" s="5"/>
      <c r="I259" s="5"/>
      <c r="J259" s="5"/>
      <c r="K259" s="5"/>
      <c r="L259" s="5"/>
      <c r="M259" s="5"/>
      <c r="N259" s="20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</row>
    <row r="260" spans="1:60" x14ac:dyDescent="0.25">
      <c r="A260" s="220">
        <f>'Données projet'!A284</f>
        <v>0</v>
      </c>
      <c r="B260" s="221">
        <f>'Données projet'!D284</f>
        <v>0</v>
      </c>
      <c r="C260" s="241"/>
      <c r="D260" s="222">
        <f t="shared" si="13"/>
        <v>0</v>
      </c>
      <c r="E260" s="243"/>
      <c r="F260" s="224"/>
      <c r="G260" s="223"/>
      <c r="H260" s="5"/>
      <c r="I260" s="5"/>
      <c r="J260" s="5"/>
      <c r="K260" s="5"/>
      <c r="L260" s="5"/>
      <c r="M260" s="5"/>
      <c r="N260" s="20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</row>
    <row r="261" spans="1:60" x14ac:dyDescent="0.25">
      <c r="A261" s="220">
        <f>'Données projet'!A285</f>
        <v>0</v>
      </c>
      <c r="B261" s="221">
        <f>'Données projet'!D285</f>
        <v>0</v>
      </c>
      <c r="C261" s="241"/>
      <c r="D261" s="222">
        <f t="shared" si="13"/>
        <v>0</v>
      </c>
      <c r="E261" s="243"/>
      <c r="F261" s="224"/>
      <c r="G261" s="223"/>
      <c r="H261" s="5"/>
      <c r="I261" s="5"/>
      <c r="J261" s="5"/>
      <c r="K261" s="5"/>
      <c r="L261" s="5"/>
      <c r="M261" s="5"/>
      <c r="N261" s="20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</row>
    <row r="262" spans="1:60" x14ac:dyDescent="0.25">
      <c r="A262" s="220">
        <f>'Données projet'!A286</f>
        <v>0</v>
      </c>
      <c r="B262" s="221">
        <f>'Données projet'!D286</f>
        <v>0</v>
      </c>
      <c r="C262" s="241"/>
      <c r="D262" s="222">
        <f t="shared" si="13"/>
        <v>0</v>
      </c>
      <c r="E262" s="243"/>
      <c r="F262" s="224"/>
      <c r="G262" s="223"/>
      <c r="H262" s="5"/>
      <c r="I262" s="5"/>
      <c r="J262" s="5"/>
      <c r="K262" s="5"/>
      <c r="L262" s="5"/>
      <c r="M262" s="5"/>
      <c r="N262" s="20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</row>
    <row r="263" spans="1:60" x14ac:dyDescent="0.25">
      <c r="A263" s="220">
        <f>'Données projet'!A287</f>
        <v>0</v>
      </c>
      <c r="B263" s="221">
        <f>'Données projet'!D287</f>
        <v>0</v>
      </c>
      <c r="C263" s="241"/>
      <c r="D263" s="222">
        <f t="shared" si="13"/>
        <v>0</v>
      </c>
      <c r="E263" s="243"/>
      <c r="F263" s="224"/>
      <c r="G263" s="223"/>
      <c r="H263" s="5"/>
      <c r="I263" s="5"/>
      <c r="J263" s="5"/>
      <c r="K263" s="5"/>
      <c r="L263" s="5"/>
      <c r="M263" s="5"/>
      <c r="N263" s="20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</row>
    <row r="264" spans="1:60" x14ac:dyDescent="0.25">
      <c r="A264" s="220">
        <f>'Données projet'!A288</f>
        <v>0</v>
      </c>
      <c r="B264" s="221">
        <f>'Données projet'!D288</f>
        <v>0</v>
      </c>
      <c r="C264" s="241"/>
      <c r="D264" s="222">
        <f t="shared" si="13"/>
        <v>0</v>
      </c>
      <c r="E264" s="243"/>
      <c r="F264" s="224"/>
      <c r="G264" s="223"/>
      <c r="H264" s="5"/>
      <c r="I264" s="5"/>
      <c r="J264" s="5"/>
      <c r="K264" s="5"/>
      <c r="L264" s="5"/>
      <c r="M264" s="5"/>
      <c r="N264" s="20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</row>
    <row r="265" spans="1:60" x14ac:dyDescent="0.25">
      <c r="A265" s="220">
        <f>'Données projet'!A289</f>
        <v>0</v>
      </c>
      <c r="B265" s="221">
        <f>'Données projet'!D289</f>
        <v>0</v>
      </c>
      <c r="C265" s="246"/>
      <c r="D265" s="222">
        <f t="shared" si="13"/>
        <v>0</v>
      </c>
      <c r="E265" s="243"/>
      <c r="F265" s="224"/>
      <c r="G265" s="223"/>
      <c r="H265" s="5"/>
      <c r="I265" s="5"/>
      <c r="J265" s="5"/>
      <c r="K265" s="5"/>
      <c r="L265" s="5"/>
      <c r="M265" s="5"/>
      <c r="N265" s="20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</row>
    <row r="266" spans="1:60" x14ac:dyDescent="0.25">
      <c r="A266" s="5"/>
      <c r="B266" s="5"/>
      <c r="C266" s="5"/>
      <c r="D266" s="5"/>
      <c r="E266" s="5"/>
      <c r="F266" s="71"/>
      <c r="G266" s="7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</row>
    <row r="267" spans="1:60" x14ac:dyDescent="0.25">
      <c r="A267" s="5"/>
      <c r="B267" s="5"/>
      <c r="C267" s="5"/>
      <c r="D267" s="5"/>
      <c r="E267" s="5"/>
      <c r="F267" s="71"/>
      <c r="G267" s="7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</row>
    <row r="268" spans="1:60" x14ac:dyDescent="0.25">
      <c r="A268" s="5"/>
      <c r="B268" s="5"/>
      <c r="C268" s="5"/>
      <c r="D268" s="5"/>
      <c r="E268" s="5"/>
      <c r="F268" s="71"/>
      <c r="G268" s="7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</row>
    <row r="269" spans="1:60" x14ac:dyDescent="0.25">
      <c r="A269" s="5"/>
      <c r="B269" s="5"/>
      <c r="C269" s="5"/>
      <c r="D269" s="5"/>
      <c r="E269" s="5"/>
      <c r="F269" s="71"/>
      <c r="G269" s="7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</row>
    <row r="270" spans="1:60" x14ac:dyDescent="0.25">
      <c r="A270" s="5"/>
      <c r="B270" s="5"/>
      <c r="C270" s="5"/>
      <c r="D270" s="5"/>
      <c r="E270" s="5"/>
      <c r="F270" s="71"/>
      <c r="G270" s="7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</row>
    <row r="271" spans="1:60" x14ac:dyDescent="0.25">
      <c r="A271" s="5"/>
      <c r="B271" s="5"/>
      <c r="C271" s="5"/>
      <c r="D271" s="5"/>
      <c r="E271" s="5"/>
      <c r="F271" s="71"/>
      <c r="G271" s="7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</row>
    <row r="272" spans="1:60" x14ac:dyDescent="0.25">
      <c r="A272" s="5"/>
      <c r="B272" s="5"/>
      <c r="C272" s="5"/>
      <c r="D272" s="5"/>
      <c r="E272" s="5"/>
      <c r="F272" s="71"/>
      <c r="G272" s="7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</row>
    <row r="273" spans="1:60" x14ac:dyDescent="0.25">
      <c r="A273" s="5"/>
      <c r="B273" s="5"/>
      <c r="C273" s="5"/>
      <c r="D273" s="5"/>
      <c r="E273" s="5"/>
      <c r="F273" s="71"/>
      <c r="G273" s="7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</row>
    <row r="274" spans="1:60" x14ac:dyDescent="0.25">
      <c r="A274" s="5"/>
      <c r="B274" s="5"/>
      <c r="C274" s="5"/>
      <c r="D274" s="5"/>
      <c r="E274" s="5"/>
      <c r="F274" s="71"/>
      <c r="G274" s="7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</row>
    <row r="275" spans="1:60" x14ac:dyDescent="0.25">
      <c r="A275" s="5"/>
      <c r="B275" s="5"/>
      <c r="C275" s="5"/>
      <c r="D275" s="5"/>
      <c r="E275" s="5"/>
      <c r="F275" s="71"/>
      <c r="G275" s="7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</row>
    <row r="276" spans="1:60" x14ac:dyDescent="0.25">
      <c r="A276" s="5"/>
      <c r="B276" s="5"/>
      <c r="C276" s="5"/>
      <c r="D276" s="5"/>
      <c r="E276" s="5"/>
      <c r="F276" s="71"/>
      <c r="G276" s="7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</row>
    <row r="277" spans="1:60" x14ac:dyDescent="0.25">
      <c r="A277" s="5"/>
      <c r="B277" s="5"/>
      <c r="C277" s="5"/>
      <c r="D277" s="5"/>
      <c r="E277" s="5"/>
      <c r="F277" s="71"/>
      <c r="G277" s="7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</row>
    <row r="278" spans="1:60" x14ac:dyDescent="0.25">
      <c r="A278" s="5"/>
      <c r="B278" s="5"/>
      <c r="C278" s="5"/>
      <c r="D278" s="5"/>
      <c r="E278" s="5"/>
      <c r="F278" s="71"/>
      <c r="G278" s="7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</row>
    <row r="279" spans="1:60" x14ac:dyDescent="0.25">
      <c r="A279" s="5"/>
      <c r="B279" s="5"/>
      <c r="C279" s="5"/>
      <c r="D279" s="5"/>
      <c r="E279" s="5"/>
      <c r="F279" s="71"/>
      <c r="G279" s="7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</row>
    <row r="280" spans="1:60" x14ac:dyDescent="0.25">
      <c r="A280" s="5"/>
      <c r="B280" s="5"/>
      <c r="C280" s="5"/>
      <c r="D280" s="5"/>
      <c r="E280" s="5"/>
      <c r="F280" s="71"/>
      <c r="G280" s="7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</row>
    <row r="281" spans="1:60" x14ac:dyDescent="0.25">
      <c r="A281" s="5"/>
      <c r="B281" s="5"/>
      <c r="C281" s="5"/>
      <c r="D281" s="5"/>
      <c r="E281" s="5"/>
      <c r="F281" s="71"/>
      <c r="G281" s="7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</row>
    <row r="282" spans="1:60" x14ac:dyDescent="0.25">
      <c r="A282" s="5"/>
      <c r="B282" s="5"/>
      <c r="C282" s="5"/>
      <c r="D282" s="5"/>
      <c r="E282" s="5"/>
      <c r="F282" s="71"/>
      <c r="G282" s="7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</row>
    <row r="283" spans="1:60" x14ac:dyDescent="0.25">
      <c r="A283" s="5"/>
      <c r="B283" s="5"/>
      <c r="C283" s="5"/>
      <c r="D283" s="5"/>
      <c r="E283" s="5"/>
      <c r="F283" s="71"/>
      <c r="G283" s="7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</row>
    <row r="284" spans="1:60" x14ac:dyDescent="0.25">
      <c r="A284" s="5"/>
      <c r="B284" s="5"/>
      <c r="C284" s="5"/>
      <c r="D284" s="5"/>
      <c r="E284" s="5"/>
      <c r="F284" s="71"/>
      <c r="G284" s="7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</row>
    <row r="285" spans="1:60" x14ac:dyDescent="0.25">
      <c r="A285" s="5"/>
      <c r="B285" s="5"/>
      <c r="C285" s="5"/>
      <c r="D285" s="5"/>
      <c r="E285" s="5"/>
      <c r="F285" s="71"/>
      <c r="G285" s="7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</row>
    <row r="286" spans="1:60" x14ac:dyDescent="0.25">
      <c r="A286" s="5"/>
      <c r="B286" s="5"/>
      <c r="C286" s="5"/>
      <c r="D286" s="5"/>
      <c r="E286" s="5"/>
      <c r="F286" s="71"/>
      <c r="G286" s="7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</row>
    <row r="287" spans="1:60" x14ac:dyDescent="0.25">
      <c r="A287" s="5"/>
      <c r="B287" s="5"/>
      <c r="C287" s="5"/>
      <c r="D287" s="5"/>
      <c r="E287" s="5"/>
      <c r="F287" s="71"/>
      <c r="G287" s="7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</row>
    <row r="288" spans="1:60" x14ac:dyDescent="0.25">
      <c r="A288" s="5"/>
      <c r="B288" s="5"/>
      <c r="C288" s="5"/>
      <c r="D288" s="5"/>
      <c r="E288" s="5"/>
      <c r="F288" s="71"/>
      <c r="G288" s="7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</row>
    <row r="289" spans="1:60" x14ac:dyDescent="0.25">
      <c r="A289" s="5"/>
      <c r="B289" s="5"/>
      <c r="C289" s="5"/>
      <c r="D289" s="5"/>
      <c r="E289" s="5"/>
      <c r="F289" s="71"/>
      <c r="G289" s="7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</row>
    <row r="290" spans="1:60" x14ac:dyDescent="0.25">
      <c r="A290" s="5"/>
      <c r="B290" s="5"/>
      <c r="C290" s="5"/>
      <c r="D290" s="5"/>
      <c r="E290" s="5"/>
      <c r="F290" s="71"/>
      <c r="G290" s="7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</row>
    <row r="291" spans="1:60" x14ac:dyDescent="0.25">
      <c r="A291" s="5"/>
      <c r="B291" s="5"/>
      <c r="C291" s="5"/>
      <c r="D291" s="5"/>
      <c r="E291" s="5"/>
      <c r="F291" s="71"/>
      <c r="G291" s="7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</row>
    <row r="292" spans="1:60" x14ac:dyDescent="0.25">
      <c r="A292" s="5"/>
      <c r="B292" s="5"/>
      <c r="C292" s="5"/>
      <c r="D292" s="5"/>
      <c r="E292" s="5"/>
      <c r="F292" s="71"/>
      <c r="G292" s="7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</row>
    <row r="293" spans="1:60" x14ac:dyDescent="0.25">
      <c r="A293" s="5"/>
      <c r="B293" s="5"/>
      <c r="C293" s="5"/>
      <c r="D293" s="5"/>
      <c r="E293" s="5"/>
      <c r="F293" s="71"/>
      <c r="G293" s="7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</row>
    <row r="294" spans="1:60" x14ac:dyDescent="0.25">
      <c r="A294" s="5"/>
      <c r="B294" s="5"/>
      <c r="C294" s="5"/>
      <c r="D294" s="5"/>
      <c r="E294" s="5"/>
      <c r="F294" s="71"/>
      <c r="G294" s="7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</row>
    <row r="295" spans="1:60" x14ac:dyDescent="0.25">
      <c r="A295" s="5"/>
      <c r="B295" s="5"/>
      <c r="C295" s="5"/>
      <c r="D295" s="5"/>
      <c r="E295" s="5"/>
      <c r="F295" s="71"/>
      <c r="G295" s="7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</row>
    <row r="296" spans="1:60" x14ac:dyDescent="0.25">
      <c r="A296" s="5"/>
      <c r="B296" s="5"/>
      <c r="C296" s="5"/>
      <c r="D296" s="5"/>
      <c r="E296" s="5"/>
      <c r="F296" s="71"/>
      <c r="G296" s="7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</row>
    <row r="297" spans="1:60" x14ac:dyDescent="0.25">
      <c r="A297" s="5"/>
      <c r="B297" s="5"/>
      <c r="C297" s="5"/>
      <c r="D297" s="5"/>
      <c r="E297" s="5"/>
      <c r="F297" s="71"/>
      <c r="G297" s="7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</row>
    <row r="298" spans="1:60" x14ac:dyDescent="0.25">
      <c r="A298" s="5"/>
      <c r="B298" s="5"/>
      <c r="C298" s="5"/>
      <c r="D298" s="5"/>
      <c r="E298" s="5"/>
      <c r="F298" s="71"/>
      <c r="G298" s="7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</row>
    <row r="299" spans="1:60" x14ac:dyDescent="0.25">
      <c r="A299" s="5"/>
      <c r="B299" s="5"/>
      <c r="C299" s="5"/>
      <c r="D299" s="5"/>
      <c r="E299" s="5"/>
      <c r="F299" s="71"/>
      <c r="G299" s="7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</row>
    <row r="300" spans="1:60" x14ac:dyDescent="0.25">
      <c r="A300" s="5"/>
      <c r="B300" s="5"/>
      <c r="C300" s="5"/>
      <c r="D300" s="5"/>
      <c r="E300" s="5"/>
      <c r="F300" s="71"/>
      <c r="G300" s="7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</row>
    <row r="301" spans="1:60" x14ac:dyDescent="0.25">
      <c r="A301" s="5"/>
      <c r="B301" s="5"/>
      <c r="C301" s="5"/>
      <c r="D301" s="5"/>
      <c r="E301" s="5"/>
      <c r="F301" s="71"/>
      <c r="G301" s="7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</row>
    <row r="302" spans="1:60" x14ac:dyDescent="0.25">
      <c r="A302" s="5"/>
      <c r="B302" s="5"/>
      <c r="C302" s="5"/>
      <c r="D302" s="5"/>
      <c r="E302" s="5"/>
      <c r="F302" s="71"/>
      <c r="G302" s="7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</row>
    <row r="303" spans="1:60" x14ac:dyDescent="0.25">
      <c r="A303" s="5"/>
      <c r="B303" s="5"/>
      <c r="C303" s="5"/>
      <c r="D303" s="5"/>
      <c r="E303" s="5"/>
      <c r="F303" s="71"/>
      <c r="G303" s="7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</row>
    <row r="304" spans="1:60" x14ac:dyDescent="0.25">
      <c r="A304" s="5"/>
      <c r="B304" s="5"/>
      <c r="C304" s="5"/>
      <c r="D304" s="5"/>
      <c r="E304" s="5"/>
      <c r="F304" s="71"/>
      <c r="G304" s="7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</row>
    <row r="305" spans="1:60" x14ac:dyDescent="0.25">
      <c r="A305" s="5"/>
      <c r="B305" s="5"/>
      <c r="C305" s="5"/>
      <c r="D305" s="5"/>
      <c r="E305" s="5"/>
      <c r="F305" s="71"/>
      <c r="G305" s="7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</row>
    <row r="306" spans="1:60" x14ac:dyDescent="0.25">
      <c r="A306" s="5"/>
      <c r="B306" s="5"/>
      <c r="C306" s="5"/>
      <c r="D306" s="5"/>
      <c r="E306" s="5"/>
      <c r="F306" s="71"/>
      <c r="G306" s="7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</row>
    <row r="307" spans="1:60" x14ac:dyDescent="0.25">
      <c r="A307" s="5"/>
      <c r="B307" s="5"/>
      <c r="C307" s="5"/>
      <c r="D307" s="5"/>
      <c r="E307" s="5"/>
      <c r="F307" s="71"/>
      <c r="G307" s="7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</row>
    <row r="308" spans="1:60" x14ac:dyDescent="0.25">
      <c r="A308" s="5"/>
      <c r="B308" s="5"/>
      <c r="C308" s="5"/>
      <c r="D308" s="5"/>
      <c r="E308" s="5"/>
      <c r="F308" s="71"/>
      <c r="G308" s="7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</row>
    <row r="309" spans="1:60" x14ac:dyDescent="0.25">
      <c r="A309" s="5"/>
      <c r="B309" s="5"/>
      <c r="C309" s="5"/>
      <c r="D309" s="5"/>
      <c r="E309" s="5"/>
      <c r="F309" s="71"/>
      <c r="G309" s="7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</row>
    <row r="310" spans="1:60" x14ac:dyDescent="0.25">
      <c r="A310" s="5"/>
      <c r="B310" s="5"/>
      <c r="C310" s="5"/>
      <c r="D310" s="5"/>
      <c r="E310" s="5"/>
      <c r="F310" s="71"/>
      <c r="G310" s="7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</row>
    <row r="311" spans="1:60" x14ac:dyDescent="0.25">
      <c r="A311" s="5"/>
      <c r="B311" s="5"/>
      <c r="C311" s="5"/>
      <c r="D311" s="5"/>
      <c r="E311" s="5"/>
      <c r="F311" s="71"/>
      <c r="G311" s="7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</row>
    <row r="312" spans="1:60" x14ac:dyDescent="0.25">
      <c r="A312" s="5"/>
      <c r="B312" s="5"/>
      <c r="C312" s="5"/>
      <c r="D312" s="5"/>
      <c r="E312" s="5"/>
      <c r="F312" s="71"/>
      <c r="G312" s="7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</row>
    <row r="313" spans="1:60" x14ac:dyDescent="0.25">
      <c r="A313" s="5"/>
      <c r="B313" s="5"/>
      <c r="C313" s="5"/>
      <c r="D313" s="5"/>
      <c r="E313" s="5"/>
      <c r="F313" s="71"/>
      <c r="G313" s="7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</row>
    <row r="314" spans="1:60" x14ac:dyDescent="0.25">
      <c r="A314" s="5"/>
      <c r="B314" s="5"/>
      <c r="C314" s="5"/>
      <c r="D314" s="5"/>
      <c r="E314" s="5"/>
      <c r="F314" s="71"/>
      <c r="G314" s="7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</row>
    <row r="315" spans="1:60" x14ac:dyDescent="0.25">
      <c r="A315" s="5"/>
      <c r="B315" s="5"/>
      <c r="C315" s="5"/>
      <c r="D315" s="5"/>
      <c r="E315" s="5"/>
      <c r="F315" s="71"/>
      <c r="G315" s="7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</row>
    <row r="316" spans="1:60" x14ac:dyDescent="0.25">
      <c r="A316" s="5"/>
      <c r="B316" s="5"/>
      <c r="C316" s="5"/>
      <c r="D316" s="5"/>
      <c r="E316" s="5"/>
      <c r="F316" s="71"/>
      <c r="G316" s="7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</row>
    <row r="317" spans="1:60" x14ac:dyDescent="0.25">
      <c r="A317" s="5"/>
      <c r="B317" s="5"/>
      <c r="C317" s="5"/>
      <c r="D317" s="5"/>
      <c r="E317" s="5"/>
      <c r="F317" s="71"/>
      <c r="G317" s="7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</row>
    <row r="318" spans="1:60" x14ac:dyDescent="0.25">
      <c r="A318" s="5"/>
      <c r="B318" s="5"/>
      <c r="C318" s="5"/>
      <c r="D318" s="5"/>
      <c r="E318" s="5"/>
      <c r="F318" s="71"/>
      <c r="G318" s="7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</row>
    <row r="319" spans="1:60" x14ac:dyDescent="0.25">
      <c r="A319" s="5"/>
      <c r="B319" s="5"/>
      <c r="C319" s="5"/>
      <c r="D319" s="5"/>
      <c r="E319" s="5"/>
      <c r="F319" s="71"/>
      <c r="G319" s="7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</row>
    <row r="320" spans="1:60" x14ac:dyDescent="0.25">
      <c r="A320" s="5"/>
      <c r="B320" s="5"/>
      <c r="C320" s="5"/>
      <c r="D320" s="5"/>
      <c r="E320" s="5"/>
      <c r="F320" s="71"/>
      <c r="G320" s="7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</row>
    <row r="321" spans="1:60" x14ac:dyDescent="0.25">
      <c r="A321" s="5"/>
      <c r="B321" s="5"/>
      <c r="C321" s="5"/>
      <c r="D321" s="5"/>
      <c r="E321" s="5"/>
      <c r="F321" s="71"/>
      <c r="G321" s="7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</row>
    <row r="322" spans="1:60" x14ac:dyDescent="0.25">
      <c r="A322" s="5"/>
      <c r="B322" s="5"/>
      <c r="C322" s="5"/>
      <c r="D322" s="5"/>
      <c r="E322" s="5"/>
      <c r="F322" s="71"/>
      <c r="G322" s="7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</row>
    <row r="323" spans="1:60" x14ac:dyDescent="0.25">
      <c r="A323" s="5"/>
      <c r="B323" s="5"/>
      <c r="C323" s="5"/>
      <c r="D323" s="5"/>
      <c r="E323" s="5"/>
      <c r="F323" s="71"/>
      <c r="G323" s="7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</row>
    <row r="324" spans="1:60" x14ac:dyDescent="0.25">
      <c r="A324" s="5"/>
      <c r="B324" s="5"/>
      <c r="C324" s="5"/>
      <c r="D324" s="5"/>
      <c r="E324" s="5"/>
      <c r="F324" s="71"/>
      <c r="G324" s="7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</row>
    <row r="325" spans="1:60" x14ac:dyDescent="0.25">
      <c r="A325" s="5"/>
      <c r="B325" s="5"/>
      <c r="C325" s="5"/>
      <c r="D325" s="5"/>
      <c r="E325" s="5"/>
      <c r="F325" s="71"/>
      <c r="G325" s="7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</row>
    <row r="326" spans="1:60" x14ac:dyDescent="0.25">
      <c r="A326" s="5"/>
      <c r="B326" s="5"/>
      <c r="C326" s="5"/>
      <c r="D326" s="5"/>
      <c r="E326" s="5"/>
      <c r="F326" s="71"/>
      <c r="G326" s="7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</row>
    <row r="327" spans="1:60" x14ac:dyDescent="0.25">
      <c r="A327" s="5"/>
      <c r="B327" s="5"/>
      <c r="C327" s="5"/>
      <c r="D327" s="5"/>
      <c r="E327" s="5"/>
      <c r="F327" s="71"/>
      <c r="G327" s="7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</row>
    <row r="328" spans="1:60" x14ac:dyDescent="0.25">
      <c r="A328" s="5"/>
      <c r="B328" s="5"/>
      <c r="C328" s="5"/>
      <c r="D328" s="5"/>
      <c r="E328" s="5"/>
      <c r="F328" s="71"/>
      <c r="G328" s="7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</row>
    <row r="329" spans="1:60" x14ac:dyDescent="0.25">
      <c r="A329" s="5"/>
      <c r="B329" s="5"/>
      <c r="C329" s="5"/>
      <c r="D329" s="5"/>
      <c r="E329" s="5"/>
      <c r="F329" s="71"/>
      <c r="G329" s="7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</row>
    <row r="330" spans="1:60" x14ac:dyDescent="0.25">
      <c r="A330" s="5"/>
      <c r="B330" s="5"/>
      <c r="C330" s="5"/>
      <c r="D330" s="5"/>
      <c r="E330" s="5"/>
      <c r="F330" s="71"/>
      <c r="G330" s="7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</row>
    <row r="331" spans="1:60" x14ac:dyDescent="0.25">
      <c r="A331" s="5"/>
      <c r="B331" s="5"/>
      <c r="C331" s="5"/>
      <c r="D331" s="5"/>
      <c r="E331" s="5"/>
      <c r="F331" s="71"/>
      <c r="G331" s="7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</row>
    <row r="332" spans="1:60" x14ac:dyDescent="0.25">
      <c r="A332" s="5"/>
      <c r="B332" s="5"/>
      <c r="C332" s="5"/>
      <c r="D332" s="5"/>
      <c r="E332" s="5"/>
      <c r="F332" s="71"/>
      <c r="G332" s="7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</row>
    <row r="333" spans="1:60" x14ac:dyDescent="0.25">
      <c r="A333" s="5"/>
      <c r="B333" s="5"/>
      <c r="C333" s="5"/>
      <c r="D333" s="5"/>
      <c r="E333" s="5"/>
      <c r="F333" s="71"/>
      <c r="G333" s="7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</row>
    <row r="334" spans="1:60" x14ac:dyDescent="0.25">
      <c r="A334" s="5"/>
      <c r="B334" s="5"/>
      <c r="C334" s="5"/>
      <c r="D334" s="5"/>
      <c r="E334" s="5"/>
      <c r="F334" s="71"/>
      <c r="G334" s="7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</row>
    <row r="335" spans="1:60" x14ac:dyDescent="0.25">
      <c r="A335" s="5"/>
      <c r="B335" s="5"/>
      <c r="C335" s="5"/>
      <c r="D335" s="5"/>
      <c r="E335" s="5"/>
      <c r="F335" s="71"/>
      <c r="G335" s="7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</row>
    <row r="336" spans="1:60" x14ac:dyDescent="0.25">
      <c r="A336" s="5"/>
      <c r="B336" s="5"/>
      <c r="C336" s="5"/>
      <c r="D336" s="5"/>
      <c r="E336" s="5"/>
      <c r="F336" s="71"/>
      <c r="G336" s="7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</row>
    <row r="337" spans="1:60" x14ac:dyDescent="0.25">
      <c r="A337" s="5"/>
      <c r="B337" s="5"/>
      <c r="C337" s="5"/>
      <c r="D337" s="5"/>
      <c r="E337" s="5"/>
      <c r="F337" s="71"/>
      <c r="G337" s="7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</row>
    <row r="338" spans="1:60" x14ac:dyDescent="0.25">
      <c r="A338" s="5"/>
      <c r="B338" s="5"/>
      <c r="C338" s="5"/>
      <c r="D338" s="5"/>
      <c r="E338" s="5"/>
      <c r="F338" s="71"/>
      <c r="G338" s="7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</row>
    <row r="339" spans="1:60" x14ac:dyDescent="0.25">
      <c r="A339" s="5"/>
      <c r="B339" s="5"/>
      <c r="C339" s="5"/>
      <c r="D339" s="5"/>
      <c r="E339" s="5"/>
      <c r="F339" s="71"/>
      <c r="G339" s="7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</row>
    <row r="340" spans="1:60" x14ac:dyDescent="0.25">
      <c r="A340" s="5"/>
      <c r="B340" s="5"/>
      <c r="C340" s="5"/>
      <c r="D340" s="5"/>
      <c r="E340" s="5"/>
      <c r="F340" s="71"/>
      <c r="G340" s="7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</row>
    <row r="341" spans="1:60" x14ac:dyDescent="0.25">
      <c r="A341" s="5"/>
      <c r="B341" s="5"/>
      <c r="C341" s="5"/>
      <c r="D341" s="5"/>
      <c r="E341" s="5"/>
      <c r="F341" s="71"/>
      <c r="G341" s="7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</row>
    <row r="342" spans="1:60" x14ac:dyDescent="0.25">
      <c r="A342" s="5"/>
      <c r="B342" s="5"/>
      <c r="C342" s="5"/>
      <c r="D342" s="5"/>
      <c r="E342" s="5"/>
      <c r="F342" s="71"/>
      <c r="G342" s="7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</row>
    <row r="343" spans="1:60" x14ac:dyDescent="0.25">
      <c r="A343" s="5"/>
      <c r="B343" s="5"/>
      <c r="C343" s="5"/>
      <c r="D343" s="5"/>
      <c r="E343" s="5"/>
      <c r="F343" s="71"/>
      <c r="G343" s="7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</row>
    <row r="344" spans="1:60" x14ac:dyDescent="0.25">
      <c r="A344" s="5"/>
      <c r="B344" s="5"/>
      <c r="C344" s="5"/>
      <c r="D344" s="5"/>
      <c r="E344" s="5"/>
      <c r="F344" s="71"/>
      <c r="G344" s="7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</row>
    <row r="345" spans="1:60" x14ac:dyDescent="0.25">
      <c r="A345" s="5"/>
      <c r="B345" s="5"/>
      <c r="C345" s="5"/>
      <c r="D345" s="5"/>
      <c r="E345" s="5"/>
      <c r="F345" s="71"/>
      <c r="G345" s="7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</row>
    <row r="346" spans="1:60" x14ac:dyDescent="0.25">
      <c r="A346" s="5"/>
      <c r="B346" s="5"/>
      <c r="C346" s="5"/>
      <c r="D346" s="5"/>
      <c r="E346" s="5"/>
      <c r="F346" s="71"/>
      <c r="G346" s="7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</row>
    <row r="347" spans="1:60" x14ac:dyDescent="0.25">
      <c r="A347" s="5"/>
      <c r="B347" s="5"/>
      <c r="C347" s="5"/>
      <c r="D347" s="5"/>
      <c r="E347" s="5"/>
      <c r="F347" s="71"/>
      <c r="G347" s="7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</row>
    <row r="348" spans="1:60" x14ac:dyDescent="0.25">
      <c r="A348" s="5"/>
      <c r="B348" s="5"/>
      <c r="C348" s="5"/>
      <c r="D348" s="5"/>
      <c r="E348" s="5"/>
      <c r="F348" s="71"/>
      <c r="G348" s="7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</row>
    <row r="349" spans="1:60" x14ac:dyDescent="0.25">
      <c r="A349" s="5"/>
      <c r="B349" s="5"/>
      <c r="C349" s="5"/>
      <c r="D349" s="5"/>
      <c r="E349" s="5"/>
      <c r="F349" s="71"/>
      <c r="G349" s="7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</row>
    <row r="350" spans="1:60" x14ac:dyDescent="0.25">
      <c r="A350" s="5"/>
      <c r="B350" s="5"/>
      <c r="C350" s="5"/>
      <c r="D350" s="5"/>
      <c r="E350" s="5"/>
      <c r="F350" s="71"/>
      <c r="G350" s="7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</row>
    <row r="351" spans="1:60" x14ac:dyDescent="0.25">
      <c r="A351" s="5"/>
      <c r="B351" s="5"/>
      <c r="C351" s="5"/>
      <c r="D351" s="5"/>
      <c r="E351" s="5"/>
      <c r="F351" s="71"/>
      <c r="G351" s="7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</row>
    <row r="352" spans="1:60" x14ac:dyDescent="0.25">
      <c r="A352" s="5"/>
      <c r="B352" s="5"/>
      <c r="C352" s="5"/>
      <c r="D352" s="5"/>
      <c r="E352" s="5"/>
      <c r="F352" s="71"/>
      <c r="G352" s="7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</row>
    <row r="353" spans="1:60" x14ac:dyDescent="0.25">
      <c r="A353" s="5"/>
      <c r="B353" s="5"/>
      <c r="C353" s="5"/>
      <c r="D353" s="5"/>
      <c r="E353" s="5"/>
      <c r="F353" s="71"/>
      <c r="G353" s="7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</row>
    <row r="354" spans="1:60" x14ac:dyDescent="0.25">
      <c r="A354" s="5"/>
      <c r="B354" s="5"/>
      <c r="C354" s="5"/>
      <c r="D354" s="5"/>
      <c r="E354" s="5"/>
      <c r="F354" s="71"/>
      <c r="G354" s="7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</row>
    <row r="355" spans="1:60" x14ac:dyDescent="0.25">
      <c r="A355" s="5"/>
      <c r="B355" s="5"/>
      <c r="C355" s="5"/>
      <c r="D355" s="5"/>
      <c r="E355" s="5"/>
      <c r="F355" s="71"/>
      <c r="G355" s="7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</row>
    <row r="356" spans="1:60" x14ac:dyDescent="0.25">
      <c r="A356" s="5"/>
      <c r="B356" s="5"/>
      <c r="C356" s="5"/>
      <c r="D356" s="5"/>
      <c r="E356" s="5"/>
      <c r="F356" s="71"/>
      <c r="G356" s="7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</row>
    <row r="357" spans="1:60" x14ac:dyDescent="0.25">
      <c r="A357" s="5"/>
      <c r="B357" s="5"/>
      <c r="C357" s="5"/>
      <c r="D357" s="5"/>
      <c r="E357" s="5"/>
      <c r="F357" s="71"/>
      <c r="G357" s="7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</row>
    <row r="358" spans="1:60" x14ac:dyDescent="0.25">
      <c r="A358" s="5"/>
      <c r="B358" s="5"/>
      <c r="C358" s="5"/>
      <c r="D358" s="5"/>
      <c r="E358" s="5"/>
      <c r="F358" s="71"/>
      <c r="G358" s="7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</row>
    <row r="359" spans="1:60" x14ac:dyDescent="0.25">
      <c r="A359" s="5"/>
      <c r="B359" s="5"/>
      <c r="C359" s="5"/>
      <c r="D359" s="5"/>
      <c r="E359" s="5"/>
      <c r="F359" s="71"/>
      <c r="G359" s="7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</row>
    <row r="360" spans="1:60" x14ac:dyDescent="0.25">
      <c r="A360" s="5"/>
      <c r="B360" s="5"/>
      <c r="C360" s="5"/>
      <c r="D360" s="5"/>
      <c r="E360" s="5"/>
      <c r="F360" s="71"/>
      <c r="G360" s="7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</row>
    <row r="361" spans="1:60" x14ac:dyDescent="0.25">
      <c r="A361" s="5"/>
      <c r="B361" s="5"/>
      <c r="C361" s="5"/>
      <c r="D361" s="5"/>
      <c r="E361" s="5"/>
      <c r="F361" s="71"/>
      <c r="G361" s="7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</row>
    <row r="362" spans="1:60" x14ac:dyDescent="0.25">
      <c r="A362" s="5"/>
      <c r="B362" s="5"/>
      <c r="C362" s="5"/>
      <c r="D362" s="5"/>
      <c r="E362" s="5"/>
      <c r="F362" s="71"/>
      <c r="G362" s="7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</row>
    <row r="363" spans="1:60" x14ac:dyDescent="0.25">
      <c r="A363" s="5"/>
      <c r="B363" s="5"/>
      <c r="C363" s="5"/>
      <c r="D363" s="5"/>
      <c r="E363" s="5"/>
      <c r="F363" s="71"/>
      <c r="G363" s="7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</row>
    <row r="364" spans="1:60" x14ac:dyDescent="0.25">
      <c r="A364" s="5"/>
      <c r="B364" s="5"/>
      <c r="C364" s="5"/>
      <c r="D364" s="5"/>
      <c r="E364" s="5"/>
      <c r="F364" s="71"/>
      <c r="G364" s="7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</row>
    <row r="365" spans="1:60" x14ac:dyDescent="0.25">
      <c r="A365" s="5"/>
      <c r="B365" s="5"/>
      <c r="C365" s="5"/>
      <c r="D365" s="5"/>
      <c r="E365" s="5"/>
      <c r="F365" s="71"/>
      <c r="G365" s="7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</row>
    <row r="366" spans="1:60" x14ac:dyDescent="0.25">
      <c r="A366" s="5"/>
      <c r="B366" s="5"/>
      <c r="C366" s="5"/>
      <c r="D366" s="5"/>
      <c r="E366" s="5"/>
      <c r="F366" s="71"/>
      <c r="G366" s="7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</row>
    <row r="367" spans="1:60" x14ac:dyDescent="0.25">
      <c r="A367" s="5"/>
      <c r="B367" s="5"/>
      <c r="C367" s="5"/>
      <c r="D367" s="5"/>
      <c r="E367" s="5"/>
      <c r="F367" s="71"/>
      <c r="G367" s="7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</row>
    <row r="368" spans="1:60" x14ac:dyDescent="0.25">
      <c r="A368" s="5"/>
      <c r="B368" s="5"/>
      <c r="C368" s="5"/>
      <c r="D368" s="5"/>
      <c r="E368" s="5"/>
      <c r="F368" s="71"/>
      <c r="G368" s="7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</row>
    <row r="369" spans="1:60" x14ac:dyDescent="0.25">
      <c r="A369" s="5"/>
      <c r="B369" s="5"/>
      <c r="C369" s="5"/>
      <c r="D369" s="5"/>
      <c r="E369" s="5"/>
      <c r="F369" s="71"/>
      <c r="G369" s="7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</row>
    <row r="370" spans="1:60" x14ac:dyDescent="0.25">
      <c r="A370" s="5"/>
      <c r="B370" s="5"/>
      <c r="C370" s="5"/>
      <c r="D370" s="5"/>
      <c r="E370" s="5"/>
      <c r="F370" s="7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</row>
    <row r="371" spans="1:60" x14ac:dyDescent="0.25">
      <c r="A371" s="5"/>
      <c r="B371" s="5"/>
      <c r="C371" s="5"/>
      <c r="D371" s="5"/>
      <c r="E371" s="5"/>
      <c r="F371" s="7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</row>
    <row r="372" spans="1:60" x14ac:dyDescent="0.25">
      <c r="A372" s="5"/>
      <c r="B372" s="5"/>
      <c r="C372" s="5"/>
      <c r="D372" s="5"/>
      <c r="E372" s="5"/>
      <c r="F372" s="7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</row>
    <row r="373" spans="1:60" x14ac:dyDescent="0.25">
      <c r="A373" s="5"/>
      <c r="B373" s="5"/>
      <c r="C373" s="5"/>
      <c r="D373" s="5"/>
      <c r="E373" s="5"/>
      <c r="F373" s="7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</row>
    <row r="374" spans="1:60" x14ac:dyDescent="0.25">
      <c r="A374" s="5"/>
      <c r="B374" s="5"/>
      <c r="C374" s="5"/>
      <c r="D374" s="5"/>
      <c r="E374" s="5"/>
      <c r="F374" s="7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</row>
    <row r="375" spans="1:60" x14ac:dyDescent="0.25">
      <c r="A375" s="5"/>
      <c r="B375" s="5"/>
      <c r="C375" s="5"/>
      <c r="D375" s="5"/>
      <c r="E375" s="5"/>
      <c r="F375" s="7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</row>
    <row r="376" spans="1:60" x14ac:dyDescent="0.25">
      <c r="A376" s="5"/>
      <c r="B376" s="5"/>
      <c r="C376" s="5"/>
      <c r="D376" s="5"/>
      <c r="E376" s="5"/>
      <c r="F376" s="7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</row>
    <row r="377" spans="1:60" x14ac:dyDescent="0.25">
      <c r="A377" s="5"/>
      <c r="B377" s="5"/>
      <c r="C377" s="5"/>
      <c r="D377" s="5"/>
      <c r="E377" s="5"/>
      <c r="F377" s="7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</row>
    <row r="378" spans="1:60" x14ac:dyDescent="0.25">
      <c r="A378" s="5"/>
      <c r="B378" s="5"/>
      <c r="C378" s="5"/>
      <c r="D378" s="5"/>
      <c r="E378" s="5"/>
      <c r="F378" s="7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</row>
    <row r="379" spans="1:60" x14ac:dyDescent="0.25">
      <c r="A379" s="5"/>
      <c r="B379" s="5"/>
      <c r="C379" s="5"/>
      <c r="D379" s="5"/>
      <c r="E379" s="5"/>
      <c r="F379" s="7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</row>
    <row r="380" spans="1:60" x14ac:dyDescent="0.25"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</row>
    <row r="381" spans="1:60" x14ac:dyDescent="0.25"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</row>
    <row r="382" spans="1:60" x14ac:dyDescent="0.25"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</row>
    <row r="383" spans="1:60" x14ac:dyDescent="0.25"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</row>
    <row r="384" spans="1:60" x14ac:dyDescent="0.25"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</row>
    <row r="385" spans="15:60" x14ac:dyDescent="0.25"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</row>
    <row r="386" spans="15:60" x14ac:dyDescent="0.25"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</row>
    <row r="387" spans="15:60" x14ac:dyDescent="0.25"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</row>
    <row r="388" spans="15:60" x14ac:dyDescent="0.25"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</row>
    <row r="389" spans="15:60" x14ac:dyDescent="0.25"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</row>
    <row r="390" spans="15:60" x14ac:dyDescent="0.25"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</row>
    <row r="391" spans="15:60" x14ac:dyDescent="0.25"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</row>
    <row r="392" spans="15:60" x14ac:dyDescent="0.25"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</row>
    <row r="393" spans="15:60" x14ac:dyDescent="0.25"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</row>
    <row r="394" spans="15:60" x14ac:dyDescent="0.25"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</row>
    <row r="395" spans="15:60" x14ac:dyDescent="0.25"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</row>
    <row r="396" spans="15:60" x14ac:dyDescent="0.25"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</row>
    <row r="397" spans="15:60" x14ac:dyDescent="0.25"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</row>
    <row r="398" spans="15:60" x14ac:dyDescent="0.25"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</row>
    <row r="399" spans="15:60" x14ac:dyDescent="0.25"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</row>
    <row r="400" spans="15:60" x14ac:dyDescent="0.25"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</row>
    <row r="401" spans="15:60" x14ac:dyDescent="0.25"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</row>
    <row r="402" spans="15:60" x14ac:dyDescent="0.25"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</row>
    <row r="403" spans="15:60" x14ac:dyDescent="0.25"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</row>
    <row r="404" spans="15:60" x14ac:dyDescent="0.25"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</row>
    <row r="405" spans="15:60" x14ac:dyDescent="0.25"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</row>
    <row r="406" spans="15:60" x14ac:dyDescent="0.25"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</row>
    <row r="407" spans="15:60" x14ac:dyDescent="0.25"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</row>
    <row r="408" spans="15:60" x14ac:dyDescent="0.25"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</row>
    <row r="409" spans="15:60" x14ac:dyDescent="0.25"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</row>
    <row r="410" spans="15:60" x14ac:dyDescent="0.25"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</row>
    <row r="411" spans="15:60" x14ac:dyDescent="0.25"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</row>
    <row r="412" spans="15:60" x14ac:dyDescent="0.25"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</row>
    <row r="413" spans="15:60" x14ac:dyDescent="0.25"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</row>
    <row r="414" spans="15:60" x14ac:dyDescent="0.25"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</row>
    <row r="415" spans="15:60" x14ac:dyDescent="0.25"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</row>
    <row r="416" spans="15:60" x14ac:dyDescent="0.25"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</row>
    <row r="417" spans="15:60" x14ac:dyDescent="0.25"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</row>
    <row r="418" spans="15:60" x14ac:dyDescent="0.25"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</row>
    <row r="419" spans="15:60" x14ac:dyDescent="0.25"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</row>
    <row r="420" spans="15:60" x14ac:dyDescent="0.25"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</row>
    <row r="421" spans="15:60" x14ac:dyDescent="0.25"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</row>
    <row r="422" spans="15:60" x14ac:dyDescent="0.25"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</row>
    <row r="423" spans="15:60" x14ac:dyDescent="0.25"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</row>
    <row r="424" spans="15:60" x14ac:dyDescent="0.25"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</row>
    <row r="425" spans="15:60" x14ac:dyDescent="0.25"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</row>
    <row r="426" spans="15:60" x14ac:dyDescent="0.25"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</row>
    <row r="427" spans="15:60" x14ac:dyDescent="0.25"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</row>
    <row r="428" spans="15:60" x14ac:dyDescent="0.25"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</row>
    <row r="429" spans="15:60" x14ac:dyDescent="0.25"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</row>
    <row r="430" spans="15:60" x14ac:dyDescent="0.25"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</row>
    <row r="431" spans="15:60" x14ac:dyDescent="0.25"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</row>
    <row r="432" spans="15:60" x14ac:dyDescent="0.25"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</row>
    <row r="433" spans="15:60" x14ac:dyDescent="0.25"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</row>
    <row r="434" spans="15:60" x14ac:dyDescent="0.25"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</row>
    <row r="435" spans="15:60" x14ac:dyDescent="0.25"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</row>
    <row r="436" spans="15:60" x14ac:dyDescent="0.25"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</row>
    <row r="437" spans="15:60" x14ac:dyDescent="0.25"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</row>
    <row r="438" spans="15:60" x14ac:dyDescent="0.25"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</row>
    <row r="439" spans="15:60" x14ac:dyDescent="0.25"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</row>
    <row r="440" spans="15:60" x14ac:dyDescent="0.25"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</row>
    <row r="441" spans="15:60" x14ac:dyDescent="0.25"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</row>
    <row r="442" spans="15:60" x14ac:dyDescent="0.25"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</row>
    <row r="443" spans="15:60" x14ac:dyDescent="0.25"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</row>
    <row r="444" spans="15:60" x14ac:dyDescent="0.25"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</row>
    <row r="445" spans="15:60" x14ac:dyDescent="0.25"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</row>
    <row r="446" spans="15:60" x14ac:dyDescent="0.25"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</row>
    <row r="447" spans="15:60" x14ac:dyDescent="0.25"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</row>
    <row r="448" spans="15:60" x14ac:dyDescent="0.25"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</row>
    <row r="449" spans="15:60" x14ac:dyDescent="0.25"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</row>
    <row r="450" spans="15:60" x14ac:dyDescent="0.25"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</row>
    <row r="451" spans="15:60" x14ac:dyDescent="0.25"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</row>
    <row r="452" spans="15:60" x14ac:dyDescent="0.25"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</row>
    <row r="453" spans="15:60" x14ac:dyDescent="0.25"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</row>
    <row r="454" spans="15:60" x14ac:dyDescent="0.25"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</row>
    <row r="455" spans="15:60" x14ac:dyDescent="0.25"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</row>
    <row r="456" spans="15:60" x14ac:dyDescent="0.25"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</row>
    <row r="457" spans="15:60" x14ac:dyDescent="0.25"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</row>
    <row r="458" spans="15:60" x14ac:dyDescent="0.25"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</row>
    <row r="459" spans="15:60" x14ac:dyDescent="0.25"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</row>
    <row r="460" spans="15:60" x14ac:dyDescent="0.25"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</row>
    <row r="461" spans="15:60" x14ac:dyDescent="0.25"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</row>
    <row r="462" spans="15:60" x14ac:dyDescent="0.25"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</row>
    <row r="463" spans="15:60" x14ac:dyDescent="0.25"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</row>
    <row r="464" spans="15:60" x14ac:dyDescent="0.25"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</row>
    <row r="465" spans="15:60" x14ac:dyDescent="0.25"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</row>
    <row r="466" spans="15:60" x14ac:dyDescent="0.25"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</row>
    <row r="467" spans="15:60" x14ac:dyDescent="0.25"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</row>
    <row r="468" spans="15:60" x14ac:dyDescent="0.25"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</row>
    <row r="469" spans="15:60" x14ac:dyDescent="0.25"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</row>
    <row r="470" spans="15:60" x14ac:dyDescent="0.25"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</row>
    <row r="471" spans="15:60" x14ac:dyDescent="0.25"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</row>
    <row r="472" spans="15:60" x14ac:dyDescent="0.25"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</row>
    <row r="473" spans="15:60" x14ac:dyDescent="0.25"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</row>
    <row r="474" spans="15:60" x14ac:dyDescent="0.25"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</row>
    <row r="475" spans="15:60" x14ac:dyDescent="0.25"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</row>
    <row r="476" spans="15:60" x14ac:dyDescent="0.25"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</row>
    <row r="477" spans="15:60" x14ac:dyDescent="0.25"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</row>
    <row r="478" spans="15:60" x14ac:dyDescent="0.25"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</row>
    <row r="479" spans="15:60" x14ac:dyDescent="0.25"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</row>
    <row r="480" spans="15:60" x14ac:dyDescent="0.25"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</row>
    <row r="481" spans="15:60" x14ac:dyDescent="0.25"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</row>
    <row r="482" spans="15:60" x14ac:dyDescent="0.25"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</row>
    <row r="483" spans="15:60" x14ac:dyDescent="0.25"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</row>
    <row r="484" spans="15:60" x14ac:dyDescent="0.25"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</row>
    <row r="485" spans="15:60" x14ac:dyDescent="0.25"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</row>
    <row r="486" spans="15:60" x14ac:dyDescent="0.25"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</row>
    <row r="487" spans="15:60" x14ac:dyDescent="0.25"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</row>
    <row r="488" spans="15:60" x14ac:dyDescent="0.25"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</row>
    <row r="489" spans="15:60" x14ac:dyDescent="0.25"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</row>
    <row r="490" spans="15:60" x14ac:dyDescent="0.25"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</row>
  </sheetData>
  <mergeCells count="20">
    <mergeCell ref="O30:Q30"/>
    <mergeCell ref="O18:P18"/>
    <mergeCell ref="B2:S2"/>
    <mergeCell ref="I4:L4"/>
    <mergeCell ref="B6:C6"/>
    <mergeCell ref="O6:R6"/>
    <mergeCell ref="O17:P17"/>
    <mergeCell ref="I17:L17"/>
    <mergeCell ref="O19:P19"/>
    <mergeCell ref="O20:P20"/>
    <mergeCell ref="O29:Q29"/>
    <mergeCell ref="O23:S23"/>
    <mergeCell ref="O24:T25"/>
    <mergeCell ref="O22:Q22"/>
    <mergeCell ref="E41:F41"/>
    <mergeCell ref="J35:L35"/>
    <mergeCell ref="J32:L32"/>
    <mergeCell ref="J33:L33"/>
    <mergeCell ref="J34:L34"/>
    <mergeCell ref="I36:L3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OCCI_OG</cp:lastModifiedBy>
  <dcterms:created xsi:type="dcterms:W3CDTF">2021-02-01T08:22:39Z</dcterms:created>
  <dcterms:modified xsi:type="dcterms:W3CDTF">2021-09-14T16:22:35Z</dcterms:modified>
</cp:coreProperties>
</file>