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GCF\ENVIRONNEMENT\7_CARBONE\Coopératives\AFB\Projets_LBC\Projets_Tests\Agence Poitou-ValdeLoire-Bretagne\Projet Mazières-de-Touraine_042021\"/>
    </mc:Choice>
  </mc:AlternateContent>
  <bookViews>
    <workbookView xWindow="0" yWindow="0" windowWidth="19200" windowHeight="7310" activeTab="3"/>
  </bookViews>
  <sheets>
    <sheet name="REAforêtMBoisement" sheetId="6" r:id="rId1"/>
    <sheet name="REAproduitsMBoisement" sheetId="7" r:id="rId2"/>
    <sheet name="REEsubsMBoisement" sheetId="5" r:id="rId3"/>
    <sheet name="REG&amp;Rabais" sheetId="4" r:id="rId4"/>
    <sheet name="Listes choix" sheetId="2" state="hidden" r:id="rId5"/>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 i="6" l="1"/>
  <c r="B5" i="5"/>
  <c r="AE16" i="5"/>
  <c r="Z16" i="5"/>
  <c r="AE17" i="5"/>
  <c r="Z17" i="5"/>
  <c r="P16" i="5"/>
  <c r="B42" i="6"/>
  <c r="D36" i="6"/>
  <c r="CX27" i="6"/>
  <c r="CS28" i="6"/>
  <c r="CN28" i="6"/>
  <c r="CI28" i="6"/>
  <c r="CD28" i="6"/>
  <c r="BY28" i="6"/>
  <c r="BT28" i="6"/>
  <c r="BO28" i="6"/>
  <c r="BJ28" i="6"/>
  <c r="BE28" i="6"/>
  <c r="AZ28" i="6"/>
  <c r="AU28" i="6"/>
  <c r="AP28" i="6"/>
  <c r="AK28" i="6"/>
  <c r="AF28" i="6"/>
  <c r="AA28" i="6"/>
  <c r="AB28" i="6" s="1"/>
  <c r="AC28" i="6" s="1"/>
  <c r="AD28" i="6" s="1"/>
  <c r="AE28" i="6" s="1"/>
  <c r="X28" i="6"/>
  <c r="Y28" i="6" s="1"/>
  <c r="Z28" i="6" s="1"/>
  <c r="W28" i="6"/>
  <c r="D28" i="6"/>
  <c r="E28" i="6" s="1"/>
  <c r="F28" i="6" s="1"/>
  <c r="G28" i="6" s="1"/>
  <c r="H28" i="6" s="1"/>
  <c r="I28" i="6" s="1"/>
  <c r="J28" i="6" s="1"/>
  <c r="K28" i="6" s="1"/>
  <c r="L28" i="6" s="1"/>
  <c r="M28" i="6" s="1"/>
  <c r="N28" i="6" s="1"/>
  <c r="O28" i="6" s="1"/>
  <c r="P28" i="6" s="1"/>
  <c r="Q28" i="6" s="1"/>
  <c r="R28" i="6" s="1"/>
  <c r="S28" i="6" s="1"/>
  <c r="T28" i="6" s="1"/>
  <c r="U28" i="6" s="1"/>
  <c r="V28" i="6" s="1"/>
  <c r="C28" i="6"/>
  <c r="AG28" i="6" l="1"/>
  <c r="AH28" i="6" s="1"/>
  <c r="AI28" i="6" s="1"/>
  <c r="AJ28" i="6" s="1"/>
  <c r="AL28" i="6" s="1"/>
  <c r="AM28" i="6" s="1"/>
  <c r="AN28" i="6" s="1"/>
  <c r="AO28" i="6" s="1"/>
  <c r="AQ28" i="6" s="1"/>
  <c r="AR28" i="6" s="1"/>
  <c r="AS28" i="6" s="1"/>
  <c r="AT28" i="6" s="1"/>
  <c r="AV28" i="6" s="1"/>
  <c r="AW28" i="6" s="1"/>
  <c r="AX28" i="6" s="1"/>
  <c r="AY28" i="6" s="1"/>
  <c r="BA28" i="6" s="1"/>
  <c r="BB28" i="6" s="1"/>
  <c r="BC28" i="6" s="1"/>
  <c r="BD28" i="6" s="1"/>
  <c r="BF28" i="6" s="1"/>
  <c r="BG28" i="6" s="1"/>
  <c r="BH28" i="6" s="1"/>
  <c r="BI28" i="6" s="1"/>
  <c r="BK28" i="6" s="1"/>
  <c r="BL28" i="6" s="1"/>
  <c r="BM28" i="6" s="1"/>
  <c r="BN28" i="6" s="1"/>
  <c r="BP28" i="6" s="1"/>
  <c r="BQ28" i="6" s="1"/>
  <c r="BR28" i="6" s="1"/>
  <c r="BS28" i="6" s="1"/>
  <c r="BU28" i="6" s="1"/>
  <c r="BV28" i="6" s="1"/>
  <c r="BW28" i="6" s="1"/>
  <c r="BX28" i="6" s="1"/>
  <c r="BZ28" i="6" s="1"/>
  <c r="CA28" i="6" s="1"/>
  <c r="CB28" i="6" s="1"/>
  <c r="CC28" i="6" s="1"/>
  <c r="CE28" i="6" s="1"/>
  <c r="CF28" i="6" s="1"/>
  <c r="CG28" i="6" s="1"/>
  <c r="CH28" i="6" s="1"/>
  <c r="CJ28" i="6" s="1"/>
  <c r="CK28" i="6" s="1"/>
  <c r="CL28" i="6" s="1"/>
  <c r="CM28" i="6" s="1"/>
  <c r="CO28" i="6" s="1"/>
  <c r="CP28" i="6" s="1"/>
  <c r="CQ28" i="6" s="1"/>
  <c r="CR28" i="6" s="1"/>
  <c r="CT28" i="6" s="1"/>
  <c r="CU28" i="6" s="1"/>
  <c r="CV28" i="6" s="1"/>
  <c r="CW28" i="6" s="1"/>
  <c r="CX28" i="6" s="1"/>
  <c r="AB17" i="5"/>
  <c r="AB16" i="5" s="1"/>
  <c r="X17" i="5"/>
  <c r="X16" i="5" s="1"/>
  <c r="P17" i="5"/>
  <c r="O16" i="5"/>
  <c r="B16" i="5"/>
  <c r="R16" i="5"/>
  <c r="B11" i="5"/>
  <c r="B5" i="7"/>
  <c r="AC14" i="7"/>
  <c r="B14" i="7"/>
  <c r="AD18" i="7"/>
  <c r="AD19" i="7"/>
  <c r="AC18" i="7"/>
  <c r="AC19" i="7"/>
  <c r="AC20" i="7"/>
  <c r="AB14" i="7"/>
  <c r="AF14" i="7"/>
  <c r="AD14" i="7"/>
  <c r="AE14" i="7"/>
  <c r="AD15" i="7"/>
  <c r="C14" i="7"/>
  <c r="D14" i="7"/>
  <c r="E14" i="7"/>
  <c r="F14" i="7"/>
  <c r="G14" i="7"/>
  <c r="H14" i="7"/>
  <c r="I14" i="7"/>
  <c r="J14" i="7"/>
  <c r="K14" i="7"/>
  <c r="L14" i="7"/>
  <c r="M14" i="7"/>
  <c r="N14" i="7"/>
  <c r="O14" i="7"/>
  <c r="P14" i="7"/>
  <c r="Q14" i="7"/>
  <c r="R14" i="7"/>
  <c r="S14" i="7"/>
  <c r="T14" i="7"/>
  <c r="U14" i="7"/>
  <c r="V14" i="7"/>
  <c r="W14" i="7"/>
  <c r="X14" i="7"/>
  <c r="Y14" i="7"/>
  <c r="Z14" i="7"/>
  <c r="AA14" i="7"/>
  <c r="B17" i="7"/>
  <c r="AC16" i="7" l="1"/>
  <c r="AF20" i="7"/>
  <c r="AD20" i="7"/>
  <c r="AE20" i="7"/>
  <c r="D22" i="7"/>
  <c r="AC23" i="7"/>
  <c r="B23" i="7"/>
  <c r="AC26" i="7"/>
  <c r="AC25" i="7"/>
  <c r="C15" i="7"/>
  <c r="D16" i="7"/>
  <c r="C16" i="7"/>
  <c r="Q17" i="7"/>
  <c r="C17" i="7"/>
  <c r="D17" i="7"/>
  <c r="E17" i="7"/>
  <c r="F17" i="7"/>
  <c r="G17" i="7"/>
  <c r="H17" i="7"/>
  <c r="I17" i="7"/>
  <c r="J17" i="7"/>
  <c r="K17" i="7"/>
  <c r="L17" i="7"/>
  <c r="M17" i="7"/>
  <c r="N17" i="7"/>
  <c r="O17" i="7"/>
  <c r="P17" i="7"/>
  <c r="R17" i="7"/>
  <c r="S17" i="7"/>
  <c r="T17" i="7"/>
  <c r="U17" i="7"/>
  <c r="V17" i="7"/>
  <c r="W17" i="7"/>
  <c r="X17" i="7"/>
  <c r="Y17" i="7"/>
  <c r="Z17" i="7"/>
  <c r="AA17" i="7"/>
  <c r="AB17" i="7"/>
  <c r="AC17" i="7"/>
  <c r="AD17" i="7"/>
  <c r="AE17" i="7"/>
  <c r="AF17" i="7"/>
  <c r="Q20" i="7"/>
  <c r="C20" i="7"/>
  <c r="D20" i="7"/>
  <c r="E20" i="7"/>
  <c r="F20" i="7"/>
  <c r="G20" i="7"/>
  <c r="H20" i="7"/>
  <c r="I20" i="7"/>
  <c r="J20" i="7"/>
  <c r="K20" i="7"/>
  <c r="L20" i="7"/>
  <c r="M20" i="7"/>
  <c r="N20" i="7"/>
  <c r="O20" i="7"/>
  <c r="P20" i="7"/>
  <c r="B20" i="7"/>
  <c r="R20" i="7"/>
  <c r="S20" i="7"/>
  <c r="T20" i="7"/>
  <c r="U20" i="7"/>
  <c r="V20" i="7"/>
  <c r="W20" i="7"/>
  <c r="X20" i="7"/>
  <c r="Y20" i="7"/>
  <c r="Z20" i="7"/>
  <c r="AA20" i="7"/>
  <c r="AB20" i="7"/>
  <c r="Y25" i="7"/>
  <c r="Q25" i="7"/>
  <c r="Q23" i="7"/>
  <c r="Y24" i="7"/>
  <c r="Q24" i="7"/>
  <c r="DH30" i="6" l="1"/>
  <c r="CX30" i="6"/>
  <c r="CN30" i="6"/>
  <c r="CE30" i="6"/>
  <c r="BV30" i="6"/>
  <c r="BN30" i="6"/>
  <c r="BF30" i="6"/>
  <c r="DL26" i="6"/>
  <c r="CZ26" i="6"/>
  <c r="CN26" i="6"/>
  <c r="CE26" i="6"/>
  <c r="BV26" i="6"/>
  <c r="BN26" i="6"/>
  <c r="BF26" i="6"/>
  <c r="AX26" i="6"/>
  <c r="AR26" i="6"/>
  <c r="AP26" i="6"/>
  <c r="AF26" i="6"/>
  <c r="V26" i="6"/>
  <c r="C42" i="6" l="1"/>
  <c r="D42" i="6"/>
  <c r="E42" i="6"/>
  <c r="F42" i="6"/>
  <c r="G42" i="6"/>
  <c r="H42" i="6"/>
  <c r="I42" i="6"/>
  <c r="J42" i="6"/>
  <c r="K42" i="6"/>
  <c r="L42" i="6"/>
  <c r="M42" i="6"/>
  <c r="N42" i="6"/>
  <c r="O42" i="6"/>
  <c r="P42" i="6"/>
  <c r="Q42" i="6"/>
  <c r="R42" i="6"/>
  <c r="S42" i="6"/>
  <c r="T42" i="6"/>
  <c r="U42" i="6"/>
  <c r="V42" i="6"/>
  <c r="W42" i="6"/>
  <c r="X42" i="6"/>
  <c r="Y42" i="6"/>
  <c r="Z42" i="6"/>
  <c r="AA42" i="6"/>
  <c r="AB42" i="6"/>
  <c r="AC42" i="6"/>
  <c r="AD42" i="6"/>
  <c r="AE42" i="6"/>
  <c r="AF42" i="6"/>
  <c r="AG42" i="6"/>
  <c r="AH42" i="6"/>
  <c r="AI42" i="6"/>
  <c r="AJ42" i="6"/>
  <c r="AK42" i="6"/>
  <c r="AL42" i="6"/>
  <c r="AM42" i="6"/>
  <c r="AN42" i="6"/>
  <c r="AO42" i="6"/>
  <c r="AP42" i="6"/>
  <c r="AQ42" i="6"/>
  <c r="AR42" i="6"/>
  <c r="AS42" i="6"/>
  <c r="AT42" i="6"/>
  <c r="AU42" i="6"/>
  <c r="AV42" i="6"/>
  <c r="AW42" i="6"/>
  <c r="AX42" i="6"/>
  <c r="AY42" i="6"/>
  <c r="AZ42" i="6"/>
  <c r="BA42" i="6"/>
  <c r="BB42" i="6"/>
  <c r="BC42" i="6"/>
  <c r="BD42" i="6"/>
  <c r="BE42" i="6"/>
  <c r="BF42" i="6"/>
  <c r="BG42" i="6"/>
  <c r="BH42" i="6"/>
  <c r="BI42" i="6"/>
  <c r="BJ42" i="6"/>
  <c r="BK42" i="6"/>
  <c r="BL42" i="6"/>
  <c r="BM42" i="6"/>
  <c r="BN42" i="6"/>
  <c r="BO42" i="6"/>
  <c r="BP42" i="6"/>
  <c r="BQ42" i="6"/>
  <c r="BR42" i="6"/>
  <c r="BS42" i="6"/>
  <c r="BT42" i="6"/>
  <c r="BU42" i="6"/>
  <c r="BV42" i="6"/>
  <c r="BW42" i="6"/>
  <c r="BX42" i="6"/>
  <c r="BY42" i="6"/>
  <c r="BZ42" i="6"/>
  <c r="CA42" i="6"/>
  <c r="CB42" i="6"/>
  <c r="CC42" i="6"/>
  <c r="CD42" i="6"/>
  <c r="CE42" i="6"/>
  <c r="CF42" i="6"/>
  <c r="CG42" i="6"/>
  <c r="CH42" i="6"/>
  <c r="CI42" i="6"/>
  <c r="CJ42" i="6"/>
  <c r="CK42" i="6"/>
  <c r="CL42" i="6"/>
  <c r="CM42" i="6"/>
  <c r="CN42" i="6"/>
  <c r="CO42" i="6"/>
  <c r="CP42" i="6"/>
  <c r="CQ42" i="6"/>
  <c r="CR42" i="6"/>
  <c r="CS42" i="6"/>
  <c r="CT42" i="6"/>
  <c r="CU42" i="6"/>
  <c r="CV42" i="6"/>
  <c r="CW42" i="6"/>
  <c r="CX42" i="6"/>
  <c r="CY42" i="6"/>
  <c r="CZ42" i="6"/>
  <c r="DA42" i="6"/>
  <c r="DB42" i="6"/>
  <c r="DC42" i="6"/>
  <c r="DD42" i="6"/>
  <c r="DE42" i="6"/>
  <c r="DF42" i="6"/>
  <c r="DG42" i="6"/>
  <c r="DH42" i="6"/>
  <c r="DI42" i="6"/>
  <c r="DJ42" i="6"/>
  <c r="DK42" i="6"/>
  <c r="DL42" i="6"/>
  <c r="DM42" i="6"/>
  <c r="DN42" i="6"/>
  <c r="DO42" i="6"/>
  <c r="DP42" i="6"/>
  <c r="DQ42" i="6"/>
  <c r="DR42" i="6"/>
  <c r="D46" i="6"/>
  <c r="E46" i="6"/>
  <c r="F46" i="6"/>
  <c r="G46" i="6"/>
  <c r="H46" i="6"/>
  <c r="I46" i="6"/>
  <c r="J46" i="6"/>
  <c r="K46" i="6"/>
  <c r="L46" i="6"/>
  <c r="M46" i="6"/>
  <c r="N46" i="6"/>
  <c r="O46" i="6"/>
  <c r="P46" i="6"/>
  <c r="Q46" i="6"/>
  <c r="R46" i="6"/>
  <c r="S46" i="6"/>
  <c r="T46" i="6"/>
  <c r="U46" i="6"/>
  <c r="V46" i="6"/>
  <c r="W46" i="6"/>
  <c r="X46" i="6"/>
  <c r="Y46" i="6"/>
  <c r="Z46" i="6"/>
  <c r="AA46" i="6"/>
  <c r="AB46" i="6"/>
  <c r="AC46" i="6"/>
  <c r="AD46" i="6"/>
  <c r="AE46" i="6"/>
  <c r="AF46" i="6"/>
  <c r="C40" i="6"/>
  <c r="C46" i="6"/>
  <c r="D45" i="6"/>
  <c r="E45" i="6"/>
  <c r="F45" i="6"/>
  <c r="G45" i="6"/>
  <c r="H45" i="6"/>
  <c r="I45" i="6"/>
  <c r="J45" i="6"/>
  <c r="K45" i="6"/>
  <c r="L45" i="6"/>
  <c r="M45" i="6"/>
  <c r="N45" i="6"/>
  <c r="O45" i="6"/>
  <c r="P45" i="6"/>
  <c r="Q45" i="6"/>
  <c r="R45" i="6"/>
  <c r="S45" i="6"/>
  <c r="T45" i="6"/>
  <c r="U45" i="6"/>
  <c r="V45" i="6"/>
  <c r="W45" i="6"/>
  <c r="X45" i="6"/>
  <c r="Y45" i="6"/>
  <c r="Z45" i="6"/>
  <c r="AA45" i="6"/>
  <c r="AB45" i="6"/>
  <c r="AC45" i="6"/>
  <c r="AD45" i="6"/>
  <c r="AE45" i="6"/>
  <c r="AF45" i="6"/>
  <c r="AG45" i="6"/>
  <c r="AH45" i="6"/>
  <c r="AI45" i="6"/>
  <c r="AJ45" i="6"/>
  <c r="AK45" i="6"/>
  <c r="AL45" i="6"/>
  <c r="AM45" i="6"/>
  <c r="AN45" i="6"/>
  <c r="AO45" i="6"/>
  <c r="AP45" i="6"/>
  <c r="AQ45" i="6"/>
  <c r="AR45" i="6"/>
  <c r="AS45" i="6"/>
  <c r="AT45" i="6"/>
  <c r="AU45" i="6"/>
  <c r="AV45" i="6"/>
  <c r="AW45" i="6"/>
  <c r="AX45" i="6"/>
  <c r="AY45" i="6"/>
  <c r="AZ45" i="6"/>
  <c r="BA45" i="6"/>
  <c r="BB45" i="6"/>
  <c r="BC45" i="6"/>
  <c r="BD45" i="6"/>
  <c r="BE45" i="6"/>
  <c r="BF45" i="6"/>
  <c r="BG45" i="6"/>
  <c r="BH45" i="6"/>
  <c r="BI45" i="6"/>
  <c r="BJ45" i="6"/>
  <c r="BK45" i="6"/>
  <c r="BL45" i="6"/>
  <c r="BM45" i="6"/>
  <c r="BN45" i="6"/>
  <c r="BO45" i="6"/>
  <c r="BP45" i="6"/>
  <c r="BQ45" i="6"/>
  <c r="BR45" i="6"/>
  <c r="BS45" i="6"/>
  <c r="BT45" i="6"/>
  <c r="BU45" i="6"/>
  <c r="BV45" i="6"/>
  <c r="BW45" i="6"/>
  <c r="BX45" i="6"/>
  <c r="BY45" i="6"/>
  <c r="BZ45" i="6"/>
  <c r="CA45" i="6"/>
  <c r="CB45" i="6"/>
  <c r="CC45" i="6"/>
  <c r="CD45" i="6"/>
  <c r="CE45" i="6"/>
  <c r="CF45" i="6"/>
  <c r="CG45" i="6"/>
  <c r="CH45" i="6"/>
  <c r="CI45" i="6"/>
  <c r="CJ45" i="6"/>
  <c r="CK45" i="6"/>
  <c r="CL45" i="6"/>
  <c r="CM45" i="6"/>
  <c r="CN45" i="6"/>
  <c r="CO45" i="6"/>
  <c r="CP45" i="6"/>
  <c r="CQ45" i="6"/>
  <c r="CR45" i="6"/>
  <c r="CS45" i="6"/>
  <c r="CT45" i="6"/>
  <c r="CU45" i="6"/>
  <c r="CV45" i="6"/>
  <c r="CW45" i="6"/>
  <c r="CX45" i="6"/>
  <c r="CY45" i="6"/>
  <c r="CZ45" i="6"/>
  <c r="DA45" i="6"/>
  <c r="DB45" i="6"/>
  <c r="DC45" i="6"/>
  <c r="DD45" i="6"/>
  <c r="DE45" i="6"/>
  <c r="DF45" i="6"/>
  <c r="DG45" i="6"/>
  <c r="DH45" i="6"/>
  <c r="DI45" i="6"/>
  <c r="DJ45" i="6"/>
  <c r="DK45" i="6"/>
  <c r="DL45" i="6"/>
  <c r="DM45" i="6"/>
  <c r="DN45" i="6"/>
  <c r="DO45" i="6"/>
  <c r="DP45" i="6"/>
  <c r="DQ45" i="6"/>
  <c r="DR45" i="6"/>
  <c r="C45" i="6"/>
  <c r="DR43" i="6"/>
  <c r="D43" i="6"/>
  <c r="E43" i="6"/>
  <c r="F43" i="6"/>
  <c r="G43" i="6"/>
  <c r="H43" i="6"/>
  <c r="I43" i="6"/>
  <c r="J43" i="6"/>
  <c r="K43" i="6"/>
  <c r="L43" i="6"/>
  <c r="M43" i="6"/>
  <c r="N43" i="6"/>
  <c r="O43" i="6"/>
  <c r="P43" i="6"/>
  <c r="Q43" i="6"/>
  <c r="R43" i="6"/>
  <c r="S43" i="6"/>
  <c r="T43" i="6"/>
  <c r="U43" i="6"/>
  <c r="V43" i="6"/>
  <c r="W43" i="6"/>
  <c r="X43" i="6"/>
  <c r="Y43" i="6"/>
  <c r="Z43" i="6"/>
  <c r="AA43" i="6"/>
  <c r="AB43" i="6"/>
  <c r="AC43" i="6"/>
  <c r="AD43" i="6"/>
  <c r="AE43" i="6"/>
  <c r="AF43" i="6"/>
  <c r="AG43" i="6"/>
  <c r="AH43" i="6"/>
  <c r="AI43" i="6"/>
  <c r="AJ43" i="6"/>
  <c r="AK43" i="6"/>
  <c r="AL43" i="6"/>
  <c r="AM43" i="6"/>
  <c r="AN43" i="6"/>
  <c r="AO43" i="6"/>
  <c r="AP43" i="6"/>
  <c r="AQ43" i="6"/>
  <c r="AR43" i="6"/>
  <c r="AS43" i="6"/>
  <c r="AT43" i="6"/>
  <c r="AU43" i="6"/>
  <c r="AV43" i="6"/>
  <c r="AW43" i="6"/>
  <c r="AX43" i="6"/>
  <c r="AY43" i="6"/>
  <c r="AZ43" i="6"/>
  <c r="BA43" i="6"/>
  <c r="BB43" i="6"/>
  <c r="BC43" i="6"/>
  <c r="BD43" i="6"/>
  <c r="BE43" i="6"/>
  <c r="BF43" i="6"/>
  <c r="BG43" i="6"/>
  <c r="BH43" i="6"/>
  <c r="BI43" i="6"/>
  <c r="BJ43" i="6"/>
  <c r="BK43" i="6"/>
  <c r="BL43" i="6"/>
  <c r="BM43" i="6"/>
  <c r="BN43" i="6"/>
  <c r="BO43" i="6"/>
  <c r="BP43" i="6"/>
  <c r="BQ43" i="6"/>
  <c r="BR43" i="6"/>
  <c r="BS43" i="6"/>
  <c r="BT43" i="6"/>
  <c r="BU43" i="6"/>
  <c r="BV43" i="6"/>
  <c r="BW43" i="6"/>
  <c r="BX43" i="6"/>
  <c r="BY43" i="6"/>
  <c r="BZ43" i="6"/>
  <c r="CA43" i="6"/>
  <c r="CB43" i="6"/>
  <c r="CC43" i="6"/>
  <c r="CD43" i="6"/>
  <c r="CE43" i="6"/>
  <c r="CF43" i="6"/>
  <c r="CG43" i="6"/>
  <c r="CH43" i="6"/>
  <c r="CI43" i="6"/>
  <c r="CJ43" i="6"/>
  <c r="CK43" i="6"/>
  <c r="CL43" i="6"/>
  <c r="CM43" i="6"/>
  <c r="CN43" i="6"/>
  <c r="CO43" i="6"/>
  <c r="CP43" i="6"/>
  <c r="CQ43" i="6"/>
  <c r="CR43" i="6"/>
  <c r="CS43" i="6"/>
  <c r="CT43" i="6"/>
  <c r="CU43" i="6"/>
  <c r="CV43" i="6"/>
  <c r="CW43" i="6"/>
  <c r="CX43" i="6"/>
  <c r="CY43" i="6"/>
  <c r="CZ43" i="6"/>
  <c r="DA43" i="6"/>
  <c r="DB43" i="6"/>
  <c r="DC43" i="6"/>
  <c r="DD43" i="6"/>
  <c r="DE43" i="6"/>
  <c r="DF43" i="6"/>
  <c r="DG43" i="6"/>
  <c r="DH43" i="6"/>
  <c r="DI43" i="6"/>
  <c r="DJ43" i="6"/>
  <c r="DK43" i="6"/>
  <c r="DL43" i="6"/>
  <c r="DM43" i="6"/>
  <c r="DN43" i="6"/>
  <c r="DO43" i="6"/>
  <c r="DP43" i="6"/>
  <c r="DQ43" i="6"/>
  <c r="C43" i="6"/>
  <c r="D31" i="6"/>
  <c r="E31" i="6"/>
  <c r="F31" i="6"/>
  <c r="G31" i="6"/>
  <c r="H31" i="6"/>
  <c r="I31" i="6"/>
  <c r="J31" i="6"/>
  <c r="K31" i="6"/>
  <c r="L31" i="6"/>
  <c r="M31" i="6"/>
  <c r="N31" i="6"/>
  <c r="O31" i="6"/>
  <c r="P31" i="6"/>
  <c r="Q31" i="6"/>
  <c r="R31" i="6"/>
  <c r="S31" i="6"/>
  <c r="T31" i="6"/>
  <c r="U31" i="6"/>
  <c r="V31" i="6"/>
  <c r="W31" i="6"/>
  <c r="X31" i="6"/>
  <c r="Y31" i="6"/>
  <c r="Z31" i="6"/>
  <c r="AA31" i="6"/>
  <c r="AB31" i="6"/>
  <c r="AC31" i="6"/>
  <c r="AD31" i="6"/>
  <c r="AE31" i="6"/>
  <c r="AF31" i="6"/>
  <c r="AG31" i="6"/>
  <c r="AH31" i="6"/>
  <c r="AI31" i="6"/>
  <c r="AJ31" i="6"/>
  <c r="AK31" i="6"/>
  <c r="AL31" i="6"/>
  <c r="AM31" i="6"/>
  <c r="AN31" i="6"/>
  <c r="AO31" i="6"/>
  <c r="AP31" i="6"/>
  <c r="AQ31" i="6"/>
  <c r="AR31" i="6"/>
  <c r="AS31" i="6"/>
  <c r="AT31" i="6"/>
  <c r="AU31" i="6"/>
  <c r="AV31" i="6"/>
  <c r="AW31" i="6"/>
  <c r="AX31" i="6"/>
  <c r="AY31" i="6"/>
  <c r="AZ31" i="6"/>
  <c r="BA31" i="6"/>
  <c r="BB31" i="6"/>
  <c r="BC31" i="6"/>
  <c r="BD31" i="6"/>
  <c r="BE31" i="6"/>
  <c r="BF31" i="6"/>
  <c r="BG31" i="6"/>
  <c r="BH31" i="6"/>
  <c r="BI31" i="6"/>
  <c r="BJ31" i="6"/>
  <c r="BK31" i="6"/>
  <c r="BL31" i="6"/>
  <c r="BM31" i="6"/>
  <c r="BN31" i="6"/>
  <c r="BO31" i="6"/>
  <c r="BP31" i="6"/>
  <c r="BQ31" i="6"/>
  <c r="BR31" i="6"/>
  <c r="BS31" i="6"/>
  <c r="BT31" i="6"/>
  <c r="BU31" i="6"/>
  <c r="BV31" i="6"/>
  <c r="BW31" i="6"/>
  <c r="BX31" i="6"/>
  <c r="BY31" i="6"/>
  <c r="BZ31" i="6"/>
  <c r="CA31" i="6"/>
  <c r="CB31" i="6"/>
  <c r="CC31" i="6"/>
  <c r="CD31" i="6"/>
  <c r="CE31" i="6"/>
  <c r="CF31" i="6"/>
  <c r="CG31" i="6"/>
  <c r="CH31" i="6"/>
  <c r="C31" i="6"/>
  <c r="D25" i="6"/>
  <c r="E25" i="6"/>
  <c r="F25" i="6"/>
  <c r="G25" i="6"/>
  <c r="H25" i="6"/>
  <c r="I25" i="6"/>
  <c r="J25" i="6"/>
  <c r="K25" i="6"/>
  <c r="L25" i="6"/>
  <c r="M25" i="6"/>
  <c r="N25" i="6"/>
  <c r="O25" i="6"/>
  <c r="P25" i="6"/>
  <c r="Q25" i="6"/>
  <c r="R25" i="6"/>
  <c r="S25" i="6"/>
  <c r="T25" i="6"/>
  <c r="U25" i="6"/>
  <c r="V25" i="6"/>
  <c r="C25" i="6"/>
  <c r="C44" i="6"/>
  <c r="D44" i="6" l="1"/>
  <c r="E44" i="6" l="1"/>
  <c r="F44" i="6" l="1"/>
  <c r="G44" i="6" l="1"/>
  <c r="H44" i="6" l="1"/>
  <c r="I44" i="6" l="1"/>
  <c r="J44" i="6" l="1"/>
  <c r="K44" i="6" l="1"/>
  <c r="L44" i="6" l="1"/>
  <c r="M44" i="6" l="1"/>
  <c r="N44" i="6" l="1"/>
  <c r="O44" i="6" l="1"/>
  <c r="P44" i="6" l="1"/>
  <c r="Q44" i="6" l="1"/>
  <c r="R44" i="6" l="1"/>
  <c r="S44" i="6" l="1"/>
  <c r="T44" i="6" l="1"/>
  <c r="U44" i="6" l="1"/>
  <c r="V44" i="6" l="1"/>
  <c r="W44" i="6" l="1"/>
  <c r="X44" i="6" l="1"/>
  <c r="Y44" i="6" l="1"/>
  <c r="Z44" i="6" l="1"/>
  <c r="AA44" i="6" l="1"/>
  <c r="AB44" i="6" l="1"/>
  <c r="AC44" i="6" l="1"/>
  <c r="AD44" i="6" l="1"/>
  <c r="AE44" i="6" l="1"/>
  <c r="AF44" i="6" l="1"/>
  <c r="AG44" i="6" s="1"/>
  <c r="AH44" i="6" l="1"/>
  <c r="AI44" i="6" l="1"/>
  <c r="AJ44" i="6" l="1"/>
  <c r="AK44" i="6" l="1"/>
  <c r="AL44" i="6" l="1"/>
  <c r="AM44" i="6" l="1"/>
  <c r="AN44" i="6" l="1"/>
  <c r="AO44" i="6" l="1"/>
  <c r="AP44" i="6" l="1"/>
  <c r="AQ44" i="6" l="1"/>
  <c r="AR44" i="6" l="1"/>
  <c r="AS44" i="6" l="1"/>
  <c r="AT44" i="6" l="1"/>
  <c r="AU44" i="6" l="1"/>
  <c r="AV44" i="6" l="1"/>
  <c r="AW44" i="6" l="1"/>
  <c r="AX44" i="6" l="1"/>
  <c r="AY44" i="6" l="1"/>
  <c r="AZ44" i="6" l="1"/>
  <c r="BA44" i="6" l="1"/>
  <c r="BB44" i="6" l="1"/>
  <c r="BC44" i="6" l="1"/>
  <c r="BD44" i="6" l="1"/>
  <c r="BE44" i="6" l="1"/>
  <c r="BF44" i="6" l="1"/>
  <c r="BG44" i="6" l="1"/>
  <c r="BH44" i="6" l="1"/>
  <c r="BI44" i="6" l="1"/>
  <c r="BJ44" i="6" l="1"/>
  <c r="BK44" i="6" l="1"/>
  <c r="BL44" i="6" l="1"/>
  <c r="BM44" i="6" l="1"/>
  <c r="BN44" i="6" l="1"/>
  <c r="BO44" i="6" l="1"/>
  <c r="BP44" i="6" l="1"/>
  <c r="BQ44" i="6" l="1"/>
  <c r="BR44" i="6" l="1"/>
  <c r="BS44" i="6" l="1"/>
  <c r="BT44" i="6" l="1"/>
  <c r="BU44" i="6" l="1"/>
  <c r="BV44" i="6" l="1"/>
  <c r="BW44" i="6" l="1"/>
  <c r="BX44" i="6" l="1"/>
  <c r="BY44" i="6" l="1"/>
  <c r="BZ44" i="6" l="1"/>
  <c r="CA44" i="6" l="1"/>
  <c r="CB44" i="6" l="1"/>
  <c r="CC44" i="6" l="1"/>
  <c r="CD44" i="6" l="1"/>
  <c r="C39" i="6"/>
  <c r="D39" i="6"/>
  <c r="E39" i="6"/>
  <c r="F39" i="6"/>
  <c r="G39" i="6"/>
  <c r="H39" i="6"/>
  <c r="I39" i="6"/>
  <c r="J39" i="6"/>
  <c r="K39" i="6"/>
  <c r="L39" i="6"/>
  <c r="M39" i="6"/>
  <c r="N39" i="6"/>
  <c r="O39" i="6"/>
  <c r="P39" i="6"/>
  <c r="Q39" i="6"/>
  <c r="R39" i="6"/>
  <c r="S39" i="6"/>
  <c r="T39" i="6"/>
  <c r="U39" i="6"/>
  <c r="V39" i="6"/>
  <c r="W39" i="6"/>
  <c r="X39" i="6"/>
  <c r="Y39" i="6"/>
  <c r="Z39" i="6"/>
  <c r="AA39" i="6"/>
  <c r="AB39" i="6"/>
  <c r="AC39" i="6"/>
  <c r="AD39" i="6"/>
  <c r="AE39" i="6"/>
  <c r="AF39" i="6"/>
  <c r="AG39" i="6"/>
  <c r="AH39" i="6"/>
  <c r="AI39" i="6"/>
  <c r="AJ39" i="6"/>
  <c r="AK39" i="6"/>
  <c r="AL39" i="6"/>
  <c r="AM39" i="6"/>
  <c r="AN39" i="6"/>
  <c r="AO39" i="6"/>
  <c r="AP39" i="6"/>
  <c r="AQ39" i="6"/>
  <c r="AR39" i="6"/>
  <c r="AS39" i="6"/>
  <c r="AT39" i="6"/>
  <c r="AU39" i="6"/>
  <c r="AV39" i="6"/>
  <c r="AW39" i="6"/>
  <c r="AX39" i="6"/>
  <c r="AY39" i="6"/>
  <c r="AZ39" i="6"/>
  <c r="BA39" i="6"/>
  <c r="BB39" i="6"/>
  <c r="BC39" i="6"/>
  <c r="BD39" i="6"/>
  <c r="BE39" i="6"/>
  <c r="BF39" i="6"/>
  <c r="BG39" i="6"/>
  <c r="BH39" i="6"/>
  <c r="BI39" i="6"/>
  <c r="BJ39" i="6"/>
  <c r="BK39" i="6"/>
  <c r="BL39" i="6"/>
  <c r="BM39" i="6"/>
  <c r="BN39" i="6"/>
  <c r="BO39" i="6"/>
  <c r="BP39" i="6"/>
  <c r="BQ39" i="6"/>
  <c r="BR39" i="6"/>
  <c r="BS39" i="6"/>
  <c r="BT39" i="6"/>
  <c r="BU39" i="6"/>
  <c r="BV39" i="6"/>
  <c r="BW39" i="6"/>
  <c r="BX39" i="6"/>
  <c r="BY39" i="6"/>
  <c r="BZ39" i="6"/>
  <c r="CA39" i="6"/>
  <c r="CB39" i="6"/>
  <c r="CC39" i="6"/>
  <c r="CD39" i="6"/>
  <c r="CE39" i="6"/>
  <c r="CF39" i="6"/>
  <c r="CG39" i="6"/>
  <c r="CH39" i="6"/>
  <c r="CI39" i="6"/>
  <c r="CJ39" i="6"/>
  <c r="CK39" i="6"/>
  <c r="CL39" i="6"/>
  <c r="CM39" i="6"/>
  <c r="CN39" i="6"/>
  <c r="CO39" i="6"/>
  <c r="CP39" i="6"/>
  <c r="CQ39" i="6"/>
  <c r="CR39" i="6"/>
  <c r="CS39" i="6"/>
  <c r="CT39" i="6"/>
  <c r="CU39" i="6"/>
  <c r="CV39" i="6"/>
  <c r="CW39" i="6"/>
  <c r="CX39" i="6"/>
  <c r="CY39" i="6"/>
  <c r="CZ39" i="6"/>
  <c r="DA39" i="6"/>
  <c r="DB39" i="6"/>
  <c r="DC39" i="6"/>
  <c r="DD39" i="6"/>
  <c r="DE39" i="6"/>
  <c r="DF39" i="6"/>
  <c r="DG39" i="6"/>
  <c r="DH39" i="6"/>
  <c r="DI39" i="6"/>
  <c r="DJ39" i="6"/>
  <c r="DK39" i="6"/>
  <c r="DL39" i="6"/>
  <c r="DM39" i="6"/>
  <c r="DN39" i="6"/>
  <c r="DO39" i="6"/>
  <c r="DP39" i="6"/>
  <c r="DQ39" i="6"/>
  <c r="DR39" i="6"/>
  <c r="B39" i="6"/>
  <c r="B46" i="6" s="1"/>
  <c r="C32" i="6"/>
  <c r="C38" i="6" s="1"/>
  <c r="B31" i="6"/>
  <c r="C30" i="6"/>
  <c r="B29" i="6"/>
  <c r="B27" i="6"/>
  <c r="B25" i="6"/>
  <c r="C26" i="6"/>
  <c r="C35" i="6" s="1"/>
  <c r="B23" i="6"/>
  <c r="C24" i="6"/>
  <c r="D24" i="6" s="1"/>
  <c r="B10" i="6"/>
  <c r="B22" i="6" l="1"/>
  <c r="D30" i="6"/>
  <c r="C29" i="6"/>
  <c r="C37" i="6" s="1"/>
  <c r="C27" i="6"/>
  <c r="C36" i="6" s="1"/>
  <c r="CE44" i="6"/>
  <c r="E24" i="6"/>
  <c r="D23" i="6"/>
  <c r="D34" i="6" s="1"/>
  <c r="D32" i="6"/>
  <c r="E32" i="6" s="1"/>
  <c r="F32" i="6" s="1"/>
  <c r="G32" i="6" s="1"/>
  <c r="H32" i="6" s="1"/>
  <c r="I32" i="6" s="1"/>
  <c r="J32" i="6" s="1"/>
  <c r="K32" i="6" s="1"/>
  <c r="L32" i="6" s="1"/>
  <c r="M32" i="6" s="1"/>
  <c r="N32" i="6" s="1"/>
  <c r="O32" i="6" s="1"/>
  <c r="P32" i="6" s="1"/>
  <c r="Q32" i="6" s="1"/>
  <c r="R32" i="6" s="1"/>
  <c r="S32" i="6" s="1"/>
  <c r="T32" i="6" s="1"/>
  <c r="U32" i="6" s="1"/>
  <c r="V32" i="6" s="1"/>
  <c r="W32" i="6" s="1"/>
  <c r="X32" i="6" s="1"/>
  <c r="C23" i="6"/>
  <c r="D26" i="6"/>
  <c r="E26" i="6" s="1"/>
  <c r="F26" i="6" s="1"/>
  <c r="G26" i="6" s="1"/>
  <c r="H26" i="6" s="1"/>
  <c r="I26" i="6" s="1"/>
  <c r="J26" i="6" s="1"/>
  <c r="K26" i="6" s="1"/>
  <c r="L26" i="6" s="1"/>
  <c r="M26" i="6" s="1"/>
  <c r="N26" i="6" s="1"/>
  <c r="O26" i="6" s="1"/>
  <c r="F24" i="6"/>
  <c r="G24" i="6" s="1"/>
  <c r="H24" i="6" s="1"/>
  <c r="I24" i="6" s="1"/>
  <c r="J24" i="6" s="1"/>
  <c r="K24" i="6" s="1"/>
  <c r="L24" i="6" s="1"/>
  <c r="M24" i="6" s="1"/>
  <c r="N24" i="6" s="1"/>
  <c r="O24" i="6" s="1"/>
  <c r="P24" i="6" s="1"/>
  <c r="Q24" i="6" s="1"/>
  <c r="R24" i="6" s="1"/>
  <c r="S24" i="6" s="1"/>
  <c r="T24" i="6" s="1"/>
  <c r="U24" i="6" s="1"/>
  <c r="V24" i="6" s="1"/>
  <c r="W24" i="6" s="1"/>
  <c r="X24" i="6" s="1"/>
  <c r="Y24" i="6" s="1"/>
  <c r="Z24" i="6" s="1"/>
  <c r="AA24" i="6" s="1"/>
  <c r="AB24" i="6" s="1"/>
  <c r="AC24" i="6" s="1"/>
  <c r="E23" i="6"/>
  <c r="E34" i="6" s="1"/>
  <c r="D27" i="6" l="1"/>
  <c r="E30" i="6"/>
  <c r="D29" i="6"/>
  <c r="D37" i="6" s="1"/>
  <c r="CF44" i="6"/>
  <c r="C22" i="6"/>
  <c r="C34" i="6"/>
  <c r="C33" i="6" s="1"/>
  <c r="P26" i="6"/>
  <c r="Q26" i="6" s="1"/>
  <c r="R26" i="6" s="1"/>
  <c r="S26" i="6" s="1"/>
  <c r="T26" i="6" s="1"/>
  <c r="U26" i="6" s="1"/>
  <c r="W26" i="6" s="1"/>
  <c r="O35" i="6"/>
  <c r="F23" i="6"/>
  <c r="F34" i="6" s="1"/>
  <c r="G23" i="6"/>
  <c r="G34" i="6" s="1"/>
  <c r="Y32" i="6"/>
  <c r="Z32" i="6" s="1"/>
  <c r="AA32" i="6" s="1"/>
  <c r="AB32" i="6" s="1"/>
  <c r="AC32" i="6" s="1"/>
  <c r="AD32" i="6" s="1"/>
  <c r="AE32" i="6" s="1"/>
  <c r="AF32" i="6" s="1"/>
  <c r="H23" i="6"/>
  <c r="H34" i="6" s="1"/>
  <c r="X26" i="6" l="1"/>
  <c r="W25" i="6"/>
  <c r="E29" i="6"/>
  <c r="E37" i="6" s="1"/>
  <c r="B43" i="6" s="1"/>
  <c r="B61" i="6" s="1"/>
  <c r="F30" i="6"/>
  <c r="E27" i="6"/>
  <c r="CG44" i="6"/>
  <c r="AG32" i="6"/>
  <c r="AH32" i="6" s="1"/>
  <c r="AI32" i="6" s="1"/>
  <c r="AJ32" i="6" s="1"/>
  <c r="AK32" i="6" s="1"/>
  <c r="AL32" i="6" s="1"/>
  <c r="AM32" i="6" s="1"/>
  <c r="AN32" i="6" s="1"/>
  <c r="I23" i="6"/>
  <c r="I34" i="6" s="1"/>
  <c r="Y26" i="6" l="1"/>
  <c r="X25" i="6"/>
  <c r="F29" i="6"/>
  <c r="F37" i="6" s="1"/>
  <c r="G30" i="6"/>
  <c r="F27" i="6"/>
  <c r="CH44" i="6"/>
  <c r="AO32" i="6"/>
  <c r="AP32" i="6" s="1"/>
  <c r="AQ32" i="6" s="1"/>
  <c r="AR32" i="6" s="1"/>
  <c r="AS32" i="6" s="1"/>
  <c r="AT32" i="6" s="1"/>
  <c r="AU32" i="6" s="1"/>
  <c r="AV32" i="6" s="1"/>
  <c r="AW32" i="6" s="1"/>
  <c r="AX32" i="6" s="1"/>
  <c r="AY32" i="6" s="1"/>
  <c r="AZ32" i="6" s="1"/>
  <c r="BA32" i="6" s="1"/>
  <c r="BB32" i="6" s="1"/>
  <c r="BC32" i="6" s="1"/>
  <c r="BD32" i="6" s="1"/>
  <c r="BE32" i="6" s="1"/>
  <c r="BF32" i="6" s="1"/>
  <c r="BG32" i="6" s="1"/>
  <c r="BH32" i="6" s="1"/>
  <c r="BI32" i="6" s="1"/>
  <c r="BJ32" i="6" s="1"/>
  <c r="BK32" i="6" s="1"/>
  <c r="J23" i="6"/>
  <c r="J34" i="6" s="1"/>
  <c r="G27" i="6" l="1"/>
  <c r="G29" i="6"/>
  <c r="G37" i="6" s="1"/>
  <c r="H30" i="6"/>
  <c r="Z26" i="6"/>
  <c r="Y25" i="6"/>
  <c r="CI44" i="6"/>
  <c r="BL32" i="6"/>
  <c r="BK38" i="6"/>
  <c r="K23" i="6"/>
  <c r="K34" i="6" s="1"/>
  <c r="V23" i="7"/>
  <c r="AA26" i="6" l="1"/>
  <c r="Z25" i="6"/>
  <c r="H29" i="6"/>
  <c r="H37" i="6" s="1"/>
  <c r="I30" i="6"/>
  <c r="H27" i="6"/>
  <c r="CJ44" i="6"/>
  <c r="BL38" i="6"/>
  <c r="BM32" i="6"/>
  <c r="L23" i="6"/>
  <c r="L34" i="6" s="1"/>
  <c r="U16" i="5"/>
  <c r="I27" i="6" l="1"/>
  <c r="I29" i="6"/>
  <c r="I37" i="6" s="1"/>
  <c r="J30" i="6"/>
  <c r="AB26" i="6"/>
  <c r="AA25" i="6"/>
  <c r="CK44" i="6"/>
  <c r="BM38" i="6"/>
  <c r="BN32" i="6"/>
  <c r="M23" i="6"/>
  <c r="M34" i="6" s="1"/>
  <c r="C37" i="7"/>
  <c r="C36" i="7"/>
  <c r="C35" i="7"/>
  <c r="C34" i="7"/>
  <c r="J29" i="6" l="1"/>
  <c r="J37" i="6" s="1"/>
  <c r="K30" i="6"/>
  <c r="AC26" i="6"/>
  <c r="AB25" i="6"/>
  <c r="J27" i="6"/>
  <c r="CL44" i="6"/>
  <c r="BN38" i="6"/>
  <c r="BO32" i="6"/>
  <c r="N23" i="6"/>
  <c r="N34" i="6" s="1"/>
  <c r="C19" i="7"/>
  <c r="C18" i="7" s="1"/>
  <c r="F23" i="7"/>
  <c r="N23" i="7"/>
  <c r="AD23" i="7"/>
  <c r="P23" i="7"/>
  <c r="X23" i="7"/>
  <c r="G23" i="7"/>
  <c r="O23" i="7"/>
  <c r="W23" i="7"/>
  <c r="AE23" i="7"/>
  <c r="H23" i="7"/>
  <c r="AF23" i="7"/>
  <c r="K23" i="7"/>
  <c r="AA23" i="7"/>
  <c r="D23" i="7"/>
  <c r="L23" i="7"/>
  <c r="T23" i="7"/>
  <c r="AB23" i="7"/>
  <c r="I23" i="7"/>
  <c r="Y23" i="7"/>
  <c r="C23" i="7"/>
  <c r="J23" i="7"/>
  <c r="R23" i="7"/>
  <c r="Z23" i="7"/>
  <c r="S23" i="7"/>
  <c r="E23" i="7"/>
  <c r="M23" i="7"/>
  <c r="U23" i="7"/>
  <c r="C22" i="7"/>
  <c r="K27" i="6" l="1"/>
  <c r="AD26" i="6"/>
  <c r="AC25" i="6"/>
  <c r="K29" i="6"/>
  <c r="K37" i="6" s="1"/>
  <c r="L30" i="6"/>
  <c r="CM44" i="6"/>
  <c r="BO38" i="6"/>
  <c r="BP32" i="6"/>
  <c r="O23" i="6"/>
  <c r="O34" i="6" s="1"/>
  <c r="D19" i="7"/>
  <c r="D18" i="7" s="1"/>
  <c r="E19" i="7" s="1"/>
  <c r="E18" i="7" s="1"/>
  <c r="F19" i="7" s="1"/>
  <c r="F18" i="7" s="1"/>
  <c r="G19" i="7" s="1"/>
  <c r="G18" i="7" s="1"/>
  <c r="H19" i="7" s="1"/>
  <c r="H18" i="7" s="1"/>
  <c r="I19" i="7" s="1"/>
  <c r="I18" i="7" s="1"/>
  <c r="J19" i="7" s="1"/>
  <c r="J18" i="7" s="1"/>
  <c r="K19" i="7" s="1"/>
  <c r="K18" i="7" s="1"/>
  <c r="L19" i="7" s="1"/>
  <c r="L18" i="7" s="1"/>
  <c r="M19" i="7" s="1"/>
  <c r="M18" i="7" s="1"/>
  <c r="N19" i="7" s="1"/>
  <c r="N18" i="7" s="1"/>
  <c r="O19" i="7" s="1"/>
  <c r="O18" i="7" s="1"/>
  <c r="P19" i="7" s="1"/>
  <c r="P18" i="7" s="1"/>
  <c r="C21" i="7"/>
  <c r="Q19" i="7" l="1"/>
  <c r="Q18" i="7" s="1"/>
  <c r="R19" i="7" s="1"/>
  <c r="R18" i="7" s="1"/>
  <c r="S19" i="7" s="1"/>
  <c r="S18" i="7" s="1"/>
  <c r="T19" i="7" s="1"/>
  <c r="T18" i="7" s="1"/>
  <c r="U19" i="7" s="1"/>
  <c r="U18" i="7" s="1"/>
  <c r="V19" i="7" s="1"/>
  <c r="V18" i="7" s="1"/>
  <c r="W19" i="7" s="1"/>
  <c r="W18" i="7" s="1"/>
  <c r="X19" i="7" s="1"/>
  <c r="X18" i="7" s="1"/>
  <c r="Y19" i="7" s="1"/>
  <c r="Y18" i="7" s="1"/>
  <c r="Z19" i="7" s="1"/>
  <c r="Z18" i="7" s="1"/>
  <c r="AA19" i="7" s="1"/>
  <c r="AA18" i="7" s="1"/>
  <c r="AB19" i="7" s="1"/>
  <c r="AB18" i="7" s="1"/>
  <c r="AE19" i="7" s="1"/>
  <c r="AE18" i="7" s="1"/>
  <c r="AF19" i="7" s="1"/>
  <c r="AF18" i="7" s="1"/>
  <c r="L29" i="6"/>
  <c r="L37" i="6" s="1"/>
  <c r="M30" i="6"/>
  <c r="AE26" i="6"/>
  <c r="AD25" i="6"/>
  <c r="AD35" i="6" s="1"/>
  <c r="L27" i="6"/>
  <c r="CN44" i="6"/>
  <c r="BP38" i="6"/>
  <c r="BQ32" i="6"/>
  <c r="P23" i="6"/>
  <c r="P34" i="6" s="1"/>
  <c r="D15" i="7"/>
  <c r="E16" i="7" s="1"/>
  <c r="D21" i="7"/>
  <c r="M27" i="6" l="1"/>
  <c r="AE25" i="6"/>
  <c r="AE35" i="6" s="1"/>
  <c r="M29" i="6"/>
  <c r="M37" i="6" s="1"/>
  <c r="N30" i="6"/>
  <c r="CO44" i="6"/>
  <c r="BR32" i="6"/>
  <c r="BQ38" i="6"/>
  <c r="Q23" i="6"/>
  <c r="Q34" i="6" s="1"/>
  <c r="E15" i="7"/>
  <c r="F16" i="7" s="1"/>
  <c r="E22" i="7"/>
  <c r="E21" i="7" s="1"/>
  <c r="N29" i="6" l="1"/>
  <c r="N37" i="6" s="1"/>
  <c r="O30" i="6"/>
  <c r="AF25" i="6"/>
  <c r="AF35" i="6" s="1"/>
  <c r="AG26" i="6"/>
  <c r="N27" i="6"/>
  <c r="CP44" i="6"/>
  <c r="BS32" i="6"/>
  <c r="BR38" i="6"/>
  <c r="R23" i="6"/>
  <c r="R34" i="6" s="1"/>
  <c r="F15" i="7"/>
  <c r="G16" i="7" s="1"/>
  <c r="F22" i="7"/>
  <c r="F21" i="7" s="1"/>
  <c r="AG25" i="6" l="1"/>
  <c r="AG35" i="6" s="1"/>
  <c r="AH26" i="6"/>
  <c r="O27" i="6"/>
  <c r="O29" i="6"/>
  <c r="O37" i="6" s="1"/>
  <c r="P30" i="6"/>
  <c r="CQ44" i="6"/>
  <c r="BS38" i="6"/>
  <c r="BT32" i="6"/>
  <c r="S23" i="6"/>
  <c r="S34" i="6" s="1"/>
  <c r="G15" i="7"/>
  <c r="H16" i="7" s="1"/>
  <c r="G22" i="7"/>
  <c r="G21" i="7" s="1"/>
  <c r="P29" i="6" l="1"/>
  <c r="P37" i="6" s="1"/>
  <c r="Q30" i="6"/>
  <c r="P27" i="6"/>
  <c r="AH25" i="6"/>
  <c r="AH35" i="6" s="1"/>
  <c r="AI26" i="6"/>
  <c r="CR44" i="6"/>
  <c r="BU32" i="6"/>
  <c r="BT38" i="6"/>
  <c r="T23" i="6"/>
  <c r="T34" i="6" s="1"/>
  <c r="H15" i="7"/>
  <c r="I16" i="7" s="1"/>
  <c r="H22" i="7"/>
  <c r="H21" i="7" s="1"/>
  <c r="AI25" i="6" l="1"/>
  <c r="AI35" i="6" s="1"/>
  <c r="AJ26" i="6"/>
  <c r="Q27" i="6"/>
  <c r="Q29" i="6"/>
  <c r="Q37" i="6" s="1"/>
  <c r="R30" i="6"/>
  <c r="CS44" i="6"/>
  <c r="BV32" i="6"/>
  <c r="BU38" i="6"/>
  <c r="U23" i="6"/>
  <c r="U34" i="6" s="1"/>
  <c r="I15" i="7"/>
  <c r="J16" i="7" s="1"/>
  <c r="I22" i="7"/>
  <c r="I21" i="7" s="1"/>
  <c r="R29" i="6" l="1"/>
  <c r="R37" i="6" s="1"/>
  <c r="S30" i="6"/>
  <c r="R27" i="6"/>
  <c r="AJ25" i="6"/>
  <c r="AJ35" i="6" s="1"/>
  <c r="AK26" i="6"/>
  <c r="CT44" i="6"/>
  <c r="BW32" i="6"/>
  <c r="BV38" i="6"/>
  <c r="V23" i="6"/>
  <c r="V34" i="6" s="1"/>
  <c r="J15" i="7"/>
  <c r="K16" i="7" s="1"/>
  <c r="J22" i="7"/>
  <c r="J21" i="7" s="1"/>
  <c r="AK25" i="6" l="1"/>
  <c r="AK35" i="6" s="1"/>
  <c r="AL26" i="6"/>
  <c r="S27" i="6"/>
  <c r="S29" i="6"/>
  <c r="S37" i="6" s="1"/>
  <c r="T30" i="6"/>
  <c r="CU44" i="6"/>
  <c r="BX32" i="6"/>
  <c r="BW38" i="6"/>
  <c r="W23" i="6"/>
  <c r="W34" i="6" s="1"/>
  <c r="K15" i="7"/>
  <c r="L16" i="7" s="1"/>
  <c r="K22" i="7"/>
  <c r="K21" i="7" s="1"/>
  <c r="T29" i="6" l="1"/>
  <c r="T37" i="6" s="1"/>
  <c r="U30" i="6"/>
  <c r="V30" i="6" s="1"/>
  <c r="T27" i="6"/>
  <c r="AL25" i="6"/>
  <c r="AL35" i="6" s="1"/>
  <c r="AM26" i="6"/>
  <c r="CV44" i="6"/>
  <c r="BY32" i="6"/>
  <c r="BX38" i="6"/>
  <c r="X23" i="6"/>
  <c r="X34" i="6" s="1"/>
  <c r="L15" i="7"/>
  <c r="M16" i="7" s="1"/>
  <c r="L22" i="7"/>
  <c r="L21" i="7" s="1"/>
  <c r="U29" i="6" l="1"/>
  <c r="U37" i="6" s="1"/>
  <c r="AM25" i="6"/>
  <c r="AM35" i="6" s="1"/>
  <c r="AN26" i="6"/>
  <c r="U27" i="6"/>
  <c r="CW44" i="6"/>
  <c r="BZ32" i="6"/>
  <c r="BY38" i="6"/>
  <c r="Y23" i="6"/>
  <c r="Y34" i="6" s="1"/>
  <c r="M15" i="7"/>
  <c r="N16" i="7" s="1"/>
  <c r="M22" i="7"/>
  <c r="M21" i="7" s="1"/>
  <c r="AN25" i="6" l="1"/>
  <c r="AN35" i="6" s="1"/>
  <c r="AO26" i="6"/>
  <c r="V27" i="6"/>
  <c r="V29" i="6"/>
  <c r="V37" i="6" s="1"/>
  <c r="W30" i="6"/>
  <c r="CX44" i="6"/>
  <c r="BZ38" i="6"/>
  <c r="CA32" i="6"/>
  <c r="Z23" i="6"/>
  <c r="Z34" i="6" s="1"/>
  <c r="N15" i="7"/>
  <c r="O16" i="7" s="1"/>
  <c r="N22" i="7"/>
  <c r="N21" i="7" s="1"/>
  <c r="W27" i="6" l="1"/>
  <c r="W29" i="6"/>
  <c r="W37" i="6" s="1"/>
  <c r="X30" i="6"/>
  <c r="AO25" i="6"/>
  <c r="AO35" i="6" s="1"/>
  <c r="CY44" i="6"/>
  <c r="CB32" i="6"/>
  <c r="CA38" i="6"/>
  <c r="AA23" i="6"/>
  <c r="AA34" i="6" s="1"/>
  <c r="O15" i="7"/>
  <c r="P16" i="7" s="1"/>
  <c r="O22" i="7"/>
  <c r="O21" i="7" s="1"/>
  <c r="AP25" i="6" l="1"/>
  <c r="AP35" i="6" s="1"/>
  <c r="AQ26" i="6"/>
  <c r="X29" i="6"/>
  <c r="X37" i="6" s="1"/>
  <c r="Y30" i="6"/>
  <c r="X27" i="6"/>
  <c r="CZ44" i="6"/>
  <c r="CC32" i="6"/>
  <c r="CB38" i="6"/>
  <c r="AB23" i="6"/>
  <c r="AB34" i="6" s="1"/>
  <c r="P15" i="7"/>
  <c r="Q16" i="7" s="1"/>
  <c r="P22" i="7"/>
  <c r="P21" i="7" s="1"/>
  <c r="Y27" i="6" l="1"/>
  <c r="Y29" i="6"/>
  <c r="Y37" i="6" s="1"/>
  <c r="Z30" i="6"/>
  <c r="AQ25" i="6"/>
  <c r="AQ35" i="6" s="1"/>
  <c r="DA44" i="6"/>
  <c r="CD32" i="6"/>
  <c r="CC38" i="6"/>
  <c r="AC23" i="6"/>
  <c r="AC34" i="6" s="1"/>
  <c r="Q15" i="7"/>
  <c r="R16" i="7" s="1"/>
  <c r="Q22" i="7"/>
  <c r="Q21" i="7" s="1"/>
  <c r="Z29" i="6" l="1"/>
  <c r="Z37" i="6" s="1"/>
  <c r="AA30" i="6"/>
  <c r="AS26" i="6"/>
  <c r="AR25" i="6"/>
  <c r="AR35" i="6" s="1"/>
  <c r="Z27" i="6"/>
  <c r="DB44" i="6"/>
  <c r="CE32" i="6"/>
  <c r="CD38" i="6"/>
  <c r="R15" i="7"/>
  <c r="S16" i="7" s="1"/>
  <c r="R22" i="7"/>
  <c r="R21" i="7" s="1"/>
  <c r="AA27" i="6" l="1"/>
  <c r="AT26" i="6"/>
  <c r="AS25" i="6"/>
  <c r="AS35" i="6" s="1"/>
  <c r="AA29" i="6"/>
  <c r="AA37" i="6" s="1"/>
  <c r="AB30" i="6"/>
  <c r="DC44" i="6"/>
  <c r="CF32" i="6"/>
  <c r="CE38" i="6"/>
  <c r="S15" i="7"/>
  <c r="T16" i="7" s="1"/>
  <c r="S22" i="7"/>
  <c r="S21" i="7" s="1"/>
  <c r="AT25" i="6" l="1"/>
  <c r="AT35" i="6" s="1"/>
  <c r="AU26" i="6"/>
  <c r="AB29" i="6"/>
  <c r="AB37" i="6" s="1"/>
  <c r="AC30" i="6"/>
  <c r="AB27" i="6"/>
  <c r="DD44" i="6"/>
  <c r="CF38" i="6"/>
  <c r="CG32" i="6"/>
  <c r="T15" i="7"/>
  <c r="U16" i="7" s="1"/>
  <c r="T22" i="7"/>
  <c r="T21" i="7" s="1"/>
  <c r="AC27" i="6" l="1"/>
  <c r="AC29" i="6"/>
  <c r="AC37" i="6" s="1"/>
  <c r="AD30" i="6"/>
  <c r="AU25" i="6"/>
  <c r="AU35" i="6" s="1"/>
  <c r="AV26" i="6"/>
  <c r="DE44" i="6"/>
  <c r="CH32" i="6"/>
  <c r="CH38" i="6" s="1"/>
  <c r="CG38" i="6"/>
  <c r="U15" i="7"/>
  <c r="V16" i="7" s="1"/>
  <c r="U22" i="7"/>
  <c r="U21" i="7" s="1"/>
  <c r="AV25" i="6" l="1"/>
  <c r="AV35" i="6" s="1"/>
  <c r="AW26" i="6"/>
  <c r="AD29" i="6"/>
  <c r="AD37" i="6" s="1"/>
  <c r="AE30" i="6"/>
  <c r="AF30" i="6" s="1"/>
  <c r="AD27" i="6"/>
  <c r="DF44" i="6"/>
  <c r="V15" i="7"/>
  <c r="V22" i="7"/>
  <c r="V21" i="7" s="1"/>
  <c r="W16" i="7" l="1"/>
  <c r="AE29" i="6"/>
  <c r="AE37" i="6" s="1"/>
  <c r="AE27" i="6"/>
  <c r="AW25" i="6"/>
  <c r="AW35" i="6" s="1"/>
  <c r="DG44" i="6"/>
  <c r="W15" i="7"/>
  <c r="X16" i="7" s="1"/>
  <c r="W22" i="7"/>
  <c r="W21" i="7" s="1"/>
  <c r="AX25" i="6" l="1"/>
  <c r="AX35" i="6" s="1"/>
  <c r="AY26" i="6"/>
  <c r="AZ26" i="6" s="1"/>
  <c r="AF27" i="6"/>
  <c r="AF29" i="6"/>
  <c r="AF37" i="6" s="1"/>
  <c r="AG30" i="6"/>
  <c r="DH44" i="6"/>
  <c r="X22" i="7"/>
  <c r="X21" i="7" s="1"/>
  <c r="Y22" i="7" s="1"/>
  <c r="Y21" i="7" s="1"/>
  <c r="X15" i="7"/>
  <c r="Y16" i="7" s="1"/>
  <c r="AG27" i="6" l="1"/>
  <c r="AY25" i="6"/>
  <c r="AY35" i="6" s="1"/>
  <c r="AG29" i="6"/>
  <c r="AG37" i="6" s="1"/>
  <c r="AH30" i="6"/>
  <c r="DI44" i="6"/>
  <c r="Y15" i="7"/>
  <c r="Z16" i="7" s="1"/>
  <c r="Z22" i="7"/>
  <c r="Z21" i="7" s="1"/>
  <c r="AH29" i="6" l="1"/>
  <c r="AH37" i="6" s="1"/>
  <c r="AI30" i="6"/>
  <c r="AZ25" i="6"/>
  <c r="AZ35" i="6" s="1"/>
  <c r="BA26" i="6"/>
  <c r="AH27" i="6"/>
  <c r="DJ44" i="6"/>
  <c r="Z15" i="7"/>
  <c r="AA16" i="7" s="1"/>
  <c r="AA22" i="7"/>
  <c r="AA21" i="7" s="1"/>
  <c r="AI27" i="6" l="1"/>
  <c r="AI29" i="6"/>
  <c r="AI37" i="6" s="1"/>
  <c r="AJ30" i="6"/>
  <c r="BA25" i="6"/>
  <c r="BA35" i="6" s="1"/>
  <c r="BB26" i="6"/>
  <c r="DK44" i="6"/>
  <c r="AA15" i="7"/>
  <c r="AB16" i="7" s="1"/>
  <c r="AB22" i="7"/>
  <c r="AB21" i="7" s="1"/>
  <c r="AJ29" i="6" l="1"/>
  <c r="AJ37" i="6" s="1"/>
  <c r="AK30" i="6"/>
  <c r="BB25" i="6"/>
  <c r="BB35" i="6" s="1"/>
  <c r="BC26" i="6"/>
  <c r="AJ27" i="6"/>
  <c r="DL44" i="6"/>
  <c r="AB15" i="7"/>
  <c r="AC22" i="7"/>
  <c r="AC21" i="7" s="1"/>
  <c r="BC25" i="6" l="1"/>
  <c r="BC35" i="6" s="1"/>
  <c r="BD26" i="6"/>
  <c r="AK29" i="6"/>
  <c r="AK37" i="6" s="1"/>
  <c r="AL30" i="6"/>
  <c r="AK27" i="6"/>
  <c r="DM44" i="6"/>
  <c r="AC15" i="7"/>
  <c r="AD16" i="7" s="1"/>
  <c r="AD22" i="7"/>
  <c r="AD21" i="7" s="1"/>
  <c r="AL27" i="6" l="1"/>
  <c r="AL29" i="6"/>
  <c r="AL37" i="6" s="1"/>
  <c r="AM30" i="6"/>
  <c r="BD25" i="6"/>
  <c r="BD35" i="6" s="1"/>
  <c r="BE26" i="6"/>
  <c r="DN44" i="6"/>
  <c r="AE16" i="7"/>
  <c r="AE15" i="7" s="1"/>
  <c r="AF16" i="7" s="1"/>
  <c r="AF15" i="7" s="1"/>
  <c r="AE22" i="7"/>
  <c r="AE21" i="7" s="1"/>
  <c r="BE25" i="6" l="1"/>
  <c r="BE35" i="6" s="1"/>
  <c r="AM29" i="6"/>
  <c r="AM37" i="6" s="1"/>
  <c r="AN30" i="6"/>
  <c r="AM27" i="6"/>
  <c r="DO44" i="6"/>
  <c r="AF22" i="7"/>
  <c r="AF21" i="7" s="1"/>
  <c r="AN27" i="6" l="1"/>
  <c r="BF25" i="6"/>
  <c r="BF35" i="6" s="1"/>
  <c r="BG26" i="6"/>
  <c r="AN29" i="6"/>
  <c r="AN37" i="6" s="1"/>
  <c r="AO30" i="6"/>
  <c r="AP30" i="6" s="1"/>
  <c r="DP44" i="6"/>
  <c r="B6" i="4" l="1"/>
  <c r="AO29" i="6"/>
  <c r="AO37" i="6" s="1"/>
  <c r="BG25" i="6"/>
  <c r="BG35" i="6" s="1"/>
  <c r="BH26" i="6"/>
  <c r="AO27" i="6"/>
  <c r="DQ44" i="6"/>
  <c r="C21" i="6"/>
  <c r="C47" i="6" s="1"/>
  <c r="B40" i="6"/>
  <c r="D38" i="6"/>
  <c r="BH25" i="6" l="1"/>
  <c r="BH35" i="6" s="1"/>
  <c r="BI26" i="6"/>
  <c r="AP27" i="6"/>
  <c r="AP29" i="6"/>
  <c r="AP37" i="6" s="1"/>
  <c r="AQ30" i="6"/>
  <c r="DR44" i="6"/>
  <c r="B21" i="6"/>
  <c r="B50" i="6"/>
  <c r="AQ29" i="6" l="1"/>
  <c r="AQ37" i="6" s="1"/>
  <c r="AR30" i="6"/>
  <c r="AQ27" i="6"/>
  <c r="B47" i="6"/>
  <c r="BI25" i="6"/>
  <c r="BI35" i="6" s="1"/>
  <c r="BJ26" i="6"/>
  <c r="E38" i="6"/>
  <c r="D35" i="6"/>
  <c r="E35" i="6"/>
  <c r="BJ25" i="6" l="1"/>
  <c r="BJ35" i="6" s="1"/>
  <c r="BK26" i="6"/>
  <c r="AR29" i="6"/>
  <c r="AR37" i="6" s="1"/>
  <c r="AS30" i="6"/>
  <c r="AR27" i="6"/>
  <c r="F38" i="6"/>
  <c r="F35" i="6"/>
  <c r="AS27" i="6" l="1"/>
  <c r="AS29" i="6"/>
  <c r="AS37" i="6" s="1"/>
  <c r="AT30" i="6"/>
  <c r="BK25" i="6"/>
  <c r="BK35" i="6" s="1"/>
  <c r="BL26" i="6"/>
  <c r="D22" i="6"/>
  <c r="G38" i="6"/>
  <c r="G35" i="6"/>
  <c r="G16" i="5"/>
  <c r="AA16" i="5"/>
  <c r="E16" i="5"/>
  <c r="BL25" i="6" l="1"/>
  <c r="BL35" i="6" s="1"/>
  <c r="BM26" i="6"/>
  <c r="AT29" i="6"/>
  <c r="AT37" i="6" s="1"/>
  <c r="AU30" i="6"/>
  <c r="AT27" i="6"/>
  <c r="D33" i="6"/>
  <c r="E22" i="6"/>
  <c r="E36" i="6"/>
  <c r="H38" i="6"/>
  <c r="F36" i="6"/>
  <c r="H35" i="6"/>
  <c r="C16" i="5"/>
  <c r="AU29" i="6" l="1"/>
  <c r="AU37" i="6" s="1"/>
  <c r="AV30" i="6"/>
  <c r="AU27" i="6"/>
  <c r="BM25" i="6"/>
  <c r="BM35" i="6" s="1"/>
  <c r="E33" i="6"/>
  <c r="F33" i="6"/>
  <c r="F22" i="6"/>
  <c r="I38" i="6"/>
  <c r="G36" i="6"/>
  <c r="I35" i="6"/>
  <c r="C15" i="4"/>
  <c r="AV27" i="6" l="1"/>
  <c r="AV29" i="6"/>
  <c r="AV37" i="6" s="1"/>
  <c r="AW30" i="6"/>
  <c r="BN25" i="6"/>
  <c r="BN35" i="6" s="1"/>
  <c r="BO26" i="6"/>
  <c r="G33" i="6"/>
  <c r="G22" i="6"/>
  <c r="J38" i="6"/>
  <c r="H36" i="6"/>
  <c r="J35" i="6"/>
  <c r="F40" i="6"/>
  <c r="F21" i="6" s="1"/>
  <c r="F47" i="6" s="1"/>
  <c r="BO25" i="6" l="1"/>
  <c r="BO35" i="6" s="1"/>
  <c r="BP26" i="6"/>
  <c r="AW29" i="6"/>
  <c r="AW37" i="6" s="1"/>
  <c r="AX30" i="6"/>
  <c r="AW27" i="6"/>
  <c r="H33" i="6"/>
  <c r="H22" i="6"/>
  <c r="K38" i="6"/>
  <c r="K35" i="6"/>
  <c r="E51" i="6"/>
  <c r="AX29" i="6" l="1"/>
  <c r="AX37" i="6" s="1"/>
  <c r="AY30" i="6"/>
  <c r="AZ30" i="6" s="1"/>
  <c r="AX27" i="6"/>
  <c r="BP25" i="6"/>
  <c r="BP35" i="6" s="1"/>
  <c r="BQ26" i="6"/>
  <c r="I22" i="6"/>
  <c r="I36" i="6"/>
  <c r="L38" i="6"/>
  <c r="L35" i="6"/>
  <c r="BQ25" i="6" l="1"/>
  <c r="BQ35" i="6" s="1"/>
  <c r="BR26" i="6"/>
  <c r="AY27" i="6"/>
  <c r="AY29" i="6"/>
  <c r="AY37" i="6" s="1"/>
  <c r="I33" i="6"/>
  <c r="I21" i="6" s="1"/>
  <c r="I47" i="6" s="1"/>
  <c r="J22" i="6"/>
  <c r="J36" i="6"/>
  <c r="M38" i="6"/>
  <c r="K36" i="6"/>
  <c r="M35" i="6"/>
  <c r="AF40" i="6"/>
  <c r="D40" i="6"/>
  <c r="D21" i="6" s="1"/>
  <c r="E40" i="6"/>
  <c r="E21" i="6" s="1"/>
  <c r="E47" i="6" s="1"/>
  <c r="G40" i="6"/>
  <c r="G21" i="6" s="1"/>
  <c r="G47" i="6" s="1"/>
  <c r="H40" i="6"/>
  <c r="H21" i="6" s="1"/>
  <c r="H47" i="6" s="1"/>
  <c r="I40" i="6"/>
  <c r="J40" i="6"/>
  <c r="K40" i="6"/>
  <c r="L40" i="6"/>
  <c r="M40" i="6"/>
  <c r="N40" i="6"/>
  <c r="O40" i="6"/>
  <c r="P40" i="6"/>
  <c r="Q40" i="6"/>
  <c r="R40" i="6"/>
  <c r="S40" i="6"/>
  <c r="T40" i="6"/>
  <c r="U40" i="6"/>
  <c r="V40" i="6"/>
  <c r="W40" i="6"/>
  <c r="X40" i="6"/>
  <c r="Y40" i="6"/>
  <c r="Z40" i="6"/>
  <c r="AA40" i="6"/>
  <c r="AB40" i="6"/>
  <c r="AC40" i="6"/>
  <c r="AD40" i="6"/>
  <c r="AE40" i="6"/>
  <c r="AZ29" i="6" l="1"/>
  <c r="AZ37" i="6" s="1"/>
  <c r="BA30" i="6"/>
  <c r="AZ27" i="6"/>
  <c r="D47" i="6"/>
  <c r="BR25" i="6"/>
  <c r="BR35" i="6" s="1"/>
  <c r="BS26" i="6"/>
  <c r="J33" i="6"/>
  <c r="J21" i="6" s="1"/>
  <c r="J47" i="6" s="1"/>
  <c r="K33" i="6"/>
  <c r="K22" i="6"/>
  <c r="N38" i="6"/>
  <c r="N35" i="6"/>
  <c r="K21" i="6" l="1"/>
  <c r="K47" i="6" s="1"/>
  <c r="BS25" i="6"/>
  <c r="BS35" i="6" s="1"/>
  <c r="BT26" i="6"/>
  <c r="BA27" i="6"/>
  <c r="BA29" i="6"/>
  <c r="BA37" i="6" s="1"/>
  <c r="BB30" i="6"/>
  <c r="L22" i="6"/>
  <c r="L36" i="6"/>
  <c r="O38" i="6"/>
  <c r="BB29" i="6" l="1"/>
  <c r="BB37" i="6" s="1"/>
  <c r="BC30" i="6"/>
  <c r="BB27" i="6"/>
  <c r="BT25" i="6"/>
  <c r="BT35" i="6" s="1"/>
  <c r="BU26" i="6"/>
  <c r="L33" i="6"/>
  <c r="L21" i="6" s="1"/>
  <c r="M22" i="6"/>
  <c r="M36" i="6"/>
  <c r="P38" i="6"/>
  <c r="P35" i="6"/>
  <c r="C17" i="4"/>
  <c r="L47" i="6" l="1"/>
  <c r="BC27" i="6"/>
  <c r="BC29" i="6"/>
  <c r="BC37" i="6" s="1"/>
  <c r="BD30" i="6"/>
  <c r="BU25" i="6"/>
  <c r="BU35" i="6" s="1"/>
  <c r="M33" i="6"/>
  <c r="M21" i="6" s="1"/>
  <c r="M47" i="6" s="1"/>
  <c r="N22" i="6"/>
  <c r="N36" i="6"/>
  <c r="Q38" i="6"/>
  <c r="O36" i="6"/>
  <c r="Q35" i="6"/>
  <c r="BD29" i="6" l="1"/>
  <c r="BD37" i="6" s="1"/>
  <c r="BE30" i="6"/>
  <c r="BV25" i="6"/>
  <c r="BV35" i="6" s="1"/>
  <c r="BW26" i="6"/>
  <c r="BD27" i="6"/>
  <c r="N33" i="6"/>
  <c r="N21" i="6" s="1"/>
  <c r="O33" i="6"/>
  <c r="O22" i="6"/>
  <c r="R38" i="6"/>
  <c r="R35" i="6"/>
  <c r="C51" i="6"/>
  <c r="BE27" i="6" l="1"/>
  <c r="BW25" i="6"/>
  <c r="BW35" i="6" s="1"/>
  <c r="BX26" i="6"/>
  <c r="BE29" i="6"/>
  <c r="BE37" i="6" s="1"/>
  <c r="N47" i="6"/>
  <c r="O21" i="6"/>
  <c r="O47" i="6" s="1"/>
  <c r="P22" i="6"/>
  <c r="P36" i="6"/>
  <c r="S38" i="6"/>
  <c r="S35" i="6"/>
  <c r="D16" i="5"/>
  <c r="M16" i="5"/>
  <c r="AC16" i="5"/>
  <c r="L16" i="5"/>
  <c r="F16" i="5"/>
  <c r="N16" i="5"/>
  <c r="V16" i="5"/>
  <c r="AD16" i="5"/>
  <c r="W16" i="5"/>
  <c r="H16" i="5"/>
  <c r="T16" i="5"/>
  <c r="I16" i="5"/>
  <c r="Q16" i="5"/>
  <c r="Y16" i="5"/>
  <c r="J16" i="5"/>
  <c r="K16" i="5"/>
  <c r="S16" i="5"/>
  <c r="C18" i="4"/>
  <c r="B8" i="4" l="1"/>
  <c r="BG30" i="6"/>
  <c r="BF29" i="6"/>
  <c r="BF37" i="6" s="1"/>
  <c r="BX25" i="6"/>
  <c r="BX35" i="6" s="1"/>
  <c r="BY26" i="6"/>
  <c r="BF27" i="6"/>
  <c r="Q22" i="6"/>
  <c r="Q36" i="6"/>
  <c r="P33" i="6"/>
  <c r="P21" i="6" s="1"/>
  <c r="P47" i="6" s="1"/>
  <c r="T38" i="6"/>
  <c r="R36" i="6"/>
  <c r="T35" i="6"/>
  <c r="BG27" i="6" l="1"/>
  <c r="BH30" i="6"/>
  <c r="BG29" i="6"/>
  <c r="BG37" i="6" s="1"/>
  <c r="BY25" i="6"/>
  <c r="BY35" i="6" s="1"/>
  <c r="BZ26" i="6"/>
  <c r="R33" i="6"/>
  <c r="Q33" i="6"/>
  <c r="Q21" i="6" s="1"/>
  <c r="Q47" i="6" s="1"/>
  <c r="R22" i="6"/>
  <c r="U38" i="6"/>
  <c r="U35" i="6"/>
  <c r="B9" i="4"/>
  <c r="BZ25" i="6" l="1"/>
  <c r="BZ35" i="6" s="1"/>
  <c r="CA26" i="6"/>
  <c r="BH29" i="6"/>
  <c r="BH37" i="6" s="1"/>
  <c r="BI30" i="6"/>
  <c r="BH27" i="6"/>
  <c r="R21" i="6"/>
  <c r="R47" i="6" s="1"/>
  <c r="S22" i="6"/>
  <c r="S36" i="6"/>
  <c r="V38" i="6"/>
  <c r="V35" i="6"/>
  <c r="BI27" i="6" l="1"/>
  <c r="BI29" i="6"/>
  <c r="BI37" i="6" s="1"/>
  <c r="BJ30" i="6"/>
  <c r="CA25" i="6"/>
  <c r="CA35" i="6" s="1"/>
  <c r="CB26" i="6"/>
  <c r="S33" i="6"/>
  <c r="S21" i="6" s="1"/>
  <c r="S47" i="6" s="1"/>
  <c r="T22" i="6"/>
  <c r="T36" i="6"/>
  <c r="W38" i="6"/>
  <c r="U36" i="6"/>
  <c r="W35" i="6"/>
  <c r="BJ29" i="6" l="1"/>
  <c r="BJ37" i="6" s="1"/>
  <c r="BK30" i="6"/>
  <c r="CB25" i="6"/>
  <c r="CB35" i="6" s="1"/>
  <c r="CC26" i="6"/>
  <c r="BJ27" i="6"/>
  <c r="T33" i="6"/>
  <c r="T21" i="6" s="1"/>
  <c r="T47" i="6" s="1"/>
  <c r="U33" i="6"/>
  <c r="U22" i="6"/>
  <c r="X38" i="6"/>
  <c r="X35" i="6"/>
  <c r="U21" i="6" l="1"/>
  <c r="U47" i="6" s="1"/>
  <c r="BK27" i="6"/>
  <c r="CC25" i="6"/>
  <c r="CC35" i="6" s="1"/>
  <c r="CD26" i="6"/>
  <c r="BK29" i="6"/>
  <c r="BK37" i="6" s="1"/>
  <c r="BL30" i="6"/>
  <c r="V22" i="6"/>
  <c r="V36" i="6"/>
  <c r="Y38" i="6"/>
  <c r="W36" i="6"/>
  <c r="Y35" i="6"/>
  <c r="BL29" i="6" l="1"/>
  <c r="BL37" i="6" s="1"/>
  <c r="BM30" i="6"/>
  <c r="CD25" i="6"/>
  <c r="CD35" i="6" s="1"/>
  <c r="BL27" i="6"/>
  <c r="V33" i="6"/>
  <c r="V21" i="6" s="1"/>
  <c r="V47" i="6" s="1"/>
  <c r="W33" i="6"/>
  <c r="W22" i="6"/>
  <c r="Z38" i="6"/>
  <c r="X36" i="6"/>
  <c r="Z35" i="6"/>
  <c r="BM27" i="6" l="1"/>
  <c r="CE25" i="6"/>
  <c r="CE35" i="6" s="1"/>
  <c r="CF26" i="6"/>
  <c r="BM29" i="6"/>
  <c r="BM37" i="6" s="1"/>
  <c r="X33" i="6"/>
  <c r="W21" i="6"/>
  <c r="W47" i="6" s="1"/>
  <c r="X22" i="6"/>
  <c r="AA38" i="6"/>
  <c r="Y36" i="6"/>
  <c r="AA35" i="6"/>
  <c r="X21" i="6" l="1"/>
  <c r="X47" i="6" s="1"/>
  <c r="BN29" i="6"/>
  <c r="BN37" i="6" s="1"/>
  <c r="BO30" i="6"/>
  <c r="CF25" i="6"/>
  <c r="CF35" i="6" s="1"/>
  <c r="CG26" i="6"/>
  <c r="BN27" i="6"/>
  <c r="Y33" i="6"/>
  <c r="Y22" i="6"/>
  <c r="AB38" i="6"/>
  <c r="Z36" i="6"/>
  <c r="AB35" i="6"/>
  <c r="Y21" i="6" l="1"/>
  <c r="Y47" i="6" s="1"/>
  <c r="BO27" i="6"/>
  <c r="CG25" i="6"/>
  <c r="CG35" i="6" s="1"/>
  <c r="CH26" i="6"/>
  <c r="BO29" i="6"/>
  <c r="BO37" i="6" s="1"/>
  <c r="BP30" i="6"/>
  <c r="Z33" i="6"/>
  <c r="Z22" i="6"/>
  <c r="AC38" i="6"/>
  <c r="AA36" i="6"/>
  <c r="AC35" i="6"/>
  <c r="Z21" i="6" l="1"/>
  <c r="Z47" i="6" s="1"/>
  <c r="BP29" i="6"/>
  <c r="BP37" i="6" s="1"/>
  <c r="BQ30" i="6"/>
  <c r="CH25" i="6"/>
  <c r="CH35" i="6" s="1"/>
  <c r="CI26" i="6"/>
  <c r="BP27" i="6"/>
  <c r="AA33" i="6"/>
  <c r="AA22" i="6"/>
  <c r="AD38" i="6"/>
  <c r="AB36" i="6"/>
  <c r="BQ27" i="6" l="1"/>
  <c r="CI25" i="6"/>
  <c r="CI35" i="6" s="1"/>
  <c r="CJ26" i="6"/>
  <c r="BQ29" i="6"/>
  <c r="BQ37" i="6" s="1"/>
  <c r="BR30" i="6"/>
  <c r="AA21" i="6"/>
  <c r="AA47" i="6" s="1"/>
  <c r="AB33" i="6"/>
  <c r="AB22" i="6"/>
  <c r="AE38" i="6"/>
  <c r="AC36" i="6"/>
  <c r="AB21" i="6" l="1"/>
  <c r="AB47" i="6" s="1"/>
  <c r="BR27" i="6"/>
  <c r="BR29" i="6"/>
  <c r="BR37" i="6" s="1"/>
  <c r="BS30" i="6"/>
  <c r="CJ25" i="6"/>
  <c r="CJ35" i="6" s="1"/>
  <c r="CK26" i="6"/>
  <c r="AC33" i="6"/>
  <c r="AC22" i="6"/>
  <c r="AF38" i="6"/>
  <c r="CK25" i="6" l="1"/>
  <c r="CK35" i="6" s="1"/>
  <c r="CL26" i="6"/>
  <c r="BS29" i="6"/>
  <c r="BS37" i="6" s="1"/>
  <c r="BT30" i="6"/>
  <c r="AC21" i="6"/>
  <c r="AC47" i="6" s="1"/>
  <c r="BS27" i="6"/>
  <c r="AD22" i="6"/>
  <c r="AD36" i="6"/>
  <c r="AG38" i="6"/>
  <c r="BT27" i="6" l="1"/>
  <c r="CL25" i="6"/>
  <c r="CL35" i="6" s="1"/>
  <c r="CM26" i="6"/>
  <c r="BT29" i="6"/>
  <c r="BT37" i="6" s="1"/>
  <c r="BU30" i="6"/>
  <c r="AD33" i="6"/>
  <c r="AD21" i="6" s="1"/>
  <c r="AD47" i="6" s="1"/>
  <c r="AE22" i="6"/>
  <c r="AE36" i="6"/>
  <c r="AH38" i="6"/>
  <c r="AF36" i="6"/>
  <c r="CM25" i="6" l="1"/>
  <c r="CM35" i="6" s="1"/>
  <c r="BU29" i="6"/>
  <c r="BU37" i="6" s="1"/>
  <c r="BU27" i="6"/>
  <c r="AE33" i="6"/>
  <c r="AE21" i="6" s="1"/>
  <c r="AE47" i="6" s="1"/>
  <c r="AF33" i="6"/>
  <c r="AF22" i="6"/>
  <c r="AI38" i="6"/>
  <c r="BV27" i="6" l="1"/>
  <c r="BV29" i="6"/>
  <c r="BV37" i="6" s="1"/>
  <c r="BW30" i="6"/>
  <c r="BU36" i="6"/>
  <c r="BU33" i="6" s="1"/>
  <c r="BU22" i="6"/>
  <c r="CN25" i="6"/>
  <c r="CN35" i="6" s="1"/>
  <c r="CO26" i="6"/>
  <c r="AG22" i="6"/>
  <c r="AG36" i="6"/>
  <c r="AF21" i="6"/>
  <c r="AF47" i="6" s="1"/>
  <c r="B59" i="6" s="1"/>
  <c r="AJ38" i="6"/>
  <c r="BW29" i="6" l="1"/>
  <c r="BW37" i="6" s="1"/>
  <c r="BX30" i="6"/>
  <c r="BU21" i="6"/>
  <c r="BU47" i="6" s="1"/>
  <c r="BW27" i="6"/>
  <c r="CO25" i="6"/>
  <c r="CO35" i="6" s="1"/>
  <c r="CP26" i="6"/>
  <c r="BV36" i="6"/>
  <c r="BV33" i="6" s="1"/>
  <c r="BV22" i="6"/>
  <c r="AG33" i="6"/>
  <c r="AG21" i="6" s="1"/>
  <c r="AG47" i="6" s="1"/>
  <c r="AH22" i="6"/>
  <c r="AH36" i="6"/>
  <c r="AK38" i="6"/>
  <c r="CP25" i="6" l="1"/>
  <c r="CP35" i="6" s="1"/>
  <c r="CQ26" i="6"/>
  <c r="BX27" i="6"/>
  <c r="BW36" i="6"/>
  <c r="BW33" i="6" s="1"/>
  <c r="BW22" i="6"/>
  <c r="BV21" i="6"/>
  <c r="BV47" i="6" s="1"/>
  <c r="BX29" i="6"/>
  <c r="BX37" i="6" s="1"/>
  <c r="BY30" i="6"/>
  <c r="AH33" i="6"/>
  <c r="AH21" i="6" s="1"/>
  <c r="AH47" i="6" s="1"/>
  <c r="AI22" i="6"/>
  <c r="AI36" i="6"/>
  <c r="AL38" i="6"/>
  <c r="BY27" i="6" l="1"/>
  <c r="BW21" i="6"/>
  <c r="BW47" i="6" s="1"/>
  <c r="CQ25" i="6"/>
  <c r="CQ35" i="6" s="1"/>
  <c r="CR26" i="6"/>
  <c r="BX36" i="6"/>
  <c r="BX33" i="6" s="1"/>
  <c r="BX22" i="6"/>
  <c r="BY29" i="6"/>
  <c r="BY37" i="6" s="1"/>
  <c r="BZ30" i="6"/>
  <c r="AI33" i="6"/>
  <c r="AI21" i="6" s="1"/>
  <c r="AI47" i="6" s="1"/>
  <c r="AJ22" i="6"/>
  <c r="AJ36" i="6"/>
  <c r="AM38" i="6"/>
  <c r="BY36" i="6" l="1"/>
  <c r="BY33" i="6" s="1"/>
  <c r="BY22" i="6"/>
  <c r="BX21" i="6"/>
  <c r="BX47" i="6" s="1"/>
  <c r="CR25" i="6"/>
  <c r="CR35" i="6" s="1"/>
  <c r="CS26" i="6"/>
  <c r="BZ29" i="6"/>
  <c r="BZ37" i="6" s="1"/>
  <c r="CA30" i="6"/>
  <c r="BZ27" i="6"/>
  <c r="AJ33" i="6"/>
  <c r="AJ21" i="6" s="1"/>
  <c r="AJ47" i="6" s="1"/>
  <c r="AK22" i="6"/>
  <c r="AK36" i="6"/>
  <c r="AN38" i="6"/>
  <c r="BZ36" i="6" l="1"/>
  <c r="BZ33" i="6" s="1"/>
  <c r="BZ22" i="6"/>
  <c r="CS25" i="6"/>
  <c r="CS35" i="6" s="1"/>
  <c r="CT26" i="6"/>
  <c r="CA29" i="6"/>
  <c r="CA37" i="6" s="1"/>
  <c r="CB30" i="6"/>
  <c r="BY21" i="6"/>
  <c r="BY47" i="6" s="1"/>
  <c r="CA27" i="6"/>
  <c r="AK33" i="6"/>
  <c r="AK21" i="6" s="1"/>
  <c r="AK47" i="6" s="1"/>
  <c r="AL22" i="6"/>
  <c r="AL36" i="6"/>
  <c r="AO38" i="6"/>
  <c r="CT25" i="6" l="1"/>
  <c r="CT35" i="6" s="1"/>
  <c r="CU26" i="6"/>
  <c r="CB29" i="6"/>
  <c r="CB37" i="6" s="1"/>
  <c r="CC30" i="6"/>
  <c r="BZ21" i="6"/>
  <c r="BZ47" i="6" s="1"/>
  <c r="CB27" i="6"/>
  <c r="CA36" i="6"/>
  <c r="CA33" i="6" s="1"/>
  <c r="CA22" i="6"/>
  <c r="AL33" i="6"/>
  <c r="AL21" i="6" s="1"/>
  <c r="AL47" i="6" s="1"/>
  <c r="AM22" i="6"/>
  <c r="AM36" i="6"/>
  <c r="AP38" i="6"/>
  <c r="CC27" i="6" l="1"/>
  <c r="CC29" i="6"/>
  <c r="CC37" i="6" s="1"/>
  <c r="CD30" i="6"/>
  <c r="CB36" i="6"/>
  <c r="CB33" i="6" s="1"/>
  <c r="CB22" i="6"/>
  <c r="CA21" i="6"/>
  <c r="CA47" i="6" s="1"/>
  <c r="CU25" i="6"/>
  <c r="CU35" i="6" s="1"/>
  <c r="CV26" i="6"/>
  <c r="AM33" i="6"/>
  <c r="AM21" i="6" s="1"/>
  <c r="AM47" i="6" s="1"/>
  <c r="AN22" i="6"/>
  <c r="AN36" i="6"/>
  <c r="AQ38" i="6"/>
  <c r="CB21" i="6" l="1"/>
  <c r="CB47" i="6" s="1"/>
  <c r="CD29" i="6"/>
  <c r="CD37" i="6" s="1"/>
  <c r="CV25" i="6"/>
  <c r="CV35" i="6" s="1"/>
  <c r="CW26" i="6"/>
  <c r="CD27" i="6"/>
  <c r="CC36" i="6"/>
  <c r="CC33" i="6" s="1"/>
  <c r="CC22" i="6"/>
  <c r="AN33" i="6"/>
  <c r="AN21" i="6" s="1"/>
  <c r="AN47" i="6" s="1"/>
  <c r="AO22" i="6"/>
  <c r="AO36" i="6"/>
  <c r="AR38" i="6"/>
  <c r="AP36" i="6"/>
  <c r="CC21" i="6" l="1"/>
  <c r="CC47" i="6" s="1"/>
  <c r="CE27" i="6"/>
  <c r="CD36" i="6"/>
  <c r="CD33" i="6" s="1"/>
  <c r="CD22" i="6"/>
  <c r="CW25" i="6"/>
  <c r="CW35" i="6" s="1"/>
  <c r="CX26" i="6"/>
  <c r="CE29" i="6"/>
  <c r="CE37" i="6" s="1"/>
  <c r="CF30" i="6"/>
  <c r="AP33" i="6"/>
  <c r="AO33" i="6"/>
  <c r="AO21" i="6" s="1"/>
  <c r="AO47" i="6" s="1"/>
  <c r="AP22" i="6"/>
  <c r="AS38" i="6"/>
  <c r="AQ36" i="6"/>
  <c r="AP21" i="6" l="1"/>
  <c r="AP47" i="6" s="1"/>
  <c r="CX25" i="6"/>
  <c r="CX35" i="6" s="1"/>
  <c r="CY26" i="6"/>
  <c r="CF29" i="6"/>
  <c r="CF37" i="6" s="1"/>
  <c r="CG30" i="6"/>
  <c r="CD21" i="6"/>
  <c r="CD47" i="6" s="1"/>
  <c r="CF27" i="6"/>
  <c r="CE36" i="6"/>
  <c r="CE33" i="6" s="1"/>
  <c r="CE22" i="6"/>
  <c r="AQ33" i="6"/>
  <c r="AQ22" i="6"/>
  <c r="AT38" i="6"/>
  <c r="AR36" i="6"/>
  <c r="AQ21" i="6" l="1"/>
  <c r="AQ47" i="6" s="1"/>
  <c r="CG29" i="6"/>
  <c r="CG37" i="6" s="1"/>
  <c r="CH30" i="6"/>
  <c r="CY25" i="6"/>
  <c r="CY35" i="6" s="1"/>
  <c r="CG27" i="6"/>
  <c r="CF36" i="6"/>
  <c r="CF33" i="6" s="1"/>
  <c r="CF22" i="6"/>
  <c r="CE21" i="6"/>
  <c r="CE47" i="6" s="1"/>
  <c r="AR33" i="6"/>
  <c r="AR22" i="6"/>
  <c r="AU38" i="6"/>
  <c r="CG36" i="6" l="1"/>
  <c r="CG33" i="6" s="1"/>
  <c r="CG22" i="6"/>
  <c r="CH29" i="6"/>
  <c r="CH37" i="6" s="1"/>
  <c r="CI30" i="6"/>
  <c r="CH27" i="6"/>
  <c r="CZ25" i="6"/>
  <c r="CZ35" i="6" s="1"/>
  <c r="DA26" i="6"/>
  <c r="CF21" i="6"/>
  <c r="CF47" i="6" s="1"/>
  <c r="AR21" i="6"/>
  <c r="AR47" i="6" s="1"/>
  <c r="AS22" i="6"/>
  <c r="AS36" i="6"/>
  <c r="AV38" i="6"/>
  <c r="AT36" i="6"/>
  <c r="CI27" i="6" l="1"/>
  <c r="CH36" i="6"/>
  <c r="CH22" i="6"/>
  <c r="CI29" i="6"/>
  <c r="CI37" i="6" s="1"/>
  <c r="CJ30" i="6"/>
  <c r="CH33" i="6"/>
  <c r="CG21" i="6"/>
  <c r="CG47" i="6" s="1"/>
  <c r="DA25" i="6"/>
  <c r="DA35" i="6" s="1"/>
  <c r="DB26" i="6"/>
  <c r="AT33" i="6"/>
  <c r="AS33" i="6"/>
  <c r="AS21" i="6" s="1"/>
  <c r="AS47" i="6" s="1"/>
  <c r="AT22" i="6"/>
  <c r="AW38" i="6"/>
  <c r="AU36" i="6"/>
  <c r="CJ29" i="6" l="1"/>
  <c r="CJ37" i="6" s="1"/>
  <c r="CK30" i="6"/>
  <c r="CH21" i="6"/>
  <c r="CH47" i="6" s="1"/>
  <c r="CJ27" i="6"/>
  <c r="DB25" i="6"/>
  <c r="DB35" i="6" s="1"/>
  <c r="DC26" i="6"/>
  <c r="AT21" i="6"/>
  <c r="AT47" i="6" s="1"/>
  <c r="CI36" i="6"/>
  <c r="CI33" i="6" s="1"/>
  <c r="CI22" i="6"/>
  <c r="AU33" i="6"/>
  <c r="AU22" i="6"/>
  <c r="AX38" i="6"/>
  <c r="AV36" i="6"/>
  <c r="CI21" i="6" l="1"/>
  <c r="CI47" i="6" s="1"/>
  <c r="CK27" i="6"/>
  <c r="CJ36" i="6"/>
  <c r="CJ33" i="6" s="1"/>
  <c r="CJ22" i="6"/>
  <c r="CK29" i="6"/>
  <c r="CK37" i="6" s="1"/>
  <c r="CL30" i="6"/>
  <c r="DC25" i="6"/>
  <c r="DC35" i="6" s="1"/>
  <c r="DD26" i="6"/>
  <c r="AU21" i="6"/>
  <c r="AU47" i="6" s="1"/>
  <c r="AV33" i="6"/>
  <c r="AV22" i="6"/>
  <c r="AY38" i="6"/>
  <c r="AW36" i="6"/>
  <c r="B7" i="4"/>
  <c r="AV21" i="6" l="1"/>
  <c r="AV47" i="6" s="1"/>
  <c r="CL29" i="6"/>
  <c r="CL37" i="6" s="1"/>
  <c r="CM30" i="6"/>
  <c r="CJ21" i="6"/>
  <c r="CJ47" i="6" s="1"/>
  <c r="DD25" i="6"/>
  <c r="DD35" i="6" s="1"/>
  <c r="DE26" i="6"/>
  <c r="CL27" i="6"/>
  <c r="CK36" i="6"/>
  <c r="CK33" i="6" s="1"/>
  <c r="CK22" i="6"/>
  <c r="AW33" i="6"/>
  <c r="AW22" i="6"/>
  <c r="AZ38" i="6"/>
  <c r="AX36" i="6"/>
  <c r="CK21" i="6" l="1"/>
  <c r="CK47" i="6" s="1"/>
  <c r="CM27" i="6"/>
  <c r="CL36" i="6"/>
  <c r="CL33" i="6" s="1"/>
  <c r="CL22" i="6"/>
  <c r="DE25" i="6"/>
  <c r="DE35" i="6" s="1"/>
  <c r="DF26" i="6"/>
  <c r="CM29" i="6"/>
  <c r="CM37" i="6" s="1"/>
  <c r="AW21" i="6"/>
  <c r="AW47" i="6" s="1"/>
  <c r="AX33" i="6"/>
  <c r="AX22" i="6"/>
  <c r="BA38" i="6"/>
  <c r="AY36" i="6"/>
  <c r="AX21" i="6" l="1"/>
  <c r="AX47" i="6" s="1"/>
  <c r="DF25" i="6"/>
  <c r="DF35" i="6" s="1"/>
  <c r="DG26" i="6"/>
  <c r="CL21" i="6"/>
  <c r="CL47" i="6" s="1"/>
  <c r="CN29" i="6"/>
  <c r="CN37" i="6" s="1"/>
  <c r="CO30" i="6"/>
  <c r="CN27" i="6"/>
  <c r="CM36" i="6"/>
  <c r="CM33" i="6" s="1"/>
  <c r="CM22" i="6"/>
  <c r="AY33" i="6"/>
  <c r="AY22" i="6"/>
  <c r="BB38" i="6"/>
  <c r="AZ36" i="6"/>
  <c r="DG25" i="6" l="1"/>
  <c r="DG35" i="6" s="1"/>
  <c r="DH26" i="6"/>
  <c r="CO27" i="6"/>
  <c r="CO29" i="6"/>
  <c r="CO37" i="6" s="1"/>
  <c r="CP30" i="6"/>
  <c r="CM21" i="6"/>
  <c r="CM47" i="6" s="1"/>
  <c r="CN36" i="6"/>
  <c r="CN33" i="6" s="1"/>
  <c r="CN22" i="6"/>
  <c r="AY21" i="6"/>
  <c r="AY47" i="6" s="1"/>
  <c r="AZ33" i="6"/>
  <c r="AZ22" i="6"/>
  <c r="AZ21" i="6" s="1"/>
  <c r="AZ47" i="6" s="1"/>
  <c r="BC38" i="6"/>
  <c r="BA36" i="6"/>
  <c r="CO36" i="6" l="1"/>
  <c r="CO33" i="6" s="1"/>
  <c r="CO22" i="6"/>
  <c r="CP27" i="6"/>
  <c r="DH25" i="6"/>
  <c r="DH35" i="6" s="1"/>
  <c r="DI26" i="6"/>
  <c r="CP29" i="6"/>
  <c r="CP37" i="6" s="1"/>
  <c r="CQ30" i="6"/>
  <c r="CN21" i="6"/>
  <c r="CN47" i="6" s="1"/>
  <c r="BA33" i="6"/>
  <c r="BA22" i="6"/>
  <c r="BD38" i="6"/>
  <c r="BB36" i="6"/>
  <c r="CO21" i="6" l="1"/>
  <c r="CO47" i="6" s="1"/>
  <c r="DI25" i="6"/>
  <c r="DI35" i="6" s="1"/>
  <c r="DJ26" i="6"/>
  <c r="CQ27" i="6"/>
  <c r="CP36" i="6"/>
  <c r="CP33" i="6" s="1"/>
  <c r="CP22" i="6"/>
  <c r="CQ29" i="6"/>
  <c r="CQ37" i="6" s="1"/>
  <c r="CR30" i="6"/>
  <c r="BA21" i="6"/>
  <c r="BA47" i="6" s="1"/>
  <c r="BB33" i="6"/>
  <c r="BB22" i="6"/>
  <c r="BB21" i="6" s="1"/>
  <c r="BB47" i="6" s="1"/>
  <c r="BE38" i="6"/>
  <c r="CP21" i="6" l="1"/>
  <c r="CP47" i="6" s="1"/>
  <c r="DJ25" i="6"/>
  <c r="DJ35" i="6" s="1"/>
  <c r="DK26" i="6"/>
  <c r="CR27" i="6"/>
  <c r="CQ36" i="6"/>
  <c r="CQ33" i="6" s="1"/>
  <c r="CQ22" i="6"/>
  <c r="CR29" i="6"/>
  <c r="CR37" i="6" s="1"/>
  <c r="CS30" i="6"/>
  <c r="BC22" i="6"/>
  <c r="BC36" i="6"/>
  <c r="BF38" i="6"/>
  <c r="CS27" i="6" l="1"/>
  <c r="CQ21" i="6"/>
  <c r="CQ47" i="6" s="1"/>
  <c r="CR36" i="6"/>
  <c r="CR33" i="6" s="1"/>
  <c r="CR22" i="6"/>
  <c r="DK25" i="6"/>
  <c r="DK35" i="6" s="1"/>
  <c r="CS29" i="6"/>
  <c r="CS37" i="6" s="1"/>
  <c r="CT30" i="6"/>
  <c r="BC33" i="6"/>
  <c r="BC21" i="6" s="1"/>
  <c r="BC47" i="6" s="1"/>
  <c r="BD22" i="6"/>
  <c r="BD36" i="6"/>
  <c r="BG38" i="6"/>
  <c r="DL25" i="6" l="1"/>
  <c r="DL35" i="6" s="1"/>
  <c r="DM26" i="6"/>
  <c r="CR21" i="6"/>
  <c r="CR47" i="6" s="1"/>
  <c r="CT27" i="6"/>
  <c r="CT29" i="6"/>
  <c r="CT37" i="6" s="1"/>
  <c r="CU30" i="6"/>
  <c r="CS36" i="6"/>
  <c r="CS33" i="6" s="1"/>
  <c r="CS22" i="6"/>
  <c r="BD33" i="6"/>
  <c r="BD21" i="6" s="1"/>
  <c r="BD47" i="6" s="1"/>
  <c r="BE22" i="6"/>
  <c r="BE36" i="6"/>
  <c r="BH38" i="6"/>
  <c r="CU27" i="6" l="1"/>
  <c r="CT36" i="6"/>
  <c r="CT33" i="6" s="1"/>
  <c r="CT22" i="6"/>
  <c r="DM25" i="6"/>
  <c r="DM35" i="6" s="1"/>
  <c r="DN26" i="6"/>
  <c r="CU29" i="6"/>
  <c r="CU37" i="6" s="1"/>
  <c r="CV30" i="6"/>
  <c r="CS21" i="6"/>
  <c r="CS47" i="6" s="1"/>
  <c r="BE33" i="6"/>
  <c r="BE21" i="6" s="1"/>
  <c r="BE47" i="6" s="1"/>
  <c r="BF22" i="6"/>
  <c r="BF36" i="6"/>
  <c r="BI38" i="6"/>
  <c r="BJ38" i="6"/>
  <c r="CV27" i="6" l="1"/>
  <c r="CU36" i="6"/>
  <c r="CU33" i="6" s="1"/>
  <c r="CU22" i="6"/>
  <c r="DN25" i="6"/>
  <c r="DN35" i="6" s="1"/>
  <c r="DO26" i="6"/>
  <c r="CT21" i="6"/>
  <c r="CT47" i="6" s="1"/>
  <c r="CV29" i="6"/>
  <c r="CV37" i="6" s="1"/>
  <c r="CW30" i="6"/>
  <c r="BF33" i="6"/>
  <c r="BF21" i="6" s="1"/>
  <c r="BF47" i="6" s="1"/>
  <c r="BG22" i="6"/>
  <c r="BG36" i="6"/>
  <c r="DO25" i="6" l="1"/>
  <c r="DO35" i="6" s="1"/>
  <c r="DP26" i="6"/>
  <c r="CW27" i="6"/>
  <c r="CW29" i="6"/>
  <c r="CW37" i="6" s="1"/>
  <c r="CV36" i="6"/>
  <c r="CV33" i="6" s="1"/>
  <c r="CV22" i="6"/>
  <c r="CU21" i="6"/>
  <c r="CU47" i="6" s="1"/>
  <c r="BG33" i="6"/>
  <c r="BG21" i="6" s="1"/>
  <c r="BG47" i="6" s="1"/>
  <c r="BH22" i="6"/>
  <c r="BH36" i="6"/>
  <c r="CX29" i="6" l="1"/>
  <c r="CX37" i="6" s="1"/>
  <c r="CY30" i="6"/>
  <c r="CW36" i="6"/>
  <c r="CW33" i="6" s="1"/>
  <c r="CW22" i="6"/>
  <c r="DP25" i="6"/>
  <c r="DP35" i="6" s="1"/>
  <c r="DQ26" i="6"/>
  <c r="CV21" i="6"/>
  <c r="CV47" i="6" s="1"/>
  <c r="BH33" i="6"/>
  <c r="BH21" i="6" s="1"/>
  <c r="BH47" i="6" s="1"/>
  <c r="BI22" i="6"/>
  <c r="BI36" i="6"/>
  <c r="CW21" i="6" l="1"/>
  <c r="CW47" i="6" s="1"/>
  <c r="CX22" i="6"/>
  <c r="CX36" i="6"/>
  <c r="CX33" i="6" s="1"/>
  <c r="CY29" i="6"/>
  <c r="CZ30" i="6"/>
  <c r="DQ25" i="6"/>
  <c r="DQ35" i="6" s="1"/>
  <c r="DR26" i="6"/>
  <c r="BI33" i="6"/>
  <c r="BI21" i="6" s="1"/>
  <c r="BI47" i="6" s="1"/>
  <c r="BJ22" i="6"/>
  <c r="BJ36" i="6"/>
  <c r="CX21" i="6" l="1"/>
  <c r="CX47" i="6" s="1"/>
  <c r="DR25" i="6"/>
  <c r="DR35" i="6" s="1"/>
  <c r="CZ29" i="6"/>
  <c r="DA30" i="6"/>
  <c r="CY22" i="6"/>
  <c r="CY37" i="6"/>
  <c r="CY33" i="6" s="1"/>
  <c r="BJ33" i="6"/>
  <c r="BJ21" i="6" s="1"/>
  <c r="BJ47" i="6" s="1"/>
  <c r="BK22" i="6"/>
  <c r="BK36" i="6"/>
  <c r="CY21" i="6" l="1"/>
  <c r="CY47" i="6" s="1"/>
  <c r="DA29" i="6"/>
  <c r="DB30" i="6"/>
  <c r="CZ22" i="6"/>
  <c r="CZ37" i="6"/>
  <c r="CZ33" i="6" s="1"/>
  <c r="BK33" i="6"/>
  <c r="BK21" i="6" s="1"/>
  <c r="BK47" i="6" s="1"/>
  <c r="BL22" i="6"/>
  <c r="BL36" i="6"/>
  <c r="CZ21" i="6" l="1"/>
  <c r="CZ47" i="6" s="1"/>
  <c r="DB29" i="6"/>
  <c r="DC30" i="6"/>
  <c r="DA22" i="6"/>
  <c r="DA37" i="6"/>
  <c r="DA33" i="6" s="1"/>
  <c r="BL33" i="6"/>
  <c r="BL21" i="6" s="1"/>
  <c r="BL47" i="6" s="1"/>
  <c r="BM22" i="6"/>
  <c r="BM36" i="6"/>
  <c r="DA21" i="6" l="1"/>
  <c r="DA47" i="6" s="1"/>
  <c r="DC29" i="6"/>
  <c r="DD30" i="6"/>
  <c r="DB22" i="6"/>
  <c r="DB37" i="6"/>
  <c r="DB33" i="6" s="1"/>
  <c r="BM33" i="6"/>
  <c r="BM21" i="6" s="1"/>
  <c r="BM47" i="6" s="1"/>
  <c r="BN22" i="6"/>
  <c r="BN36" i="6"/>
  <c r="DD29" i="6" l="1"/>
  <c r="DE30" i="6"/>
  <c r="DB21" i="6"/>
  <c r="DB47" i="6" s="1"/>
  <c r="DC22" i="6"/>
  <c r="DC37" i="6"/>
  <c r="DC33" i="6" s="1"/>
  <c r="BN33" i="6"/>
  <c r="BN21" i="6" s="1"/>
  <c r="BN47" i="6" s="1"/>
  <c r="BO22" i="6"/>
  <c r="BO36" i="6"/>
  <c r="DC21" i="6" l="1"/>
  <c r="DC47" i="6" s="1"/>
  <c r="DE29" i="6"/>
  <c r="DF30" i="6"/>
  <c r="DD37" i="6"/>
  <c r="DD33" i="6" s="1"/>
  <c r="DD22" i="6"/>
  <c r="BO33" i="6"/>
  <c r="BO21" i="6" s="1"/>
  <c r="BO47" i="6" s="1"/>
  <c r="BP22" i="6"/>
  <c r="BP36" i="6"/>
  <c r="DF29" i="6" l="1"/>
  <c r="DG30" i="6"/>
  <c r="DE22" i="6"/>
  <c r="DE37" i="6"/>
  <c r="DE33" i="6" s="1"/>
  <c r="DD21" i="6"/>
  <c r="DD47" i="6" s="1"/>
  <c r="BP33" i="6"/>
  <c r="BP21" i="6" s="1"/>
  <c r="BP47" i="6" s="1"/>
  <c r="BQ22" i="6"/>
  <c r="BQ36" i="6"/>
  <c r="DE21" i="6" l="1"/>
  <c r="DE47" i="6" s="1"/>
  <c r="DG29" i="6"/>
  <c r="DF22" i="6"/>
  <c r="DF37" i="6"/>
  <c r="DF33" i="6" s="1"/>
  <c r="BQ33" i="6"/>
  <c r="BQ21" i="6" s="1"/>
  <c r="BQ47" i="6" s="1"/>
  <c r="BR22" i="6"/>
  <c r="BR36" i="6"/>
  <c r="DF21" i="6" l="1"/>
  <c r="DF47" i="6" s="1"/>
  <c r="DH29" i="6"/>
  <c r="DI30" i="6"/>
  <c r="DG37" i="6"/>
  <c r="DG33" i="6" s="1"/>
  <c r="DG22" i="6"/>
  <c r="BR33" i="6"/>
  <c r="BR21" i="6" s="1"/>
  <c r="BR47" i="6" s="1"/>
  <c r="BS22" i="6"/>
  <c r="BS36" i="6"/>
  <c r="BT22" i="6"/>
  <c r="BT36" i="6"/>
  <c r="DG21" i="6" l="1"/>
  <c r="DG47" i="6" s="1"/>
  <c r="DI29" i="6"/>
  <c r="DJ30" i="6"/>
  <c r="DH22" i="6"/>
  <c r="DH37" i="6"/>
  <c r="DH33" i="6" s="1"/>
  <c r="BT33" i="6"/>
  <c r="BT21" i="6" s="1"/>
  <c r="BT47" i="6" s="1"/>
  <c r="BS33" i="6"/>
  <c r="BS21" i="6" s="1"/>
  <c r="BS47" i="6" s="1"/>
  <c r="DH21" i="6" l="1"/>
  <c r="DH47" i="6" s="1"/>
  <c r="DJ29" i="6"/>
  <c r="DK30" i="6"/>
  <c r="DI37" i="6"/>
  <c r="DI33" i="6" s="1"/>
  <c r="DI22" i="6"/>
  <c r="DI21" i="6" l="1"/>
  <c r="DI47" i="6" s="1"/>
  <c r="DK29" i="6"/>
  <c r="DL30" i="6"/>
  <c r="DJ22" i="6"/>
  <c r="DJ37" i="6"/>
  <c r="DJ33" i="6" s="1"/>
  <c r="DJ21" i="6" l="1"/>
  <c r="DJ47" i="6" s="1"/>
  <c r="DL29" i="6"/>
  <c r="DM30" i="6"/>
  <c r="DK22" i="6"/>
  <c r="DK37" i="6"/>
  <c r="DK33" i="6" s="1"/>
  <c r="DK21" i="6" l="1"/>
  <c r="DK47" i="6" s="1"/>
  <c r="DM29" i="6"/>
  <c r="DN30" i="6"/>
  <c r="DL22" i="6"/>
  <c r="DL37" i="6"/>
  <c r="DL33" i="6" s="1"/>
  <c r="DL21" i="6" l="1"/>
  <c r="DL47" i="6" s="1"/>
  <c r="DN29" i="6"/>
  <c r="DO30" i="6"/>
  <c r="DM22" i="6"/>
  <c r="DM37" i="6"/>
  <c r="DM33" i="6" s="1"/>
  <c r="DM21" i="6" l="1"/>
  <c r="DM47" i="6" s="1"/>
  <c r="DO29" i="6"/>
  <c r="DP30" i="6"/>
  <c r="DN37" i="6"/>
  <c r="DN33" i="6" s="1"/>
  <c r="DN22" i="6"/>
  <c r="DN21" i="6" l="1"/>
  <c r="DN47" i="6" s="1"/>
  <c r="DP29" i="6"/>
  <c r="DQ30" i="6"/>
  <c r="DO22" i="6"/>
  <c r="DO37" i="6"/>
  <c r="DO33" i="6" s="1"/>
  <c r="DO21" i="6" l="1"/>
  <c r="DO47" i="6" s="1"/>
  <c r="DQ29" i="6"/>
  <c r="DR30" i="6"/>
  <c r="DR29" i="6" s="1"/>
  <c r="DP22" i="6"/>
  <c r="DP37" i="6"/>
  <c r="DP33" i="6" s="1"/>
  <c r="DP21" i="6" l="1"/>
  <c r="DP47" i="6" s="1"/>
  <c r="DR37" i="6"/>
  <c r="DR33" i="6" s="1"/>
  <c r="DR22" i="6"/>
  <c r="DQ22" i="6"/>
  <c r="DQ37" i="6"/>
  <c r="DQ33" i="6" s="1"/>
  <c r="DR21" i="6" l="1"/>
  <c r="DQ21" i="6"/>
  <c r="DQ47" i="6" s="1"/>
  <c r="DR47" i="6" l="1"/>
  <c r="B60" i="6"/>
  <c r="B62" i="6" s="1"/>
  <c r="B6" i="6" s="1"/>
  <c r="B4" i="4" l="1"/>
  <c r="B5" i="4" l="1"/>
  <c r="B11" i="4" s="1"/>
  <c r="B3" i="4"/>
  <c r="B10" i="4" s="1"/>
</calcChain>
</file>

<file path=xl/comments1.xml><?xml version="1.0" encoding="utf-8"?>
<comments xmlns="http://schemas.openxmlformats.org/spreadsheetml/2006/main">
  <authors>
    <author>Florence HEUSCHMIDT</author>
  </authors>
  <commentList>
    <comment ref="A44" authorId="0" shapeId="0">
      <text>
        <r>
          <rPr>
            <sz val="9"/>
            <color indexed="81"/>
            <rFont val="Tahoma"/>
            <family val="2"/>
          </rPr>
          <t>colonisation lente par des accrus ayant une croissance linéaire de 1 m3/ha/an en volume bois fort (dès l’année 0), donc atteignant un volume bois fort de 30 m3/ha au bout de 30 ans. 
Pour les projets situés dans les GRECO de l’IGN « Méditerranée » et « Corse », pour tenir compte de conditions de production plus faibles et être plus réaliste, cette valeur par défaut sera fixée à 0,5 m3/ha/an en volume bois fort.</t>
        </r>
      </text>
    </comment>
    <comment ref="A45" authorId="0" shapeId="0">
      <text>
        <r>
          <rPr>
            <sz val="9"/>
            <color indexed="81"/>
            <rFont val="Tahoma"/>
            <family val="2"/>
          </rPr>
          <t>Pour forêt métropolitaine</t>
        </r>
      </text>
    </comment>
  </commentList>
</comments>
</file>

<file path=xl/comments2.xml><?xml version="1.0" encoding="utf-8"?>
<comments xmlns="http://schemas.openxmlformats.org/spreadsheetml/2006/main">
  <authors>
    <author>Florence HEUSCHMIDT</author>
  </authors>
  <commentList>
    <comment ref="A14" authorId="0" shapeId="0">
      <text>
        <r>
          <rPr>
            <b/>
            <sz val="9"/>
            <color indexed="81"/>
            <rFont val="Tahoma"/>
            <family val="2"/>
          </rPr>
          <t>Stock de carbone au début de l'année n dans les produits bois déjà récoltés</t>
        </r>
      </text>
    </comment>
    <comment ref="V17" authorId="0" shapeId="0">
      <text>
        <r>
          <rPr>
            <b/>
            <sz val="9"/>
            <color indexed="81"/>
            <rFont val="Tahoma"/>
            <family val="2"/>
          </rPr>
          <t>Florence HEUSCHMIDT:</t>
        </r>
        <r>
          <rPr>
            <sz val="9"/>
            <color indexed="81"/>
            <rFont val="Tahoma"/>
            <family val="2"/>
          </rPr>
          <t xml:space="preserve">
Le 0.41 correspond à la moyenne de l'infradensité du cèdre et du pin.</t>
        </r>
      </text>
    </comment>
  </commentList>
</comments>
</file>

<file path=xl/comments3.xml><?xml version="1.0" encoding="utf-8"?>
<comments xmlns="http://schemas.openxmlformats.org/spreadsheetml/2006/main">
  <authors>
    <author>Florence HEUSCHMIDT</author>
  </authors>
  <commentList>
    <comment ref="A1" authorId="0" shapeId="0">
      <text>
        <r>
          <rPr>
            <b/>
            <sz val="9"/>
            <color indexed="81"/>
            <rFont val="Tahoma"/>
            <family val="2"/>
          </rPr>
          <t xml:space="preserve">Pour les projets issus du reboisement d’un peuplement incendié ou du reboisement avec perturbation du sol (au moment du nettoyage et de la préparation du sol), on fera l’hypothèse que le carbone de la litière a été entièrement minéralisé ; on repartira alors d’une valeur nulle (hypothèse conservatrice).
Dans le cas du nettoyage partiel de la parcelle (pratique la plus vertueuse pour le sol), on fera l’hypothèse que la litière n’a pas été perturbée sur 50 % de la surface tandis qu’elle l’aura été sur les 50 % restants. Par conséquent, on appliquera l’équation 14 sur 50 % de la surface et on affectera sur les 50 % non impactés la constante de 10 tC/ha telle que préconisée par Arrouays et al. (2002) pour le compartiment de la litière. 
 </t>
        </r>
      </text>
    </comment>
  </commentList>
</comments>
</file>

<file path=xl/sharedStrings.xml><?xml version="1.0" encoding="utf-8"?>
<sst xmlns="http://schemas.openxmlformats.org/spreadsheetml/2006/main" count="304" uniqueCount="240">
  <si>
    <t>REA forêt</t>
  </si>
  <si>
    <t>REA produits</t>
  </si>
  <si>
    <t>Variables scénario de projet</t>
  </si>
  <si>
    <t>Taux de carbone dans la matière sèche (en tC/tMS)</t>
  </si>
  <si>
    <t>FEB (facteur d'expansion "branches")</t>
  </si>
  <si>
    <t>di (infrandensité de l'essence) (en tMS/m3)</t>
  </si>
  <si>
    <t>Surface (ha)</t>
  </si>
  <si>
    <t>Litière à l'équilibre (en tC/ha)</t>
  </si>
  <si>
    <t>Peuplement incendié ou nettoyage et préparation du sol total</t>
  </si>
  <si>
    <t xml:space="preserve">Constantes </t>
  </si>
  <si>
    <t>Carbone organique du sol (n) (en tC/ha)</t>
  </si>
  <si>
    <t>Informations générales :</t>
  </si>
  <si>
    <t>R' essence scénario référence (ans)</t>
  </si>
  <si>
    <t>Durée du projet (ans)</t>
  </si>
  <si>
    <t>n (années à partir du début du projet)</t>
  </si>
  <si>
    <t>Essence plantée</t>
  </si>
  <si>
    <t>Feuillus</t>
  </si>
  <si>
    <t>Conifères</t>
  </si>
  <si>
    <t xml:space="preserve">Infradensité (tMS/m3) </t>
  </si>
  <si>
    <t>Alisier torminal</t>
  </si>
  <si>
    <t>Aulne vert</t>
  </si>
  <si>
    <t>Cèdre de l’Atlas</t>
  </si>
  <si>
    <t>Charme</t>
  </si>
  <si>
    <t>Charme-houblon</t>
  </si>
  <si>
    <t>Châtaignier</t>
  </si>
  <si>
    <t>Chêne chevelu</t>
  </si>
  <si>
    <t>Chêne-liège</t>
  </si>
  <si>
    <t>Chêne pédonculé</t>
  </si>
  <si>
    <t>Chêne pubescent</t>
  </si>
  <si>
    <t>Chêne rouvre (sessile)</t>
  </si>
  <si>
    <t>Chêne tauzin</t>
  </si>
  <si>
    <t>Chêne vert</t>
  </si>
  <si>
    <t>Chênes indifférenciés</t>
  </si>
  <si>
    <t>Cornouiller mâle</t>
  </si>
  <si>
    <t>Cyprès</t>
  </si>
  <si>
    <t>Cytise aubour</t>
  </si>
  <si>
    <t>Douglas</t>
  </si>
  <si>
    <t>Epicéa commun</t>
  </si>
  <si>
    <t>Epicéa de Sitka</t>
  </si>
  <si>
    <t>Grands érables</t>
  </si>
  <si>
    <t>Petits érables</t>
  </si>
  <si>
    <t>Eucalyptus</t>
  </si>
  <si>
    <t>Hêtre</t>
  </si>
  <si>
    <t>Fruitiers</t>
  </si>
  <si>
    <t>If</t>
  </si>
  <si>
    <t>Mélèze d’Europe</t>
  </si>
  <si>
    <t>Mélèze du Japon</t>
  </si>
  <si>
    <t>Micocoulier</t>
  </si>
  <si>
    <t>Noyer</t>
  </si>
  <si>
    <t>Olivier</t>
  </si>
  <si>
    <t>Ormes</t>
  </si>
  <si>
    <t>Peupliers cultivés</t>
  </si>
  <si>
    <t>Peupliers non cultivés</t>
  </si>
  <si>
    <t>Essence</t>
  </si>
  <si>
    <t>Pin d'Alep</t>
  </si>
  <si>
    <t>Pin cembro</t>
  </si>
  <si>
    <t>Pin à crochets</t>
  </si>
  <si>
    <t>Pin laricio</t>
  </si>
  <si>
    <t>Pin maritime</t>
  </si>
  <si>
    <t>Pin mugho</t>
  </si>
  <si>
    <t>Pin noir d'Autriche</t>
  </si>
  <si>
    <t>Pin sylvestre</t>
  </si>
  <si>
    <t>Pin Weymouth</t>
  </si>
  <si>
    <t>Platanes</t>
  </si>
  <si>
    <t>Sapin méditerranéen</t>
  </si>
  <si>
    <t>Sapin de Nordmann</t>
  </si>
  <si>
    <t>Sapin pectiné</t>
  </si>
  <si>
    <t>Sapin de Vancouver</t>
  </si>
  <si>
    <t>Saules</t>
  </si>
  <si>
    <t>Tamaris</t>
  </si>
  <si>
    <t>Tilleuls</t>
  </si>
  <si>
    <t>Tremble</t>
  </si>
  <si>
    <t>Conifères (moyenne)</t>
  </si>
  <si>
    <t>Feuillus (moyenne)</t>
  </si>
  <si>
    <t>Pin pignon</t>
  </si>
  <si>
    <t>Arbousier</t>
  </si>
  <si>
    <t>Grands aulnes</t>
  </si>
  <si>
    <t>Bouleaux</t>
  </si>
  <si>
    <t>Chêne rouge d’Amérique</t>
  </si>
  <si>
    <t>Genévrier thurifère</t>
  </si>
  <si>
    <t>Frênes</t>
  </si>
  <si>
    <t>Merisier</t>
  </si>
  <si>
    <t>Mûrier</t>
  </si>
  <si>
    <t>Noisetier</t>
  </si>
  <si>
    <t>Robinier faux acacia</t>
  </si>
  <si>
    <t>t1/2 (temps de demi-vie des produits bois) (en années)</t>
  </si>
  <si>
    <t>Produits</t>
  </si>
  <si>
    <t>t1/2</t>
  </si>
  <si>
    <t>Bois de sciage</t>
  </si>
  <si>
    <t>Panneaux de bois</t>
  </si>
  <si>
    <t>Papier</t>
  </si>
  <si>
    <t>k (constante de décomposition pour une décomposition du premier ordre (en an-1)</t>
  </si>
  <si>
    <t xml:space="preserve">REE substitution (en tCO2) = </t>
  </si>
  <si>
    <t>REE substitution</t>
  </si>
  <si>
    <t>n (années à partir du début du projet) (égal au max entre R et R')</t>
  </si>
  <si>
    <r>
      <t xml:space="preserve">CS (en tCO2/m3) </t>
    </r>
    <r>
      <rPr>
        <sz val="9"/>
        <color theme="1"/>
        <rFont val="Calibri"/>
        <family val="2"/>
        <scheme val="minor"/>
      </rPr>
      <t>(Valade et al., 2017)</t>
    </r>
  </si>
  <si>
    <t>BO</t>
  </si>
  <si>
    <t>BE</t>
  </si>
  <si>
    <t>BI (papier)</t>
  </si>
  <si>
    <t>BI (panneaux)</t>
  </si>
  <si>
    <t>CS  (pour quatre situations de reboisements durant les 30 premières années) (en tCO2/m3)</t>
  </si>
  <si>
    <t>Tous les feuillus</t>
  </si>
  <si>
    <t>Peuplier</t>
  </si>
  <si>
    <t>Pin maritime en gestion dynamique</t>
  </si>
  <si>
    <t>Résineux</t>
  </si>
  <si>
    <t xml:space="preserve">Type de reboisement </t>
  </si>
  <si>
    <t>Type de reboisement</t>
  </si>
  <si>
    <t>Pin maritime en gestion dynamique (3 éclaircies durant les 30 1ères années)</t>
  </si>
  <si>
    <t>Type de friches</t>
  </si>
  <si>
    <t>Résineux pionniers (PM, PA, PS…)</t>
  </si>
  <si>
    <t>Boisement</t>
  </si>
  <si>
    <t>RE (Réductions d'émissions) (en tCO2)</t>
  </si>
  <si>
    <t>REA (Réductions d'émissions anticipées)</t>
  </si>
  <si>
    <t>REA forêt (compartiments forestiers)</t>
  </si>
  <si>
    <t>REA produits (produits bois)</t>
  </si>
  <si>
    <t>REE substitution (Réductions d'émissions de l'empreinte)</t>
  </si>
  <si>
    <t>RE totales</t>
  </si>
  <si>
    <t>REA forêt générables (avec rabais)</t>
  </si>
  <si>
    <t>REA produits générables (avec rabais)</t>
  </si>
  <si>
    <t>REE substitution générables (avec rabais)</t>
  </si>
  <si>
    <t>RE totales générables (avec rabais)</t>
  </si>
  <si>
    <t xml:space="preserve">Rabais </t>
  </si>
  <si>
    <t>Applicabilité</t>
  </si>
  <si>
    <t xml:space="preserve">Analyse économique de l’additionnalité </t>
  </si>
  <si>
    <t>Estimation des coûts et recettes dans le calcul de VAN</t>
  </si>
  <si>
    <t xml:space="preserve">Risques généraux difficilement maîtrisables </t>
  </si>
  <si>
    <t>Obligatoire</t>
  </si>
  <si>
    <t xml:space="preserve">Risque incendie </t>
  </si>
  <si>
    <t>Non justification de la classe de production</t>
  </si>
  <si>
    <t xml:space="preserve">Valeur </t>
  </si>
  <si>
    <t>Réalisée</t>
  </si>
  <si>
    <t>Départements avec risque très faible ou faible</t>
  </si>
  <si>
    <t>Départements avec risque moyen</t>
  </si>
  <si>
    <t>Départements avec risque fort ou très fort</t>
  </si>
  <si>
    <t>Non démontrée</t>
  </si>
  <si>
    <t>Démontrée</t>
  </si>
  <si>
    <t>Effectuée par un professionnel forestier</t>
  </si>
  <si>
    <t>Départements sans risque ou risque négligeable</t>
  </si>
  <si>
    <t>Effectuée par le propriétaire</t>
  </si>
  <si>
    <t>deltaS(30) (différence de stock de C à l’année 30 entre le projet et le scénario de référence) (en tCO2 à 30 ans)</t>
  </si>
  <si>
    <t>Situation de référence</t>
  </si>
  <si>
    <t>Embroussaillement</t>
  </si>
  <si>
    <t>Culture agricole</t>
  </si>
  <si>
    <t>Nature de prairie ou pâture</t>
  </si>
  <si>
    <r>
      <t xml:space="preserve">Quantification carbone pour le scénario de référence de la poursuite de la culture agricole </t>
    </r>
    <r>
      <rPr>
        <sz val="10"/>
        <color theme="1"/>
        <rFont val="Calibri"/>
        <family val="2"/>
        <scheme val="minor"/>
      </rPr>
      <t>(Giec; 2006) (en tC/ha)</t>
    </r>
  </si>
  <si>
    <t>Biomasse aérienne pour le scénario de référence de la poursuite d’une nature de prairie ou de pâture (en tC/ha)</t>
  </si>
  <si>
    <t>Carbone organique du sol sur une friche en phase d’embroussaillement, sur une prairie ou sur une pâture (n) (en tC/ha)</t>
  </si>
  <si>
    <t>di (infradensité de l'essence) (en tMS/m3)</t>
  </si>
  <si>
    <t>Piquet</t>
  </si>
  <si>
    <t>Essence Balivable</t>
  </si>
  <si>
    <t>Charme, chênes, hêtre, autres feuillus</t>
  </si>
  <si>
    <t>Robinier</t>
  </si>
  <si>
    <t>Risque incendie</t>
  </si>
  <si>
    <t>Départements avec risque négligeable, très faible, faible ou moyen</t>
  </si>
  <si>
    <t>REA forêt (compartiments forestiers) (en tCO2) =</t>
  </si>
  <si>
    <t>Incendié</t>
  </si>
  <si>
    <t>Nettoyage et préparation du sol total</t>
  </si>
  <si>
    <t>Incendié et nettoyage et préparation du sol total</t>
  </si>
  <si>
    <t>Nettoyage partiel</t>
  </si>
  <si>
    <t>n (années civiles à partir du début du projet) (égal au max entre R et R')</t>
  </si>
  <si>
    <t>CS (coefficient de substitution) (en tCO2/m3) scénario projet (après récolte à l'année 0)</t>
  </si>
  <si>
    <t>Essences</t>
  </si>
  <si>
    <t>Vérification terrain à n+5</t>
  </si>
  <si>
    <t>Régions</t>
  </si>
  <si>
    <t>Type de projets</t>
  </si>
  <si>
    <t>Essence objectif (hors feuillus précieux, peupliers et noyers)</t>
  </si>
  <si>
    <t>Feuillus précieux</t>
  </si>
  <si>
    <t>Autres</t>
  </si>
  <si>
    <t>Prévention des risques naturels</t>
  </si>
  <si>
    <t>Difficulté technique (ex: plantation sur pente &gt; 30%)</t>
  </si>
  <si>
    <t>Restauration écologique</t>
  </si>
  <si>
    <t>Conservation des ressources génétiques forestières</t>
  </si>
  <si>
    <t>Expérimentation sylvicole avec un suivi par un organisme de R&amp;D</t>
  </si>
  <si>
    <t>Peupliers ou noyers</t>
  </si>
  <si>
    <t>Méditerranée ou Corse</t>
  </si>
  <si>
    <t>Autre</t>
  </si>
  <si>
    <t>Pas réalisée</t>
  </si>
  <si>
    <t>L0 (carbone de la litière avant le projet de boisement) (en tC/ha)</t>
  </si>
  <si>
    <t>REA forêt (compartiments forestiers) (en tCO2/ha) =</t>
  </si>
  <si>
    <t xml:space="preserve">moyenne du carbone stocké dans le projet pendant sa durée de vie (en tCO2/an) </t>
  </si>
  <si>
    <t xml:space="preserve">moyenne du carbone stocké dans le scénario de référence pendant sa durée de vie (en tCO2/an) </t>
  </si>
  <si>
    <t xml:space="preserve">différence de la moyenne du carbone stocké dans le projet par rapport au scénario de référence pendant sa durée de vie (en tCO2/an) </t>
  </si>
  <si>
    <t>Litière (n) (en tC/ha)</t>
  </si>
  <si>
    <t>C projet Piquet (n) (en tC/ha)</t>
  </si>
  <si>
    <t>Dégradation des piquets déjà récoltés (en tC/ha)</t>
  </si>
  <si>
    <t>Flux entrant de carbone en piquets au cours de l'année n et dégradation (en tC/ha)</t>
  </si>
  <si>
    <t>Carbone organique du sol sur une culture (n) (en tC/ha)</t>
  </si>
  <si>
    <t>Moyenne</t>
  </si>
  <si>
    <t>Projet situé dans les GRECO de l'IGN "Méditerranée" et "Corse"</t>
  </si>
  <si>
    <t>GRECO IGN</t>
  </si>
  <si>
    <t>OUI</t>
  </si>
  <si>
    <t>NON</t>
  </si>
  <si>
    <t>Essences plantées</t>
  </si>
  <si>
    <t>-</t>
  </si>
  <si>
    <t>Volume total Acacia (n) (en m3/ha)</t>
  </si>
  <si>
    <t>Ces valeurs changent selon les essences --&gt; directement intégrées dans les calculs</t>
  </si>
  <si>
    <t>CS*Flux projet (n) (en TCO2)</t>
  </si>
  <si>
    <t>Flux projet (n) (en m3)</t>
  </si>
  <si>
    <t>Analyse économique de l’additionnalité</t>
  </si>
  <si>
    <t>Risques généraux difficilement maîtrisables</t>
  </si>
  <si>
    <t>Mélange feuillus et résineux</t>
  </si>
  <si>
    <t>Volume bois fort tige Cèdre (n) (en m3/ha)</t>
  </si>
  <si>
    <t>Biomasse Racinaire TOTALE pour les 8.1 ha (n) (en tMS)</t>
  </si>
  <si>
    <t>Sprojet (n) - Sréf (n) (en tCO2)</t>
  </si>
  <si>
    <t xml:space="preserve">REA produits (produits bois) (en tCO2) = </t>
  </si>
  <si>
    <t>C projet Papier (n) (en tC/ha)</t>
  </si>
  <si>
    <t>Dégradation des papiers déjà récoltés (en tC/ha)</t>
  </si>
  <si>
    <t>Flux entrant de carbone en papiers au cours de l'année n et dégradation (en tC/ha)</t>
  </si>
  <si>
    <t>Volume  bois fort Papier (n) (en m3/ha)</t>
  </si>
  <si>
    <t>Volume total Piquet (n) (en m3/ha)</t>
  </si>
  <si>
    <t xml:space="preserve">Cèdre  </t>
  </si>
  <si>
    <t>Acacia</t>
  </si>
  <si>
    <t>R essence plantée plus longue : chêne (ans)</t>
  </si>
  <si>
    <t>Prairies abandonnées</t>
  </si>
  <si>
    <t>Volume bois fort tige Hêtre (n) (en m3/ha)</t>
  </si>
  <si>
    <t>Le projet fait 11.7939 ha mais les calculs REG ne seront réalisés que sur les surfaces productives. Le reste étant boisé avec des essences en diversification qui ne disposent pas des tables de production</t>
  </si>
  <si>
    <t>S projet TOTAL pour les 11.3748 ha (n) (en tCO2)</t>
  </si>
  <si>
    <t>Biomasse Aérienne TOTALE pour les 11.3748 ha (n) (en tMS)</t>
  </si>
  <si>
    <t>Biomasse Aérienne Acacia 1.2448 ha (n) (en tMS)</t>
  </si>
  <si>
    <t>Biomasse Aérienne Chêne sessile 3.07 ha (n) (en tMS)</t>
  </si>
  <si>
    <t>Volume bois fort tige Chêne sessile (n) (en m3/ha)</t>
  </si>
  <si>
    <t>Biomasse Aérienne Hêtre 0.76 ha (n) (en tMS)</t>
  </si>
  <si>
    <t>Volume bois fort Chêne chevelu (n) (en m3/ha)</t>
  </si>
  <si>
    <t>Biomasse Aérienne Chêne chevelu 0.63 ha (n) (en tMS)</t>
  </si>
  <si>
    <t>Biomasse Aérienne Cèdre 5.67 ha (n) (en tMS)</t>
  </si>
  <si>
    <t>Biomasse Racinaire Acacia 1.2448 ha (n) (en tMS)</t>
  </si>
  <si>
    <t>Biomasse Racinaire Chêne sessile 3.07 ha (n) (en tMS)</t>
  </si>
  <si>
    <t>Biomasse Racinaire Hêtre 0.76 ha (n) (en tMS)</t>
  </si>
  <si>
    <t>Biomasse Racinaire Chêne chevelu 0.63 ha (n) (en tMS)</t>
  </si>
  <si>
    <t>Biomasse Racinaire Cèdre 5.67 ha (n) (en tMS)</t>
  </si>
  <si>
    <t>Variables scénario de référence : prairie abandonée, donc le scénario choisi est la colonisation naturelle/enfrichement</t>
  </si>
  <si>
    <t>S réf (n) (en tCO2/ha)</t>
  </si>
  <si>
    <t>Biomasse Aérienne (n) (en tMS/ha)</t>
  </si>
  <si>
    <t>Volume bois fort tige (n) (en m3/ha)</t>
  </si>
  <si>
    <t>Biomasse Racinaire (n) (en tMS/ha)</t>
  </si>
  <si>
    <t>C projet Bois de sciage (n) (en tC/ha)</t>
  </si>
  <si>
    <t>Dégradation des bois de sciages déjà récoltés (en tC/ha)</t>
  </si>
  <si>
    <t>Flux entrant de carbone en bois de sciage au cours de l'année n et dégradation (en tC/ha)</t>
  </si>
  <si>
    <t>Volume  bois fort Bois de sciage (n) (en m3/ha)</t>
  </si>
  <si>
    <t>C projet (n) pour les 1.2448 d'Acacia et 5.67 ha de cèdre (en tC)</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</si>
</sst>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9" x14ac:knownFonts="1">
    <font>
      <sz val="11"/>
      <color theme="1"/>
      <name val="Calibri"/>
      <family val="2"/>
      <scheme val="minor"/>
    </font>
    <font>
      <b/>
      <sz val="11"/>
      <color theme="1"/>
      <name val="Calibri"/>
      <family val="2"/>
      <scheme val="minor"/>
    </font>
    <font>
      <b/>
      <sz val="9"/>
      <color indexed="81"/>
      <name val="Tahoma"/>
      <family val="2"/>
    </font>
    <font>
      <b/>
      <sz val="12"/>
      <color theme="1"/>
      <name val="Calibri"/>
      <family val="2"/>
      <scheme val="minor"/>
    </font>
    <font>
      <b/>
      <sz val="14"/>
      <color theme="1"/>
      <name val="Calibri"/>
      <family val="2"/>
      <scheme val="minor"/>
    </font>
    <font>
      <sz val="14"/>
      <color theme="1"/>
      <name val="Calibri"/>
      <family val="2"/>
      <scheme val="minor"/>
    </font>
    <font>
      <sz val="9"/>
      <color theme="1"/>
      <name val="Calibri"/>
      <family val="2"/>
      <scheme val="minor"/>
    </font>
    <font>
      <sz val="10"/>
      <color theme="1"/>
      <name val="Calibri"/>
      <family val="2"/>
      <scheme val="minor"/>
    </font>
    <font>
      <sz val="9"/>
      <color indexed="81"/>
      <name val="Tahoma"/>
      <family val="2"/>
    </font>
  </fonts>
  <fills count="21">
    <fill>
      <patternFill patternType="none"/>
    </fill>
    <fill>
      <patternFill patternType="gray125"/>
    </fill>
    <fill>
      <patternFill patternType="solid">
        <fgColor theme="7" tint="0.59999389629810485"/>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rgb="FFFFFAEB"/>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D5FFD5"/>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9FF99"/>
        <bgColor indexed="64"/>
      </patternFill>
    </fill>
    <fill>
      <patternFill patternType="solid">
        <fgColor theme="4" tint="0.79998168889431442"/>
        <bgColor indexed="64"/>
      </patternFill>
    </fill>
    <fill>
      <patternFill patternType="solid">
        <fgColor theme="4" tint="0.59999389629810485"/>
        <bgColor indexed="64"/>
      </patternFill>
    </fill>
  </fills>
  <borders count="61">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right/>
      <top style="medium">
        <color indexed="64"/>
      </top>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s>
  <cellStyleXfs count="1">
    <xf numFmtId="0" fontId="0" fillId="0" borderId="0"/>
  </cellStyleXfs>
  <cellXfs count="230">
    <xf numFmtId="0" fontId="0" fillId="0" borderId="0" xfId="0"/>
    <xf numFmtId="0" fontId="0" fillId="0" borderId="0" xfId="0" applyAlignment="1">
      <alignment vertical="center" wrapText="1"/>
    </xf>
    <xf numFmtId="0" fontId="0" fillId="4" borderId="4" xfId="0" applyFill="1" applyBorder="1" applyAlignment="1">
      <alignment vertical="center" wrapText="1"/>
    </xf>
    <xf numFmtId="0" fontId="0" fillId="4" borderId="6" xfId="0" applyFill="1" applyBorder="1" applyAlignment="1">
      <alignment vertical="center" wrapText="1"/>
    </xf>
    <xf numFmtId="0" fontId="0" fillId="4" borderId="8" xfId="0" applyFill="1" applyBorder="1" applyAlignment="1">
      <alignment vertical="center" wrapText="1"/>
    </xf>
    <xf numFmtId="0" fontId="0" fillId="6" borderId="0" xfId="0" applyFill="1"/>
    <xf numFmtId="0" fontId="1" fillId="0" borderId="0" xfId="0" applyFont="1" applyFill="1" applyBorder="1" applyAlignment="1">
      <alignment vertical="center" wrapText="1"/>
    </xf>
    <xf numFmtId="0" fontId="0" fillId="0" borderId="0" xfId="0" applyFill="1" applyBorder="1"/>
    <xf numFmtId="0" fontId="0" fillId="0" borderId="0" xfId="0" applyFill="1" applyBorder="1"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4" borderId="14" xfId="0" applyFill="1" applyBorder="1" applyAlignment="1">
      <alignment vertical="center" wrapText="1"/>
    </xf>
    <xf numFmtId="0" fontId="0" fillId="7" borderId="3" xfId="0" applyFill="1" applyBorder="1" applyAlignment="1">
      <alignment horizontal="center" vertical="center"/>
    </xf>
    <xf numFmtId="0" fontId="0" fillId="7" borderId="10" xfId="0" applyFill="1" applyBorder="1" applyAlignment="1">
      <alignment horizontal="center" vertical="center"/>
    </xf>
    <xf numFmtId="0" fontId="0" fillId="7" borderId="21" xfId="0" applyFill="1" applyBorder="1" applyAlignment="1">
      <alignment horizontal="center" vertical="center"/>
    </xf>
    <xf numFmtId="0" fontId="0" fillId="0" borderId="0" xfId="0" applyFill="1" applyBorder="1" applyAlignment="1">
      <alignment horizontal="center" vertical="center"/>
    </xf>
    <xf numFmtId="0" fontId="0" fillId="0" borderId="0" xfId="0" applyFill="1"/>
    <xf numFmtId="0" fontId="0" fillId="0" borderId="3" xfId="0" applyFill="1" applyBorder="1" applyAlignment="1">
      <alignment horizontal="center" vertical="center"/>
    </xf>
    <xf numFmtId="0" fontId="0" fillId="2" borderId="6" xfId="0" applyFill="1" applyBorder="1" applyAlignment="1">
      <alignment vertical="center" wrapText="1"/>
    </xf>
    <xf numFmtId="0" fontId="3" fillId="0" borderId="0" xfId="0" applyFont="1" applyFill="1" applyBorder="1" applyAlignment="1">
      <alignment vertical="center" wrapText="1"/>
    </xf>
    <xf numFmtId="0" fontId="3" fillId="5" borderId="22" xfId="0" applyFont="1" applyFill="1" applyBorder="1" applyAlignment="1">
      <alignment vertical="center" wrapText="1"/>
    </xf>
    <xf numFmtId="0" fontId="0" fillId="7" borderId="9" xfId="0" applyFill="1" applyBorder="1" applyAlignment="1">
      <alignment horizontal="center"/>
    </xf>
    <xf numFmtId="0" fontId="0" fillId="4" borderId="6" xfId="0" applyFill="1" applyBorder="1" applyAlignment="1">
      <alignment horizontal="center" vertical="center" wrapText="1"/>
    </xf>
    <xf numFmtId="0" fontId="0" fillId="0" borderId="20" xfId="0" applyFill="1" applyBorder="1" applyAlignment="1">
      <alignment horizontal="center" vertical="center"/>
    </xf>
    <xf numFmtId="0" fontId="0" fillId="7" borderId="11" xfId="0" applyFill="1" applyBorder="1" applyAlignment="1">
      <alignment horizontal="center" vertical="center"/>
    </xf>
    <xf numFmtId="0" fontId="0" fillId="0" borderId="26" xfId="0" applyFill="1" applyBorder="1" applyAlignment="1">
      <alignment horizontal="center" vertical="center"/>
    </xf>
    <xf numFmtId="0" fontId="0" fillId="3" borderId="25" xfId="0" applyFill="1" applyBorder="1" applyAlignment="1">
      <alignment horizontal="center" vertical="center"/>
    </xf>
    <xf numFmtId="0" fontId="0" fillId="7" borderId="7" xfId="0" applyFill="1" applyBorder="1" applyAlignment="1">
      <alignment horizontal="center" vertical="center"/>
    </xf>
    <xf numFmtId="0" fontId="0" fillId="7" borderId="27" xfId="0" applyFill="1" applyBorder="1" applyAlignment="1">
      <alignment horizontal="center" vertical="center"/>
    </xf>
    <xf numFmtId="164" fontId="0" fillId="7" borderId="23" xfId="0" applyNumberFormat="1" applyFill="1" applyBorder="1" applyAlignment="1">
      <alignment horizontal="center" vertical="center"/>
    </xf>
    <xf numFmtId="164" fontId="0" fillId="7" borderId="9" xfId="0" applyNumberFormat="1" applyFill="1" applyBorder="1" applyAlignment="1">
      <alignment horizontal="center" vertical="center"/>
    </xf>
    <xf numFmtId="164" fontId="0" fillId="7" borderId="3" xfId="0" applyNumberFormat="1" applyFill="1" applyBorder="1" applyAlignment="1">
      <alignment horizontal="center" vertical="center"/>
    </xf>
    <xf numFmtId="0" fontId="3" fillId="5" borderId="4" xfId="0" applyFont="1" applyFill="1" applyBorder="1" applyAlignment="1">
      <alignment horizontal="center" vertical="center" wrapText="1"/>
    </xf>
    <xf numFmtId="0" fontId="4" fillId="5" borderId="22" xfId="0" applyFont="1" applyFill="1" applyBorder="1" applyAlignment="1">
      <alignment vertical="center" wrapText="1"/>
    </xf>
    <xf numFmtId="0" fontId="0" fillId="7" borderId="5" xfId="0" applyFill="1" applyBorder="1" applyAlignment="1">
      <alignment horizontal="center" vertical="center"/>
    </xf>
    <xf numFmtId="0" fontId="0" fillId="7" borderId="3" xfId="0" applyFill="1" applyBorder="1" applyAlignment="1">
      <alignment horizontal="center" vertical="center" wrapText="1"/>
    </xf>
    <xf numFmtId="0" fontId="0" fillId="0" borderId="7" xfId="0" applyBorder="1" applyAlignment="1">
      <alignment horizontal="center" vertical="center" wrapText="1"/>
    </xf>
    <xf numFmtId="2" fontId="0" fillId="7" borderId="23" xfId="0" applyNumberFormat="1" applyFill="1" applyBorder="1" applyAlignment="1">
      <alignment horizontal="center" vertical="center"/>
    </xf>
    <xf numFmtId="2" fontId="0" fillId="7" borderId="9" xfId="0" applyNumberFormat="1" applyFill="1" applyBorder="1" applyAlignment="1">
      <alignment horizontal="center" vertical="center"/>
    </xf>
    <xf numFmtId="164" fontId="0" fillId="0" borderId="0" xfId="0" applyNumberFormat="1" applyFill="1" applyBorder="1" applyAlignment="1">
      <alignment horizontal="center" vertical="center"/>
    </xf>
    <xf numFmtId="0" fontId="0" fillId="7" borderId="9" xfId="0" applyFill="1" applyBorder="1" applyAlignment="1">
      <alignment horizontal="center" vertical="center"/>
    </xf>
    <xf numFmtId="0" fontId="3" fillId="0" borderId="32" xfId="0" applyFont="1" applyBorder="1" applyAlignment="1">
      <alignment horizontal="center" vertical="center" wrapText="1"/>
    </xf>
    <xf numFmtId="0" fontId="3" fillId="5" borderId="6"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0" fillId="0" borderId="0" xfId="0" applyAlignment="1">
      <alignment wrapText="1"/>
    </xf>
    <xf numFmtId="0" fontId="3" fillId="2" borderId="22" xfId="0" applyFont="1" applyFill="1" applyBorder="1" applyAlignment="1">
      <alignment horizontal="center" vertical="center" wrapText="1"/>
    </xf>
    <xf numFmtId="0" fontId="0" fillId="4" borderId="3" xfId="0" applyFill="1" applyBorder="1" applyAlignment="1">
      <alignment horizontal="center" vertical="center" wrapText="1"/>
    </xf>
    <xf numFmtId="0" fontId="1" fillId="4" borderId="3" xfId="0" applyFont="1" applyFill="1" applyBorder="1" applyAlignment="1">
      <alignment horizontal="center" vertical="center" wrapText="1"/>
    </xf>
    <xf numFmtId="0" fontId="0" fillId="0" borderId="33" xfId="0" applyFill="1" applyBorder="1" applyAlignment="1">
      <alignment horizontal="center" vertical="center" wrapText="1"/>
    </xf>
    <xf numFmtId="0" fontId="0" fillId="0" borderId="3" xfId="0" applyFill="1" applyBorder="1" applyAlignment="1">
      <alignment horizontal="center" vertical="center" wrapText="1"/>
    </xf>
    <xf numFmtId="0" fontId="0" fillId="7" borderId="5" xfId="0" applyFill="1" applyBorder="1" applyAlignment="1">
      <alignment horizontal="center" vertical="center" wrapText="1"/>
    </xf>
    <xf numFmtId="0" fontId="0" fillId="7" borderId="7" xfId="0" applyFill="1" applyBorder="1" applyAlignment="1">
      <alignment horizontal="center" vertical="center" wrapText="1"/>
    </xf>
    <xf numFmtId="0" fontId="0" fillId="0" borderId="0" xfId="0" applyFill="1" applyBorder="1" applyAlignment="1"/>
    <xf numFmtId="0" fontId="0" fillId="0" borderId="0" xfId="0" applyFill="1" applyBorder="1" applyAlignment="1">
      <alignment vertical="center"/>
    </xf>
    <xf numFmtId="0" fontId="0" fillId="0" borderId="29" xfId="0" applyFill="1" applyBorder="1"/>
    <xf numFmtId="0" fontId="1" fillId="0" borderId="1" xfId="0" applyFont="1" applyFill="1" applyBorder="1" applyAlignment="1">
      <alignment vertical="center" wrapText="1"/>
    </xf>
    <xf numFmtId="0" fontId="0" fillId="0" borderId="29" xfId="0" applyFill="1" applyBorder="1" applyAlignment="1">
      <alignment horizontal="center" vertical="center"/>
    </xf>
    <xf numFmtId="0" fontId="0" fillId="7" borderId="26" xfId="0" applyFill="1" applyBorder="1" applyAlignment="1">
      <alignment horizontal="center" vertical="center"/>
    </xf>
    <xf numFmtId="0" fontId="0" fillId="0" borderId="11" xfId="0" applyFill="1" applyBorder="1" applyAlignment="1">
      <alignment horizontal="center" vertical="center"/>
    </xf>
    <xf numFmtId="0" fontId="0" fillId="7" borderId="23" xfId="0" applyFill="1" applyBorder="1" applyAlignment="1">
      <alignment horizontal="center" vertical="center"/>
    </xf>
    <xf numFmtId="0" fontId="0" fillId="7" borderId="20" xfId="0" applyFill="1" applyBorder="1" applyAlignment="1">
      <alignment horizontal="center" vertical="center"/>
    </xf>
    <xf numFmtId="164" fontId="0" fillId="7" borderId="28" xfId="0" applyNumberFormat="1" applyFill="1" applyBorder="1" applyAlignment="1">
      <alignment horizontal="center" vertical="center"/>
    </xf>
    <xf numFmtId="0" fontId="0" fillId="4" borderId="6" xfId="0" applyFill="1" applyBorder="1" applyAlignment="1">
      <alignment horizontal="center" vertical="center" wrapText="1"/>
    </xf>
    <xf numFmtId="0" fontId="0" fillId="4" borderId="8" xfId="0" applyFill="1" applyBorder="1" applyAlignment="1">
      <alignment horizontal="center" vertical="center" wrapText="1"/>
    </xf>
    <xf numFmtId="0" fontId="0" fillId="7" borderId="3" xfId="0" applyFont="1" applyFill="1" applyBorder="1" applyAlignment="1">
      <alignment horizontal="center" vertical="center" wrapText="1"/>
    </xf>
    <xf numFmtId="0" fontId="0" fillId="4" borderId="14" xfId="0" applyFont="1" applyFill="1" applyBorder="1" applyAlignment="1">
      <alignment horizontal="left" vertical="center" wrapText="1"/>
    </xf>
    <xf numFmtId="0" fontId="3" fillId="2" borderId="34" xfId="0" applyFont="1" applyFill="1" applyBorder="1" applyAlignment="1">
      <alignment horizontal="center" vertical="center"/>
    </xf>
    <xf numFmtId="0" fontId="0" fillId="4" borderId="45" xfId="0" applyFill="1" applyBorder="1" applyAlignment="1">
      <alignment horizontal="center" vertical="center" wrapText="1"/>
    </xf>
    <xf numFmtId="0" fontId="0" fillId="4" borderId="46" xfId="0" applyFill="1" applyBorder="1" applyAlignment="1">
      <alignment horizontal="center" vertical="center" wrapText="1"/>
    </xf>
    <xf numFmtId="0" fontId="0" fillId="4" borderId="47" xfId="0" applyFill="1" applyBorder="1" applyAlignment="1">
      <alignment horizontal="center" vertical="center" wrapText="1"/>
    </xf>
    <xf numFmtId="0" fontId="1" fillId="10" borderId="32" xfId="0" applyFont="1" applyFill="1" applyBorder="1" applyAlignment="1">
      <alignment horizontal="center" vertical="center" wrapText="1"/>
    </xf>
    <xf numFmtId="0" fontId="0" fillId="4" borderId="48" xfId="0" applyFill="1" applyBorder="1" applyAlignment="1">
      <alignment horizontal="center" vertical="center" wrapText="1"/>
    </xf>
    <xf numFmtId="0" fontId="0" fillId="4" borderId="12" xfId="0" applyFill="1" applyBorder="1" applyAlignment="1">
      <alignment horizontal="center" vertical="center" wrapText="1"/>
    </xf>
    <xf numFmtId="0" fontId="0" fillId="4" borderId="49" xfId="0" applyFill="1" applyBorder="1" applyAlignment="1">
      <alignment horizontal="center" vertical="center" wrapText="1"/>
    </xf>
    <xf numFmtId="0" fontId="1" fillId="10" borderId="50"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0" fillId="4" borderId="4" xfId="0" applyFill="1" applyBorder="1" applyAlignment="1">
      <alignment horizontal="center" vertical="center" wrapText="1"/>
    </xf>
    <xf numFmtId="0" fontId="0" fillId="4" borderId="7" xfId="0" applyFill="1" applyBorder="1" applyAlignment="1">
      <alignment horizontal="center" vertical="center" wrapText="1"/>
    </xf>
    <xf numFmtId="0" fontId="0" fillId="4" borderId="9" xfId="0" applyFill="1" applyBorder="1" applyAlignment="1">
      <alignment horizontal="center" vertical="center" wrapText="1"/>
    </xf>
    <xf numFmtId="0" fontId="0" fillId="4" borderId="51"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36" xfId="0" applyFill="1" applyBorder="1" applyAlignment="1">
      <alignment horizontal="center" vertical="center" wrapText="1"/>
    </xf>
    <xf numFmtId="0" fontId="0" fillId="4" borderId="14" xfId="0" applyFill="1" applyBorder="1" applyAlignment="1">
      <alignment horizontal="center" vertical="center" wrapText="1"/>
    </xf>
    <xf numFmtId="0" fontId="3" fillId="2" borderId="32" xfId="0" applyFont="1" applyFill="1" applyBorder="1" applyAlignment="1">
      <alignment horizontal="center" vertical="center" wrapText="1"/>
    </xf>
    <xf numFmtId="0" fontId="0" fillId="4" borderId="33"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26" xfId="0" applyFill="1" applyBorder="1" applyAlignment="1">
      <alignment horizontal="center" vertical="center" wrapText="1"/>
    </xf>
    <xf numFmtId="0" fontId="0" fillId="4" borderId="35" xfId="0" applyFill="1" applyBorder="1" applyAlignment="1">
      <alignment horizontal="center" vertical="center" wrapText="1"/>
    </xf>
    <xf numFmtId="0" fontId="0" fillId="0" borderId="0" xfId="0" applyFill="1" applyBorder="1" applyAlignment="1">
      <alignment horizontal="center" vertical="center" wrapText="1"/>
    </xf>
    <xf numFmtId="0" fontId="0" fillId="4" borderId="42" xfId="0" applyFill="1" applyBorder="1" applyAlignment="1">
      <alignment horizontal="center" vertical="center" wrapText="1"/>
    </xf>
    <xf numFmtId="0" fontId="3" fillId="2" borderId="25" xfId="0" applyFont="1" applyFill="1" applyBorder="1" applyAlignment="1">
      <alignment horizontal="center" vertical="center"/>
    </xf>
    <xf numFmtId="0" fontId="0" fillId="13" borderId="6" xfId="0" applyFill="1" applyBorder="1" applyAlignment="1">
      <alignment vertical="center" wrapText="1"/>
    </xf>
    <xf numFmtId="0" fontId="0" fillId="0" borderId="3" xfId="0" applyBorder="1" applyAlignment="1">
      <alignment horizontal="center" vertical="center"/>
    </xf>
    <xf numFmtId="0" fontId="0" fillId="0" borderId="10" xfId="0" applyBorder="1" applyAlignment="1">
      <alignment horizontal="center" vertical="center"/>
    </xf>
    <xf numFmtId="165" fontId="0" fillId="7" borderId="3" xfId="0" applyNumberFormat="1" applyFill="1" applyBorder="1" applyAlignment="1">
      <alignment horizontal="center" vertical="center"/>
    </xf>
    <xf numFmtId="1" fontId="0" fillId="7" borderId="5" xfId="0" applyNumberFormat="1" applyFill="1" applyBorder="1" applyAlignment="1">
      <alignment horizontal="center" vertical="center"/>
    </xf>
    <xf numFmtId="0" fontId="0" fillId="4" borderId="30" xfId="0" applyFill="1" applyBorder="1" applyAlignment="1">
      <alignment vertical="center" wrapText="1"/>
    </xf>
    <xf numFmtId="0" fontId="0" fillId="0" borderId="0" xfId="0" applyBorder="1"/>
    <xf numFmtId="0" fontId="0" fillId="7" borderId="23" xfId="0" applyFill="1" applyBorder="1" applyAlignment="1">
      <alignment horizontal="center"/>
    </xf>
    <xf numFmtId="165" fontId="0" fillId="9" borderId="25" xfId="0" applyNumberFormat="1" applyFill="1" applyBorder="1" applyAlignment="1">
      <alignment horizontal="center" vertical="center"/>
    </xf>
    <xf numFmtId="0" fontId="3" fillId="15" borderId="6" xfId="0" applyFont="1" applyFill="1" applyBorder="1" applyAlignment="1">
      <alignment horizontal="center" vertical="center" wrapText="1"/>
    </xf>
    <xf numFmtId="0" fontId="3" fillId="15" borderId="8" xfId="0" applyFont="1" applyFill="1" applyBorder="1" applyAlignment="1">
      <alignment horizontal="center" vertical="center" wrapText="1"/>
    </xf>
    <xf numFmtId="165" fontId="0" fillId="0" borderId="0" xfId="0" applyNumberFormat="1" applyFill="1" applyBorder="1" applyAlignment="1">
      <alignment horizontal="center" vertical="center"/>
    </xf>
    <xf numFmtId="0" fontId="0" fillId="0" borderId="0" xfId="0" applyFill="1" applyAlignment="1">
      <alignment wrapText="1"/>
    </xf>
    <xf numFmtId="0" fontId="0" fillId="4" borderId="8" xfId="0" applyFill="1" applyBorder="1" applyAlignment="1">
      <alignment horizontal="center" vertical="center" wrapText="1"/>
    </xf>
    <xf numFmtId="165" fontId="0" fillId="7" borderId="11" xfId="0" applyNumberFormat="1" applyFill="1" applyBorder="1" applyAlignment="1">
      <alignment horizontal="center" vertical="center"/>
    </xf>
    <xf numFmtId="0" fontId="1" fillId="10" borderId="55" xfId="0" applyFont="1" applyFill="1" applyBorder="1" applyAlignment="1">
      <alignment horizontal="center" vertical="center" wrapText="1"/>
    </xf>
    <xf numFmtId="0" fontId="0" fillId="4" borderId="40" xfId="0" applyFill="1" applyBorder="1" applyAlignment="1">
      <alignment horizontal="center" vertical="center" wrapText="1"/>
    </xf>
    <xf numFmtId="0" fontId="0" fillId="4" borderId="41" xfId="0" applyFill="1" applyBorder="1" applyAlignment="1">
      <alignment vertical="center" wrapText="1"/>
    </xf>
    <xf numFmtId="0" fontId="0" fillId="16" borderId="53" xfId="0" applyFill="1" applyBorder="1" applyAlignment="1">
      <alignment horizontal="center" vertical="center" wrapText="1"/>
    </xf>
    <xf numFmtId="0" fontId="0" fillId="4" borderId="56" xfId="0" applyFill="1" applyBorder="1" applyAlignment="1">
      <alignment vertical="center" wrapText="1"/>
    </xf>
    <xf numFmtId="0" fontId="3" fillId="6" borderId="12" xfId="0" applyFont="1" applyFill="1" applyBorder="1" applyAlignment="1">
      <alignment vertical="center" wrapText="1"/>
    </xf>
    <xf numFmtId="0" fontId="3" fillId="6" borderId="13" xfId="0" applyFont="1" applyFill="1" applyBorder="1" applyAlignment="1">
      <alignment vertical="center" wrapText="1"/>
    </xf>
    <xf numFmtId="0" fontId="1" fillId="6" borderId="16" xfId="0" applyFont="1" applyFill="1" applyBorder="1" applyAlignment="1">
      <alignment vertical="center" wrapText="1"/>
    </xf>
    <xf numFmtId="0" fontId="1" fillId="6" borderId="17" xfId="0" applyFont="1" applyFill="1" applyBorder="1" applyAlignment="1">
      <alignment vertical="center" wrapText="1"/>
    </xf>
    <xf numFmtId="165" fontId="0" fillId="7" borderId="10" xfId="0" applyNumberFormat="1" applyFill="1" applyBorder="1" applyAlignment="1">
      <alignment horizontal="center" vertical="center"/>
    </xf>
    <xf numFmtId="1" fontId="5" fillId="9" borderId="25" xfId="0" applyNumberFormat="1" applyFont="1" applyFill="1" applyBorder="1" applyAlignment="1">
      <alignment horizontal="center" vertical="center"/>
    </xf>
    <xf numFmtId="165" fontId="0" fillId="14" borderId="5" xfId="0" applyNumberFormat="1" applyFill="1" applyBorder="1" applyAlignment="1">
      <alignment horizontal="center" vertical="center"/>
    </xf>
    <xf numFmtId="0" fontId="0" fillId="4" borderId="22" xfId="0" applyFill="1" applyBorder="1" applyAlignment="1">
      <alignment vertical="center" wrapText="1"/>
    </xf>
    <xf numFmtId="1" fontId="0" fillId="14" borderId="25" xfId="0" applyNumberFormat="1" applyFill="1" applyBorder="1" applyAlignment="1">
      <alignment horizontal="center" vertical="center"/>
    </xf>
    <xf numFmtId="165" fontId="5" fillId="9" borderId="25" xfId="0" applyNumberFormat="1" applyFont="1" applyFill="1" applyBorder="1" applyAlignment="1">
      <alignment horizontal="center" vertical="center"/>
    </xf>
    <xf numFmtId="0" fontId="0" fillId="17" borderId="3" xfId="0" applyFill="1" applyBorder="1" applyAlignment="1">
      <alignment horizontal="center" vertical="center"/>
    </xf>
    <xf numFmtId="0" fontId="0" fillId="0" borderId="1" xfId="0" applyFill="1" applyBorder="1" applyAlignment="1">
      <alignment horizontal="center" vertical="center"/>
    </xf>
    <xf numFmtId="0" fontId="0" fillId="0" borderId="55" xfId="0" applyFill="1" applyBorder="1" applyAlignment="1">
      <alignment horizontal="center" vertical="center"/>
    </xf>
    <xf numFmtId="0" fontId="0" fillId="0" borderId="58" xfId="0" applyFill="1" applyBorder="1"/>
    <xf numFmtId="0" fontId="0" fillId="0" borderId="59" xfId="0" applyFill="1" applyBorder="1"/>
    <xf numFmtId="165" fontId="0" fillId="7" borderId="36" xfId="0" applyNumberFormat="1" applyFill="1" applyBorder="1" applyAlignment="1">
      <alignment horizontal="center" vertical="center"/>
    </xf>
    <xf numFmtId="165" fontId="0" fillId="7" borderId="27" xfId="0" applyNumberFormat="1" applyFill="1" applyBorder="1" applyAlignment="1">
      <alignment horizontal="center" vertical="center"/>
    </xf>
    <xf numFmtId="164" fontId="0" fillId="0" borderId="11" xfId="0" applyNumberFormat="1" applyFill="1" applyBorder="1" applyAlignment="1">
      <alignment horizontal="center" vertical="center"/>
    </xf>
    <xf numFmtId="165" fontId="0" fillId="0" borderId="11" xfId="0" applyNumberFormat="1" applyFill="1" applyBorder="1" applyAlignment="1">
      <alignment horizontal="center" vertical="center"/>
    </xf>
    <xf numFmtId="165" fontId="0" fillId="0" borderId="9" xfId="0" applyNumberFormat="1" applyFill="1" applyBorder="1" applyAlignment="1">
      <alignment horizontal="center" vertical="center"/>
    </xf>
    <xf numFmtId="165" fontId="0" fillId="7" borderId="3" xfId="0" applyNumberFormat="1" applyFont="1" applyFill="1" applyBorder="1" applyAlignment="1">
      <alignment horizontal="center" vertical="center" wrapText="1"/>
    </xf>
    <xf numFmtId="1" fontId="0" fillId="0" borderId="11" xfId="0" applyNumberFormat="1" applyFill="1" applyBorder="1" applyAlignment="1">
      <alignment horizontal="center" vertical="center"/>
    </xf>
    <xf numFmtId="0" fontId="3" fillId="0" borderId="43" xfId="0" applyFont="1" applyBorder="1" applyAlignment="1">
      <alignment horizontal="center" vertical="center" wrapText="1"/>
    </xf>
    <xf numFmtId="0" fontId="3" fillId="0" borderId="0" xfId="0" applyFont="1" applyFill="1" applyBorder="1" applyAlignment="1">
      <alignment horizontal="center" vertical="center" wrapText="1"/>
    </xf>
    <xf numFmtId="0" fontId="3" fillId="0" borderId="29" xfId="0" applyFont="1" applyFill="1" applyBorder="1" applyAlignment="1">
      <alignment horizontal="center" vertical="center" wrapText="1"/>
    </xf>
    <xf numFmtId="165" fontId="3" fillId="9" borderId="51" xfId="0" applyNumberFormat="1" applyFont="1" applyFill="1" applyBorder="1" applyAlignment="1">
      <alignment horizontal="center" vertical="center" wrapText="1"/>
    </xf>
    <xf numFmtId="165" fontId="3" fillId="9" borderId="10" xfId="0" applyNumberFormat="1" applyFont="1" applyFill="1" applyBorder="1" applyAlignment="1">
      <alignment horizontal="center" vertical="center" wrapText="1"/>
    </xf>
    <xf numFmtId="165" fontId="3" fillId="9" borderId="36" xfId="0" applyNumberFormat="1" applyFont="1" applyFill="1" applyBorder="1" applyAlignment="1">
      <alignment horizontal="center" vertical="center" wrapText="1"/>
    </xf>
    <xf numFmtId="165" fontId="0" fillId="11" borderId="51" xfId="0" applyNumberFormat="1" applyFill="1" applyBorder="1" applyAlignment="1">
      <alignment horizontal="center" vertical="center"/>
    </xf>
    <xf numFmtId="165" fontId="0" fillId="11" borderId="36" xfId="0" applyNumberFormat="1" applyFill="1" applyBorder="1" applyAlignment="1">
      <alignment horizontal="center" vertical="center"/>
    </xf>
    <xf numFmtId="0" fontId="1" fillId="0" borderId="0" xfId="0" applyFont="1"/>
    <xf numFmtId="0" fontId="0" fillId="16" borderId="5" xfId="0" applyFill="1" applyBorder="1" applyAlignment="1">
      <alignment horizontal="center" vertical="center"/>
    </xf>
    <xf numFmtId="0" fontId="0" fillId="16" borderId="7" xfId="0" applyFill="1" applyBorder="1" applyAlignment="1">
      <alignment horizontal="center" vertical="center"/>
    </xf>
    <xf numFmtId="0" fontId="0" fillId="16" borderId="57" xfId="0" applyFill="1" applyBorder="1" applyAlignment="1">
      <alignment horizontal="center" vertical="center"/>
    </xf>
    <xf numFmtId="0" fontId="1" fillId="0" borderId="29" xfId="0" applyFont="1" applyFill="1" applyBorder="1" applyAlignment="1">
      <alignment vertical="center" wrapText="1"/>
    </xf>
    <xf numFmtId="165" fontId="0" fillId="0" borderId="1" xfId="0" applyNumberFormat="1" applyFill="1" applyBorder="1" applyAlignment="1">
      <alignment horizontal="center" vertical="center"/>
    </xf>
    <xf numFmtId="165" fontId="0" fillId="0" borderId="55" xfId="0" applyNumberFormat="1" applyFill="1" applyBorder="1" applyAlignment="1">
      <alignment horizontal="center" vertical="center"/>
    </xf>
    <xf numFmtId="0" fontId="0" fillId="0" borderId="58" xfId="0" applyFill="1" applyBorder="1" applyAlignment="1">
      <alignment horizontal="center" vertical="center"/>
    </xf>
    <xf numFmtId="0" fontId="0" fillId="0" borderId="59" xfId="0" applyFill="1" applyBorder="1" applyAlignment="1">
      <alignment horizontal="center" vertical="center"/>
    </xf>
    <xf numFmtId="0" fontId="0" fillId="11" borderId="6" xfId="0" applyFill="1" applyBorder="1" applyAlignment="1">
      <alignment vertical="center" wrapText="1"/>
    </xf>
    <xf numFmtId="0" fontId="0" fillId="18" borderId="6" xfId="0" applyFill="1" applyBorder="1" applyAlignment="1">
      <alignment vertical="center" wrapText="1"/>
    </xf>
    <xf numFmtId="0" fontId="0" fillId="15" borderId="3" xfId="0" applyFill="1" applyBorder="1" applyAlignment="1">
      <alignment horizontal="center" vertical="center"/>
    </xf>
    <xf numFmtId="0" fontId="0" fillId="17" borderId="6" xfId="0" applyFill="1" applyBorder="1" applyAlignment="1">
      <alignment vertical="center" wrapText="1"/>
    </xf>
    <xf numFmtId="0" fontId="0" fillId="15" borderId="6" xfId="0" applyFill="1" applyBorder="1" applyAlignment="1">
      <alignment vertical="center" wrapText="1"/>
    </xf>
    <xf numFmtId="0" fontId="0" fillId="19" borderId="6" xfId="0" applyFill="1" applyBorder="1" applyAlignment="1">
      <alignment vertical="center" wrapText="1"/>
    </xf>
    <xf numFmtId="0" fontId="0" fillId="7" borderId="28" xfId="0" applyFill="1" applyBorder="1" applyAlignment="1">
      <alignment horizontal="center" vertical="center"/>
    </xf>
    <xf numFmtId="0" fontId="0" fillId="0" borderId="10" xfId="0" applyFill="1" applyBorder="1" applyAlignment="1">
      <alignment horizontal="center" vertical="center"/>
    </xf>
    <xf numFmtId="0" fontId="1" fillId="0" borderId="55" xfId="0" applyFont="1" applyFill="1" applyBorder="1" applyAlignment="1">
      <alignment vertical="center" wrapText="1"/>
    </xf>
    <xf numFmtId="164" fontId="0" fillId="7" borderId="10" xfId="0" applyNumberFormat="1" applyFill="1" applyBorder="1" applyAlignment="1">
      <alignment horizontal="center" vertical="center"/>
    </xf>
    <xf numFmtId="0" fontId="0" fillId="0" borderId="21" xfId="0" applyFill="1" applyBorder="1" applyAlignment="1">
      <alignment horizontal="center" vertical="center"/>
    </xf>
    <xf numFmtId="0" fontId="0" fillId="0" borderId="29" xfId="0" applyBorder="1"/>
    <xf numFmtId="165" fontId="0" fillId="7" borderId="7" xfId="0" applyNumberFormat="1" applyFont="1" applyFill="1" applyBorder="1" applyAlignment="1">
      <alignment horizontal="center" vertical="center" wrapText="1"/>
    </xf>
    <xf numFmtId="0" fontId="0" fillId="4" borderId="19" xfId="0" applyFill="1" applyBorder="1" applyAlignment="1">
      <alignment horizontal="center" vertical="center" wrapText="1"/>
    </xf>
    <xf numFmtId="0" fontId="0" fillId="4" borderId="8" xfId="0" applyFill="1" applyBorder="1" applyAlignment="1">
      <alignment horizontal="center" vertical="center" wrapText="1"/>
    </xf>
    <xf numFmtId="165" fontId="0" fillId="0" borderId="52" xfId="0" applyNumberFormat="1" applyFill="1" applyBorder="1" applyAlignment="1">
      <alignment horizontal="center" vertical="center"/>
    </xf>
    <xf numFmtId="165" fontId="0" fillId="0" borderId="43" xfId="0" applyNumberFormat="1" applyFill="1" applyBorder="1" applyAlignment="1">
      <alignment horizontal="center" vertical="center"/>
    </xf>
    <xf numFmtId="0" fontId="0" fillId="0" borderId="11" xfId="0" applyFill="1" applyBorder="1" applyAlignment="1">
      <alignment horizontal="center" vertical="center" wrapText="1"/>
    </xf>
    <xf numFmtId="0" fontId="0" fillId="7" borderId="9" xfId="0" applyFill="1" applyBorder="1" applyAlignment="1">
      <alignment horizontal="center" vertical="center" wrapText="1"/>
    </xf>
    <xf numFmtId="0" fontId="0" fillId="19" borderId="3" xfId="0" applyFill="1" applyBorder="1" applyAlignment="1">
      <alignment horizontal="center" vertical="center"/>
    </xf>
    <xf numFmtId="0" fontId="0" fillId="15" borderId="10" xfId="0" applyFill="1" applyBorder="1" applyAlignment="1">
      <alignment horizontal="center" vertical="center"/>
    </xf>
    <xf numFmtId="0" fontId="0" fillId="11" borderId="3" xfId="0" applyFill="1" applyBorder="1" applyAlignment="1">
      <alignment horizontal="center" vertical="center"/>
    </xf>
    <xf numFmtId="0" fontId="0" fillId="11" borderId="10" xfId="0" applyFill="1" applyBorder="1" applyAlignment="1">
      <alignment horizontal="center" vertical="center"/>
    </xf>
    <xf numFmtId="0" fontId="0" fillId="19" borderId="10" xfId="0" applyFill="1" applyBorder="1" applyAlignment="1">
      <alignment horizontal="center" vertical="center"/>
    </xf>
    <xf numFmtId="0" fontId="1" fillId="6" borderId="54" xfId="0" applyFont="1" applyFill="1" applyBorder="1" applyAlignment="1">
      <alignment vertical="center" wrapText="1"/>
    </xf>
    <xf numFmtId="165" fontId="0" fillId="7" borderId="7" xfId="0" applyNumberFormat="1" applyFill="1" applyBorder="1" applyAlignment="1">
      <alignment horizontal="center" vertical="center"/>
    </xf>
    <xf numFmtId="165" fontId="0" fillId="7" borderId="9" xfId="0" applyNumberFormat="1" applyFill="1" applyBorder="1" applyAlignment="1">
      <alignment horizontal="center" vertical="center"/>
    </xf>
    <xf numFmtId="0" fontId="0" fillId="0" borderId="11" xfId="0" applyBorder="1" applyAlignment="1">
      <alignment horizontal="center" vertical="center"/>
    </xf>
    <xf numFmtId="0" fontId="0" fillId="0" borderId="9" xfId="0" applyBorder="1" applyAlignment="1">
      <alignment horizontal="center" vertical="center"/>
    </xf>
    <xf numFmtId="165" fontId="0" fillId="7" borderId="23" xfId="0" applyNumberFormat="1" applyFill="1" applyBorder="1" applyAlignment="1">
      <alignment horizontal="center" vertical="center"/>
    </xf>
    <xf numFmtId="0" fontId="0" fillId="0" borderId="58" xfId="0" applyBorder="1" applyAlignment="1">
      <alignment horizontal="center" vertical="center"/>
    </xf>
    <xf numFmtId="0" fontId="0" fillId="0" borderId="59" xfId="0" applyBorder="1" applyAlignment="1">
      <alignment horizontal="center" vertical="center"/>
    </xf>
    <xf numFmtId="165" fontId="0" fillId="7" borderId="60" xfId="0" applyNumberFormat="1" applyFill="1" applyBorder="1" applyAlignment="1">
      <alignment horizontal="center" vertical="center"/>
    </xf>
    <xf numFmtId="165" fontId="0" fillId="7" borderId="53" xfId="0" applyNumberFormat="1" applyFill="1" applyBorder="1" applyAlignment="1">
      <alignment horizontal="center" vertical="center"/>
    </xf>
    <xf numFmtId="165" fontId="0" fillId="7" borderId="34" xfId="0" applyNumberFormat="1" applyFill="1" applyBorder="1" applyAlignment="1">
      <alignment horizontal="center" vertical="center"/>
    </xf>
    <xf numFmtId="165" fontId="0" fillId="7" borderId="25" xfId="0" applyNumberFormat="1" applyFill="1" applyBorder="1" applyAlignment="1">
      <alignment horizontal="center" vertical="center"/>
    </xf>
    <xf numFmtId="0" fontId="1" fillId="6" borderId="13" xfId="0" applyFont="1" applyFill="1" applyBorder="1" applyAlignment="1">
      <alignment vertical="center" wrapText="1"/>
    </xf>
    <xf numFmtId="0" fontId="1" fillId="6" borderId="39" xfId="0" applyFont="1" applyFill="1" applyBorder="1" applyAlignment="1">
      <alignment vertical="center" wrapText="1"/>
    </xf>
    <xf numFmtId="0" fontId="0" fillId="12" borderId="8" xfId="0" applyFill="1" applyBorder="1" applyAlignment="1">
      <alignment vertical="center" wrapText="1"/>
    </xf>
    <xf numFmtId="0" fontId="3" fillId="15" borderId="13" xfId="0" applyFont="1" applyFill="1" applyBorder="1" applyAlignment="1">
      <alignment vertical="center" wrapText="1"/>
    </xf>
    <xf numFmtId="0" fontId="3" fillId="11" borderId="13" xfId="0" applyFont="1" applyFill="1" applyBorder="1" applyAlignment="1">
      <alignment vertical="center" wrapText="1"/>
    </xf>
    <xf numFmtId="0" fontId="0" fillId="0" borderId="38" xfId="0" applyFill="1" applyBorder="1" applyAlignment="1">
      <alignment horizontal="center" vertical="center"/>
    </xf>
    <xf numFmtId="0" fontId="0" fillId="0" borderId="52" xfId="0" applyFill="1" applyBorder="1" applyAlignment="1">
      <alignment horizontal="center" vertical="center"/>
    </xf>
    <xf numFmtId="0" fontId="0" fillId="0" borderId="44" xfId="0" applyFill="1" applyBorder="1" applyAlignment="1">
      <alignment horizontal="center" vertical="center"/>
    </xf>
    <xf numFmtId="0" fontId="0" fillId="20" borderId="3" xfId="0" applyFill="1" applyBorder="1" applyAlignment="1">
      <alignment horizontal="center" vertical="center"/>
    </xf>
    <xf numFmtId="0" fontId="0" fillId="11" borderId="7" xfId="0" applyFill="1" applyBorder="1" applyAlignment="1">
      <alignment horizontal="center" vertical="center"/>
    </xf>
    <xf numFmtId="0" fontId="0" fillId="6" borderId="16" xfId="0" applyFill="1" applyBorder="1" applyAlignment="1">
      <alignment horizontal="center" vertical="center" wrapText="1"/>
    </xf>
    <xf numFmtId="0" fontId="0" fillId="6" borderId="54" xfId="0"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6" borderId="37" xfId="0" applyFont="1" applyFill="1" applyBorder="1" applyAlignment="1">
      <alignment horizontal="center" vertical="center" wrapText="1"/>
    </xf>
    <xf numFmtId="0" fontId="1" fillId="6" borderId="38" xfId="0" applyFont="1" applyFill="1" applyBorder="1" applyAlignment="1">
      <alignment horizontal="center" vertical="center" wrapText="1"/>
    </xf>
    <xf numFmtId="0" fontId="1" fillId="6" borderId="12" xfId="0" applyFont="1" applyFill="1" applyBorder="1" applyAlignment="1">
      <alignment horizontal="left" vertical="center" wrapText="1"/>
    </xf>
    <xf numFmtId="0" fontId="1" fillId="6" borderId="13" xfId="0" applyFont="1" applyFill="1" applyBorder="1" applyAlignment="1">
      <alignment horizontal="left" vertical="center" wrapText="1"/>
    </xf>
    <xf numFmtId="0" fontId="1" fillId="0" borderId="29"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0" fillId="4" borderId="19" xfId="0" applyFill="1" applyBorder="1" applyAlignment="1">
      <alignment horizontal="center" vertical="center" wrapText="1"/>
    </xf>
    <xf numFmtId="0" fontId="0" fillId="4" borderId="24" xfId="0" applyFill="1" applyBorder="1" applyAlignment="1">
      <alignment horizontal="center" vertical="center" wrapText="1"/>
    </xf>
    <xf numFmtId="0" fontId="0" fillId="4" borderId="41" xfId="0" applyFill="1" applyBorder="1" applyAlignment="1">
      <alignment horizontal="center" vertical="center" wrapText="1"/>
    </xf>
    <xf numFmtId="0" fontId="3" fillId="6" borderId="12" xfId="0" applyFont="1" applyFill="1" applyBorder="1" applyAlignment="1">
      <alignment horizontal="left" vertical="center" wrapText="1"/>
    </xf>
    <xf numFmtId="0" fontId="3" fillId="6" borderId="13" xfId="0" applyFont="1" applyFill="1" applyBorder="1" applyAlignment="1">
      <alignment horizontal="left" vertical="center" wrapText="1"/>
    </xf>
    <xf numFmtId="0" fontId="1" fillId="6" borderId="16" xfId="0" applyFont="1" applyFill="1" applyBorder="1" applyAlignment="1">
      <alignment horizontal="left" vertical="center" wrapText="1"/>
    </xf>
    <xf numFmtId="0" fontId="1" fillId="6" borderId="17" xfId="0" applyFont="1" applyFill="1" applyBorder="1" applyAlignment="1">
      <alignment horizontal="left" vertical="center" wrapText="1"/>
    </xf>
    <xf numFmtId="0" fontId="1" fillId="6" borderId="14" xfId="0" applyFont="1" applyFill="1" applyBorder="1" applyAlignment="1">
      <alignment horizontal="center" vertical="center" wrapText="1"/>
    </xf>
    <xf numFmtId="0" fontId="1" fillId="6" borderId="18" xfId="0" applyFont="1" applyFill="1" applyBorder="1" applyAlignment="1">
      <alignment horizontal="center" vertical="center" wrapText="1"/>
    </xf>
    <xf numFmtId="0" fontId="0" fillId="4" borderId="30" xfId="0" applyFill="1" applyBorder="1" applyAlignment="1">
      <alignment horizontal="center" vertical="center" wrapText="1"/>
    </xf>
    <xf numFmtId="0" fontId="0" fillId="4" borderId="6" xfId="0" applyFill="1" applyBorder="1" applyAlignment="1">
      <alignment horizontal="center" vertical="center" wrapText="1"/>
    </xf>
    <xf numFmtId="0" fontId="0" fillId="4" borderId="8" xfId="0" applyFill="1" applyBorder="1" applyAlignment="1">
      <alignment horizontal="center" vertical="center" wrapText="1"/>
    </xf>
    <xf numFmtId="0" fontId="1" fillId="0" borderId="12" xfId="0" applyFont="1" applyBorder="1" applyAlignment="1">
      <alignment horizontal="center" vertical="center" wrapText="1"/>
    </xf>
    <xf numFmtId="0" fontId="1" fillId="0" borderId="39" xfId="0" applyFont="1" applyBorder="1" applyAlignment="1">
      <alignment horizontal="center" vertical="center" wrapText="1"/>
    </xf>
    <xf numFmtId="0" fontId="3" fillId="6" borderId="39" xfId="0" applyFont="1" applyFill="1" applyBorder="1" applyAlignment="1">
      <alignment horizontal="left" vertical="center" wrapText="1"/>
    </xf>
    <xf numFmtId="0" fontId="1" fillId="6" borderId="14" xfId="0" applyFont="1" applyFill="1" applyBorder="1" applyAlignment="1">
      <alignment horizontal="left" vertical="center" wrapText="1"/>
    </xf>
    <xf numFmtId="0" fontId="1" fillId="6" borderId="15" xfId="0" applyFont="1" applyFill="1" applyBorder="1" applyAlignment="1">
      <alignment horizontal="left" vertical="center" wrapText="1"/>
    </xf>
    <xf numFmtId="0" fontId="1" fillId="6" borderId="31" xfId="0" applyFont="1" applyFill="1" applyBorder="1" applyAlignment="1">
      <alignment horizontal="left" vertical="center" wrapText="1"/>
    </xf>
    <xf numFmtId="0" fontId="1" fillId="2" borderId="52"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1" fillId="10" borderId="52" xfId="0" applyFont="1" applyFill="1" applyBorder="1" applyAlignment="1">
      <alignment horizontal="center" vertical="center" wrapText="1"/>
    </xf>
    <xf numFmtId="0" fontId="1" fillId="10" borderId="43" xfId="0" applyFont="1" applyFill="1" applyBorder="1" applyAlignment="1">
      <alignment horizontal="center" vertical="center" wrapText="1"/>
    </xf>
    <xf numFmtId="0" fontId="1" fillId="10" borderId="44" xfId="0" applyFont="1" applyFill="1" applyBorder="1" applyAlignment="1">
      <alignment horizontal="center" vertical="center" wrapText="1"/>
    </xf>
  </cellXfs>
  <cellStyles count="1">
    <cellStyle name="Normal" xfId="0" builtinId="0"/>
  </cellStyles>
  <dxfs count="1">
    <dxf>
      <font>
        <color rgb="FF006100"/>
      </font>
      <fill>
        <patternFill>
          <bgColor rgb="FFC6EFCE"/>
        </patternFill>
      </fill>
    </dxf>
  </dxfs>
  <tableStyles count="0" defaultTableStyle="TableStyleMedium2" defaultPivotStyle="PivotStyleLight16"/>
  <colors>
    <mruColors>
      <color rgb="FFFFFAEB"/>
      <color rgb="FFD5FFD5"/>
      <color rgb="FF99FF99"/>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U62"/>
  <sheetViews>
    <sheetView zoomScale="101" zoomScaleNormal="63" workbookViewId="0">
      <selection activeCell="B24" sqref="B24"/>
    </sheetView>
  </sheetViews>
  <sheetFormatPr baseColWidth="10" defaultRowHeight="14.5" x14ac:dyDescent="0.35"/>
  <cols>
    <col min="1" max="1" width="33.6328125" style="1" customWidth="1"/>
    <col min="2" max="2" width="19.90625" customWidth="1"/>
    <col min="3" max="3" width="14.54296875" bestFit="1" customWidth="1"/>
    <col min="4" max="4" width="15.7265625" customWidth="1"/>
    <col min="5" max="32" width="14.54296875" bestFit="1" customWidth="1"/>
    <col min="33" max="122" width="12.36328125" bestFit="1" customWidth="1"/>
  </cols>
  <sheetData>
    <row r="1" spans="1:4" x14ac:dyDescent="0.35">
      <c r="D1" s="104"/>
    </row>
    <row r="4" spans="1:4" ht="15" thickBot="1" x14ac:dyDescent="0.4">
      <c r="B4" s="9"/>
    </row>
    <row r="5" spans="1:4" ht="37.5" thickBot="1" x14ac:dyDescent="0.4">
      <c r="A5" s="33" t="s">
        <v>178</v>
      </c>
      <c r="B5" s="117">
        <f>B6/B10</f>
        <v>101.96614554962751</v>
      </c>
    </row>
    <row r="6" spans="1:4" ht="37.5" thickBot="1" x14ac:dyDescent="0.4">
      <c r="A6" s="33" t="s">
        <v>154</v>
      </c>
      <c r="B6" s="121">
        <f>MIN(B59,B62)</f>
        <v>1159.8445123979031</v>
      </c>
    </row>
    <row r="8" spans="1:4" ht="15" thickBot="1" x14ac:dyDescent="0.4"/>
    <row r="9" spans="1:4" ht="15" thickBot="1" x14ac:dyDescent="0.4">
      <c r="A9" s="199" t="s">
        <v>11</v>
      </c>
      <c r="B9" s="200"/>
    </row>
    <row r="10" spans="1:4" x14ac:dyDescent="0.35">
      <c r="A10" s="2" t="s">
        <v>6</v>
      </c>
      <c r="B10" s="143">
        <f>11.3748</f>
        <v>11.3748</v>
      </c>
      <c r="C10" t="s">
        <v>215</v>
      </c>
    </row>
    <row r="11" spans="1:4" ht="29" x14ac:dyDescent="0.35">
      <c r="A11" s="3" t="s">
        <v>212</v>
      </c>
      <c r="B11" s="144">
        <v>120</v>
      </c>
    </row>
    <row r="12" spans="1:4" x14ac:dyDescent="0.35">
      <c r="A12" s="3" t="s">
        <v>192</v>
      </c>
      <c r="B12" s="144"/>
      <c r="C12" s="142" t="s">
        <v>200</v>
      </c>
    </row>
    <row r="13" spans="1:4" x14ac:dyDescent="0.35">
      <c r="A13" s="3" t="s">
        <v>12</v>
      </c>
      <c r="B13" s="144" t="s">
        <v>193</v>
      </c>
    </row>
    <row r="14" spans="1:4" x14ac:dyDescent="0.35">
      <c r="A14" s="3" t="s">
        <v>13</v>
      </c>
      <c r="B14" s="144">
        <v>30</v>
      </c>
    </row>
    <row r="15" spans="1:4" x14ac:dyDescent="0.35">
      <c r="A15" s="111" t="s">
        <v>140</v>
      </c>
      <c r="B15" s="145" t="s">
        <v>141</v>
      </c>
      <c r="C15" s="142" t="s">
        <v>213</v>
      </c>
    </row>
    <row r="16" spans="1:4" ht="29.5" thickBot="1" x14ac:dyDescent="0.4">
      <c r="A16" s="109" t="s">
        <v>188</v>
      </c>
      <c r="B16" s="110" t="s">
        <v>191</v>
      </c>
    </row>
    <row r="17" spans="1:177" ht="15" thickBot="1" x14ac:dyDescent="0.4"/>
    <row r="18" spans="1:177" s="5" customFormat="1" ht="15.5" x14ac:dyDescent="0.35">
      <c r="A18" s="112" t="s">
        <v>0</v>
      </c>
      <c r="B18" s="113"/>
      <c r="C18" s="113"/>
      <c r="D18" s="113"/>
      <c r="E18" s="113"/>
      <c r="F18" s="113"/>
      <c r="G18" s="113"/>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13"/>
      <c r="AV18" s="113"/>
      <c r="AW18" s="113"/>
      <c r="AX18" s="113"/>
      <c r="AY18" s="113"/>
      <c r="AZ18" s="113"/>
      <c r="BA18" s="113"/>
      <c r="BB18" s="113"/>
      <c r="BC18" s="113"/>
      <c r="BD18" s="113"/>
      <c r="BE18" s="113"/>
      <c r="BF18" s="113"/>
      <c r="BG18" s="113"/>
      <c r="BH18" s="113"/>
      <c r="BI18" s="113"/>
      <c r="BJ18" s="113"/>
      <c r="BK18" s="113"/>
      <c r="BL18" s="113"/>
      <c r="BM18" s="113"/>
      <c r="BN18" s="113"/>
      <c r="BO18" s="113"/>
      <c r="BP18" s="113"/>
      <c r="BQ18" s="113"/>
      <c r="BR18" s="113"/>
      <c r="BS18" s="113"/>
      <c r="BT18" s="113"/>
      <c r="BU18" s="113"/>
      <c r="BV18" s="113"/>
      <c r="BW18" s="113"/>
      <c r="BX18" s="113"/>
      <c r="BY18" s="113"/>
      <c r="BZ18" s="113"/>
      <c r="CA18" s="113"/>
      <c r="CB18" s="113"/>
      <c r="CC18" s="113"/>
      <c r="CD18" s="113"/>
      <c r="CE18" s="113"/>
      <c r="CF18" s="113"/>
      <c r="CG18" s="113"/>
      <c r="CH18" s="113"/>
      <c r="CI18" s="113"/>
      <c r="CJ18" s="113"/>
      <c r="CK18" s="113"/>
      <c r="CL18" s="113"/>
      <c r="CM18" s="113"/>
      <c r="CN18" s="191"/>
      <c r="CO18" s="113"/>
      <c r="CP18" s="113"/>
      <c r="CQ18" s="113"/>
      <c r="CR18" s="113"/>
      <c r="CS18" s="113"/>
      <c r="CT18" s="113"/>
      <c r="CU18" s="113"/>
      <c r="CV18" s="113"/>
      <c r="CW18" s="113"/>
      <c r="CX18" s="190"/>
      <c r="CY18" s="113"/>
      <c r="CZ18" s="113"/>
      <c r="DA18" s="113"/>
      <c r="DB18" s="113"/>
      <c r="DC18" s="113"/>
      <c r="DD18" s="113"/>
      <c r="DE18" s="113"/>
      <c r="DF18" s="113"/>
      <c r="DG18" s="113"/>
      <c r="DH18" s="113"/>
      <c r="DI18" s="113"/>
      <c r="DJ18" s="113"/>
      <c r="DK18" s="113"/>
      <c r="DL18" s="113"/>
      <c r="DM18" s="113"/>
      <c r="DN18" s="113"/>
      <c r="DO18" s="113"/>
      <c r="DP18" s="113"/>
      <c r="DQ18" s="113"/>
      <c r="DR18" s="113"/>
      <c r="DS18" s="55"/>
      <c r="DT18" s="7"/>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ht="29" x14ac:dyDescent="0.35">
      <c r="A19" s="3" t="s">
        <v>94</v>
      </c>
      <c r="B19" s="12">
        <v>0</v>
      </c>
      <c r="C19" s="12">
        <v>1</v>
      </c>
      <c r="D19" s="12">
        <v>2</v>
      </c>
      <c r="E19" s="12">
        <v>3</v>
      </c>
      <c r="F19" s="12">
        <v>4</v>
      </c>
      <c r="G19" s="12">
        <v>5</v>
      </c>
      <c r="H19" s="12">
        <v>6</v>
      </c>
      <c r="I19" s="12">
        <v>7</v>
      </c>
      <c r="J19" s="12">
        <v>8</v>
      </c>
      <c r="K19" s="12">
        <v>9</v>
      </c>
      <c r="L19" s="12">
        <v>10</v>
      </c>
      <c r="M19" s="12">
        <v>11</v>
      </c>
      <c r="N19" s="12">
        <v>12</v>
      </c>
      <c r="O19" s="12">
        <v>13</v>
      </c>
      <c r="P19" s="12">
        <v>14</v>
      </c>
      <c r="Q19" s="170">
        <v>15</v>
      </c>
      <c r="R19" s="12">
        <v>16</v>
      </c>
      <c r="S19" s="12">
        <v>17</v>
      </c>
      <c r="T19" s="12">
        <v>18</v>
      </c>
      <c r="U19" s="12">
        <v>19</v>
      </c>
      <c r="V19" s="12">
        <v>20</v>
      </c>
      <c r="W19" s="12">
        <v>21</v>
      </c>
      <c r="X19" s="12">
        <v>22</v>
      </c>
      <c r="Y19" s="170">
        <v>23</v>
      </c>
      <c r="Z19" s="12">
        <v>24</v>
      </c>
      <c r="AA19" s="172">
        <v>25</v>
      </c>
      <c r="AB19" s="12">
        <v>26</v>
      </c>
      <c r="AC19" s="122">
        <v>27</v>
      </c>
      <c r="AD19" s="12">
        <v>28</v>
      </c>
      <c r="AE19" s="12">
        <v>29</v>
      </c>
      <c r="AF19" s="173">
        <v>30</v>
      </c>
      <c r="AG19" s="170">
        <v>31</v>
      </c>
      <c r="AH19" s="12">
        <v>32</v>
      </c>
      <c r="AI19" s="13">
        <v>33</v>
      </c>
      <c r="AJ19" s="12">
        <v>34</v>
      </c>
      <c r="AK19" s="172">
        <v>35</v>
      </c>
      <c r="AL19" s="13">
        <v>36</v>
      </c>
      <c r="AM19" s="12">
        <v>37</v>
      </c>
      <c r="AN19" s="12">
        <v>38</v>
      </c>
      <c r="AO19" s="174">
        <v>39</v>
      </c>
      <c r="AP19" s="172">
        <v>40</v>
      </c>
      <c r="AQ19" s="12">
        <v>41</v>
      </c>
      <c r="AR19" s="171">
        <v>42</v>
      </c>
      <c r="AS19" s="12">
        <v>43</v>
      </c>
      <c r="AT19" s="12">
        <v>44</v>
      </c>
      <c r="AU19" s="173">
        <v>45</v>
      </c>
      <c r="AV19" s="12">
        <v>46</v>
      </c>
      <c r="AW19" s="12">
        <v>47</v>
      </c>
      <c r="AX19" s="171">
        <v>48</v>
      </c>
      <c r="AY19" s="12">
        <v>49</v>
      </c>
      <c r="AZ19" s="172">
        <v>50</v>
      </c>
      <c r="BA19" s="13">
        <v>51</v>
      </c>
      <c r="BB19" s="12">
        <v>52</v>
      </c>
      <c r="BC19" s="12">
        <v>53</v>
      </c>
      <c r="BD19" s="13">
        <v>54</v>
      </c>
      <c r="BE19" s="172">
        <v>55</v>
      </c>
      <c r="BF19" s="153">
        <v>56</v>
      </c>
      <c r="BG19" s="13">
        <v>57</v>
      </c>
      <c r="BH19" s="12">
        <v>58</v>
      </c>
      <c r="BI19" s="12">
        <v>59</v>
      </c>
      <c r="BJ19" s="173">
        <v>60</v>
      </c>
      <c r="BK19" s="12">
        <v>61</v>
      </c>
      <c r="BL19" s="12">
        <v>62</v>
      </c>
      <c r="BM19" s="13">
        <v>63</v>
      </c>
      <c r="BN19" s="153">
        <v>64</v>
      </c>
      <c r="BO19" s="172">
        <v>65</v>
      </c>
      <c r="BP19" s="13">
        <v>66</v>
      </c>
      <c r="BQ19" s="12">
        <v>67</v>
      </c>
      <c r="BR19" s="12">
        <v>68</v>
      </c>
      <c r="BS19" s="13">
        <v>69</v>
      </c>
      <c r="BT19" s="173">
        <v>70</v>
      </c>
      <c r="BU19" s="13">
        <v>71</v>
      </c>
      <c r="BV19" s="171">
        <v>72</v>
      </c>
      <c r="BW19" s="13">
        <v>73</v>
      </c>
      <c r="BX19" s="13">
        <v>74</v>
      </c>
      <c r="BY19" s="173">
        <v>75</v>
      </c>
      <c r="BZ19" s="13">
        <v>76</v>
      </c>
      <c r="CA19" s="13">
        <v>77</v>
      </c>
      <c r="CB19" s="13">
        <v>78</v>
      </c>
      <c r="CC19" s="13">
        <v>79</v>
      </c>
      <c r="CD19" s="173">
        <v>80</v>
      </c>
      <c r="CE19" s="171">
        <v>81</v>
      </c>
      <c r="CF19" s="13">
        <v>82</v>
      </c>
      <c r="CG19" s="13">
        <v>83</v>
      </c>
      <c r="CH19" s="174">
        <v>84</v>
      </c>
      <c r="CI19" s="173">
        <v>85</v>
      </c>
      <c r="CJ19" s="13">
        <v>86</v>
      </c>
      <c r="CK19" s="13">
        <v>87</v>
      </c>
      <c r="CL19" s="13">
        <v>88</v>
      </c>
      <c r="CM19" s="13">
        <v>89</v>
      </c>
      <c r="CN19" s="171">
        <v>90</v>
      </c>
      <c r="CO19" s="13">
        <v>91</v>
      </c>
      <c r="CP19" s="13">
        <v>92</v>
      </c>
      <c r="CQ19" s="13">
        <v>93</v>
      </c>
      <c r="CR19" s="13">
        <v>94</v>
      </c>
      <c r="CS19" s="173">
        <v>95</v>
      </c>
      <c r="CT19" s="13">
        <v>96</v>
      </c>
      <c r="CU19" s="13">
        <v>97</v>
      </c>
      <c r="CV19" s="13">
        <v>98</v>
      </c>
      <c r="CW19" s="13">
        <v>99</v>
      </c>
      <c r="CX19" s="173">
        <v>100</v>
      </c>
      <c r="CY19" s="13">
        <v>101</v>
      </c>
      <c r="CZ19" s="171">
        <v>102</v>
      </c>
      <c r="DA19" s="13">
        <v>103</v>
      </c>
      <c r="DB19" s="13">
        <v>104</v>
      </c>
      <c r="DC19" s="13">
        <v>105</v>
      </c>
      <c r="DD19" s="13">
        <v>106</v>
      </c>
      <c r="DE19" s="13">
        <v>107</v>
      </c>
      <c r="DF19" s="13">
        <v>108</v>
      </c>
      <c r="DG19" s="13">
        <v>109</v>
      </c>
      <c r="DH19" s="171">
        <v>110</v>
      </c>
      <c r="DI19" s="13">
        <v>111</v>
      </c>
      <c r="DJ19" s="13">
        <v>112</v>
      </c>
      <c r="DK19" s="13">
        <v>113</v>
      </c>
      <c r="DL19" s="171">
        <v>114</v>
      </c>
      <c r="DM19" s="13">
        <v>115</v>
      </c>
      <c r="DN19" s="13">
        <v>116</v>
      </c>
      <c r="DO19" s="13">
        <v>117</v>
      </c>
      <c r="DP19" s="13">
        <v>118</v>
      </c>
      <c r="DQ19" s="13">
        <v>119</v>
      </c>
      <c r="DR19" s="171">
        <v>120</v>
      </c>
      <c r="DS19" s="55"/>
      <c r="DT19" s="7"/>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s="5" customFormat="1" x14ac:dyDescent="0.35">
      <c r="A20" s="114" t="s">
        <v>2</v>
      </c>
      <c r="B20" s="115"/>
      <c r="C20" s="115"/>
      <c r="D20" s="115"/>
      <c r="E20" s="115"/>
      <c r="F20" s="115"/>
      <c r="G20" s="115"/>
      <c r="H20" s="11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5"/>
      <c r="BA20" s="115"/>
      <c r="BB20" s="115"/>
      <c r="BC20" s="115"/>
      <c r="BD20" s="115"/>
      <c r="BE20" s="115"/>
      <c r="BF20" s="115"/>
      <c r="BG20" s="115"/>
      <c r="BH20" s="115"/>
      <c r="BI20" s="115"/>
      <c r="BJ20" s="115"/>
      <c r="BK20" s="115"/>
      <c r="BL20" s="115"/>
      <c r="BM20" s="115"/>
      <c r="BN20" s="115"/>
      <c r="BO20" s="115"/>
      <c r="BP20" s="115"/>
      <c r="BQ20" s="115"/>
      <c r="BR20" s="115"/>
      <c r="BS20" s="115"/>
      <c r="BT20" s="115"/>
      <c r="BU20" s="115"/>
      <c r="BV20" s="115"/>
      <c r="BW20" s="115"/>
      <c r="BX20" s="115"/>
      <c r="BY20" s="115"/>
      <c r="BZ20" s="115"/>
      <c r="CA20" s="115"/>
      <c r="CB20" s="115"/>
      <c r="CC20" s="115"/>
      <c r="CD20" s="115"/>
      <c r="CE20" s="115"/>
      <c r="CF20" s="115"/>
      <c r="CG20" s="115"/>
      <c r="CH20" s="115"/>
      <c r="CI20" s="115"/>
      <c r="CJ20" s="115"/>
      <c r="CK20" s="115"/>
      <c r="CL20" s="115"/>
      <c r="CM20" s="115"/>
      <c r="CN20" s="115"/>
      <c r="CO20" s="115"/>
      <c r="CP20" s="115"/>
      <c r="CQ20" s="115"/>
      <c r="CR20" s="115"/>
      <c r="CS20" s="115"/>
      <c r="CT20" s="115"/>
      <c r="CU20" s="115"/>
      <c r="CV20" s="115"/>
      <c r="CW20" s="115"/>
      <c r="CX20" s="115"/>
      <c r="CY20" s="115"/>
      <c r="CZ20" s="115"/>
      <c r="DA20" s="115"/>
      <c r="DB20" s="115"/>
      <c r="DC20" s="115"/>
      <c r="DD20" s="115"/>
      <c r="DE20" s="115"/>
      <c r="DF20" s="115"/>
      <c r="DG20" s="115"/>
      <c r="DH20" s="115"/>
      <c r="DI20" s="115"/>
      <c r="DJ20" s="115"/>
      <c r="DK20" s="115"/>
      <c r="DL20" s="115"/>
      <c r="DM20" s="115"/>
      <c r="DN20" s="115"/>
      <c r="DO20" s="115"/>
      <c r="DP20" s="115"/>
      <c r="DQ20" s="115"/>
      <c r="DR20" s="175"/>
      <c r="DS20" s="7"/>
      <c r="DT20" s="7"/>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ht="29" x14ac:dyDescent="0.35">
      <c r="A21" s="3" t="s">
        <v>216</v>
      </c>
      <c r="B21" s="95">
        <f t="shared" ref="B21:AG21" si="0">(((B22+B33)*$B$49)+((B39+B40)*$B$10))*(44/12)</f>
        <v>2919.5319999999997</v>
      </c>
      <c r="C21" s="95">
        <f t="shared" si="0"/>
        <v>3019.2648706884092</v>
      </c>
      <c r="D21" s="95">
        <f t="shared" si="0"/>
        <v>3115.5510509262831</v>
      </c>
      <c r="E21" s="95">
        <f t="shared" si="0"/>
        <v>3210.7241231616699</v>
      </c>
      <c r="F21" s="95">
        <f t="shared" si="0"/>
        <v>3305.2110497251588</v>
      </c>
      <c r="G21" s="95">
        <f t="shared" si="0"/>
        <v>3399.2053439417223</v>
      </c>
      <c r="H21" s="95">
        <f t="shared" si="0"/>
        <v>3504.6530015269559</v>
      </c>
      <c r="I21" s="95">
        <f t="shared" si="0"/>
        <v>3609.6675159054612</v>
      </c>
      <c r="J21" s="95">
        <f t="shared" si="0"/>
        <v>3714.3341026156913</v>
      </c>
      <c r="K21" s="95">
        <f t="shared" si="0"/>
        <v>3818.7097382347038</v>
      </c>
      <c r="L21" s="95">
        <f t="shared" si="0"/>
        <v>3922.8354666392434</v>
      </c>
      <c r="M21" s="95">
        <f t="shared" si="0"/>
        <v>4026.2736383419715</v>
      </c>
      <c r="N21" s="95">
        <f t="shared" si="0"/>
        <v>4129.5196635594421</v>
      </c>
      <c r="O21" s="95">
        <f t="shared" si="0"/>
        <v>4232.5927505613054</v>
      </c>
      <c r="P21" s="95">
        <f t="shared" si="0"/>
        <v>4335.5087295758776</v>
      </c>
      <c r="Q21" s="95">
        <f t="shared" si="0"/>
        <v>4242.1432972698931</v>
      </c>
      <c r="R21" s="95">
        <f t="shared" si="0"/>
        <v>4342.9208355692963</v>
      </c>
      <c r="S21" s="95">
        <f t="shared" si="0"/>
        <v>4443.5578459265416</v>
      </c>
      <c r="T21" s="95">
        <f t="shared" si="0"/>
        <v>4544.0654807758265</v>
      </c>
      <c r="U21" s="95">
        <f t="shared" si="0"/>
        <v>4644.4533005674584</v>
      </c>
      <c r="V21" s="95">
        <f t="shared" si="0"/>
        <v>4744.7295913979951</v>
      </c>
      <c r="W21" s="95">
        <f t="shared" si="0"/>
        <v>4862.0039219244009</v>
      </c>
      <c r="X21" s="95">
        <f t="shared" si="0"/>
        <v>4979.1021446688756</v>
      </c>
      <c r="Y21" s="95">
        <f t="shared" si="0"/>
        <v>4901.0013273021486</v>
      </c>
      <c r="Z21" s="95">
        <f t="shared" si="0"/>
        <v>5018.0581042617459</v>
      </c>
      <c r="AA21" s="95">
        <f t="shared" si="0"/>
        <v>5098.0531823952861</v>
      </c>
      <c r="AB21" s="95">
        <f t="shared" si="0"/>
        <v>5213.1314227573739</v>
      </c>
      <c r="AC21" s="95">
        <f t="shared" si="0"/>
        <v>5328.0691230585207</v>
      </c>
      <c r="AD21" s="95">
        <f t="shared" si="0"/>
        <v>4948.5004630823814</v>
      </c>
      <c r="AE21" s="95">
        <f t="shared" si="0"/>
        <v>5050.0391124325806</v>
      </c>
      <c r="AF21" s="95">
        <f t="shared" si="0"/>
        <v>5102.1011286396442</v>
      </c>
      <c r="AG21" s="95">
        <f t="shared" si="0"/>
        <v>5028.6339975644751</v>
      </c>
      <c r="AH21" s="95">
        <f t="shared" ref="AH21:BM21" si="1">(((AH22+AH33)*$B$49)+((AH39+AH40)*$B$10))*(44/12)</f>
        <v>5121.5112075878014</v>
      </c>
      <c r="AI21" s="95">
        <f t="shared" si="1"/>
        <v>5214.273905223431</v>
      </c>
      <c r="AJ21" s="95">
        <f t="shared" si="1"/>
        <v>5306.9300804059776</v>
      </c>
      <c r="AK21" s="95">
        <f t="shared" si="1"/>
        <v>5350.3451637239723</v>
      </c>
      <c r="AL21" s="95">
        <f t="shared" si="1"/>
        <v>5443.3137309391732</v>
      </c>
      <c r="AM21" s="95">
        <f t="shared" si="1"/>
        <v>5536.1859166465965</v>
      </c>
      <c r="AN21" s="95">
        <f t="shared" si="1"/>
        <v>5628.9676395059032</v>
      </c>
      <c r="AO21" s="95">
        <f t="shared" si="1"/>
        <v>5556.1845775172951</v>
      </c>
      <c r="AP21" s="95">
        <f t="shared" si="1"/>
        <v>5599.9897735396426</v>
      </c>
      <c r="AQ21" s="95">
        <f t="shared" si="1"/>
        <v>5701.1389654767645</v>
      </c>
      <c r="AR21" s="95">
        <f t="shared" si="1"/>
        <v>5626.2800563847386</v>
      </c>
      <c r="AS21" s="95">
        <f t="shared" si="1"/>
        <v>5747.9050811037041</v>
      </c>
      <c r="AT21" s="95">
        <f t="shared" si="1"/>
        <v>5869.3980675267567</v>
      </c>
      <c r="AU21" s="95">
        <f t="shared" si="1"/>
        <v>5941.985023418104</v>
      </c>
      <c r="AV21" s="95">
        <f t="shared" si="1"/>
        <v>6063.1577434681049</v>
      </c>
      <c r="AW21" s="95">
        <f t="shared" si="1"/>
        <v>6184.2165238670277</v>
      </c>
      <c r="AX21" s="95">
        <f t="shared" si="1"/>
        <v>6141.2547890011692</v>
      </c>
      <c r="AY21" s="95">
        <f t="shared" si="1"/>
        <v>6259.9458575499402</v>
      </c>
      <c r="AZ21" s="95">
        <f t="shared" si="1"/>
        <v>6329.8896697332184</v>
      </c>
      <c r="BA21" s="95">
        <f t="shared" si="1"/>
        <v>6458.957848209976</v>
      </c>
      <c r="BB21" s="95">
        <f t="shared" si="1"/>
        <v>6587.9169560532064</v>
      </c>
      <c r="BC21" s="95">
        <f t="shared" si="1"/>
        <v>6716.7722636628623</v>
      </c>
      <c r="BD21" s="95">
        <f t="shared" si="1"/>
        <v>6845.5285685087501</v>
      </c>
      <c r="BE21" s="95">
        <f t="shared" si="1"/>
        <v>6925.6609437215375</v>
      </c>
      <c r="BF21" s="95">
        <f t="shared" si="1"/>
        <v>6796.001651265392</v>
      </c>
      <c r="BG21" s="95">
        <f t="shared" si="1"/>
        <v>6933.7872109675254</v>
      </c>
      <c r="BH21" s="95">
        <f t="shared" si="1"/>
        <v>7071.457438808945</v>
      </c>
      <c r="BI21" s="95">
        <f t="shared" si="1"/>
        <v>7209.0181922451538</v>
      </c>
      <c r="BJ21" s="95">
        <f t="shared" si="1"/>
        <v>7298.0395987124566</v>
      </c>
      <c r="BK21" s="95">
        <f t="shared" si="1"/>
        <v>7445.4842025569606</v>
      </c>
      <c r="BL21" s="95">
        <f t="shared" si="1"/>
        <v>7592.8222614617771</v>
      </c>
      <c r="BM21" s="95">
        <f t="shared" si="1"/>
        <v>7740.0583469820567</v>
      </c>
      <c r="BN21" s="95">
        <f t="shared" ref="BN21:CS21" si="2">(((BN22+BN33)*$B$49)+((BN39+BN40)*$B$10))*(44/12)</f>
        <v>7599.6252328011306</v>
      </c>
      <c r="BO21" s="95">
        <f t="shared" si="2"/>
        <v>7691.3190361654097</v>
      </c>
      <c r="BP21" s="95">
        <f t="shared" si="2"/>
        <v>7830.4861228310538</v>
      </c>
      <c r="BQ21" s="95">
        <f t="shared" si="2"/>
        <v>7969.5665206789818</v>
      </c>
      <c r="BR21" s="95">
        <f t="shared" si="2"/>
        <v>8108.5635241453147</v>
      </c>
      <c r="BS21" s="95">
        <f t="shared" si="2"/>
        <v>8247.4801878174821</v>
      </c>
      <c r="BT21" s="95">
        <f t="shared" si="2"/>
        <v>8338.023479362344</v>
      </c>
      <c r="BU21" s="95">
        <f t="shared" si="2"/>
        <v>8483.9718094472355</v>
      </c>
      <c r="BV21" s="95">
        <f t="shared" si="2"/>
        <v>8403.5603873898544</v>
      </c>
      <c r="BW21" s="95">
        <f t="shared" si="2"/>
        <v>8544.0073533666073</v>
      </c>
      <c r="BX21" s="95">
        <f t="shared" si="2"/>
        <v>8684.3816029085465</v>
      </c>
      <c r="BY21" s="95">
        <f t="shared" si="2"/>
        <v>8776.4392231606398</v>
      </c>
      <c r="BZ21" s="95">
        <f t="shared" si="2"/>
        <v>8915.7365963875909</v>
      </c>
      <c r="CA21" s="95">
        <f t="shared" si="2"/>
        <v>9054.968058866174</v>
      </c>
      <c r="CB21" s="95">
        <f t="shared" si="2"/>
        <v>9194.1355403289817</v>
      </c>
      <c r="CC21" s="95">
        <f t="shared" si="2"/>
        <v>9333.2408636364598</v>
      </c>
      <c r="CD21" s="95">
        <f t="shared" si="2"/>
        <v>9425.4566203783397</v>
      </c>
      <c r="CE21" s="95">
        <f t="shared" si="2"/>
        <v>9348.9309913559373</v>
      </c>
      <c r="CF21" s="95">
        <f t="shared" si="2"/>
        <v>9488.1542954826127</v>
      </c>
      <c r="CG21" s="95">
        <f t="shared" si="2"/>
        <v>9627.3179389437246</v>
      </c>
      <c r="CH21" s="95">
        <f t="shared" si="2"/>
        <v>9766.4235461835087</v>
      </c>
      <c r="CI21" s="95">
        <f t="shared" si="2"/>
        <v>5019.665654115156</v>
      </c>
      <c r="CJ21" s="95">
        <f t="shared" si="2"/>
        <v>5063.7805079248792</v>
      </c>
      <c r="CK21" s="95">
        <f t="shared" si="2"/>
        <v>5107.8719798846723</v>
      </c>
      <c r="CL21" s="95">
        <f t="shared" si="2"/>
        <v>5151.9407507383467</v>
      </c>
      <c r="CM21" s="95">
        <f t="shared" si="2"/>
        <v>5195.9874642338382</v>
      </c>
      <c r="CN21" s="95">
        <f t="shared" si="2"/>
        <v>4991.9114742946067</v>
      </c>
      <c r="CO21" s="95">
        <f t="shared" si="2"/>
        <v>5035.21441699345</v>
      </c>
      <c r="CP21" s="95">
        <f t="shared" si="2"/>
        <v>5078.4940522385223</v>
      </c>
      <c r="CQ21" s="95">
        <f t="shared" si="2"/>
        <v>5121.7510759556008</v>
      </c>
      <c r="CR21" s="95">
        <f t="shared" si="2"/>
        <v>5164.9861450095259</v>
      </c>
      <c r="CS21" s="95">
        <f t="shared" si="2"/>
        <v>5166.954397323635</v>
      </c>
      <c r="CT21" s="95">
        <f t="shared" ref="CT21:DR21" si="3">(((CT22+CT33)*$B$49)+((CT39+CT40)*$B$10))*(44/12)</f>
        <v>5209.6129530163453</v>
      </c>
      <c r="CU21" s="95">
        <f t="shared" si="3"/>
        <v>5252.2514129370338</v>
      </c>
      <c r="CV21" s="95">
        <f t="shared" si="3"/>
        <v>5294.8703060665111</v>
      </c>
      <c r="CW21" s="95">
        <f t="shared" si="3"/>
        <v>5337.4701352404836</v>
      </c>
      <c r="CX21" s="95">
        <f t="shared" si="3"/>
        <v>5348.6589523431458</v>
      </c>
      <c r="CY21" s="95">
        <f t="shared" si="3"/>
        <v>4723.4637502652167</v>
      </c>
      <c r="CZ21" s="95">
        <f t="shared" si="3"/>
        <v>4518.3287373683379</v>
      </c>
      <c r="DA21" s="95">
        <f t="shared" si="3"/>
        <v>4549.9977180110109</v>
      </c>
      <c r="DB21" s="95">
        <f t="shared" si="3"/>
        <v>4581.6499033798682</v>
      </c>
      <c r="DC21" s="95">
        <f t="shared" si="3"/>
        <v>4613.2857819200481</v>
      </c>
      <c r="DD21" s="95">
        <f t="shared" si="3"/>
        <v>4644.9058158026337</v>
      </c>
      <c r="DE21" s="95">
        <f t="shared" si="3"/>
        <v>4676.5104429563589</v>
      </c>
      <c r="DF21" s="95">
        <f t="shared" si="3"/>
        <v>4708.1000788966121</v>
      </c>
      <c r="DG21" s="95">
        <f t="shared" si="3"/>
        <v>4739.6751183762926</v>
      </c>
      <c r="DH21" s="95">
        <f t="shared" si="3"/>
        <v>4737.0621677803601</v>
      </c>
      <c r="DI21" s="95">
        <f t="shared" si="3"/>
        <v>4767.9159606344456</v>
      </c>
      <c r="DJ21" s="95">
        <f t="shared" si="3"/>
        <v>4798.7565006366713</v>
      </c>
      <c r="DK21" s="95">
        <f t="shared" si="3"/>
        <v>4829.5841076536617</v>
      </c>
      <c r="DL21" s="95">
        <f t="shared" si="3"/>
        <v>4646.5963052079314</v>
      </c>
      <c r="DM21" s="95">
        <f t="shared" si="3"/>
        <v>4677.4882563174833</v>
      </c>
      <c r="DN21" s="95">
        <f t="shared" si="3"/>
        <v>4708.3659954629056</v>
      </c>
      <c r="DO21" s="95">
        <f t="shared" si="3"/>
        <v>4739.229887237032</v>
      </c>
      <c r="DP21" s="95">
        <f t="shared" si="3"/>
        <v>4770.0802788824058</v>
      </c>
      <c r="DQ21" s="95">
        <f t="shared" si="3"/>
        <v>4800.9175014814109</v>
      </c>
      <c r="DR21" s="176">
        <f t="shared" si="3"/>
        <v>4831.7418710408056</v>
      </c>
      <c r="DS21" s="7"/>
      <c r="DT21" s="7"/>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row>
    <row r="22" spans="1:177" ht="29.5" thickBot="1" x14ac:dyDescent="0.4">
      <c r="A22" s="3" t="s">
        <v>217</v>
      </c>
      <c r="B22" s="95">
        <f>SUM(B23,B25,B27,B29,B31)</f>
        <v>0</v>
      </c>
      <c r="C22" s="95">
        <f t="shared" ref="C22:BN22" si="4">SUM(C23,C25,C27,C29,C31)</f>
        <v>36.5152784</v>
      </c>
      <c r="D22" s="95">
        <f t="shared" si="4"/>
        <v>73.030556799999999</v>
      </c>
      <c r="E22" s="95">
        <f t="shared" si="4"/>
        <v>109.5458352</v>
      </c>
      <c r="F22" s="95">
        <f t="shared" si="4"/>
        <v>146.0611136</v>
      </c>
      <c r="G22" s="95">
        <f t="shared" si="4"/>
        <v>182.576392</v>
      </c>
      <c r="H22" s="95">
        <f t="shared" si="4"/>
        <v>224.43435199999999</v>
      </c>
      <c r="I22" s="95">
        <f t="shared" si="4"/>
        <v>266.29231199999998</v>
      </c>
      <c r="J22" s="95">
        <f t="shared" si="4"/>
        <v>308.15027199999997</v>
      </c>
      <c r="K22" s="95">
        <f t="shared" si="4"/>
        <v>350.00823199999991</v>
      </c>
      <c r="L22" s="95">
        <f t="shared" si="4"/>
        <v>391.86619199999996</v>
      </c>
      <c r="M22" s="95">
        <f t="shared" si="4"/>
        <v>433.50755679999997</v>
      </c>
      <c r="N22" s="95">
        <f t="shared" si="4"/>
        <v>475.14892159999999</v>
      </c>
      <c r="O22" s="95">
        <f t="shared" si="4"/>
        <v>516.79028640000001</v>
      </c>
      <c r="P22" s="95">
        <f t="shared" si="4"/>
        <v>558.43165120000003</v>
      </c>
      <c r="Q22" s="95">
        <f t="shared" si="4"/>
        <v>507.19841600000012</v>
      </c>
      <c r="R22" s="95">
        <f t="shared" si="4"/>
        <v>547.8290032000001</v>
      </c>
      <c r="S22" s="95">
        <f t="shared" si="4"/>
        <v>588.45959040000002</v>
      </c>
      <c r="T22" s="95">
        <f t="shared" si="4"/>
        <v>629.09017760000006</v>
      </c>
      <c r="U22" s="95">
        <f t="shared" si="4"/>
        <v>669.7207648000001</v>
      </c>
      <c r="V22" s="95">
        <f t="shared" si="4"/>
        <v>710.35135200000025</v>
      </c>
      <c r="W22" s="95">
        <f t="shared" si="4"/>
        <v>758.86330960000021</v>
      </c>
      <c r="X22" s="95">
        <f t="shared" si="4"/>
        <v>807.37526720000005</v>
      </c>
      <c r="Y22" s="95">
        <f t="shared" si="4"/>
        <v>763.01262480000014</v>
      </c>
      <c r="Z22" s="95">
        <f t="shared" si="4"/>
        <v>811.5245824000001</v>
      </c>
      <c r="AA22" s="95">
        <f t="shared" si="4"/>
        <v>843.0824600000002</v>
      </c>
      <c r="AB22" s="95">
        <f t="shared" si="4"/>
        <v>890.7373216000002</v>
      </c>
      <c r="AC22" s="95">
        <f t="shared" si="4"/>
        <v>938.39218320000009</v>
      </c>
      <c r="AD22" s="106">
        <f t="shared" si="4"/>
        <v>758.04449760000011</v>
      </c>
      <c r="AE22" s="106">
        <f t="shared" si="4"/>
        <v>799.49029680000001</v>
      </c>
      <c r="AF22" s="106">
        <f t="shared" si="4"/>
        <v>818.11329599999999</v>
      </c>
      <c r="AG22" s="106">
        <f t="shared" si="4"/>
        <v>782.46639120000009</v>
      </c>
      <c r="AH22" s="106">
        <f t="shared" si="4"/>
        <v>826.42628640000009</v>
      </c>
      <c r="AI22" s="106">
        <f t="shared" si="4"/>
        <v>870.3861816000001</v>
      </c>
      <c r="AJ22" s="106">
        <f t="shared" si="4"/>
        <v>914.34607679999988</v>
      </c>
      <c r="AK22" s="106">
        <f t="shared" si="4"/>
        <v>935.48317199999997</v>
      </c>
      <c r="AL22" s="106">
        <f t="shared" si="4"/>
        <v>979.63869120000004</v>
      </c>
      <c r="AM22" s="106">
        <f t="shared" si="4"/>
        <v>1023.7942103999999</v>
      </c>
      <c r="AN22" s="106">
        <f t="shared" si="4"/>
        <v>1067.9497296</v>
      </c>
      <c r="AO22" s="106">
        <f t="shared" si="4"/>
        <v>1032.4984488</v>
      </c>
      <c r="AP22" s="106">
        <f t="shared" si="4"/>
        <v>1053.8311679999999</v>
      </c>
      <c r="AQ22" s="106">
        <f t="shared" si="4"/>
        <v>1102.0322352000001</v>
      </c>
      <c r="AR22" s="106">
        <f t="shared" si="4"/>
        <v>1066.9012224000001</v>
      </c>
      <c r="AS22" s="106">
        <f t="shared" si="4"/>
        <v>1124.8243656000002</v>
      </c>
      <c r="AT22" s="106">
        <f t="shared" si="4"/>
        <v>1182.7475088000001</v>
      </c>
      <c r="AU22" s="106">
        <f t="shared" si="4"/>
        <v>1217.8478520000003</v>
      </c>
      <c r="AV22" s="106">
        <f t="shared" si="4"/>
        <v>1275.7057872</v>
      </c>
      <c r="AW22" s="106">
        <f t="shared" si="4"/>
        <v>1333.5637224000002</v>
      </c>
      <c r="AX22" s="106">
        <f t="shared" si="4"/>
        <v>1313.6450496000002</v>
      </c>
      <c r="AY22" s="106">
        <f t="shared" si="4"/>
        <v>1370.3918904000002</v>
      </c>
      <c r="AZ22" s="106">
        <f t="shared" si="4"/>
        <v>1404.3159312000003</v>
      </c>
      <c r="BA22" s="106">
        <f t="shared" si="4"/>
        <v>1466.1742680000002</v>
      </c>
      <c r="BB22" s="106">
        <f t="shared" si="4"/>
        <v>1528.0326048000002</v>
      </c>
      <c r="BC22" s="106">
        <f t="shared" si="4"/>
        <v>1589.8909416000001</v>
      </c>
      <c r="BD22" s="106">
        <f t="shared" si="4"/>
        <v>1651.7492784000001</v>
      </c>
      <c r="BE22" s="106">
        <f t="shared" si="4"/>
        <v>1690.7848152000004</v>
      </c>
      <c r="BF22" s="106">
        <f t="shared" si="4"/>
        <v>1630.5889079999999</v>
      </c>
      <c r="BG22" s="106">
        <f t="shared" si="4"/>
        <v>1696.6624428</v>
      </c>
      <c r="BH22" s="106">
        <f t="shared" si="4"/>
        <v>1762.7359776000001</v>
      </c>
      <c r="BI22" s="106">
        <f t="shared" si="4"/>
        <v>1828.8095124000001</v>
      </c>
      <c r="BJ22" s="106">
        <f t="shared" si="4"/>
        <v>1872.0602472000005</v>
      </c>
      <c r="BK22" s="106">
        <f t="shared" si="4"/>
        <v>1943.0496539999999</v>
      </c>
      <c r="BL22" s="106">
        <f t="shared" si="4"/>
        <v>2014.0390608000002</v>
      </c>
      <c r="BM22" s="106">
        <f t="shared" si="4"/>
        <v>2085.0284676000001</v>
      </c>
      <c r="BN22" s="106">
        <f t="shared" si="4"/>
        <v>2019.7425144000003</v>
      </c>
      <c r="BO22" s="106">
        <f t="shared" ref="BO22:DR22" si="5">SUM(BO23,BO25,BO27,BO29,BO31)</f>
        <v>2064.4729091999998</v>
      </c>
      <c r="BP22" s="106">
        <f t="shared" si="5"/>
        <v>2131.6348560000001</v>
      </c>
      <c r="BQ22" s="106">
        <f t="shared" si="5"/>
        <v>2198.7968027999996</v>
      </c>
      <c r="BR22" s="106">
        <f t="shared" si="5"/>
        <v>2265.9587496000004</v>
      </c>
      <c r="BS22" s="106">
        <f t="shared" si="5"/>
        <v>2333.1206963999998</v>
      </c>
      <c r="BT22" s="106">
        <f t="shared" si="5"/>
        <v>2377.4598432000003</v>
      </c>
      <c r="BU22" s="106">
        <f t="shared" si="5"/>
        <v>2448.1456739999999</v>
      </c>
      <c r="BV22" s="106">
        <f t="shared" si="5"/>
        <v>2411.5066247999998</v>
      </c>
      <c r="BW22" s="106">
        <f t="shared" si="5"/>
        <v>2479.5751811999999</v>
      </c>
      <c r="BX22" s="106">
        <f t="shared" si="5"/>
        <v>2547.6437376000003</v>
      </c>
      <c r="BY22" s="106">
        <f t="shared" si="5"/>
        <v>2592.889494</v>
      </c>
      <c r="BZ22" s="106">
        <f t="shared" si="5"/>
        <v>2660.5015943999997</v>
      </c>
      <c r="CA22" s="106">
        <f t="shared" si="5"/>
        <v>2728.1136947999998</v>
      </c>
      <c r="CB22" s="106">
        <f t="shared" si="5"/>
        <v>2795.7257952</v>
      </c>
      <c r="CC22" s="106">
        <f t="shared" si="5"/>
        <v>2863.3378956000001</v>
      </c>
      <c r="CD22" s="106">
        <f t="shared" si="5"/>
        <v>2908.7792760000002</v>
      </c>
      <c r="CE22" s="106">
        <f t="shared" si="5"/>
        <v>2874.0315083999999</v>
      </c>
      <c r="CF22" s="106">
        <f t="shared" si="5"/>
        <v>2941.7608428000003</v>
      </c>
      <c r="CG22" s="106">
        <f t="shared" si="5"/>
        <v>3009.4901772000003</v>
      </c>
      <c r="CH22" s="106">
        <f t="shared" si="5"/>
        <v>3077.2195115999998</v>
      </c>
      <c r="CI22" s="106">
        <f t="shared" si="5"/>
        <v>781.66350599999998</v>
      </c>
      <c r="CJ22" s="106">
        <f t="shared" si="5"/>
        <v>802.62950039999976</v>
      </c>
      <c r="CK22" s="106">
        <f t="shared" si="5"/>
        <v>823.59549479999987</v>
      </c>
      <c r="CL22" s="106">
        <f t="shared" si="5"/>
        <v>844.56148919999976</v>
      </c>
      <c r="CM22" s="106">
        <f t="shared" si="5"/>
        <v>865.52748359999975</v>
      </c>
      <c r="CN22" s="106">
        <f t="shared" si="5"/>
        <v>768.46044599999959</v>
      </c>
      <c r="CO22" s="106">
        <f t="shared" si="5"/>
        <v>789.03455279999969</v>
      </c>
      <c r="CP22" s="106">
        <f t="shared" si="5"/>
        <v>809.60865959999956</v>
      </c>
      <c r="CQ22" s="106">
        <f t="shared" si="5"/>
        <v>830.18276639999965</v>
      </c>
      <c r="CR22" s="106">
        <f t="shared" si="5"/>
        <v>850.75687319999952</v>
      </c>
      <c r="CS22" s="106">
        <f t="shared" si="5"/>
        <v>851.76857999999936</v>
      </c>
      <c r="CT22" s="106">
        <f t="shared" si="5"/>
        <v>872.08185479999941</v>
      </c>
      <c r="CU22" s="106">
        <f t="shared" si="5"/>
        <v>892.39512959999934</v>
      </c>
      <c r="CV22" s="106">
        <f t="shared" si="5"/>
        <v>912.70840439999938</v>
      </c>
      <c r="CW22" s="106">
        <f t="shared" si="5"/>
        <v>933.02167919999931</v>
      </c>
      <c r="CX22" s="106">
        <f t="shared" si="5"/>
        <v>938.84848199999919</v>
      </c>
      <c r="CY22" s="106">
        <f t="shared" si="5"/>
        <v>649.03506719999939</v>
      </c>
      <c r="CZ22" s="106">
        <f t="shared" si="5"/>
        <v>550.50791639999943</v>
      </c>
      <c r="DA22" s="106">
        <f t="shared" si="5"/>
        <v>565.59016799999938</v>
      </c>
      <c r="DB22" s="106">
        <f t="shared" si="5"/>
        <v>580.67241959999933</v>
      </c>
      <c r="DC22" s="106">
        <f t="shared" si="5"/>
        <v>595.75467119999928</v>
      </c>
      <c r="DD22" s="106">
        <f t="shared" si="5"/>
        <v>610.83692279999923</v>
      </c>
      <c r="DE22" s="106">
        <f t="shared" si="5"/>
        <v>625.91917439999929</v>
      </c>
      <c r="DF22" s="106">
        <f t="shared" si="5"/>
        <v>641.00142599999924</v>
      </c>
      <c r="DG22" s="106">
        <f t="shared" si="5"/>
        <v>656.08367759999919</v>
      </c>
      <c r="DH22" s="106">
        <f t="shared" si="5"/>
        <v>655.36250519999919</v>
      </c>
      <c r="DI22" s="106">
        <f t="shared" si="5"/>
        <v>670.11551879999922</v>
      </c>
      <c r="DJ22" s="106">
        <f t="shared" si="5"/>
        <v>684.86853239999914</v>
      </c>
      <c r="DK22" s="106">
        <f t="shared" si="5"/>
        <v>699.62154599999917</v>
      </c>
      <c r="DL22" s="106">
        <f t="shared" si="5"/>
        <v>611.59832759999915</v>
      </c>
      <c r="DM22" s="106">
        <f t="shared" si="5"/>
        <v>626.35134119999918</v>
      </c>
      <c r="DN22" s="106">
        <f t="shared" si="5"/>
        <v>641.10435479999921</v>
      </c>
      <c r="DO22" s="106">
        <f t="shared" si="5"/>
        <v>655.85736839999902</v>
      </c>
      <c r="DP22" s="106">
        <f t="shared" si="5"/>
        <v>670.61038199999905</v>
      </c>
      <c r="DQ22" s="106">
        <f t="shared" si="5"/>
        <v>685.36339559999919</v>
      </c>
      <c r="DR22" s="177">
        <f t="shared" si="5"/>
        <v>700.11640919999911</v>
      </c>
      <c r="DS22" s="7"/>
      <c r="DT22" s="7"/>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row>
    <row r="23" spans="1:177" ht="29" x14ac:dyDescent="0.35">
      <c r="A23" s="154" t="s">
        <v>218</v>
      </c>
      <c r="B23" s="95">
        <f>B24*1.2448*0.58</f>
        <v>0</v>
      </c>
      <c r="C23" s="95">
        <f t="shared" ref="C23:AC23" si="6">C24*1.2448*0.58</f>
        <v>4.9094911999999988</v>
      </c>
      <c r="D23" s="95">
        <f t="shared" si="6"/>
        <v>9.8189823999999977</v>
      </c>
      <c r="E23" s="95">
        <f t="shared" si="6"/>
        <v>14.728473599999997</v>
      </c>
      <c r="F23" s="95">
        <f t="shared" si="6"/>
        <v>19.637964799999995</v>
      </c>
      <c r="G23" s="95">
        <f t="shared" si="6"/>
        <v>24.547455999999997</v>
      </c>
      <c r="H23" s="95">
        <f t="shared" si="6"/>
        <v>34.799628799999994</v>
      </c>
      <c r="I23" s="95">
        <f t="shared" si="6"/>
        <v>45.051801599999997</v>
      </c>
      <c r="J23" s="95">
        <f t="shared" si="6"/>
        <v>55.303974399999994</v>
      </c>
      <c r="K23" s="95">
        <f t="shared" si="6"/>
        <v>65.556147199999998</v>
      </c>
      <c r="L23" s="95">
        <f t="shared" si="6"/>
        <v>75.808319999999995</v>
      </c>
      <c r="M23" s="95">
        <f t="shared" si="6"/>
        <v>85.843897599999991</v>
      </c>
      <c r="N23" s="95">
        <f t="shared" si="6"/>
        <v>95.879475199999987</v>
      </c>
      <c r="O23" s="95">
        <f t="shared" si="6"/>
        <v>105.9150528</v>
      </c>
      <c r="P23" s="95">
        <f t="shared" si="6"/>
        <v>115.95063039999999</v>
      </c>
      <c r="Q23" s="95">
        <f t="shared" si="6"/>
        <v>125.986208</v>
      </c>
      <c r="R23" s="95">
        <f t="shared" si="6"/>
        <v>135.011008</v>
      </c>
      <c r="S23" s="95">
        <f t="shared" si="6"/>
        <v>144.035808</v>
      </c>
      <c r="T23" s="95">
        <f t="shared" si="6"/>
        <v>153.060608</v>
      </c>
      <c r="U23" s="95">
        <f t="shared" si="6"/>
        <v>162.085408</v>
      </c>
      <c r="V23" s="95">
        <f t="shared" si="6"/>
        <v>171.110208</v>
      </c>
      <c r="W23" s="95">
        <f t="shared" si="6"/>
        <v>178.76323840000001</v>
      </c>
      <c r="X23" s="95">
        <f t="shared" si="6"/>
        <v>186.41626880000001</v>
      </c>
      <c r="Y23" s="95">
        <f t="shared" si="6"/>
        <v>194.06929920000002</v>
      </c>
      <c r="Z23" s="95">
        <f t="shared" si="6"/>
        <v>201.72232960000002</v>
      </c>
      <c r="AA23" s="95">
        <f t="shared" si="6"/>
        <v>209.37536000000006</v>
      </c>
      <c r="AB23" s="95">
        <f t="shared" si="6"/>
        <v>215.58442240000008</v>
      </c>
      <c r="AC23" s="116">
        <f t="shared" si="6"/>
        <v>221.79348480000007</v>
      </c>
      <c r="AD23" s="147"/>
      <c r="AE23" s="148"/>
      <c r="AF23" s="148"/>
      <c r="AG23" s="148"/>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c r="BI23" s="148"/>
      <c r="BJ23" s="148"/>
      <c r="BK23" s="124"/>
      <c r="BL23" s="124"/>
      <c r="BM23" s="124"/>
      <c r="BN23" s="124"/>
      <c r="BO23" s="124"/>
      <c r="BP23" s="124"/>
      <c r="BQ23" s="124"/>
      <c r="BR23" s="124"/>
      <c r="BS23" s="124"/>
      <c r="BT23" s="124"/>
      <c r="BU23" s="124"/>
      <c r="BV23" s="124"/>
      <c r="BW23" s="124"/>
      <c r="BX23" s="124"/>
      <c r="BY23" s="124"/>
      <c r="BZ23" s="124"/>
      <c r="CA23" s="124"/>
      <c r="CB23" s="124"/>
      <c r="CC23" s="124"/>
      <c r="CD23" s="124"/>
      <c r="CE23" s="124"/>
      <c r="CF23" s="124"/>
      <c r="CG23" s="124"/>
      <c r="CH23" s="124"/>
      <c r="CI23" s="124"/>
      <c r="CJ23" s="124"/>
      <c r="CK23" s="124"/>
      <c r="CL23" s="124"/>
      <c r="CM23" s="124"/>
      <c r="CN23" s="124"/>
      <c r="CO23" s="124"/>
      <c r="CP23" s="124"/>
      <c r="CQ23" s="124"/>
      <c r="CR23" s="124"/>
      <c r="CS23" s="124"/>
      <c r="CT23" s="124"/>
      <c r="CU23" s="124"/>
      <c r="CV23" s="124"/>
      <c r="CW23" s="124"/>
      <c r="CX23" s="124"/>
      <c r="CY23" s="124"/>
      <c r="CZ23" s="124"/>
      <c r="DA23" s="124"/>
      <c r="DB23" s="124"/>
      <c r="DC23" s="124"/>
      <c r="DD23" s="124"/>
      <c r="DE23" s="124"/>
      <c r="DF23" s="124"/>
      <c r="DG23" s="124"/>
      <c r="DH23" s="124"/>
      <c r="DI23" s="124"/>
      <c r="DJ23" s="124"/>
      <c r="DK23" s="124"/>
      <c r="DL23" s="124"/>
      <c r="DM23" s="124"/>
      <c r="DN23" s="124"/>
      <c r="DO23" s="124"/>
      <c r="DP23" s="124"/>
      <c r="DQ23" s="124"/>
      <c r="DR23" s="124"/>
      <c r="DS23" s="7"/>
      <c r="DT23" s="7"/>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row>
    <row r="24" spans="1:177" ht="15" thickBot="1" x14ac:dyDescent="0.4">
      <c r="A24" s="154" t="s">
        <v>194</v>
      </c>
      <c r="B24" s="93">
        <v>0</v>
      </c>
      <c r="C24" s="93">
        <f>B24+6.8</f>
        <v>6.8</v>
      </c>
      <c r="D24" s="93">
        <f t="shared" ref="D24:G24" si="7">C24+6.8</f>
        <v>13.6</v>
      </c>
      <c r="E24" s="93">
        <f t="shared" si="7"/>
        <v>20.399999999999999</v>
      </c>
      <c r="F24" s="93">
        <f t="shared" si="7"/>
        <v>27.2</v>
      </c>
      <c r="G24" s="93">
        <f t="shared" si="7"/>
        <v>34</v>
      </c>
      <c r="H24" s="93">
        <f>G24+14.2</f>
        <v>48.2</v>
      </c>
      <c r="I24" s="93">
        <f t="shared" ref="I24:L24" si="8">H24+14.2</f>
        <v>62.400000000000006</v>
      </c>
      <c r="J24" s="93">
        <f t="shared" si="8"/>
        <v>76.600000000000009</v>
      </c>
      <c r="K24" s="93">
        <f t="shared" si="8"/>
        <v>90.800000000000011</v>
      </c>
      <c r="L24" s="93">
        <f t="shared" si="8"/>
        <v>105.00000000000001</v>
      </c>
      <c r="M24" s="93">
        <f>L24+13.9</f>
        <v>118.90000000000002</v>
      </c>
      <c r="N24" s="93">
        <f t="shared" ref="N24:Q24" si="9">M24+13.9</f>
        <v>132.80000000000001</v>
      </c>
      <c r="O24" s="93">
        <f t="shared" si="9"/>
        <v>146.70000000000002</v>
      </c>
      <c r="P24" s="93">
        <f t="shared" si="9"/>
        <v>160.60000000000002</v>
      </c>
      <c r="Q24" s="93">
        <f t="shared" si="9"/>
        <v>174.50000000000003</v>
      </c>
      <c r="R24" s="93">
        <f>Q24+12.5</f>
        <v>187.00000000000003</v>
      </c>
      <c r="S24" s="93">
        <f t="shared" ref="S24:V24" si="10">R24+12.5</f>
        <v>199.50000000000003</v>
      </c>
      <c r="T24" s="93">
        <f t="shared" si="10"/>
        <v>212.00000000000003</v>
      </c>
      <c r="U24" s="93">
        <f t="shared" si="10"/>
        <v>224.50000000000003</v>
      </c>
      <c r="V24" s="93">
        <f t="shared" si="10"/>
        <v>237.00000000000003</v>
      </c>
      <c r="W24" s="93">
        <f>V24+10.6</f>
        <v>247.60000000000002</v>
      </c>
      <c r="X24" s="93">
        <f t="shared" ref="X24:AA24" si="11">W24+10.6</f>
        <v>258.20000000000005</v>
      </c>
      <c r="Y24" s="93">
        <f t="shared" si="11"/>
        <v>268.80000000000007</v>
      </c>
      <c r="Z24" s="93">
        <f t="shared" si="11"/>
        <v>279.40000000000009</v>
      </c>
      <c r="AA24" s="93">
        <f t="shared" si="11"/>
        <v>290.00000000000011</v>
      </c>
      <c r="AB24" s="93">
        <f>AA24+8.6</f>
        <v>298.60000000000014</v>
      </c>
      <c r="AC24" s="94">
        <f>AB24+8.6</f>
        <v>307.20000000000016</v>
      </c>
      <c r="AD24" s="149"/>
      <c r="AE24" s="150"/>
      <c r="AF24" s="150"/>
      <c r="AG24" s="150"/>
      <c r="AH24" s="150"/>
      <c r="AI24" s="150"/>
      <c r="AJ24" s="150"/>
      <c r="AK24" s="150"/>
      <c r="AL24" s="150"/>
      <c r="AM24" s="150"/>
      <c r="AN24" s="150"/>
      <c r="AO24" s="150"/>
      <c r="AP24" s="150"/>
      <c r="AQ24" s="150"/>
      <c r="AR24" s="150"/>
      <c r="AS24" s="150"/>
      <c r="AT24" s="150"/>
      <c r="AU24" s="150"/>
      <c r="AV24" s="150"/>
      <c r="AW24" s="150"/>
      <c r="AX24" s="150"/>
      <c r="AY24" s="150"/>
      <c r="AZ24" s="150"/>
      <c r="BA24" s="150"/>
      <c r="BB24" s="150"/>
      <c r="BC24" s="150"/>
      <c r="BD24" s="150"/>
      <c r="BE24" s="150"/>
      <c r="BF24" s="150"/>
      <c r="BG24" s="150"/>
      <c r="BH24" s="150"/>
      <c r="BI24" s="150"/>
      <c r="BJ24" s="150"/>
      <c r="BK24" s="126"/>
      <c r="BL24" s="126"/>
      <c r="BM24" s="126"/>
      <c r="BN24" s="126"/>
      <c r="BO24" s="126"/>
      <c r="BP24" s="126"/>
      <c r="BQ24" s="126"/>
      <c r="BR24" s="126"/>
      <c r="BS24" s="126"/>
      <c r="BT24" s="126"/>
      <c r="BU24" s="126"/>
      <c r="BV24" s="126"/>
      <c r="BW24" s="126"/>
      <c r="BX24" s="126"/>
      <c r="BY24" s="126"/>
      <c r="BZ24" s="126"/>
      <c r="CA24" s="126"/>
      <c r="CB24" s="126"/>
      <c r="CC24" s="126"/>
      <c r="CD24" s="126"/>
      <c r="CE24" s="126"/>
      <c r="CF24" s="126"/>
      <c r="CG24" s="126"/>
      <c r="CH24" s="126"/>
      <c r="CI24" s="126"/>
      <c r="CJ24" s="126"/>
      <c r="CK24" s="126"/>
      <c r="CL24" s="126"/>
      <c r="CM24" s="126"/>
      <c r="CN24" s="126"/>
      <c r="CO24" s="126"/>
      <c r="CP24" s="126"/>
      <c r="CQ24" s="126"/>
      <c r="CR24" s="126"/>
      <c r="CS24" s="126"/>
      <c r="CT24" s="126"/>
      <c r="CU24" s="126"/>
      <c r="CV24" s="126"/>
      <c r="CW24" s="126"/>
      <c r="CX24" s="126"/>
      <c r="CY24" s="126"/>
      <c r="CZ24" s="126"/>
      <c r="DA24" s="126"/>
      <c r="DB24" s="126"/>
      <c r="DC24" s="126"/>
      <c r="DD24" s="126"/>
      <c r="DE24" s="126"/>
      <c r="DF24" s="126"/>
      <c r="DG24" s="126"/>
      <c r="DH24" s="126"/>
      <c r="DI24" s="126"/>
      <c r="DJ24" s="126"/>
      <c r="DK24" s="126"/>
      <c r="DL24" s="126"/>
      <c r="DM24" s="126"/>
      <c r="DN24" s="126"/>
      <c r="DO24" s="126"/>
      <c r="DP24" s="126"/>
      <c r="DQ24" s="126"/>
      <c r="DR24" s="126"/>
      <c r="DS24" s="7"/>
      <c r="DT24" s="7"/>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row>
    <row r="25" spans="1:177" ht="29" x14ac:dyDescent="0.35">
      <c r="A25" s="155" t="s">
        <v>219</v>
      </c>
      <c r="B25" s="95">
        <f>B26*3.07*0.58</f>
        <v>0</v>
      </c>
      <c r="C25" s="95">
        <f>C26*3.07*0.58*1.56</f>
        <v>7.499887199999999</v>
      </c>
      <c r="D25" s="95">
        <f t="shared" ref="D25:BO25" si="12">D26*3.07*0.58*1.56</f>
        <v>14.999774399999998</v>
      </c>
      <c r="E25" s="95">
        <f t="shared" si="12"/>
        <v>22.499661600000003</v>
      </c>
      <c r="F25" s="95">
        <f t="shared" si="12"/>
        <v>29.999548799999996</v>
      </c>
      <c r="G25" s="95">
        <f t="shared" si="12"/>
        <v>37.499436000000003</v>
      </c>
      <c r="H25" s="95">
        <f t="shared" si="12"/>
        <v>44.999323199999999</v>
      </c>
      <c r="I25" s="95">
        <f t="shared" si="12"/>
        <v>52.499210399999988</v>
      </c>
      <c r="J25" s="95">
        <f t="shared" si="12"/>
        <v>59.999097599999978</v>
      </c>
      <c r="K25" s="95">
        <f t="shared" si="12"/>
        <v>67.498984799999974</v>
      </c>
      <c r="L25" s="95">
        <f t="shared" si="12"/>
        <v>74.998871999999977</v>
      </c>
      <c r="M25" s="95">
        <f t="shared" si="12"/>
        <v>82.498759199999981</v>
      </c>
      <c r="N25" s="95">
        <f t="shared" si="12"/>
        <v>89.998646399999998</v>
      </c>
      <c r="O25" s="95">
        <f t="shared" si="12"/>
        <v>97.498533600000002</v>
      </c>
      <c r="P25" s="95">
        <f t="shared" si="12"/>
        <v>104.99842080000001</v>
      </c>
      <c r="Q25" s="95">
        <f t="shared" si="12"/>
        <v>112.49830800000002</v>
      </c>
      <c r="R25" s="95">
        <f t="shared" si="12"/>
        <v>119.99819520000003</v>
      </c>
      <c r="S25" s="95">
        <f t="shared" si="12"/>
        <v>127.49808240000003</v>
      </c>
      <c r="T25" s="95">
        <f t="shared" si="12"/>
        <v>134.99796960000003</v>
      </c>
      <c r="U25" s="95">
        <f t="shared" si="12"/>
        <v>142.49785680000002</v>
      </c>
      <c r="V25" s="95">
        <f t="shared" si="12"/>
        <v>149.99774400000004</v>
      </c>
      <c r="W25" s="95">
        <f t="shared" si="12"/>
        <v>157.49763120000009</v>
      </c>
      <c r="X25" s="95">
        <f t="shared" si="12"/>
        <v>164.99751840000005</v>
      </c>
      <c r="Y25" s="95">
        <f t="shared" si="12"/>
        <v>172.49740560000006</v>
      </c>
      <c r="Z25" s="95">
        <f t="shared" si="12"/>
        <v>179.99729280000005</v>
      </c>
      <c r="AA25" s="95">
        <f t="shared" si="12"/>
        <v>187.49718000000007</v>
      </c>
      <c r="AB25" s="95">
        <f t="shared" si="12"/>
        <v>194.99706720000006</v>
      </c>
      <c r="AC25" s="95">
        <f t="shared" si="12"/>
        <v>202.49695440000008</v>
      </c>
      <c r="AD25" s="95">
        <f t="shared" si="12"/>
        <v>209.9968416000001</v>
      </c>
      <c r="AE25" s="95">
        <f t="shared" si="12"/>
        <v>217.49672880000008</v>
      </c>
      <c r="AF25" s="95">
        <f t="shared" si="12"/>
        <v>224.9966160000001</v>
      </c>
      <c r="AG25" s="95">
        <f t="shared" si="12"/>
        <v>232.49650320000012</v>
      </c>
      <c r="AH25" s="95">
        <f t="shared" si="12"/>
        <v>239.99639040000014</v>
      </c>
      <c r="AI25" s="95">
        <f t="shared" si="12"/>
        <v>247.49627760000013</v>
      </c>
      <c r="AJ25" s="95">
        <f t="shared" si="12"/>
        <v>254.99616480000009</v>
      </c>
      <c r="AK25" s="95">
        <f t="shared" si="12"/>
        <v>262.49605200000019</v>
      </c>
      <c r="AL25" s="95">
        <f t="shared" si="12"/>
        <v>269.99593920000012</v>
      </c>
      <c r="AM25" s="95">
        <f t="shared" si="12"/>
        <v>277.49582640000011</v>
      </c>
      <c r="AN25" s="95">
        <f t="shared" si="12"/>
        <v>284.99571360000022</v>
      </c>
      <c r="AO25" s="95">
        <f t="shared" si="12"/>
        <v>292.49560080000015</v>
      </c>
      <c r="AP25" s="95">
        <f t="shared" si="12"/>
        <v>299.99548800000014</v>
      </c>
      <c r="AQ25" s="95">
        <f t="shared" si="12"/>
        <v>307.49537520000018</v>
      </c>
      <c r="AR25" s="95">
        <f t="shared" si="12"/>
        <v>231.66318240000021</v>
      </c>
      <c r="AS25" s="95">
        <f t="shared" si="12"/>
        <v>248.88514560000021</v>
      </c>
      <c r="AT25" s="95">
        <f t="shared" si="12"/>
        <v>266.10710880000016</v>
      </c>
      <c r="AU25" s="95">
        <f t="shared" si="12"/>
        <v>283.32907200000028</v>
      </c>
      <c r="AV25" s="95">
        <f t="shared" si="12"/>
        <v>300.55103520000023</v>
      </c>
      <c r="AW25" s="95">
        <f t="shared" si="12"/>
        <v>317.77299840000023</v>
      </c>
      <c r="AX25" s="95">
        <f t="shared" si="12"/>
        <v>257.21835360000023</v>
      </c>
      <c r="AY25" s="95">
        <f t="shared" si="12"/>
        <v>273.32922240000022</v>
      </c>
      <c r="AZ25" s="95">
        <f t="shared" si="12"/>
        <v>289.44009120000021</v>
      </c>
      <c r="BA25" s="95">
        <f t="shared" si="12"/>
        <v>305.55096000000015</v>
      </c>
      <c r="BB25" s="95">
        <f t="shared" si="12"/>
        <v>321.66182880000025</v>
      </c>
      <c r="BC25" s="95">
        <f t="shared" si="12"/>
        <v>337.77269760000019</v>
      </c>
      <c r="BD25" s="95">
        <f t="shared" si="12"/>
        <v>353.88356640000023</v>
      </c>
      <c r="BE25" s="95">
        <f t="shared" si="12"/>
        <v>369.99443520000017</v>
      </c>
      <c r="BF25" s="95">
        <f t="shared" si="12"/>
        <v>286.10680800000023</v>
      </c>
      <c r="BG25" s="95">
        <f t="shared" si="12"/>
        <v>304.71763920000024</v>
      </c>
      <c r="BH25" s="95">
        <f t="shared" si="12"/>
        <v>323.32847040000019</v>
      </c>
      <c r="BI25" s="95">
        <f t="shared" si="12"/>
        <v>341.93930160000019</v>
      </c>
      <c r="BJ25" s="95">
        <f t="shared" si="12"/>
        <v>360.55013280000026</v>
      </c>
      <c r="BK25" s="95">
        <f t="shared" si="12"/>
        <v>379.16096400000021</v>
      </c>
      <c r="BL25" s="95">
        <f t="shared" si="12"/>
        <v>397.77179520000016</v>
      </c>
      <c r="BM25" s="95">
        <f t="shared" si="12"/>
        <v>416.38262640000011</v>
      </c>
      <c r="BN25" s="95">
        <f t="shared" si="12"/>
        <v>321.1062816000001</v>
      </c>
      <c r="BO25" s="95">
        <f t="shared" si="12"/>
        <v>336.9393768000001</v>
      </c>
      <c r="BP25" s="95">
        <f t="shared" ref="BP25:DR25" si="13">BP26*3.07*0.58*1.56</f>
        <v>352.77247200000016</v>
      </c>
      <c r="BQ25" s="95">
        <f t="shared" si="13"/>
        <v>368.60556720000011</v>
      </c>
      <c r="BR25" s="95">
        <f t="shared" si="13"/>
        <v>384.43866240000006</v>
      </c>
      <c r="BS25" s="95">
        <f t="shared" si="13"/>
        <v>400.27175760000006</v>
      </c>
      <c r="BT25" s="95">
        <f t="shared" si="13"/>
        <v>416.1048528</v>
      </c>
      <c r="BU25" s="95">
        <f t="shared" si="13"/>
        <v>431.93794799999995</v>
      </c>
      <c r="BV25" s="95">
        <f t="shared" si="13"/>
        <v>358.88349119999998</v>
      </c>
      <c r="BW25" s="95">
        <f t="shared" si="13"/>
        <v>372.49439759999996</v>
      </c>
      <c r="BX25" s="95">
        <f t="shared" si="13"/>
        <v>386.10530399999999</v>
      </c>
      <c r="BY25" s="95">
        <f t="shared" si="13"/>
        <v>399.71621039999991</v>
      </c>
      <c r="BZ25" s="95">
        <f t="shared" si="13"/>
        <v>413.3271168</v>
      </c>
      <c r="CA25" s="95">
        <f t="shared" si="13"/>
        <v>426.93802320000003</v>
      </c>
      <c r="CB25" s="95">
        <f t="shared" si="13"/>
        <v>440.54892960000006</v>
      </c>
      <c r="CC25" s="95">
        <f t="shared" si="13"/>
        <v>454.15983600000004</v>
      </c>
      <c r="CD25" s="95">
        <f t="shared" si="13"/>
        <v>467.77074240000007</v>
      </c>
      <c r="CE25" s="95">
        <f t="shared" si="13"/>
        <v>395.27183280000008</v>
      </c>
      <c r="CF25" s="95">
        <f t="shared" si="13"/>
        <v>408.32719200000008</v>
      </c>
      <c r="CG25" s="95">
        <f t="shared" si="13"/>
        <v>421.38255120000008</v>
      </c>
      <c r="CH25" s="95">
        <f t="shared" si="13"/>
        <v>434.43791039999991</v>
      </c>
      <c r="CI25" s="95">
        <f t="shared" si="13"/>
        <v>447.49326959999996</v>
      </c>
      <c r="CJ25" s="95">
        <f t="shared" si="13"/>
        <v>460.5486287999999</v>
      </c>
      <c r="CK25" s="95">
        <f t="shared" si="13"/>
        <v>473.6039879999999</v>
      </c>
      <c r="CL25" s="95">
        <f t="shared" si="13"/>
        <v>486.65934719999984</v>
      </c>
      <c r="CM25" s="95">
        <f t="shared" si="13"/>
        <v>499.71470639999978</v>
      </c>
      <c r="CN25" s="95">
        <f t="shared" si="13"/>
        <v>429.43798559999982</v>
      </c>
      <c r="CO25" s="95">
        <f t="shared" si="13"/>
        <v>442.49334479999976</v>
      </c>
      <c r="CP25" s="95">
        <f t="shared" si="13"/>
        <v>455.5487039999997</v>
      </c>
      <c r="CQ25" s="95">
        <f t="shared" si="13"/>
        <v>468.6040631999997</v>
      </c>
      <c r="CR25" s="95">
        <f t="shared" si="13"/>
        <v>481.65942239999964</v>
      </c>
      <c r="CS25" s="95">
        <f t="shared" si="13"/>
        <v>494.71478159999958</v>
      </c>
      <c r="CT25" s="95">
        <f t="shared" si="13"/>
        <v>507.77014079999964</v>
      </c>
      <c r="CU25" s="95">
        <f t="shared" si="13"/>
        <v>520.82549999999958</v>
      </c>
      <c r="CV25" s="95">
        <f t="shared" si="13"/>
        <v>533.88085919999958</v>
      </c>
      <c r="CW25" s="95">
        <f t="shared" si="13"/>
        <v>546.93621839999946</v>
      </c>
      <c r="CX25" s="95">
        <f t="shared" si="13"/>
        <v>559.99157759999946</v>
      </c>
      <c r="CY25" s="95">
        <f t="shared" si="13"/>
        <v>573.04693679999946</v>
      </c>
      <c r="CZ25" s="95">
        <f t="shared" si="13"/>
        <v>472.2151199999995</v>
      </c>
      <c r="DA25" s="95">
        <f t="shared" si="13"/>
        <v>484.9927055999994</v>
      </c>
      <c r="DB25" s="95">
        <f t="shared" si="13"/>
        <v>497.77029119999935</v>
      </c>
      <c r="DC25" s="95">
        <f t="shared" si="13"/>
        <v>510.54787679999936</v>
      </c>
      <c r="DD25" s="95">
        <f t="shared" si="13"/>
        <v>523.32546239999931</v>
      </c>
      <c r="DE25" s="95">
        <f t="shared" si="13"/>
        <v>536.10304799999938</v>
      </c>
      <c r="DF25" s="95">
        <f t="shared" si="13"/>
        <v>548.88063359999933</v>
      </c>
      <c r="DG25" s="95">
        <f t="shared" si="13"/>
        <v>561.65821919999928</v>
      </c>
      <c r="DH25" s="95">
        <f t="shared" si="13"/>
        <v>574.43580479999923</v>
      </c>
      <c r="DI25" s="95">
        <f t="shared" si="13"/>
        <v>587.2133903999993</v>
      </c>
      <c r="DJ25" s="95">
        <f t="shared" si="13"/>
        <v>599.99097599999925</v>
      </c>
      <c r="DK25" s="95">
        <f t="shared" si="13"/>
        <v>612.7685615999992</v>
      </c>
      <c r="DL25" s="95">
        <f t="shared" si="13"/>
        <v>522.76991519999922</v>
      </c>
      <c r="DM25" s="95">
        <f t="shared" si="13"/>
        <v>535.54750079999928</v>
      </c>
      <c r="DN25" s="95">
        <f t="shared" si="13"/>
        <v>548.32508639999924</v>
      </c>
      <c r="DO25" s="95">
        <f t="shared" si="13"/>
        <v>561.10267199999907</v>
      </c>
      <c r="DP25" s="95">
        <f t="shared" si="13"/>
        <v>573.88025759999914</v>
      </c>
      <c r="DQ25" s="95">
        <f t="shared" si="13"/>
        <v>586.65784319999921</v>
      </c>
      <c r="DR25" s="116">
        <f t="shared" si="13"/>
        <v>599.43542879999916</v>
      </c>
      <c r="DS25" s="55"/>
      <c r="DT25" s="7"/>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row>
    <row r="26" spans="1:177" ht="29.5" thickBot="1" x14ac:dyDescent="0.4">
      <c r="A26" s="155" t="s">
        <v>220</v>
      </c>
      <c r="B26" s="93">
        <v>0</v>
      </c>
      <c r="C26" s="93">
        <f>B26+2.7</f>
        <v>2.7</v>
      </c>
      <c r="D26" s="93">
        <f t="shared" ref="D26:AQ26" si="14">C26+2.7</f>
        <v>5.4</v>
      </c>
      <c r="E26" s="93">
        <f t="shared" si="14"/>
        <v>8.1000000000000014</v>
      </c>
      <c r="F26" s="93">
        <f t="shared" si="14"/>
        <v>10.8</v>
      </c>
      <c r="G26" s="93">
        <f t="shared" si="14"/>
        <v>13.5</v>
      </c>
      <c r="H26" s="93">
        <f t="shared" si="14"/>
        <v>16.2</v>
      </c>
      <c r="I26" s="93">
        <f t="shared" si="14"/>
        <v>18.899999999999999</v>
      </c>
      <c r="J26" s="93">
        <f t="shared" si="14"/>
        <v>21.599999999999998</v>
      </c>
      <c r="K26" s="93">
        <f t="shared" si="14"/>
        <v>24.299999999999997</v>
      </c>
      <c r="L26" s="93">
        <f t="shared" si="14"/>
        <v>26.999999999999996</v>
      </c>
      <c r="M26" s="93">
        <f t="shared" si="14"/>
        <v>29.699999999999996</v>
      </c>
      <c r="N26" s="93">
        <f t="shared" si="14"/>
        <v>32.4</v>
      </c>
      <c r="O26" s="93">
        <f t="shared" si="14"/>
        <v>35.1</v>
      </c>
      <c r="P26" s="93">
        <f t="shared" si="14"/>
        <v>37.800000000000004</v>
      </c>
      <c r="Q26" s="93">
        <f t="shared" si="14"/>
        <v>40.500000000000007</v>
      </c>
      <c r="R26" s="93">
        <f t="shared" si="14"/>
        <v>43.20000000000001</v>
      </c>
      <c r="S26" s="93">
        <f t="shared" si="14"/>
        <v>45.900000000000013</v>
      </c>
      <c r="T26" s="93">
        <f t="shared" si="14"/>
        <v>48.600000000000016</v>
      </c>
      <c r="U26" s="93">
        <f t="shared" si="14"/>
        <v>51.300000000000018</v>
      </c>
      <c r="V26" s="93">
        <f>U26+2.7</f>
        <v>54.000000000000021</v>
      </c>
      <c r="W26" s="93">
        <f t="shared" si="14"/>
        <v>56.700000000000024</v>
      </c>
      <c r="X26" s="93">
        <f t="shared" si="14"/>
        <v>59.400000000000027</v>
      </c>
      <c r="Y26" s="93">
        <f t="shared" si="14"/>
        <v>62.10000000000003</v>
      </c>
      <c r="Z26" s="93">
        <f t="shared" si="14"/>
        <v>64.800000000000026</v>
      </c>
      <c r="AA26" s="93">
        <f t="shared" si="14"/>
        <v>67.500000000000028</v>
      </c>
      <c r="AB26" s="93">
        <f t="shared" si="14"/>
        <v>70.200000000000031</v>
      </c>
      <c r="AC26" s="93">
        <f t="shared" si="14"/>
        <v>72.900000000000034</v>
      </c>
      <c r="AD26" s="93">
        <f t="shared" si="14"/>
        <v>75.600000000000037</v>
      </c>
      <c r="AE26" s="93">
        <f t="shared" si="14"/>
        <v>78.30000000000004</v>
      </c>
      <c r="AF26" s="93">
        <f>AE26+2.7</f>
        <v>81.000000000000043</v>
      </c>
      <c r="AG26" s="93">
        <f t="shared" si="14"/>
        <v>83.700000000000045</v>
      </c>
      <c r="AH26" s="93">
        <f t="shared" si="14"/>
        <v>86.400000000000048</v>
      </c>
      <c r="AI26" s="93">
        <f t="shared" si="14"/>
        <v>89.100000000000051</v>
      </c>
      <c r="AJ26" s="93">
        <f t="shared" si="14"/>
        <v>91.800000000000054</v>
      </c>
      <c r="AK26" s="93">
        <f t="shared" si="14"/>
        <v>94.500000000000057</v>
      </c>
      <c r="AL26" s="93">
        <f t="shared" si="14"/>
        <v>97.20000000000006</v>
      </c>
      <c r="AM26" s="93">
        <f t="shared" si="14"/>
        <v>99.900000000000063</v>
      </c>
      <c r="AN26" s="93">
        <f t="shared" si="14"/>
        <v>102.60000000000007</v>
      </c>
      <c r="AO26" s="93">
        <f t="shared" si="14"/>
        <v>105.30000000000007</v>
      </c>
      <c r="AP26" s="93">
        <f>AO26+2.7</f>
        <v>108.00000000000007</v>
      </c>
      <c r="AQ26" s="93">
        <f t="shared" si="14"/>
        <v>110.70000000000007</v>
      </c>
      <c r="AR26" s="93">
        <f>AQ26+2.7-30</f>
        <v>83.400000000000077</v>
      </c>
      <c r="AS26" s="93">
        <f>AR26+6.2</f>
        <v>89.60000000000008</v>
      </c>
      <c r="AT26" s="93">
        <f t="shared" ref="AT26:AW26" si="15">AS26+6.2</f>
        <v>95.800000000000082</v>
      </c>
      <c r="AU26" s="93">
        <f t="shared" si="15"/>
        <v>102.00000000000009</v>
      </c>
      <c r="AV26" s="93">
        <f t="shared" si="15"/>
        <v>108.20000000000009</v>
      </c>
      <c r="AW26" s="93">
        <f t="shared" si="15"/>
        <v>114.40000000000009</v>
      </c>
      <c r="AX26" s="93">
        <f>AW26+6.2-28</f>
        <v>92.600000000000094</v>
      </c>
      <c r="AY26" s="93">
        <f>AX26+5.8</f>
        <v>98.400000000000091</v>
      </c>
      <c r="AZ26" s="93">
        <f>AY26+5.8</f>
        <v>104.20000000000009</v>
      </c>
      <c r="BA26" s="93">
        <f t="shared" ref="BA26:BE26" si="16">AZ26+5.8</f>
        <v>110.00000000000009</v>
      </c>
      <c r="BB26" s="93">
        <f t="shared" si="16"/>
        <v>115.80000000000008</v>
      </c>
      <c r="BC26" s="93">
        <f t="shared" si="16"/>
        <v>121.60000000000008</v>
      </c>
      <c r="BD26" s="93">
        <f t="shared" si="16"/>
        <v>127.40000000000008</v>
      </c>
      <c r="BE26" s="93">
        <f t="shared" si="16"/>
        <v>133.20000000000007</v>
      </c>
      <c r="BF26" s="93">
        <f>BE26+5.8-36</f>
        <v>103.00000000000009</v>
      </c>
      <c r="BG26" s="93">
        <f>BF26+6.7</f>
        <v>109.70000000000009</v>
      </c>
      <c r="BH26" s="93">
        <f t="shared" ref="BH26:BM26" si="17">BG26+6.7</f>
        <v>116.40000000000009</v>
      </c>
      <c r="BI26" s="93">
        <f t="shared" si="17"/>
        <v>123.10000000000009</v>
      </c>
      <c r="BJ26" s="93">
        <f t="shared" si="17"/>
        <v>129.8000000000001</v>
      </c>
      <c r="BK26" s="93">
        <f t="shared" si="17"/>
        <v>136.50000000000009</v>
      </c>
      <c r="BL26" s="93">
        <f t="shared" si="17"/>
        <v>143.20000000000007</v>
      </c>
      <c r="BM26" s="93">
        <f t="shared" si="17"/>
        <v>149.90000000000006</v>
      </c>
      <c r="BN26" s="93">
        <f>BM26+6.7-41</f>
        <v>115.60000000000005</v>
      </c>
      <c r="BO26" s="93">
        <f>BN26+5.7</f>
        <v>121.30000000000005</v>
      </c>
      <c r="BP26" s="93">
        <f t="shared" ref="BP26:BU26" si="18">BO26+5.7</f>
        <v>127.00000000000006</v>
      </c>
      <c r="BQ26" s="93">
        <f t="shared" si="18"/>
        <v>132.70000000000005</v>
      </c>
      <c r="BR26" s="93">
        <f t="shared" si="18"/>
        <v>138.40000000000003</v>
      </c>
      <c r="BS26" s="93">
        <f t="shared" si="18"/>
        <v>144.10000000000002</v>
      </c>
      <c r="BT26" s="93">
        <f t="shared" si="18"/>
        <v>149.80000000000001</v>
      </c>
      <c r="BU26" s="93">
        <f t="shared" si="18"/>
        <v>155.5</v>
      </c>
      <c r="BV26" s="93">
        <f>BU26+5.7-32</f>
        <v>129.19999999999999</v>
      </c>
      <c r="BW26" s="93">
        <f>BV26+4.9</f>
        <v>134.1</v>
      </c>
      <c r="BX26" s="93">
        <f t="shared" ref="BX26:CD26" si="19">BW26+4.9</f>
        <v>139</v>
      </c>
      <c r="BY26" s="93">
        <f t="shared" si="19"/>
        <v>143.9</v>
      </c>
      <c r="BZ26" s="93">
        <f t="shared" si="19"/>
        <v>148.80000000000001</v>
      </c>
      <c r="CA26" s="93">
        <f t="shared" si="19"/>
        <v>153.70000000000002</v>
      </c>
      <c r="CB26" s="93">
        <f t="shared" si="19"/>
        <v>158.60000000000002</v>
      </c>
      <c r="CC26" s="93">
        <f t="shared" si="19"/>
        <v>163.50000000000003</v>
      </c>
      <c r="CD26" s="93">
        <f t="shared" si="19"/>
        <v>168.40000000000003</v>
      </c>
      <c r="CE26" s="93">
        <f>CD26+4.9-31</f>
        <v>142.30000000000004</v>
      </c>
      <c r="CF26" s="93">
        <f>CE26+4.7</f>
        <v>147.00000000000003</v>
      </c>
      <c r="CG26" s="93">
        <f t="shared" ref="CG26:CY26" si="20">CF26+4.7</f>
        <v>151.70000000000002</v>
      </c>
      <c r="CH26" s="93">
        <f t="shared" si="20"/>
        <v>156.4</v>
      </c>
      <c r="CI26" s="93">
        <f t="shared" si="20"/>
        <v>161.1</v>
      </c>
      <c r="CJ26" s="93">
        <f t="shared" si="20"/>
        <v>165.79999999999998</v>
      </c>
      <c r="CK26" s="93">
        <f t="shared" si="20"/>
        <v>170.49999999999997</v>
      </c>
      <c r="CL26" s="93">
        <f t="shared" si="20"/>
        <v>175.19999999999996</v>
      </c>
      <c r="CM26" s="93">
        <f t="shared" si="20"/>
        <v>179.89999999999995</v>
      </c>
      <c r="CN26" s="93">
        <f>CM26+4.7-30</f>
        <v>154.59999999999994</v>
      </c>
      <c r="CO26" s="93">
        <f t="shared" si="20"/>
        <v>159.29999999999993</v>
      </c>
      <c r="CP26" s="93">
        <f t="shared" si="20"/>
        <v>163.99999999999991</v>
      </c>
      <c r="CQ26" s="93">
        <f t="shared" si="20"/>
        <v>168.6999999999999</v>
      </c>
      <c r="CR26" s="93">
        <f t="shared" si="20"/>
        <v>173.39999999999989</v>
      </c>
      <c r="CS26" s="93">
        <f t="shared" si="20"/>
        <v>178.09999999999988</v>
      </c>
      <c r="CT26" s="93">
        <f t="shared" si="20"/>
        <v>182.79999999999987</v>
      </c>
      <c r="CU26" s="93">
        <f t="shared" si="20"/>
        <v>187.49999999999986</v>
      </c>
      <c r="CV26" s="93">
        <f t="shared" si="20"/>
        <v>192.19999999999985</v>
      </c>
      <c r="CW26" s="93">
        <f t="shared" si="20"/>
        <v>196.89999999999984</v>
      </c>
      <c r="CX26" s="93">
        <f t="shared" si="20"/>
        <v>201.59999999999982</v>
      </c>
      <c r="CY26" s="178">
        <f t="shared" si="20"/>
        <v>206.29999999999981</v>
      </c>
      <c r="CZ26" s="178">
        <f>CY26+4.7-41</f>
        <v>169.9999999999998</v>
      </c>
      <c r="DA26" s="178">
        <f>CZ26+4.6</f>
        <v>174.5999999999998</v>
      </c>
      <c r="DB26" s="178">
        <f t="shared" ref="DB26:DR26" si="21">DA26+4.6</f>
        <v>179.19999999999979</v>
      </c>
      <c r="DC26" s="178">
        <f t="shared" si="21"/>
        <v>183.79999999999978</v>
      </c>
      <c r="DD26" s="178">
        <f t="shared" si="21"/>
        <v>188.39999999999978</v>
      </c>
      <c r="DE26" s="178">
        <f t="shared" si="21"/>
        <v>192.99999999999977</v>
      </c>
      <c r="DF26" s="178">
        <f t="shared" si="21"/>
        <v>197.59999999999977</v>
      </c>
      <c r="DG26" s="178">
        <f t="shared" si="21"/>
        <v>202.19999999999976</v>
      </c>
      <c r="DH26" s="178">
        <f t="shared" si="21"/>
        <v>206.79999999999976</v>
      </c>
      <c r="DI26" s="178">
        <f t="shared" si="21"/>
        <v>211.39999999999975</v>
      </c>
      <c r="DJ26" s="178">
        <f t="shared" si="21"/>
        <v>215.99999999999974</v>
      </c>
      <c r="DK26" s="178">
        <f t="shared" si="21"/>
        <v>220.59999999999974</v>
      </c>
      <c r="DL26" s="178">
        <f>DK26+4.6-37</f>
        <v>188.19999999999973</v>
      </c>
      <c r="DM26" s="178">
        <f t="shared" si="21"/>
        <v>192.79999999999973</v>
      </c>
      <c r="DN26" s="178">
        <f t="shared" si="21"/>
        <v>197.39999999999972</v>
      </c>
      <c r="DO26" s="178">
        <f t="shared" si="21"/>
        <v>201.99999999999972</v>
      </c>
      <c r="DP26" s="178">
        <f t="shared" si="21"/>
        <v>206.59999999999971</v>
      </c>
      <c r="DQ26" s="178">
        <f t="shared" si="21"/>
        <v>211.1999999999997</v>
      </c>
      <c r="DR26" s="179">
        <f t="shared" si="21"/>
        <v>215.7999999999997</v>
      </c>
      <c r="DS26" s="7"/>
      <c r="DT26" s="7"/>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row>
    <row r="27" spans="1:177" ht="29" x14ac:dyDescent="0.35">
      <c r="A27" s="151" t="s">
        <v>221</v>
      </c>
      <c r="B27" s="95">
        <f>B28*0.76*0.55</f>
        <v>0</v>
      </c>
      <c r="C27" s="95">
        <f>C28*0.76*0.55*1.56</f>
        <v>1.8258239999999999</v>
      </c>
      <c r="D27" s="95">
        <f t="shared" ref="D27:BO27" si="22">D28*0.76*0.55*1.56</f>
        <v>3.6516479999999998</v>
      </c>
      <c r="E27" s="95">
        <f t="shared" si="22"/>
        <v>5.4774719999999997</v>
      </c>
      <c r="F27" s="95">
        <f t="shared" si="22"/>
        <v>7.3032959999999996</v>
      </c>
      <c r="G27" s="95">
        <f t="shared" si="22"/>
        <v>9.1291200000000021</v>
      </c>
      <c r="H27" s="95">
        <f t="shared" si="22"/>
        <v>10.954944000000003</v>
      </c>
      <c r="I27" s="95">
        <f t="shared" si="22"/>
        <v>12.780768000000004</v>
      </c>
      <c r="J27" s="95">
        <f t="shared" si="22"/>
        <v>14.606592000000003</v>
      </c>
      <c r="K27" s="95">
        <f t="shared" si="22"/>
        <v>16.432416000000003</v>
      </c>
      <c r="L27" s="95">
        <f t="shared" si="22"/>
        <v>18.258240000000008</v>
      </c>
      <c r="M27" s="95">
        <f t="shared" si="22"/>
        <v>20.084064000000005</v>
      </c>
      <c r="N27" s="95">
        <f t="shared" si="22"/>
        <v>21.909888000000006</v>
      </c>
      <c r="O27" s="95">
        <f t="shared" si="22"/>
        <v>23.735711999999999</v>
      </c>
      <c r="P27" s="95">
        <f t="shared" si="22"/>
        <v>25.561536</v>
      </c>
      <c r="Q27" s="95">
        <f t="shared" si="22"/>
        <v>27.387359999999997</v>
      </c>
      <c r="R27" s="95">
        <f t="shared" si="22"/>
        <v>29.213183999999998</v>
      </c>
      <c r="S27" s="95">
        <f t="shared" si="22"/>
        <v>31.039007999999995</v>
      </c>
      <c r="T27" s="95">
        <f t="shared" si="22"/>
        <v>32.864831999999993</v>
      </c>
      <c r="U27" s="95">
        <f t="shared" si="22"/>
        <v>34.690655999999997</v>
      </c>
      <c r="V27" s="95">
        <f t="shared" si="22"/>
        <v>36.516479999999987</v>
      </c>
      <c r="W27" s="95">
        <f t="shared" si="22"/>
        <v>44.145815999999989</v>
      </c>
      <c r="X27" s="95">
        <f t="shared" si="22"/>
        <v>51.775151999999991</v>
      </c>
      <c r="Y27" s="95">
        <f t="shared" si="22"/>
        <v>59.404488000000001</v>
      </c>
      <c r="Z27" s="95">
        <f t="shared" si="22"/>
        <v>67.033823999999996</v>
      </c>
      <c r="AA27" s="95">
        <f t="shared" si="22"/>
        <v>57.709079999999993</v>
      </c>
      <c r="AB27" s="95">
        <f t="shared" si="22"/>
        <v>65.925287999999995</v>
      </c>
      <c r="AC27" s="95">
        <f t="shared" si="22"/>
        <v>74.141495999999989</v>
      </c>
      <c r="AD27" s="95">
        <f t="shared" si="22"/>
        <v>82.357703999999984</v>
      </c>
      <c r="AE27" s="95">
        <f t="shared" si="22"/>
        <v>90.573911999999993</v>
      </c>
      <c r="AF27" s="95">
        <f t="shared" si="22"/>
        <v>75.967319999999987</v>
      </c>
      <c r="AG27" s="95">
        <f t="shared" si="22"/>
        <v>84.574775999999986</v>
      </c>
      <c r="AH27" s="95">
        <f t="shared" si="22"/>
        <v>93.182231999999971</v>
      </c>
      <c r="AI27" s="95">
        <f t="shared" si="22"/>
        <v>101.78968799999997</v>
      </c>
      <c r="AJ27" s="95">
        <f t="shared" si="22"/>
        <v>110.39714399999997</v>
      </c>
      <c r="AK27" s="95">
        <f t="shared" si="22"/>
        <v>96.181799999999967</v>
      </c>
      <c r="AL27" s="95">
        <f t="shared" si="22"/>
        <v>104.98487999999996</v>
      </c>
      <c r="AM27" s="95">
        <f t="shared" si="22"/>
        <v>113.78795999999997</v>
      </c>
      <c r="AN27" s="95">
        <f t="shared" si="22"/>
        <v>122.59103999999996</v>
      </c>
      <c r="AO27" s="95">
        <f t="shared" si="22"/>
        <v>131.39411999999993</v>
      </c>
      <c r="AP27" s="95">
        <f t="shared" si="22"/>
        <v>117.37439999999995</v>
      </c>
      <c r="AQ27" s="95">
        <f t="shared" si="22"/>
        <v>126.24268799999997</v>
      </c>
      <c r="AR27" s="95">
        <f t="shared" si="22"/>
        <v>135.11097599999994</v>
      </c>
      <c r="AS27" s="95">
        <f t="shared" si="22"/>
        <v>143.97926399999994</v>
      </c>
      <c r="AT27" s="95">
        <f t="shared" si="22"/>
        <v>152.84755199999995</v>
      </c>
      <c r="AU27" s="95">
        <f t="shared" si="22"/>
        <v>138.89303999999996</v>
      </c>
      <c r="AV27" s="95">
        <f t="shared" si="22"/>
        <v>147.69611999999995</v>
      </c>
      <c r="AW27" s="95">
        <f t="shared" si="22"/>
        <v>156.49919999999995</v>
      </c>
      <c r="AX27" s="95">
        <f t="shared" si="22"/>
        <v>165.30227999999994</v>
      </c>
      <c r="AY27" s="95">
        <f t="shared" si="22"/>
        <v>174.10535999999993</v>
      </c>
      <c r="AZ27" s="95">
        <f t="shared" si="22"/>
        <v>160.08563999999996</v>
      </c>
      <c r="BA27" s="95">
        <f t="shared" si="22"/>
        <v>168.69309599999994</v>
      </c>
      <c r="BB27" s="95">
        <f t="shared" si="22"/>
        <v>177.30055199999993</v>
      </c>
      <c r="BC27" s="95">
        <f t="shared" si="22"/>
        <v>185.90800799999994</v>
      </c>
      <c r="BD27" s="95">
        <f t="shared" si="22"/>
        <v>194.51546399999992</v>
      </c>
      <c r="BE27" s="95">
        <f t="shared" si="22"/>
        <v>180.30011999999991</v>
      </c>
      <c r="BF27" s="95">
        <f t="shared" si="22"/>
        <v>188.58153599999989</v>
      </c>
      <c r="BG27" s="95">
        <f t="shared" si="22"/>
        <v>196.86295199999989</v>
      </c>
      <c r="BH27" s="95">
        <f t="shared" si="22"/>
        <v>205.14436799999987</v>
      </c>
      <c r="BI27" s="95">
        <f t="shared" si="22"/>
        <v>213.42578399999991</v>
      </c>
      <c r="BJ27" s="95">
        <f t="shared" si="22"/>
        <v>198.88439999999989</v>
      </c>
      <c r="BK27" s="95">
        <f t="shared" si="22"/>
        <v>206.77456799999987</v>
      </c>
      <c r="BL27" s="95">
        <f t="shared" si="22"/>
        <v>214.66473599999989</v>
      </c>
      <c r="BM27" s="95">
        <f t="shared" si="22"/>
        <v>222.55490399999991</v>
      </c>
      <c r="BN27" s="95">
        <f t="shared" si="22"/>
        <v>230.44507199999993</v>
      </c>
      <c r="BO27" s="95">
        <f t="shared" si="22"/>
        <v>215.51243999999997</v>
      </c>
      <c r="BP27" s="95">
        <f t="shared" ref="BP27:CX27" si="23">BP28*0.76*0.55*1.56</f>
        <v>223.01135999999994</v>
      </c>
      <c r="BQ27" s="95">
        <f t="shared" si="23"/>
        <v>230.51027999999997</v>
      </c>
      <c r="BR27" s="95">
        <f t="shared" si="23"/>
        <v>238.00919999999996</v>
      </c>
      <c r="BS27" s="95">
        <f t="shared" si="23"/>
        <v>245.50811999999999</v>
      </c>
      <c r="BT27" s="95">
        <f t="shared" si="23"/>
        <v>230.18423999999996</v>
      </c>
      <c r="BU27" s="95">
        <f t="shared" si="23"/>
        <v>237.22670399999996</v>
      </c>
      <c r="BV27" s="95">
        <f t="shared" si="23"/>
        <v>244.26916799999995</v>
      </c>
      <c r="BW27" s="95">
        <f t="shared" si="23"/>
        <v>251.31163199999997</v>
      </c>
      <c r="BX27" s="95">
        <f t="shared" si="23"/>
        <v>258.35409599999997</v>
      </c>
      <c r="BY27" s="95">
        <f t="shared" si="23"/>
        <v>242.57376000000002</v>
      </c>
      <c r="BZ27" s="95">
        <f t="shared" si="23"/>
        <v>249.15976799999999</v>
      </c>
      <c r="CA27" s="95">
        <f t="shared" si="23"/>
        <v>255.74577600000003</v>
      </c>
      <c r="CB27" s="95">
        <f t="shared" si="23"/>
        <v>262.33178400000003</v>
      </c>
      <c r="CC27" s="95">
        <f t="shared" si="23"/>
        <v>268.91779200000008</v>
      </c>
      <c r="CD27" s="95">
        <f t="shared" si="23"/>
        <v>253.33308000000005</v>
      </c>
      <c r="CE27" s="95">
        <f t="shared" si="23"/>
        <v>259.46263200000004</v>
      </c>
      <c r="CF27" s="95">
        <f t="shared" si="23"/>
        <v>265.59218400000003</v>
      </c>
      <c r="CG27" s="95">
        <f t="shared" si="23"/>
        <v>271.72173600000008</v>
      </c>
      <c r="CH27" s="95">
        <f t="shared" si="23"/>
        <v>277.85128799999995</v>
      </c>
      <c r="CI27" s="95">
        <f t="shared" si="23"/>
        <v>262.4622</v>
      </c>
      <c r="CJ27" s="95">
        <f t="shared" si="23"/>
        <v>268.26571200000001</v>
      </c>
      <c r="CK27" s="95">
        <f t="shared" si="23"/>
        <v>274.06922399999996</v>
      </c>
      <c r="CL27" s="95">
        <f t="shared" si="23"/>
        <v>279.87273599999997</v>
      </c>
      <c r="CM27" s="95">
        <f t="shared" si="23"/>
        <v>285.67624799999999</v>
      </c>
      <c r="CN27" s="95">
        <f t="shared" si="23"/>
        <v>271.2652799999999</v>
      </c>
      <c r="CO27" s="95">
        <f t="shared" si="23"/>
        <v>276.74275199999994</v>
      </c>
      <c r="CP27" s="95">
        <f t="shared" si="23"/>
        <v>282.22022399999992</v>
      </c>
      <c r="CQ27" s="95">
        <f t="shared" si="23"/>
        <v>287.69769599999989</v>
      </c>
      <c r="CR27" s="95">
        <f t="shared" si="23"/>
        <v>293.17516799999987</v>
      </c>
      <c r="CS27" s="95">
        <f t="shared" si="23"/>
        <v>279.09023999999988</v>
      </c>
      <c r="CT27" s="95">
        <f t="shared" si="23"/>
        <v>284.30687999999986</v>
      </c>
      <c r="CU27" s="95">
        <f t="shared" si="23"/>
        <v>289.52351999999985</v>
      </c>
      <c r="CV27" s="95">
        <f t="shared" si="23"/>
        <v>294.74015999999989</v>
      </c>
      <c r="CW27" s="95">
        <f t="shared" si="23"/>
        <v>299.95679999999987</v>
      </c>
      <c r="CX27" s="95">
        <f>CX28*0.76*0.55*1.56</f>
        <v>305.1734399999998</v>
      </c>
      <c r="CY27" s="147"/>
      <c r="CZ27" s="148"/>
      <c r="DA27" s="148"/>
      <c r="DB27" s="148"/>
      <c r="DC27" s="148"/>
      <c r="DD27" s="148"/>
      <c r="DE27" s="148"/>
      <c r="DF27" s="148"/>
      <c r="DG27" s="148"/>
      <c r="DH27" s="148"/>
      <c r="DI27" s="148"/>
      <c r="DJ27" s="148"/>
      <c r="DK27" s="148"/>
      <c r="DL27" s="148"/>
      <c r="DM27" s="148"/>
      <c r="DN27" s="148"/>
      <c r="DO27" s="148"/>
      <c r="DP27" s="148"/>
      <c r="DQ27" s="148"/>
      <c r="DR27" s="148"/>
      <c r="DS27" s="7"/>
      <c r="DT27" s="7"/>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row>
    <row r="28" spans="1:177" ht="29.5" thickBot="1" x14ac:dyDescent="0.4">
      <c r="A28" s="151" t="s">
        <v>214</v>
      </c>
      <c r="B28" s="93">
        <v>0</v>
      </c>
      <c r="C28" s="93">
        <f>B28+2.8</f>
        <v>2.8</v>
      </c>
      <c r="D28" s="93">
        <f t="shared" ref="D28:W28" si="24">C28+2.8</f>
        <v>5.6</v>
      </c>
      <c r="E28" s="93">
        <f t="shared" si="24"/>
        <v>8.3999999999999986</v>
      </c>
      <c r="F28" s="93">
        <f t="shared" si="24"/>
        <v>11.2</v>
      </c>
      <c r="G28" s="93">
        <f t="shared" si="24"/>
        <v>14</v>
      </c>
      <c r="H28" s="93">
        <f t="shared" si="24"/>
        <v>16.8</v>
      </c>
      <c r="I28" s="93">
        <f t="shared" si="24"/>
        <v>19.600000000000001</v>
      </c>
      <c r="J28" s="93">
        <f t="shared" si="24"/>
        <v>22.400000000000002</v>
      </c>
      <c r="K28" s="93">
        <f t="shared" si="24"/>
        <v>25.200000000000003</v>
      </c>
      <c r="L28" s="93">
        <f t="shared" si="24"/>
        <v>28.000000000000004</v>
      </c>
      <c r="M28" s="93">
        <f t="shared" si="24"/>
        <v>30.800000000000004</v>
      </c>
      <c r="N28" s="93">
        <f t="shared" si="24"/>
        <v>33.6</v>
      </c>
      <c r="O28" s="93">
        <f t="shared" si="24"/>
        <v>36.4</v>
      </c>
      <c r="P28" s="93">
        <f t="shared" si="24"/>
        <v>39.199999999999996</v>
      </c>
      <c r="Q28" s="93">
        <f t="shared" si="24"/>
        <v>41.999999999999993</v>
      </c>
      <c r="R28" s="93">
        <f t="shared" si="24"/>
        <v>44.79999999999999</v>
      </c>
      <c r="S28" s="93">
        <f t="shared" si="24"/>
        <v>47.599999999999987</v>
      </c>
      <c r="T28" s="93">
        <f t="shared" si="24"/>
        <v>50.399999999999984</v>
      </c>
      <c r="U28" s="93">
        <f t="shared" si="24"/>
        <v>53.199999999999982</v>
      </c>
      <c r="V28" s="93">
        <f t="shared" si="24"/>
        <v>55.999999999999979</v>
      </c>
      <c r="W28" s="93">
        <f>V28+11.7</f>
        <v>67.699999999999974</v>
      </c>
      <c r="X28" s="93">
        <f t="shared" ref="X28:AB28" si="25">W28+11.7</f>
        <v>79.399999999999977</v>
      </c>
      <c r="Y28" s="93">
        <f t="shared" si="25"/>
        <v>91.09999999999998</v>
      </c>
      <c r="Z28" s="93">
        <f t="shared" si="25"/>
        <v>102.79999999999998</v>
      </c>
      <c r="AA28" s="93">
        <f>Z28+11.7-26</f>
        <v>88.499999999999986</v>
      </c>
      <c r="AB28" s="93">
        <f>AA28+12.6</f>
        <v>101.09999999999998</v>
      </c>
      <c r="AC28" s="93">
        <f t="shared" ref="AC28:AG28" si="26">AB28+12.6</f>
        <v>113.69999999999997</v>
      </c>
      <c r="AD28" s="93">
        <f t="shared" si="26"/>
        <v>126.29999999999997</v>
      </c>
      <c r="AE28" s="93">
        <f t="shared" si="26"/>
        <v>138.89999999999998</v>
      </c>
      <c r="AF28" s="93">
        <f>AE28+12.6-35</f>
        <v>116.49999999999997</v>
      </c>
      <c r="AG28" s="93">
        <f>AF28+13.2</f>
        <v>129.69999999999996</v>
      </c>
      <c r="AH28" s="93">
        <f t="shared" ref="AH28:AL28" si="27">AG28+13.2</f>
        <v>142.89999999999995</v>
      </c>
      <c r="AI28" s="93">
        <f t="shared" si="27"/>
        <v>156.09999999999994</v>
      </c>
      <c r="AJ28" s="93">
        <f t="shared" si="27"/>
        <v>169.29999999999993</v>
      </c>
      <c r="AK28" s="93">
        <f>AJ28+13.2-35</f>
        <v>147.49999999999991</v>
      </c>
      <c r="AL28" s="93">
        <f>AK28+13.5</f>
        <v>160.99999999999991</v>
      </c>
      <c r="AM28" s="93">
        <f t="shared" ref="AM28:AQ28" si="28">AL28+13.5</f>
        <v>174.49999999999991</v>
      </c>
      <c r="AN28" s="93">
        <f t="shared" si="28"/>
        <v>187.99999999999991</v>
      </c>
      <c r="AO28" s="93">
        <f t="shared" si="28"/>
        <v>201.49999999999991</v>
      </c>
      <c r="AP28" s="93">
        <f>AO28+13.5-35</f>
        <v>179.99999999999991</v>
      </c>
      <c r="AQ28" s="93">
        <f>AP28+13.6</f>
        <v>193.59999999999991</v>
      </c>
      <c r="AR28" s="93">
        <f t="shared" ref="AR28:AV28" si="29">AQ28+13.6</f>
        <v>207.1999999999999</v>
      </c>
      <c r="AS28" s="93">
        <f t="shared" si="29"/>
        <v>220.7999999999999</v>
      </c>
      <c r="AT28" s="93">
        <f t="shared" si="29"/>
        <v>234.39999999999989</v>
      </c>
      <c r="AU28" s="93">
        <f>AT28+13.6-35</f>
        <v>212.99999999999989</v>
      </c>
      <c r="AV28" s="93">
        <f>AU28+13.5</f>
        <v>226.49999999999989</v>
      </c>
      <c r="AW28" s="93">
        <f t="shared" ref="AW28:BA28" si="30">AV28+13.5</f>
        <v>239.99999999999989</v>
      </c>
      <c r="AX28" s="93">
        <f t="shared" si="30"/>
        <v>253.49999999999989</v>
      </c>
      <c r="AY28" s="93">
        <f t="shared" si="30"/>
        <v>266.99999999999989</v>
      </c>
      <c r="AZ28" s="93">
        <f>AY28+13.5-35</f>
        <v>245.49999999999989</v>
      </c>
      <c r="BA28" s="93">
        <f>AZ28+13.2</f>
        <v>258.69999999999987</v>
      </c>
      <c r="BB28" s="93">
        <f t="shared" ref="BB28:BF28" si="31">BA28+13.2</f>
        <v>271.89999999999986</v>
      </c>
      <c r="BC28" s="93">
        <f t="shared" si="31"/>
        <v>285.09999999999985</v>
      </c>
      <c r="BD28" s="93">
        <f t="shared" si="31"/>
        <v>298.29999999999984</v>
      </c>
      <c r="BE28" s="93">
        <f>BD28+13.2-35</f>
        <v>276.49999999999983</v>
      </c>
      <c r="BF28" s="93">
        <f>BE28+12.7</f>
        <v>289.19999999999982</v>
      </c>
      <c r="BG28" s="93">
        <f t="shared" ref="BG28:BK28" si="32">BF28+12.7</f>
        <v>301.89999999999981</v>
      </c>
      <c r="BH28" s="93">
        <f t="shared" si="32"/>
        <v>314.5999999999998</v>
      </c>
      <c r="BI28" s="93">
        <f t="shared" si="32"/>
        <v>327.29999999999978</v>
      </c>
      <c r="BJ28" s="93">
        <f>BI28+12.7-35</f>
        <v>304.99999999999977</v>
      </c>
      <c r="BK28" s="93">
        <f>BJ28+12.1</f>
        <v>317.0999999999998</v>
      </c>
      <c r="BL28" s="93">
        <f t="shared" ref="BL28:BO28" si="33">BK28+12.1</f>
        <v>329.19999999999982</v>
      </c>
      <c r="BM28" s="93">
        <f t="shared" si="33"/>
        <v>341.29999999999984</v>
      </c>
      <c r="BN28" s="93">
        <f t="shared" si="33"/>
        <v>353.39999999999986</v>
      </c>
      <c r="BO28" s="93">
        <f>BN28+12.1-35</f>
        <v>330.49999999999989</v>
      </c>
      <c r="BP28" s="93">
        <f>BO28+11.5</f>
        <v>341.99999999999989</v>
      </c>
      <c r="BQ28" s="93">
        <f t="shared" ref="BQ28:BU28" si="34">BP28+11.5</f>
        <v>353.49999999999989</v>
      </c>
      <c r="BR28" s="93">
        <f t="shared" si="34"/>
        <v>364.99999999999989</v>
      </c>
      <c r="BS28" s="93">
        <f t="shared" si="34"/>
        <v>376.49999999999989</v>
      </c>
      <c r="BT28" s="93">
        <f>BS28+11.5-35</f>
        <v>352.99999999999989</v>
      </c>
      <c r="BU28" s="93">
        <f>BT28+10.8</f>
        <v>363.7999999999999</v>
      </c>
      <c r="BV28" s="93">
        <f t="shared" ref="BV28:BZ28" si="35">BU28+10.8</f>
        <v>374.59999999999991</v>
      </c>
      <c r="BW28" s="93">
        <f t="shared" si="35"/>
        <v>385.39999999999992</v>
      </c>
      <c r="BX28" s="93">
        <f t="shared" si="35"/>
        <v>396.19999999999993</v>
      </c>
      <c r="BY28" s="93">
        <f>BX28+10.8-35</f>
        <v>371.99999999999994</v>
      </c>
      <c r="BZ28" s="93">
        <f>BY28+10.1</f>
        <v>382.09999999999997</v>
      </c>
      <c r="CA28" s="93">
        <f t="shared" ref="CA28:CE28" si="36">BZ28+10.1</f>
        <v>392.2</v>
      </c>
      <c r="CB28" s="93">
        <f t="shared" si="36"/>
        <v>402.3</v>
      </c>
      <c r="CC28" s="93">
        <f t="shared" si="36"/>
        <v>412.40000000000003</v>
      </c>
      <c r="CD28" s="93">
        <f>CC28+10.1-34</f>
        <v>388.50000000000006</v>
      </c>
      <c r="CE28" s="93">
        <f>CD28+9.4</f>
        <v>397.90000000000003</v>
      </c>
      <c r="CF28" s="93">
        <f t="shared" ref="CF28:CJ28" si="37">CE28+9.4</f>
        <v>407.3</v>
      </c>
      <c r="CG28" s="93">
        <f t="shared" si="37"/>
        <v>416.7</v>
      </c>
      <c r="CH28" s="93">
        <f t="shared" si="37"/>
        <v>426.09999999999997</v>
      </c>
      <c r="CI28" s="93">
        <f>CH28+9.4-33</f>
        <v>402.49999999999994</v>
      </c>
      <c r="CJ28" s="93">
        <f>CI28+8.9</f>
        <v>411.39999999999992</v>
      </c>
      <c r="CK28" s="93">
        <f t="shared" ref="CK28:CO28" si="38">CJ28+8.9</f>
        <v>420.2999999999999</v>
      </c>
      <c r="CL28" s="93">
        <f t="shared" si="38"/>
        <v>429.19999999999987</v>
      </c>
      <c r="CM28" s="93">
        <f t="shared" si="38"/>
        <v>438.09999999999985</v>
      </c>
      <c r="CN28" s="93">
        <f>CM28+8.9-31</f>
        <v>415.99999999999983</v>
      </c>
      <c r="CO28" s="93">
        <f>CN28+8.4</f>
        <v>424.39999999999981</v>
      </c>
      <c r="CP28" s="93">
        <f t="shared" ref="CP28:CT28" si="39">CO28+8.4</f>
        <v>432.79999999999978</v>
      </c>
      <c r="CQ28" s="93">
        <f t="shared" si="39"/>
        <v>441.19999999999976</v>
      </c>
      <c r="CR28" s="93">
        <f t="shared" si="39"/>
        <v>449.59999999999974</v>
      </c>
      <c r="CS28" s="93">
        <f>CR28+8.4-30</f>
        <v>427.99999999999972</v>
      </c>
      <c r="CT28" s="93">
        <f>CS28+8</f>
        <v>435.99999999999972</v>
      </c>
      <c r="CU28" s="93">
        <f t="shared" ref="CU28:CX28" si="40">CT28+8</f>
        <v>443.99999999999972</v>
      </c>
      <c r="CV28" s="93">
        <f t="shared" si="40"/>
        <v>451.99999999999972</v>
      </c>
      <c r="CW28" s="93">
        <f t="shared" si="40"/>
        <v>459.99999999999972</v>
      </c>
      <c r="CX28" s="93">
        <f t="shared" si="40"/>
        <v>467.99999999999972</v>
      </c>
      <c r="CY28" s="149"/>
      <c r="CZ28" s="150"/>
      <c r="DA28" s="150"/>
      <c r="DB28" s="150"/>
      <c r="DC28" s="150"/>
      <c r="DD28" s="150"/>
      <c r="DE28" s="150"/>
      <c r="DF28" s="150"/>
      <c r="DG28" s="150"/>
      <c r="DH28" s="150"/>
      <c r="DI28" s="150"/>
      <c r="DJ28" s="150"/>
      <c r="DK28" s="150"/>
      <c r="DL28" s="150"/>
      <c r="DM28" s="150"/>
      <c r="DN28" s="150"/>
      <c r="DO28" s="150"/>
      <c r="DP28" s="150"/>
      <c r="DQ28" s="150"/>
      <c r="DR28" s="150"/>
      <c r="DS28" s="7"/>
      <c r="DT28" s="7"/>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row>
    <row r="29" spans="1:177" ht="29" x14ac:dyDescent="0.35">
      <c r="A29" s="155" t="s">
        <v>223</v>
      </c>
      <c r="B29" s="95">
        <f>B30*0.63*0.67</f>
        <v>0</v>
      </c>
      <c r="C29" s="95">
        <f>C30*0.63*0.67*1.56</f>
        <v>1.3169520000000001</v>
      </c>
      <c r="D29" s="95">
        <f t="shared" ref="D29:BO29" si="41">D30*0.63*0.67*1.56</f>
        <v>2.6339040000000002</v>
      </c>
      <c r="E29" s="95">
        <f t="shared" si="41"/>
        <v>3.9508560000000008</v>
      </c>
      <c r="F29" s="95">
        <f t="shared" si="41"/>
        <v>5.2678080000000005</v>
      </c>
      <c r="G29" s="95">
        <f t="shared" si="41"/>
        <v>6.5847600000000002</v>
      </c>
      <c r="H29" s="95">
        <f t="shared" si="41"/>
        <v>7.9017120000000016</v>
      </c>
      <c r="I29" s="95">
        <f t="shared" si="41"/>
        <v>9.2186640000000022</v>
      </c>
      <c r="J29" s="95">
        <f t="shared" si="41"/>
        <v>10.535616000000001</v>
      </c>
      <c r="K29" s="95">
        <f t="shared" si="41"/>
        <v>11.852568000000002</v>
      </c>
      <c r="L29" s="95">
        <f t="shared" si="41"/>
        <v>13.16952</v>
      </c>
      <c r="M29" s="95">
        <f t="shared" si="41"/>
        <v>14.486472000000003</v>
      </c>
      <c r="N29" s="95">
        <f t="shared" si="41"/>
        <v>15.803424000000003</v>
      </c>
      <c r="O29" s="95">
        <f t="shared" si="41"/>
        <v>17.120376</v>
      </c>
      <c r="P29" s="95">
        <f t="shared" si="41"/>
        <v>18.437328000000004</v>
      </c>
      <c r="Q29" s="95">
        <f t="shared" si="41"/>
        <v>19.754280000000001</v>
      </c>
      <c r="R29" s="95">
        <f t="shared" si="41"/>
        <v>21.071232000000002</v>
      </c>
      <c r="S29" s="95">
        <f t="shared" si="41"/>
        <v>22.388184000000003</v>
      </c>
      <c r="T29" s="95">
        <f t="shared" si="41"/>
        <v>23.705136000000003</v>
      </c>
      <c r="U29" s="95">
        <f t="shared" si="41"/>
        <v>25.022088000000007</v>
      </c>
      <c r="V29" s="95">
        <f t="shared" si="41"/>
        <v>26.339040000000001</v>
      </c>
      <c r="W29" s="95">
        <f t="shared" si="41"/>
        <v>27.655992000000001</v>
      </c>
      <c r="X29" s="95">
        <f t="shared" si="41"/>
        <v>28.972944000000005</v>
      </c>
      <c r="Y29" s="95">
        <f t="shared" si="41"/>
        <v>30.289896000000006</v>
      </c>
      <c r="Z29" s="95">
        <f t="shared" si="41"/>
        <v>31.606848000000006</v>
      </c>
      <c r="AA29" s="95">
        <f t="shared" si="41"/>
        <v>32.9238</v>
      </c>
      <c r="AB29" s="95">
        <f t="shared" si="41"/>
        <v>34.240752000000001</v>
      </c>
      <c r="AC29" s="95">
        <f t="shared" si="41"/>
        <v>35.557704000000001</v>
      </c>
      <c r="AD29" s="95">
        <f t="shared" si="41"/>
        <v>36.874656000000009</v>
      </c>
      <c r="AE29" s="95">
        <f t="shared" si="41"/>
        <v>38.191608000000002</v>
      </c>
      <c r="AF29" s="95">
        <f t="shared" si="41"/>
        <v>39.508560000000003</v>
      </c>
      <c r="AG29" s="95">
        <f t="shared" si="41"/>
        <v>40.82551200000001</v>
      </c>
      <c r="AH29" s="95">
        <f t="shared" si="41"/>
        <v>42.142464000000004</v>
      </c>
      <c r="AI29" s="95">
        <f t="shared" si="41"/>
        <v>43.459415999999997</v>
      </c>
      <c r="AJ29" s="95">
        <f t="shared" si="41"/>
        <v>44.776368000000005</v>
      </c>
      <c r="AK29" s="95">
        <f t="shared" si="41"/>
        <v>46.093320000000006</v>
      </c>
      <c r="AL29" s="95">
        <f t="shared" si="41"/>
        <v>47.410272000000006</v>
      </c>
      <c r="AM29" s="95">
        <f t="shared" si="41"/>
        <v>48.727224</v>
      </c>
      <c r="AN29" s="95">
        <f t="shared" si="41"/>
        <v>50.044176000000014</v>
      </c>
      <c r="AO29" s="95">
        <f t="shared" si="41"/>
        <v>51.361128000000001</v>
      </c>
      <c r="AP29" s="95">
        <f t="shared" si="41"/>
        <v>52.678080000000001</v>
      </c>
      <c r="AQ29" s="95">
        <f t="shared" si="41"/>
        <v>53.995032000000002</v>
      </c>
      <c r="AR29" s="95">
        <f t="shared" si="41"/>
        <v>55.311984000000002</v>
      </c>
      <c r="AS29" s="95">
        <f t="shared" si="41"/>
        <v>56.628936000000003</v>
      </c>
      <c r="AT29" s="95">
        <f t="shared" si="41"/>
        <v>57.945888000000011</v>
      </c>
      <c r="AU29" s="95">
        <f t="shared" si="41"/>
        <v>59.262840000000011</v>
      </c>
      <c r="AV29" s="95">
        <f t="shared" si="41"/>
        <v>60.579792000000012</v>
      </c>
      <c r="AW29" s="95">
        <f t="shared" si="41"/>
        <v>61.896743999999998</v>
      </c>
      <c r="AX29" s="95">
        <f t="shared" si="41"/>
        <v>63.213696000000013</v>
      </c>
      <c r="AY29" s="95">
        <f t="shared" si="41"/>
        <v>64.530648000000014</v>
      </c>
      <c r="AZ29" s="95">
        <f t="shared" si="41"/>
        <v>65.8476</v>
      </c>
      <c r="BA29" s="95">
        <f t="shared" si="41"/>
        <v>67.164552000000015</v>
      </c>
      <c r="BB29" s="95">
        <f t="shared" si="41"/>
        <v>68.481504000000001</v>
      </c>
      <c r="BC29" s="95">
        <f t="shared" si="41"/>
        <v>69.798456000000002</v>
      </c>
      <c r="BD29" s="95">
        <f t="shared" si="41"/>
        <v>71.115408000000002</v>
      </c>
      <c r="BE29" s="95">
        <f t="shared" si="41"/>
        <v>72.432360000000003</v>
      </c>
      <c r="BF29" s="95">
        <f t="shared" si="41"/>
        <v>52.019604000000015</v>
      </c>
      <c r="BG29" s="95">
        <f t="shared" si="41"/>
        <v>55.3778316</v>
      </c>
      <c r="BH29" s="95">
        <f t="shared" si="41"/>
        <v>58.7360592</v>
      </c>
      <c r="BI29" s="95">
        <f t="shared" si="41"/>
        <v>62.094286799999999</v>
      </c>
      <c r="BJ29" s="95">
        <f t="shared" si="41"/>
        <v>65.452514399999998</v>
      </c>
      <c r="BK29" s="95">
        <f t="shared" si="41"/>
        <v>68.810741999999991</v>
      </c>
      <c r="BL29" s="95">
        <f t="shared" si="41"/>
        <v>72.168969599999983</v>
      </c>
      <c r="BM29" s="95">
        <f t="shared" si="41"/>
        <v>75.527197199999989</v>
      </c>
      <c r="BN29" s="95">
        <f t="shared" si="41"/>
        <v>56.497240799999979</v>
      </c>
      <c r="BO29" s="95">
        <f t="shared" si="41"/>
        <v>59.196992399999971</v>
      </c>
      <c r="BP29" s="95">
        <f t="shared" ref="BP29:DQ29" si="42">BP30*0.63*0.67*1.56</f>
        <v>61.89674399999997</v>
      </c>
      <c r="BQ29" s="95">
        <f t="shared" si="42"/>
        <v>64.596495599999969</v>
      </c>
      <c r="BR29" s="95">
        <f t="shared" si="42"/>
        <v>67.296247199999968</v>
      </c>
      <c r="BS29" s="95">
        <f t="shared" si="42"/>
        <v>69.995998799999967</v>
      </c>
      <c r="BT29" s="95">
        <f t="shared" si="42"/>
        <v>72.695750399999952</v>
      </c>
      <c r="BU29" s="95">
        <f t="shared" si="42"/>
        <v>75.395501999999951</v>
      </c>
      <c r="BV29" s="95">
        <f t="shared" si="42"/>
        <v>59.657925599999949</v>
      </c>
      <c r="BW29" s="95">
        <f t="shared" si="42"/>
        <v>61.962591599999953</v>
      </c>
      <c r="BX29" s="95">
        <f t="shared" si="42"/>
        <v>64.267257599999937</v>
      </c>
      <c r="BY29" s="95">
        <f t="shared" si="42"/>
        <v>66.571923599999948</v>
      </c>
      <c r="BZ29" s="95">
        <f t="shared" si="42"/>
        <v>68.876589599999946</v>
      </c>
      <c r="CA29" s="95">
        <f t="shared" si="42"/>
        <v>71.181255599999943</v>
      </c>
      <c r="CB29" s="95">
        <f t="shared" si="42"/>
        <v>73.485921599999955</v>
      </c>
      <c r="CC29" s="95">
        <f t="shared" si="42"/>
        <v>75.790587599999952</v>
      </c>
      <c r="CD29" s="95">
        <f t="shared" si="42"/>
        <v>78.09525359999995</v>
      </c>
      <c r="CE29" s="95">
        <f t="shared" si="42"/>
        <v>63.27954359999994</v>
      </c>
      <c r="CF29" s="95">
        <f t="shared" si="42"/>
        <v>65.386666799999958</v>
      </c>
      <c r="CG29" s="95">
        <f t="shared" si="42"/>
        <v>67.493789999999947</v>
      </c>
      <c r="CH29" s="95">
        <f t="shared" si="42"/>
        <v>69.600913199999951</v>
      </c>
      <c r="CI29" s="95">
        <f t="shared" si="42"/>
        <v>71.708036399999955</v>
      </c>
      <c r="CJ29" s="95">
        <f t="shared" si="42"/>
        <v>73.815159599999944</v>
      </c>
      <c r="CK29" s="95">
        <f t="shared" si="42"/>
        <v>75.922282799999948</v>
      </c>
      <c r="CL29" s="95">
        <f t="shared" si="42"/>
        <v>78.029405999999966</v>
      </c>
      <c r="CM29" s="95">
        <f t="shared" si="42"/>
        <v>80.13652919999997</v>
      </c>
      <c r="CN29" s="95">
        <f t="shared" si="42"/>
        <v>67.757180399999967</v>
      </c>
      <c r="CO29" s="95">
        <f t="shared" si="42"/>
        <v>69.798455999999959</v>
      </c>
      <c r="CP29" s="95">
        <f t="shared" si="42"/>
        <v>71.839731599999951</v>
      </c>
      <c r="CQ29" s="95">
        <f t="shared" si="42"/>
        <v>73.881007199999956</v>
      </c>
      <c r="CR29" s="95">
        <f t="shared" si="42"/>
        <v>75.922282799999948</v>
      </c>
      <c r="CS29" s="95">
        <f t="shared" si="42"/>
        <v>77.96355839999994</v>
      </c>
      <c r="CT29" s="95">
        <f t="shared" si="42"/>
        <v>80.004833999999946</v>
      </c>
      <c r="CU29" s="95">
        <f t="shared" si="42"/>
        <v>82.046109599999937</v>
      </c>
      <c r="CV29" s="95">
        <f t="shared" si="42"/>
        <v>84.087385199999943</v>
      </c>
      <c r="CW29" s="95">
        <f t="shared" si="42"/>
        <v>86.128660799999949</v>
      </c>
      <c r="CX29" s="95">
        <f t="shared" si="42"/>
        <v>73.683464399999934</v>
      </c>
      <c r="CY29" s="95">
        <f t="shared" si="42"/>
        <v>75.988130399999932</v>
      </c>
      <c r="CZ29" s="95">
        <f t="shared" si="42"/>
        <v>78.292796399999929</v>
      </c>
      <c r="DA29" s="95">
        <f t="shared" si="42"/>
        <v>80.597462399999941</v>
      </c>
      <c r="DB29" s="95">
        <f t="shared" si="42"/>
        <v>82.902128399999953</v>
      </c>
      <c r="DC29" s="95">
        <f t="shared" si="42"/>
        <v>85.206794399999936</v>
      </c>
      <c r="DD29" s="95">
        <f t="shared" si="42"/>
        <v>87.511460399999933</v>
      </c>
      <c r="DE29" s="95">
        <f t="shared" si="42"/>
        <v>89.816126399999945</v>
      </c>
      <c r="DF29" s="95">
        <f t="shared" si="42"/>
        <v>92.120792399999928</v>
      </c>
      <c r="DG29" s="95">
        <f t="shared" si="42"/>
        <v>94.42545839999994</v>
      </c>
      <c r="DH29" s="95">
        <f t="shared" si="42"/>
        <v>80.926700399999945</v>
      </c>
      <c r="DI29" s="95">
        <f t="shared" si="42"/>
        <v>82.902128399999953</v>
      </c>
      <c r="DJ29" s="95">
        <f t="shared" si="42"/>
        <v>84.877556399999932</v>
      </c>
      <c r="DK29" s="95">
        <f t="shared" si="42"/>
        <v>86.85298439999994</v>
      </c>
      <c r="DL29" s="95">
        <f t="shared" si="42"/>
        <v>88.828412399999934</v>
      </c>
      <c r="DM29" s="95">
        <f t="shared" si="42"/>
        <v>90.803840399999942</v>
      </c>
      <c r="DN29" s="95">
        <f t="shared" si="42"/>
        <v>92.77926839999995</v>
      </c>
      <c r="DO29" s="95">
        <f t="shared" si="42"/>
        <v>94.754696399999943</v>
      </c>
      <c r="DP29" s="95">
        <f t="shared" si="42"/>
        <v>96.730124399999937</v>
      </c>
      <c r="DQ29" s="95">
        <f t="shared" si="42"/>
        <v>98.705552399999931</v>
      </c>
      <c r="DR29" s="116">
        <f>DR30*0.63*0.67*1.56</f>
        <v>100.68098039999994</v>
      </c>
      <c r="DS29" s="55"/>
      <c r="DT29" s="7"/>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row>
    <row r="30" spans="1:177" ht="29.5" thickBot="1" x14ac:dyDescent="0.4">
      <c r="A30" s="155" t="s">
        <v>222</v>
      </c>
      <c r="B30" s="93">
        <v>0</v>
      </c>
      <c r="C30" s="93">
        <f>B30+2</f>
        <v>2</v>
      </c>
      <c r="D30" s="93">
        <f t="shared" ref="D30:BE30" si="43">C30+2</f>
        <v>4</v>
      </c>
      <c r="E30" s="93">
        <f t="shared" si="43"/>
        <v>6</v>
      </c>
      <c r="F30" s="93">
        <f t="shared" si="43"/>
        <v>8</v>
      </c>
      <c r="G30" s="93">
        <f t="shared" si="43"/>
        <v>10</v>
      </c>
      <c r="H30" s="93">
        <f t="shared" si="43"/>
        <v>12</v>
      </c>
      <c r="I30" s="93">
        <f t="shared" si="43"/>
        <v>14</v>
      </c>
      <c r="J30" s="93">
        <f t="shared" si="43"/>
        <v>16</v>
      </c>
      <c r="K30" s="93">
        <f t="shared" si="43"/>
        <v>18</v>
      </c>
      <c r="L30" s="93">
        <f t="shared" si="43"/>
        <v>20</v>
      </c>
      <c r="M30" s="93">
        <f t="shared" si="43"/>
        <v>22</v>
      </c>
      <c r="N30" s="93">
        <f t="shared" si="43"/>
        <v>24</v>
      </c>
      <c r="O30" s="93">
        <f t="shared" si="43"/>
        <v>26</v>
      </c>
      <c r="P30" s="93">
        <f t="shared" si="43"/>
        <v>28</v>
      </c>
      <c r="Q30" s="93">
        <f t="shared" si="43"/>
        <v>30</v>
      </c>
      <c r="R30" s="93">
        <f t="shared" si="43"/>
        <v>32</v>
      </c>
      <c r="S30" s="93">
        <f t="shared" si="43"/>
        <v>34</v>
      </c>
      <c r="T30" s="93">
        <f t="shared" si="43"/>
        <v>36</v>
      </c>
      <c r="U30" s="93">
        <f t="shared" si="43"/>
        <v>38</v>
      </c>
      <c r="V30" s="93">
        <f>U30+2</f>
        <v>40</v>
      </c>
      <c r="W30" s="93">
        <f t="shared" si="43"/>
        <v>42</v>
      </c>
      <c r="X30" s="93">
        <f t="shared" si="43"/>
        <v>44</v>
      </c>
      <c r="Y30" s="93">
        <f t="shared" si="43"/>
        <v>46</v>
      </c>
      <c r="Z30" s="93">
        <f t="shared" si="43"/>
        <v>48</v>
      </c>
      <c r="AA30" s="93">
        <f t="shared" si="43"/>
        <v>50</v>
      </c>
      <c r="AB30" s="93">
        <f t="shared" si="43"/>
        <v>52</v>
      </c>
      <c r="AC30" s="93">
        <f t="shared" si="43"/>
        <v>54</v>
      </c>
      <c r="AD30" s="93">
        <f t="shared" si="43"/>
        <v>56</v>
      </c>
      <c r="AE30" s="93">
        <f t="shared" si="43"/>
        <v>58</v>
      </c>
      <c r="AF30" s="93">
        <f>AE30+2</f>
        <v>60</v>
      </c>
      <c r="AG30" s="93">
        <f t="shared" si="43"/>
        <v>62</v>
      </c>
      <c r="AH30" s="93">
        <f t="shared" si="43"/>
        <v>64</v>
      </c>
      <c r="AI30" s="93">
        <f t="shared" si="43"/>
        <v>66</v>
      </c>
      <c r="AJ30" s="93">
        <f t="shared" si="43"/>
        <v>68</v>
      </c>
      <c r="AK30" s="93">
        <f t="shared" si="43"/>
        <v>70</v>
      </c>
      <c r="AL30" s="93">
        <f t="shared" si="43"/>
        <v>72</v>
      </c>
      <c r="AM30" s="93">
        <f t="shared" si="43"/>
        <v>74</v>
      </c>
      <c r="AN30" s="93">
        <f t="shared" si="43"/>
        <v>76</v>
      </c>
      <c r="AO30" s="93">
        <f t="shared" si="43"/>
        <v>78</v>
      </c>
      <c r="AP30" s="93">
        <f>AO30+2</f>
        <v>80</v>
      </c>
      <c r="AQ30" s="93">
        <f t="shared" si="43"/>
        <v>82</v>
      </c>
      <c r="AR30" s="93">
        <f t="shared" si="43"/>
        <v>84</v>
      </c>
      <c r="AS30" s="93">
        <f t="shared" si="43"/>
        <v>86</v>
      </c>
      <c r="AT30" s="93">
        <f t="shared" si="43"/>
        <v>88</v>
      </c>
      <c r="AU30" s="93">
        <f t="shared" si="43"/>
        <v>90</v>
      </c>
      <c r="AV30" s="93">
        <f t="shared" si="43"/>
        <v>92</v>
      </c>
      <c r="AW30" s="93">
        <f t="shared" si="43"/>
        <v>94</v>
      </c>
      <c r="AX30" s="93">
        <f t="shared" si="43"/>
        <v>96</v>
      </c>
      <c r="AY30" s="93">
        <f t="shared" si="43"/>
        <v>98</v>
      </c>
      <c r="AZ30" s="93">
        <f>AY30+2</f>
        <v>100</v>
      </c>
      <c r="BA30" s="93">
        <f t="shared" si="43"/>
        <v>102</v>
      </c>
      <c r="BB30" s="93">
        <f t="shared" si="43"/>
        <v>104</v>
      </c>
      <c r="BC30" s="93">
        <f t="shared" si="43"/>
        <v>106</v>
      </c>
      <c r="BD30" s="93">
        <f t="shared" si="43"/>
        <v>108</v>
      </c>
      <c r="BE30" s="93">
        <f t="shared" si="43"/>
        <v>110</v>
      </c>
      <c r="BF30" s="93">
        <f>BE30+2-33</f>
        <v>79</v>
      </c>
      <c r="BG30" s="93">
        <f>BF30+5.1</f>
        <v>84.1</v>
      </c>
      <c r="BH30" s="93">
        <f t="shared" ref="BH30:BM30" si="44">BG30+5.1</f>
        <v>89.199999999999989</v>
      </c>
      <c r="BI30" s="93">
        <f t="shared" si="44"/>
        <v>94.299999999999983</v>
      </c>
      <c r="BJ30" s="93">
        <f t="shared" si="44"/>
        <v>99.399999999999977</v>
      </c>
      <c r="BK30" s="93">
        <f t="shared" si="44"/>
        <v>104.49999999999997</v>
      </c>
      <c r="BL30" s="93">
        <f t="shared" si="44"/>
        <v>109.59999999999997</v>
      </c>
      <c r="BM30" s="93">
        <f t="shared" si="44"/>
        <v>114.69999999999996</v>
      </c>
      <c r="BN30" s="93">
        <f>BM30+5.1-34</f>
        <v>85.799999999999955</v>
      </c>
      <c r="BO30" s="93">
        <f>BN30+4.1</f>
        <v>89.899999999999949</v>
      </c>
      <c r="BP30" s="93">
        <f t="shared" ref="BP30:BU30" si="45">BO30+4.1</f>
        <v>93.999999999999943</v>
      </c>
      <c r="BQ30" s="93">
        <f t="shared" si="45"/>
        <v>98.099999999999937</v>
      </c>
      <c r="BR30" s="93">
        <f t="shared" si="45"/>
        <v>102.19999999999993</v>
      </c>
      <c r="BS30" s="93">
        <f t="shared" si="45"/>
        <v>106.29999999999993</v>
      </c>
      <c r="BT30" s="93">
        <f t="shared" si="45"/>
        <v>110.39999999999992</v>
      </c>
      <c r="BU30" s="93">
        <f t="shared" si="45"/>
        <v>114.49999999999991</v>
      </c>
      <c r="BV30" s="93">
        <f>BU30+4.1-28</f>
        <v>90.599999999999909</v>
      </c>
      <c r="BW30" s="93">
        <f>BV30+3.5</f>
        <v>94.099999999999909</v>
      </c>
      <c r="BX30" s="93">
        <f t="shared" ref="BX30:CD30" si="46">BW30+3.5</f>
        <v>97.599999999999909</v>
      </c>
      <c r="BY30" s="93">
        <f t="shared" si="46"/>
        <v>101.09999999999991</v>
      </c>
      <c r="BZ30" s="93">
        <f t="shared" si="46"/>
        <v>104.59999999999991</v>
      </c>
      <c r="CA30" s="93">
        <f t="shared" si="46"/>
        <v>108.09999999999991</v>
      </c>
      <c r="CB30" s="93">
        <f t="shared" si="46"/>
        <v>111.59999999999991</v>
      </c>
      <c r="CC30" s="93">
        <f t="shared" si="46"/>
        <v>115.09999999999991</v>
      </c>
      <c r="CD30" s="93">
        <f t="shared" si="46"/>
        <v>118.59999999999991</v>
      </c>
      <c r="CE30" s="93">
        <f>CD30+3.5-26</f>
        <v>96.099999999999909</v>
      </c>
      <c r="CF30" s="93">
        <f>CE30+3.2</f>
        <v>99.299999999999912</v>
      </c>
      <c r="CG30" s="93">
        <f t="shared" ref="CG30:CM30" si="47">CF30+3.2</f>
        <v>102.49999999999991</v>
      </c>
      <c r="CH30" s="93">
        <f t="shared" si="47"/>
        <v>105.69999999999992</v>
      </c>
      <c r="CI30" s="178">
        <f t="shared" si="47"/>
        <v>108.89999999999992</v>
      </c>
      <c r="CJ30" s="178">
        <f t="shared" si="47"/>
        <v>112.09999999999992</v>
      </c>
      <c r="CK30" s="178">
        <f t="shared" si="47"/>
        <v>115.29999999999993</v>
      </c>
      <c r="CL30" s="178">
        <f t="shared" si="47"/>
        <v>118.49999999999993</v>
      </c>
      <c r="CM30" s="178">
        <f t="shared" si="47"/>
        <v>121.69999999999993</v>
      </c>
      <c r="CN30" s="178">
        <f>CM30+3.2-22</f>
        <v>102.89999999999993</v>
      </c>
      <c r="CO30" s="178">
        <f>CN30+3.1</f>
        <v>105.99999999999993</v>
      </c>
      <c r="CP30" s="178">
        <f t="shared" ref="CP30:CW30" si="48">CO30+3.1</f>
        <v>109.09999999999992</v>
      </c>
      <c r="CQ30" s="178">
        <f t="shared" si="48"/>
        <v>112.19999999999992</v>
      </c>
      <c r="CR30" s="178">
        <f t="shared" si="48"/>
        <v>115.29999999999991</v>
      </c>
      <c r="CS30" s="178">
        <f t="shared" si="48"/>
        <v>118.39999999999991</v>
      </c>
      <c r="CT30" s="178">
        <f t="shared" si="48"/>
        <v>121.4999999999999</v>
      </c>
      <c r="CU30" s="178">
        <f t="shared" si="48"/>
        <v>124.59999999999989</v>
      </c>
      <c r="CV30" s="178">
        <f t="shared" si="48"/>
        <v>127.69999999999989</v>
      </c>
      <c r="CW30" s="178">
        <f t="shared" si="48"/>
        <v>130.7999999999999</v>
      </c>
      <c r="CX30" s="178">
        <f>CW30+3.1-22</f>
        <v>111.89999999999989</v>
      </c>
      <c r="CY30" s="178">
        <f>CX30+3.5</f>
        <v>115.39999999999989</v>
      </c>
      <c r="CZ30" s="178">
        <f t="shared" ref="CZ30:DG30" si="49">CY30+3.5</f>
        <v>118.89999999999989</v>
      </c>
      <c r="DA30" s="178">
        <f t="shared" si="49"/>
        <v>122.39999999999989</v>
      </c>
      <c r="DB30" s="178">
        <f t="shared" si="49"/>
        <v>125.89999999999989</v>
      </c>
      <c r="DC30" s="178">
        <f t="shared" si="49"/>
        <v>129.39999999999989</v>
      </c>
      <c r="DD30" s="178">
        <f t="shared" si="49"/>
        <v>132.89999999999989</v>
      </c>
      <c r="DE30" s="178">
        <f t="shared" si="49"/>
        <v>136.39999999999989</v>
      </c>
      <c r="DF30" s="178">
        <f t="shared" si="49"/>
        <v>139.89999999999989</v>
      </c>
      <c r="DG30" s="178">
        <f t="shared" si="49"/>
        <v>143.39999999999989</v>
      </c>
      <c r="DH30" s="178">
        <f>DG30+3.5-24</f>
        <v>122.89999999999989</v>
      </c>
      <c r="DI30" s="178">
        <f>DH30+3</f>
        <v>125.89999999999989</v>
      </c>
      <c r="DJ30" s="178">
        <f t="shared" ref="DJ30:DR30" si="50">DI30+3</f>
        <v>128.89999999999989</v>
      </c>
      <c r="DK30" s="178">
        <f t="shared" si="50"/>
        <v>131.89999999999989</v>
      </c>
      <c r="DL30" s="178">
        <f t="shared" si="50"/>
        <v>134.89999999999989</v>
      </c>
      <c r="DM30" s="178">
        <f t="shared" si="50"/>
        <v>137.89999999999989</v>
      </c>
      <c r="DN30" s="178">
        <f t="shared" si="50"/>
        <v>140.89999999999989</v>
      </c>
      <c r="DO30" s="178">
        <f t="shared" si="50"/>
        <v>143.89999999999989</v>
      </c>
      <c r="DP30" s="178">
        <f t="shared" si="50"/>
        <v>146.89999999999989</v>
      </c>
      <c r="DQ30" s="178">
        <f t="shared" si="50"/>
        <v>149.89999999999989</v>
      </c>
      <c r="DR30" s="179">
        <f t="shared" si="50"/>
        <v>152.89999999999989</v>
      </c>
      <c r="DS30" s="7"/>
      <c r="DT30" s="7"/>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row>
    <row r="31" spans="1:177" ht="29" x14ac:dyDescent="0.35">
      <c r="A31" s="156" t="s">
        <v>224</v>
      </c>
      <c r="B31" s="95">
        <f>B32*5.67*0.36</f>
        <v>0</v>
      </c>
      <c r="C31" s="95">
        <f>C32*5.67*0.36*1.3</f>
        <v>20.963124000000001</v>
      </c>
      <c r="D31" s="95">
        <f t="shared" ref="D31:BO31" si="51">D32*5.67*0.36*1.3</f>
        <v>41.926248000000001</v>
      </c>
      <c r="E31" s="95">
        <f t="shared" si="51"/>
        <v>62.889372000000009</v>
      </c>
      <c r="F31" s="95">
        <f t="shared" si="51"/>
        <v>83.852496000000002</v>
      </c>
      <c r="G31" s="95">
        <f t="shared" si="51"/>
        <v>104.81562</v>
      </c>
      <c r="H31" s="95">
        <f t="shared" si="51"/>
        <v>125.77874399999999</v>
      </c>
      <c r="I31" s="95">
        <f t="shared" si="51"/>
        <v>146.74186799999998</v>
      </c>
      <c r="J31" s="95">
        <f t="shared" si="51"/>
        <v>167.704992</v>
      </c>
      <c r="K31" s="95">
        <f t="shared" si="51"/>
        <v>188.66811599999997</v>
      </c>
      <c r="L31" s="95">
        <f t="shared" si="51"/>
        <v>209.63123999999999</v>
      </c>
      <c r="M31" s="95">
        <f t="shared" si="51"/>
        <v>230.59436400000001</v>
      </c>
      <c r="N31" s="95">
        <f t="shared" si="51"/>
        <v>251.55748800000003</v>
      </c>
      <c r="O31" s="95">
        <f t="shared" si="51"/>
        <v>272.52061200000003</v>
      </c>
      <c r="P31" s="95">
        <f t="shared" si="51"/>
        <v>293.48373600000002</v>
      </c>
      <c r="Q31" s="95">
        <f t="shared" si="51"/>
        <v>221.57226000000009</v>
      </c>
      <c r="R31" s="95">
        <f t="shared" si="51"/>
        <v>242.53538400000005</v>
      </c>
      <c r="S31" s="95">
        <f t="shared" si="51"/>
        <v>263.49850800000007</v>
      </c>
      <c r="T31" s="95">
        <f t="shared" si="51"/>
        <v>284.46163200000012</v>
      </c>
      <c r="U31" s="95">
        <f t="shared" si="51"/>
        <v>305.42475600000012</v>
      </c>
      <c r="V31" s="95">
        <f t="shared" si="51"/>
        <v>326.38788000000017</v>
      </c>
      <c r="W31" s="95">
        <f t="shared" si="51"/>
        <v>350.80063200000012</v>
      </c>
      <c r="X31" s="95">
        <f t="shared" si="51"/>
        <v>375.21338400000008</v>
      </c>
      <c r="Y31" s="95">
        <f t="shared" si="51"/>
        <v>306.75153600000004</v>
      </c>
      <c r="Z31" s="95">
        <f t="shared" si="51"/>
        <v>331.16428800000006</v>
      </c>
      <c r="AA31" s="95">
        <f t="shared" si="51"/>
        <v>355.57704000000012</v>
      </c>
      <c r="AB31" s="95">
        <f t="shared" si="51"/>
        <v>379.98979200000002</v>
      </c>
      <c r="AC31" s="95">
        <f t="shared" si="51"/>
        <v>404.40254400000003</v>
      </c>
      <c r="AD31" s="95">
        <f t="shared" si="51"/>
        <v>428.81529599999999</v>
      </c>
      <c r="AE31" s="95">
        <f t="shared" si="51"/>
        <v>453.22804799999994</v>
      </c>
      <c r="AF31" s="95">
        <f t="shared" si="51"/>
        <v>477.64079999999996</v>
      </c>
      <c r="AG31" s="95">
        <f t="shared" si="51"/>
        <v>424.56959999999992</v>
      </c>
      <c r="AH31" s="95">
        <f t="shared" si="51"/>
        <v>451.10519999999997</v>
      </c>
      <c r="AI31" s="95">
        <f t="shared" si="51"/>
        <v>477.64079999999996</v>
      </c>
      <c r="AJ31" s="95">
        <f t="shared" si="51"/>
        <v>504.17639999999983</v>
      </c>
      <c r="AK31" s="95">
        <f t="shared" si="51"/>
        <v>530.71199999999988</v>
      </c>
      <c r="AL31" s="95">
        <f t="shared" si="51"/>
        <v>557.24759999999992</v>
      </c>
      <c r="AM31" s="95">
        <f t="shared" si="51"/>
        <v>583.78319999999985</v>
      </c>
      <c r="AN31" s="95">
        <f t="shared" si="51"/>
        <v>610.3187999999999</v>
      </c>
      <c r="AO31" s="95">
        <f t="shared" si="51"/>
        <v>557.24759999999992</v>
      </c>
      <c r="AP31" s="95">
        <f t="shared" si="51"/>
        <v>583.78319999999985</v>
      </c>
      <c r="AQ31" s="95">
        <f t="shared" si="51"/>
        <v>614.29913999999985</v>
      </c>
      <c r="AR31" s="95">
        <f t="shared" si="51"/>
        <v>644.81507999999985</v>
      </c>
      <c r="AS31" s="95">
        <f t="shared" si="51"/>
        <v>675.33101999999997</v>
      </c>
      <c r="AT31" s="95">
        <f t="shared" si="51"/>
        <v>705.84696000000008</v>
      </c>
      <c r="AU31" s="95">
        <f t="shared" si="51"/>
        <v>736.36289999999997</v>
      </c>
      <c r="AV31" s="95">
        <f t="shared" si="51"/>
        <v>766.87883999999997</v>
      </c>
      <c r="AW31" s="95">
        <f t="shared" si="51"/>
        <v>797.39477999999997</v>
      </c>
      <c r="AX31" s="95">
        <f t="shared" si="51"/>
        <v>827.91071999999997</v>
      </c>
      <c r="AY31" s="95">
        <f t="shared" si="51"/>
        <v>858.42665999999997</v>
      </c>
      <c r="AZ31" s="95">
        <f t="shared" si="51"/>
        <v>888.94260000000008</v>
      </c>
      <c r="BA31" s="95">
        <f t="shared" si="51"/>
        <v>924.76565999999991</v>
      </c>
      <c r="BB31" s="95">
        <f t="shared" si="51"/>
        <v>960.58872000000008</v>
      </c>
      <c r="BC31" s="95">
        <f t="shared" si="51"/>
        <v>996.41178000000002</v>
      </c>
      <c r="BD31" s="95">
        <f t="shared" si="51"/>
        <v>1032.2348400000001</v>
      </c>
      <c r="BE31" s="95">
        <f t="shared" si="51"/>
        <v>1068.0579000000002</v>
      </c>
      <c r="BF31" s="95">
        <f t="shared" si="51"/>
        <v>1103.8809599999997</v>
      </c>
      <c r="BG31" s="95">
        <f t="shared" si="51"/>
        <v>1139.7040199999999</v>
      </c>
      <c r="BH31" s="95">
        <f t="shared" si="51"/>
        <v>1175.5270800000001</v>
      </c>
      <c r="BI31" s="95">
        <f t="shared" si="51"/>
        <v>1211.35014</v>
      </c>
      <c r="BJ31" s="95">
        <f t="shared" si="51"/>
        <v>1247.1732000000002</v>
      </c>
      <c r="BK31" s="95">
        <f t="shared" si="51"/>
        <v>1288.3033799999998</v>
      </c>
      <c r="BL31" s="95">
        <f t="shared" si="51"/>
        <v>1329.4335600000002</v>
      </c>
      <c r="BM31" s="95">
        <f t="shared" si="51"/>
        <v>1370.5637399999998</v>
      </c>
      <c r="BN31" s="95">
        <f t="shared" si="51"/>
        <v>1411.6939200000002</v>
      </c>
      <c r="BO31" s="95">
        <f t="shared" si="51"/>
        <v>1452.8240999999998</v>
      </c>
      <c r="BP31" s="95">
        <f t="shared" ref="BP31:CH31" si="52">BP32*5.67*0.36*1.3</f>
        <v>1493.9542800000002</v>
      </c>
      <c r="BQ31" s="95">
        <f t="shared" si="52"/>
        <v>1535.0844599999998</v>
      </c>
      <c r="BR31" s="95">
        <f t="shared" si="52"/>
        <v>1576.2146400000001</v>
      </c>
      <c r="BS31" s="95">
        <f t="shared" si="52"/>
        <v>1617.3448199999998</v>
      </c>
      <c r="BT31" s="95">
        <f t="shared" si="52"/>
        <v>1658.4750000000001</v>
      </c>
      <c r="BU31" s="95">
        <f t="shared" si="52"/>
        <v>1703.5855200000001</v>
      </c>
      <c r="BV31" s="95">
        <f t="shared" si="52"/>
        <v>1748.6960399999998</v>
      </c>
      <c r="BW31" s="95">
        <f t="shared" si="52"/>
        <v>1793.8065600000002</v>
      </c>
      <c r="BX31" s="95">
        <f t="shared" si="52"/>
        <v>1838.9170800000002</v>
      </c>
      <c r="BY31" s="95">
        <f t="shared" si="52"/>
        <v>1884.0275999999999</v>
      </c>
      <c r="BZ31" s="95">
        <f t="shared" si="52"/>
        <v>1929.1381199999998</v>
      </c>
      <c r="CA31" s="95">
        <f t="shared" si="52"/>
        <v>1974.2486399999998</v>
      </c>
      <c r="CB31" s="95">
        <f t="shared" si="52"/>
        <v>2019.3591600000002</v>
      </c>
      <c r="CC31" s="95">
        <f t="shared" si="52"/>
        <v>2064.4696800000002</v>
      </c>
      <c r="CD31" s="95">
        <f t="shared" si="52"/>
        <v>2109.5801999999999</v>
      </c>
      <c r="CE31" s="95">
        <f t="shared" si="52"/>
        <v>2156.0174999999999</v>
      </c>
      <c r="CF31" s="95">
        <f t="shared" si="52"/>
        <v>2202.4548000000004</v>
      </c>
      <c r="CG31" s="95">
        <f t="shared" si="52"/>
        <v>2248.8921</v>
      </c>
      <c r="CH31" s="95">
        <f t="shared" si="52"/>
        <v>2295.3294000000001</v>
      </c>
      <c r="CI31" s="123"/>
      <c r="CJ31" s="124"/>
      <c r="CK31" s="124"/>
      <c r="CL31" s="124"/>
      <c r="CM31" s="124"/>
      <c r="CN31" s="124"/>
      <c r="CO31" s="124"/>
      <c r="CP31" s="124"/>
      <c r="CQ31" s="124"/>
      <c r="CR31" s="124"/>
      <c r="CS31" s="124"/>
      <c r="CT31" s="124"/>
      <c r="CU31" s="124"/>
      <c r="CV31" s="124"/>
      <c r="CW31" s="124"/>
      <c r="CX31" s="124"/>
      <c r="CY31" s="124"/>
      <c r="CZ31" s="124"/>
      <c r="DA31" s="124"/>
      <c r="DB31" s="124"/>
      <c r="DC31" s="124"/>
      <c r="DD31" s="124"/>
      <c r="DE31" s="124"/>
      <c r="DF31" s="124"/>
      <c r="DG31" s="124"/>
      <c r="DH31" s="124"/>
      <c r="DI31" s="124"/>
      <c r="DJ31" s="124"/>
      <c r="DK31" s="124"/>
      <c r="DL31" s="124"/>
      <c r="DM31" s="124"/>
      <c r="DN31" s="124"/>
      <c r="DO31" s="124"/>
      <c r="DP31" s="124"/>
      <c r="DQ31" s="124"/>
      <c r="DR31" s="124"/>
      <c r="DS31" s="7"/>
      <c r="DT31" s="7"/>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16"/>
      <c r="FS31" s="16"/>
      <c r="FT31" s="16"/>
      <c r="FU31" s="16"/>
    </row>
    <row r="32" spans="1:177" ht="29.5" thickBot="1" x14ac:dyDescent="0.4">
      <c r="A32" s="156" t="s">
        <v>201</v>
      </c>
      <c r="B32" s="93">
        <v>0</v>
      </c>
      <c r="C32" s="93">
        <f>B32+7.9</f>
        <v>7.9</v>
      </c>
      <c r="D32" s="93">
        <f t="shared" ref="D32:V32" si="53">C32+7.9</f>
        <v>15.8</v>
      </c>
      <c r="E32" s="93">
        <f t="shared" si="53"/>
        <v>23.700000000000003</v>
      </c>
      <c r="F32" s="93">
        <f t="shared" si="53"/>
        <v>31.6</v>
      </c>
      <c r="G32" s="93">
        <f t="shared" si="53"/>
        <v>39.5</v>
      </c>
      <c r="H32" s="93">
        <f t="shared" si="53"/>
        <v>47.4</v>
      </c>
      <c r="I32" s="93">
        <f t="shared" si="53"/>
        <v>55.3</v>
      </c>
      <c r="J32" s="93">
        <f t="shared" si="53"/>
        <v>63.199999999999996</v>
      </c>
      <c r="K32" s="93">
        <f t="shared" si="53"/>
        <v>71.099999999999994</v>
      </c>
      <c r="L32" s="93">
        <f t="shared" si="53"/>
        <v>79</v>
      </c>
      <c r="M32" s="93">
        <f t="shared" si="53"/>
        <v>86.9</v>
      </c>
      <c r="N32" s="93">
        <f t="shared" si="53"/>
        <v>94.800000000000011</v>
      </c>
      <c r="O32" s="93">
        <f t="shared" si="53"/>
        <v>102.70000000000002</v>
      </c>
      <c r="P32" s="93">
        <f t="shared" si="53"/>
        <v>110.60000000000002</v>
      </c>
      <c r="Q32" s="93">
        <f>P32+7.9-35</f>
        <v>83.500000000000028</v>
      </c>
      <c r="R32" s="93">
        <f t="shared" si="53"/>
        <v>91.400000000000034</v>
      </c>
      <c r="S32" s="93">
        <f t="shared" si="53"/>
        <v>99.30000000000004</v>
      </c>
      <c r="T32" s="93">
        <f t="shared" si="53"/>
        <v>107.20000000000005</v>
      </c>
      <c r="U32" s="93">
        <f t="shared" si="53"/>
        <v>115.10000000000005</v>
      </c>
      <c r="V32" s="93">
        <f t="shared" si="53"/>
        <v>123.00000000000006</v>
      </c>
      <c r="W32" s="93">
        <f>V32+9.2</f>
        <v>132.20000000000005</v>
      </c>
      <c r="X32" s="93">
        <f t="shared" ref="X32:AF32" si="54">W32+9.2</f>
        <v>141.40000000000003</v>
      </c>
      <c r="Y32" s="93">
        <f>X32+9.2-35</f>
        <v>115.60000000000002</v>
      </c>
      <c r="Z32" s="93">
        <f t="shared" si="54"/>
        <v>124.80000000000003</v>
      </c>
      <c r="AA32" s="93">
        <f t="shared" si="54"/>
        <v>134.00000000000003</v>
      </c>
      <c r="AB32" s="93">
        <f t="shared" si="54"/>
        <v>143.20000000000002</v>
      </c>
      <c r="AC32" s="93">
        <f t="shared" si="54"/>
        <v>152.4</v>
      </c>
      <c r="AD32" s="93">
        <f t="shared" si="54"/>
        <v>161.6</v>
      </c>
      <c r="AE32" s="93">
        <f t="shared" si="54"/>
        <v>170.79999999999998</v>
      </c>
      <c r="AF32" s="93">
        <f t="shared" si="54"/>
        <v>179.99999999999997</v>
      </c>
      <c r="AG32" s="93">
        <f>AF32+10-30</f>
        <v>159.99999999999997</v>
      </c>
      <c r="AH32" s="93">
        <f t="shared" ref="AH32:AP32" si="55">AG32+10</f>
        <v>169.99999999999997</v>
      </c>
      <c r="AI32" s="93">
        <f t="shared" si="55"/>
        <v>179.99999999999997</v>
      </c>
      <c r="AJ32" s="93">
        <f t="shared" si="55"/>
        <v>189.99999999999997</v>
      </c>
      <c r="AK32" s="93">
        <f t="shared" si="55"/>
        <v>199.99999999999997</v>
      </c>
      <c r="AL32" s="93">
        <f t="shared" si="55"/>
        <v>209.99999999999997</v>
      </c>
      <c r="AM32" s="93">
        <f t="shared" si="55"/>
        <v>219.99999999999997</v>
      </c>
      <c r="AN32" s="93">
        <f t="shared" si="55"/>
        <v>229.99999999999997</v>
      </c>
      <c r="AO32" s="93">
        <f>AN32+10-30</f>
        <v>209.99999999999997</v>
      </c>
      <c r="AP32" s="93">
        <f t="shared" si="55"/>
        <v>219.99999999999997</v>
      </c>
      <c r="AQ32" s="93">
        <f>AP32+11.5</f>
        <v>231.49999999999997</v>
      </c>
      <c r="AR32" s="93">
        <f t="shared" ref="AR32:AZ32" si="56">AQ32+11.5</f>
        <v>242.99999999999997</v>
      </c>
      <c r="AS32" s="93">
        <f t="shared" si="56"/>
        <v>254.49999999999997</v>
      </c>
      <c r="AT32" s="93">
        <f t="shared" si="56"/>
        <v>266</v>
      </c>
      <c r="AU32" s="93">
        <f t="shared" si="56"/>
        <v>277.5</v>
      </c>
      <c r="AV32" s="93">
        <f t="shared" si="56"/>
        <v>289</v>
      </c>
      <c r="AW32" s="93">
        <f t="shared" si="56"/>
        <v>300.5</v>
      </c>
      <c r="AX32" s="93">
        <f t="shared" si="56"/>
        <v>312</v>
      </c>
      <c r="AY32" s="93">
        <f t="shared" si="56"/>
        <v>323.5</v>
      </c>
      <c r="AZ32" s="93">
        <f t="shared" si="56"/>
        <v>335</v>
      </c>
      <c r="BA32" s="93">
        <f>AZ32+13.5</f>
        <v>348.5</v>
      </c>
      <c r="BB32" s="93">
        <f t="shared" ref="BB32:BJ32" si="57">BA32+13.5</f>
        <v>362</v>
      </c>
      <c r="BC32" s="93">
        <f t="shared" si="57"/>
        <v>375.5</v>
      </c>
      <c r="BD32" s="93">
        <f t="shared" si="57"/>
        <v>389</v>
      </c>
      <c r="BE32" s="93">
        <f t="shared" si="57"/>
        <v>402.5</v>
      </c>
      <c r="BF32" s="93">
        <f t="shared" si="57"/>
        <v>416</v>
      </c>
      <c r="BG32" s="93">
        <f t="shared" si="57"/>
        <v>429.5</v>
      </c>
      <c r="BH32" s="93">
        <f t="shared" si="57"/>
        <v>443</v>
      </c>
      <c r="BI32" s="93">
        <f t="shared" si="57"/>
        <v>456.5</v>
      </c>
      <c r="BJ32" s="93">
        <f t="shared" si="57"/>
        <v>470</v>
      </c>
      <c r="BK32" s="93">
        <f>BJ32+15.5</f>
        <v>485.5</v>
      </c>
      <c r="BL32" s="93">
        <f t="shared" ref="BL32:BT32" si="58">BK32+15.5</f>
        <v>501</v>
      </c>
      <c r="BM32" s="93">
        <f t="shared" si="58"/>
        <v>516.5</v>
      </c>
      <c r="BN32" s="93">
        <f t="shared" si="58"/>
        <v>532</v>
      </c>
      <c r="BO32" s="93">
        <f t="shared" si="58"/>
        <v>547.5</v>
      </c>
      <c r="BP32" s="93">
        <f t="shared" si="58"/>
        <v>563</v>
      </c>
      <c r="BQ32" s="93">
        <f t="shared" si="58"/>
        <v>578.5</v>
      </c>
      <c r="BR32" s="93">
        <f t="shared" si="58"/>
        <v>594</v>
      </c>
      <c r="BS32" s="93">
        <f t="shared" si="58"/>
        <v>609.5</v>
      </c>
      <c r="BT32" s="93">
        <f t="shared" si="58"/>
        <v>625</v>
      </c>
      <c r="BU32" s="93">
        <f>BT32+17</f>
        <v>642</v>
      </c>
      <c r="BV32" s="93">
        <f t="shared" ref="BV32:CD32" si="59">BU32+17</f>
        <v>659</v>
      </c>
      <c r="BW32" s="93">
        <f t="shared" si="59"/>
        <v>676</v>
      </c>
      <c r="BX32" s="93">
        <f t="shared" si="59"/>
        <v>693</v>
      </c>
      <c r="BY32" s="93">
        <f t="shared" si="59"/>
        <v>710</v>
      </c>
      <c r="BZ32" s="93">
        <f t="shared" si="59"/>
        <v>727</v>
      </c>
      <c r="CA32" s="93">
        <f t="shared" si="59"/>
        <v>744</v>
      </c>
      <c r="CB32" s="93">
        <f t="shared" si="59"/>
        <v>761</v>
      </c>
      <c r="CC32" s="93">
        <f t="shared" si="59"/>
        <v>778</v>
      </c>
      <c r="CD32" s="93">
        <f t="shared" si="59"/>
        <v>795</v>
      </c>
      <c r="CE32" s="93">
        <f>CD32+17.5</f>
        <v>812.5</v>
      </c>
      <c r="CF32" s="93">
        <f t="shared" ref="CF32:CH32" si="60">CE32+17.5</f>
        <v>830</v>
      </c>
      <c r="CG32" s="93">
        <f t="shared" si="60"/>
        <v>847.5</v>
      </c>
      <c r="CH32" s="94">
        <f t="shared" si="60"/>
        <v>865</v>
      </c>
      <c r="CI32" s="181"/>
      <c r="CJ32" s="182"/>
      <c r="CK32" s="182"/>
      <c r="CL32" s="182"/>
      <c r="CM32" s="182"/>
      <c r="CN32" s="182"/>
      <c r="CO32" s="150"/>
      <c r="CP32" s="150"/>
      <c r="CQ32" s="150"/>
      <c r="CR32" s="150"/>
      <c r="CS32" s="150"/>
      <c r="CT32" s="150"/>
      <c r="CU32" s="150"/>
      <c r="CV32" s="150"/>
      <c r="CW32" s="150"/>
      <c r="CX32" s="150"/>
      <c r="CY32" s="150"/>
      <c r="CZ32" s="150"/>
      <c r="DA32" s="150"/>
      <c r="DB32" s="150"/>
      <c r="DC32" s="150"/>
      <c r="DD32" s="150"/>
      <c r="DE32" s="150"/>
      <c r="DF32" s="150"/>
      <c r="DG32" s="150"/>
      <c r="DH32" s="150"/>
      <c r="DI32" s="150"/>
      <c r="DJ32" s="150"/>
      <c r="DK32" s="150"/>
      <c r="DL32" s="150"/>
      <c r="DM32" s="150"/>
      <c r="DN32" s="150"/>
      <c r="DO32" s="150"/>
      <c r="DP32" s="150"/>
      <c r="DQ32" s="150"/>
      <c r="DR32" s="150"/>
      <c r="DS32" s="7"/>
      <c r="DT32" s="7"/>
      <c r="DU32" s="16"/>
      <c r="DV32" s="16"/>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G32" s="16"/>
      <c r="FH32" s="16"/>
      <c r="FI32" s="16"/>
      <c r="FJ32" s="16"/>
      <c r="FK32" s="16"/>
      <c r="FL32" s="16"/>
      <c r="FM32" s="16"/>
      <c r="FN32" s="16"/>
      <c r="FO32" s="16"/>
      <c r="FP32" s="16"/>
      <c r="FQ32" s="16"/>
      <c r="FR32" s="16"/>
      <c r="FS32" s="16"/>
      <c r="FT32" s="16"/>
      <c r="FU32" s="16"/>
    </row>
    <row r="33" spans="1:124" ht="29.5" thickBot="1" x14ac:dyDescent="0.4">
      <c r="A33" s="3" t="s">
        <v>202</v>
      </c>
      <c r="B33" s="95">
        <v>0</v>
      </c>
      <c r="C33" s="95">
        <f>SUM(C34:C38)</f>
        <v>12.765298071814126</v>
      </c>
      <c r="D33" s="95">
        <f t="shared" ref="D33:BO33" si="61">SUM(D34:D38)</f>
        <v>23.551635119396757</v>
      </c>
      <c r="E33" s="95">
        <f t="shared" si="61"/>
        <v>33.698867093781857</v>
      </c>
      <c r="F33" s="95">
        <f t="shared" si="61"/>
        <v>43.452139830713328</v>
      </c>
      <c r="G33" s="95">
        <f t="shared" si="61"/>
        <v>52.922561459362171</v>
      </c>
      <c r="H33" s="95">
        <f t="shared" si="61"/>
        <v>63.626395288204478</v>
      </c>
      <c r="I33" s="95">
        <f t="shared" si="61"/>
        <v>74.081534452896321</v>
      </c>
      <c r="J33" s="95">
        <f t="shared" si="61"/>
        <v>84.336906535325028</v>
      </c>
      <c r="K33" s="95">
        <f t="shared" si="61"/>
        <v>94.425225359638588</v>
      </c>
      <c r="L33" s="95">
        <f t="shared" si="61"/>
        <v>104.37005678808282</v>
      </c>
      <c r="M33" s="95">
        <f t="shared" si="61"/>
        <v>114.13671401835693</v>
      </c>
      <c r="N33" s="95">
        <f t="shared" si="61"/>
        <v>123.7930479078135</v>
      </c>
      <c r="O33" s="95">
        <f t="shared" si="61"/>
        <v>133.35008712802227</v>
      </c>
      <c r="P33" s="95">
        <f t="shared" si="61"/>
        <v>142.81692080528825</v>
      </c>
      <c r="Q33" s="95">
        <f t="shared" si="61"/>
        <v>132.46089343725936</v>
      </c>
      <c r="R33" s="95">
        <f t="shared" si="61"/>
        <v>141.71069186371082</v>
      </c>
      <c r="S33" s="95">
        <f t="shared" si="61"/>
        <v>150.87980439035891</v>
      </c>
      <c r="T33" s="95">
        <f t="shared" si="61"/>
        <v>159.97463432870398</v>
      </c>
      <c r="U33" s="95">
        <f t="shared" si="61"/>
        <v>169.00067093251232</v>
      </c>
      <c r="V33" s="95">
        <f t="shared" si="61"/>
        <v>177.96267176918352</v>
      </c>
      <c r="W33" s="95">
        <f t="shared" si="61"/>
        <v>188.80294222262245</v>
      </c>
      <c r="X33" s="95">
        <f t="shared" si="61"/>
        <v>199.54209816012013</v>
      </c>
      <c r="Y33" s="95">
        <f t="shared" si="61"/>
        <v>191.07985020601842</v>
      </c>
      <c r="Z33" s="95">
        <f t="shared" si="61"/>
        <v>201.79520952061972</v>
      </c>
      <c r="AA33" s="95">
        <f t="shared" si="61"/>
        <v>208.18520453317871</v>
      </c>
      <c r="AB33" s="95">
        <f t="shared" si="61"/>
        <v>218.62165797361155</v>
      </c>
      <c r="AC33" s="95">
        <f t="shared" si="61"/>
        <v>228.97741855608842</v>
      </c>
      <c r="AD33" s="106">
        <f t="shared" si="61"/>
        <v>183.40862952864012</v>
      </c>
      <c r="AE33" s="106">
        <f t="shared" si="61"/>
        <v>192.28021751535721</v>
      </c>
      <c r="AF33" s="106">
        <f t="shared" si="61"/>
        <v>195.56696924764276</v>
      </c>
      <c r="AG33" s="106">
        <f t="shared" si="61"/>
        <v>189.03178921979435</v>
      </c>
      <c r="AH33" s="106">
        <f t="shared" si="61"/>
        <v>198.39852178438372</v>
      </c>
      <c r="AI33" s="106">
        <f t="shared" si="61"/>
        <v>207.69950560962531</v>
      </c>
      <c r="AJ33" s="106">
        <f t="shared" si="61"/>
        <v>216.93932821778634</v>
      </c>
      <c r="AK33" s="106">
        <f t="shared" si="61"/>
        <v>220.72955358314212</v>
      </c>
      <c r="AL33" s="106">
        <f t="shared" si="61"/>
        <v>229.95311603780249</v>
      </c>
      <c r="AM33" s="106">
        <f t="shared" si="61"/>
        <v>239.12133982771144</v>
      </c>
      <c r="AN33" s="106">
        <f t="shared" si="61"/>
        <v>248.23762322635599</v>
      </c>
      <c r="AO33" s="106">
        <f t="shared" si="61"/>
        <v>241.89958613816003</v>
      </c>
      <c r="AP33" s="106">
        <f t="shared" si="61"/>
        <v>245.71817565912531</v>
      </c>
      <c r="AQ33" s="106">
        <f t="shared" si="61"/>
        <v>255.5931995235016</v>
      </c>
      <c r="AR33" s="106">
        <f t="shared" si="61"/>
        <v>247.74302050032867</v>
      </c>
      <c r="AS33" s="106">
        <f t="shared" si="61"/>
        <v>259.65242737820381</v>
      </c>
      <c r="AT33" s="106">
        <f t="shared" si="61"/>
        <v>271.48602279431043</v>
      </c>
      <c r="AU33" s="106">
        <f t="shared" si="61"/>
        <v>278.06240068025068</v>
      </c>
      <c r="AV33" s="106">
        <f t="shared" si="61"/>
        <v>289.77731909747666</v>
      </c>
      <c r="AW33" s="106">
        <f t="shared" si="61"/>
        <v>301.42681761934591</v>
      </c>
      <c r="AX33" s="106">
        <f t="shared" si="61"/>
        <v>296.67846561598219</v>
      </c>
      <c r="AY33" s="106">
        <f t="shared" si="61"/>
        <v>308.07960675786035</v>
      </c>
      <c r="AZ33" s="106">
        <f t="shared" si="61"/>
        <v>314.31469257026879</v>
      </c>
      <c r="BA33" s="106">
        <f t="shared" si="61"/>
        <v>326.56248695309637</v>
      </c>
      <c r="BB33" s="106">
        <f t="shared" si="61"/>
        <v>338.74765704873084</v>
      </c>
      <c r="BC33" s="106">
        <f t="shared" si="61"/>
        <v>350.87322892413113</v>
      </c>
      <c r="BD33" s="106">
        <f t="shared" si="61"/>
        <v>362.94195710741599</v>
      </c>
      <c r="BE33" s="106">
        <f t="shared" si="61"/>
        <v>369.91543956834641</v>
      </c>
      <c r="BF33" s="106">
        <f t="shared" si="61"/>
        <v>355.66581999926848</v>
      </c>
      <c r="BG33" s="106">
        <f t="shared" si="61"/>
        <v>368.70361134403413</v>
      </c>
      <c r="BH33" s="106">
        <f t="shared" si="61"/>
        <v>381.67518343862918</v>
      </c>
      <c r="BI33" s="106">
        <f t="shared" si="61"/>
        <v>394.58389941539974</v>
      </c>
      <c r="BJ33" s="106">
        <f t="shared" si="61"/>
        <v>402.44593387892223</v>
      </c>
      <c r="BK33" s="106">
        <f t="shared" si="61"/>
        <v>416.11371588916415</v>
      </c>
      <c r="BL33" s="106">
        <f t="shared" si="61"/>
        <v>429.7203237713552</v>
      </c>
      <c r="BM33" s="106">
        <f t="shared" si="61"/>
        <v>443.2683823418505</v>
      </c>
      <c r="BN33" s="106">
        <f t="shared" si="61"/>
        <v>427.9228824236161</v>
      </c>
      <c r="BO33" s="106">
        <f t="shared" si="61"/>
        <v>435.83964744999628</v>
      </c>
      <c r="BP33" s="106">
        <f t="shared" ref="BP33:DR33" si="62">SUM(BP34:BP38)</f>
        <v>448.58224801782933</v>
      </c>
      <c r="BQ33" s="106">
        <f t="shared" si="62"/>
        <v>461.27507510180851</v>
      </c>
      <c r="BR33" s="106">
        <f t="shared" si="62"/>
        <v>473.92002024419958</v>
      </c>
      <c r="BS33" s="106">
        <f t="shared" si="62"/>
        <v>486.51883727510904</v>
      </c>
      <c r="BT33" s="106">
        <f t="shared" si="62"/>
        <v>494.16626935254175</v>
      </c>
      <c r="BU33" s="106">
        <f t="shared" si="62"/>
        <v>507.27852281180964</v>
      </c>
      <c r="BV33" s="106">
        <f t="shared" si="62"/>
        <v>497.74833446690195</v>
      </c>
      <c r="BW33" s="106">
        <f t="shared" si="62"/>
        <v>510.31918436934387</v>
      </c>
      <c r="BX33" s="106">
        <f t="shared" si="62"/>
        <v>522.8482832087343</v>
      </c>
      <c r="BY33" s="106">
        <f t="shared" si="62"/>
        <v>530.45857671424278</v>
      </c>
      <c r="BZ33" s="106">
        <f t="shared" si="62"/>
        <v>542.82582936321091</v>
      </c>
      <c r="CA33" s="106">
        <f t="shared" si="62"/>
        <v>555.15523852029173</v>
      </c>
      <c r="CB33" s="106">
        <f t="shared" si="62"/>
        <v>567.44791216592284</v>
      </c>
      <c r="CC33" s="106">
        <f t="shared" si="62"/>
        <v>579.70489691854107</v>
      </c>
      <c r="CD33" s="106">
        <f t="shared" si="62"/>
        <v>587.21036249474082</v>
      </c>
      <c r="CE33" s="106">
        <f t="shared" si="62"/>
        <v>578.01996989049064</v>
      </c>
      <c r="CF33" s="106">
        <f t="shared" si="62"/>
        <v>590.22746082638082</v>
      </c>
      <c r="CG33" s="106">
        <f t="shared" si="62"/>
        <v>602.40069683467436</v>
      </c>
      <c r="CH33" s="106">
        <f t="shared" si="62"/>
        <v>614.54061061062748</v>
      </c>
      <c r="CI33" s="183">
        <f t="shared" si="62"/>
        <v>184.68538631492237</v>
      </c>
      <c r="CJ33" s="183">
        <f t="shared" si="62"/>
        <v>189.0484945807917</v>
      </c>
      <c r="CK33" s="183">
        <f t="shared" si="62"/>
        <v>193.39817786105621</v>
      </c>
      <c r="CL33" s="183">
        <f t="shared" si="62"/>
        <v>197.73482701340495</v>
      </c>
      <c r="CM33" s="183">
        <f t="shared" si="62"/>
        <v>202.05881165387882</v>
      </c>
      <c r="CN33" s="183">
        <f t="shared" si="62"/>
        <v>181.9530320638894</v>
      </c>
      <c r="CO33" s="183">
        <f t="shared" si="62"/>
        <v>186.24185887088098</v>
      </c>
      <c r="CP33" s="183">
        <f t="shared" si="62"/>
        <v>190.5173034077643</v>
      </c>
      <c r="CQ33" s="183">
        <f t="shared" si="62"/>
        <v>194.77976524914931</v>
      </c>
      <c r="CR33" s="183">
        <f t="shared" si="62"/>
        <v>199.02962154231224</v>
      </c>
      <c r="CS33" s="183">
        <f t="shared" si="62"/>
        <v>199.14801176476709</v>
      </c>
      <c r="CT33" s="183">
        <f t="shared" si="62"/>
        <v>203.32768760172996</v>
      </c>
      <c r="CU33" s="183">
        <f t="shared" si="62"/>
        <v>207.49582519638381</v>
      </c>
      <c r="CV33" s="183">
        <f t="shared" si="62"/>
        <v>211.65272826976769</v>
      </c>
      <c r="CW33" s="183">
        <f t="shared" si="62"/>
        <v>215.79868553137848</v>
      </c>
      <c r="CX33" s="183">
        <f t="shared" si="62"/>
        <v>216.39608393864958</v>
      </c>
      <c r="CY33" s="183">
        <f t="shared" si="62"/>
        <v>147.24574634940751</v>
      </c>
      <c r="CZ33" s="183">
        <f t="shared" si="62"/>
        <v>127.99202850048198</v>
      </c>
      <c r="DA33" s="183">
        <f t="shared" si="62"/>
        <v>131.09292368096385</v>
      </c>
      <c r="DB33" s="183">
        <f t="shared" si="62"/>
        <v>134.18417564203</v>
      </c>
      <c r="DC33" s="183">
        <f t="shared" si="62"/>
        <v>137.26606483065046</v>
      </c>
      <c r="DD33" s="183">
        <f t="shared" si="62"/>
        <v>140.33885660821144</v>
      </c>
      <c r="DE33" s="183">
        <f t="shared" si="62"/>
        <v>143.40280241704892</v>
      </c>
      <c r="DF33" s="183">
        <f t="shared" si="62"/>
        <v>146.4581408305913</v>
      </c>
      <c r="DG33" s="183">
        <f t="shared" si="62"/>
        <v>149.5050985012216</v>
      </c>
      <c r="DH33" s="183">
        <f t="shared" si="62"/>
        <v>148.72601218585353</v>
      </c>
      <c r="DI33" s="183">
        <f t="shared" si="62"/>
        <v>151.68809496140514</v>
      </c>
      <c r="DJ33" s="183">
        <f t="shared" si="62"/>
        <v>154.6425684440224</v>
      </c>
      <c r="DK33" s="183">
        <f t="shared" si="62"/>
        <v>157.58961628918499</v>
      </c>
      <c r="DL33" s="183">
        <f t="shared" si="62"/>
        <v>140.54806773469855</v>
      </c>
      <c r="DM33" s="183">
        <f t="shared" si="62"/>
        <v>143.53205955645066</v>
      </c>
      <c r="DN33" s="183">
        <f t="shared" si="62"/>
        <v>146.50789139879839</v>
      </c>
      <c r="DO33" s="183">
        <f t="shared" si="62"/>
        <v>149.47577259734004</v>
      </c>
      <c r="DP33" s="183">
        <f t="shared" si="62"/>
        <v>152.43590252578443</v>
      </c>
      <c r="DQ33" s="183">
        <f t="shared" si="62"/>
        <v>155.38847127927986</v>
      </c>
      <c r="DR33" s="184">
        <f t="shared" si="62"/>
        <v>158.33366029711408</v>
      </c>
      <c r="DS33" s="7"/>
      <c r="DT33" s="7"/>
    </row>
    <row r="34" spans="1:124" ht="29.5" thickBot="1" x14ac:dyDescent="0.4">
      <c r="A34" s="154" t="s">
        <v>225</v>
      </c>
      <c r="B34" s="95">
        <v>0</v>
      </c>
      <c r="C34" s="95">
        <f>EXP(-1.0587+0.8836*LN(C23)+0.284)</f>
        <v>1.879974263199685</v>
      </c>
      <c r="D34" s="95">
        <f t="shared" ref="D34:AC34" si="63">EXP(-1.0587+0.8836*LN(D23)+0.284)</f>
        <v>3.4685024690883259</v>
      </c>
      <c r="E34" s="95">
        <f t="shared" si="63"/>
        <v>4.9629082281424015</v>
      </c>
      <c r="F34" s="95">
        <f t="shared" si="63"/>
        <v>6.3992947209798938</v>
      </c>
      <c r="G34" s="95">
        <f t="shared" si="63"/>
        <v>7.7940250925973968</v>
      </c>
      <c r="H34" s="95">
        <f t="shared" si="63"/>
        <v>10.60931615678431</v>
      </c>
      <c r="I34" s="95">
        <f t="shared" si="63"/>
        <v>13.328219363810394</v>
      </c>
      <c r="J34" s="95">
        <f t="shared" si="63"/>
        <v>15.975393686142523</v>
      </c>
      <c r="K34" s="95">
        <f t="shared" si="63"/>
        <v>18.565715211283084</v>
      </c>
      <c r="L34" s="95">
        <f t="shared" si="63"/>
        <v>21.10910855145265</v>
      </c>
      <c r="M34" s="95">
        <f t="shared" si="63"/>
        <v>23.560131780866211</v>
      </c>
      <c r="N34" s="95">
        <f t="shared" si="63"/>
        <v>25.977948270117107</v>
      </c>
      <c r="O34" s="95">
        <f t="shared" si="63"/>
        <v>28.366429684667434</v>
      </c>
      <c r="P34" s="95">
        <f t="shared" si="63"/>
        <v>30.728671770884748</v>
      </c>
      <c r="Q34" s="95">
        <f t="shared" si="63"/>
        <v>33.06720377055629</v>
      </c>
      <c r="R34" s="95">
        <f t="shared" si="63"/>
        <v>35.15169505937974</v>
      </c>
      <c r="S34" s="95">
        <f t="shared" si="63"/>
        <v>37.220017673686414</v>
      </c>
      <c r="T34" s="95">
        <f t="shared" si="63"/>
        <v>39.27330001822807</v>
      </c>
      <c r="U34" s="95">
        <f t="shared" si="63"/>
        <v>41.312529914022932</v>
      </c>
      <c r="V34" s="95">
        <f t="shared" si="63"/>
        <v>43.338578966910198</v>
      </c>
      <c r="W34" s="95">
        <f t="shared" si="63"/>
        <v>45.046919182810072</v>
      </c>
      <c r="X34" s="95">
        <f t="shared" si="63"/>
        <v>46.746764835570694</v>
      </c>
      <c r="Y34" s="95">
        <f t="shared" si="63"/>
        <v>48.438504542426401</v>
      </c>
      <c r="Z34" s="95">
        <f t="shared" si="63"/>
        <v>50.122494535553315</v>
      </c>
      <c r="AA34" s="95">
        <f t="shared" si="63"/>
        <v>51.799062486335863</v>
      </c>
      <c r="AB34" s="95">
        <f t="shared" si="63"/>
        <v>53.154052232207135</v>
      </c>
      <c r="AC34" s="116">
        <f t="shared" si="63"/>
        <v>54.504506393053383</v>
      </c>
      <c r="AD34" s="166"/>
      <c r="AE34" s="167"/>
      <c r="AF34" s="167"/>
      <c r="AG34" s="167"/>
      <c r="AH34" s="167"/>
      <c r="AI34" s="167"/>
      <c r="AJ34" s="167"/>
      <c r="AK34" s="167"/>
      <c r="AL34" s="167"/>
      <c r="AM34" s="167"/>
      <c r="AN34" s="167"/>
      <c r="AO34" s="167"/>
      <c r="AP34" s="167"/>
      <c r="AQ34" s="167"/>
      <c r="AR34" s="167"/>
      <c r="AS34" s="167"/>
      <c r="AT34" s="167"/>
      <c r="AU34" s="167"/>
      <c r="AV34" s="167"/>
      <c r="AW34" s="167"/>
      <c r="AX34" s="167"/>
      <c r="AY34" s="167"/>
      <c r="AZ34" s="167"/>
      <c r="BA34" s="167"/>
      <c r="BB34" s="167"/>
      <c r="BC34" s="167"/>
      <c r="BD34" s="167"/>
      <c r="BE34" s="167"/>
      <c r="BF34" s="167"/>
      <c r="BG34" s="167"/>
      <c r="BH34" s="167"/>
      <c r="BI34" s="167"/>
      <c r="BJ34" s="167"/>
      <c r="BK34" s="167"/>
      <c r="BL34" s="167"/>
      <c r="BM34" s="167"/>
      <c r="BN34" s="167"/>
      <c r="BO34" s="167"/>
      <c r="BP34" s="167"/>
      <c r="BQ34" s="167"/>
      <c r="BR34" s="167"/>
      <c r="BS34" s="167"/>
      <c r="BT34" s="167"/>
      <c r="BU34" s="167"/>
      <c r="BV34" s="167"/>
      <c r="BW34" s="167"/>
      <c r="BX34" s="167"/>
      <c r="BY34" s="167"/>
      <c r="BZ34" s="167"/>
      <c r="CA34" s="167"/>
      <c r="CB34" s="167"/>
      <c r="CC34" s="167"/>
      <c r="CD34" s="167"/>
      <c r="CE34" s="167"/>
      <c r="CF34" s="167"/>
      <c r="CG34" s="167"/>
      <c r="CH34" s="167"/>
      <c r="CI34" s="167"/>
      <c r="CJ34" s="167"/>
      <c r="CK34" s="167"/>
      <c r="CL34" s="167"/>
      <c r="CM34" s="167"/>
      <c r="CN34" s="167"/>
      <c r="CO34" s="167"/>
      <c r="CP34" s="167"/>
      <c r="CQ34" s="167"/>
      <c r="CR34" s="167"/>
      <c r="CS34" s="167"/>
      <c r="CT34" s="167"/>
      <c r="CU34" s="167"/>
      <c r="CV34" s="167"/>
      <c r="CW34" s="167"/>
      <c r="CX34" s="167"/>
      <c r="CY34" s="167"/>
      <c r="CZ34" s="167"/>
      <c r="DA34" s="167"/>
      <c r="DB34" s="167"/>
      <c r="DC34" s="167"/>
      <c r="DD34" s="167"/>
      <c r="DE34" s="167"/>
      <c r="DF34" s="167"/>
      <c r="DG34" s="167"/>
      <c r="DH34" s="167"/>
      <c r="DI34" s="167"/>
      <c r="DJ34" s="167"/>
      <c r="DK34" s="167"/>
      <c r="DL34" s="167"/>
      <c r="DM34" s="167"/>
      <c r="DN34" s="167"/>
      <c r="DO34" s="167"/>
      <c r="DP34" s="167"/>
      <c r="DQ34" s="167"/>
      <c r="DR34" s="167"/>
      <c r="DS34" s="7"/>
      <c r="DT34" s="7"/>
    </row>
    <row r="35" spans="1:124" ht="29.5" thickBot="1" x14ac:dyDescent="0.4">
      <c r="A35" s="155" t="s">
        <v>226</v>
      </c>
      <c r="B35" s="95">
        <v>0</v>
      </c>
      <c r="C35" s="95">
        <f>EXP(-1.0587+0.8836*LN(C25)+0.284)</f>
        <v>2.7336973115726595</v>
      </c>
      <c r="D35" s="95">
        <f t="shared" ref="D35:BO35" si="64">EXP(-1.0587+0.8836*LN(D25)+0.284)</f>
        <v>5.0435987665022415</v>
      </c>
      <c r="E35" s="95">
        <f t="shared" si="64"/>
        <v>7.2166354329573421</v>
      </c>
      <c r="F35" s="95">
        <f t="shared" si="64"/>
        <v>9.3053054593044315</v>
      </c>
      <c r="G35" s="95">
        <f t="shared" si="64"/>
        <v>11.333402727386295</v>
      </c>
      <c r="H35" s="95">
        <f t="shared" si="64"/>
        <v>13.314500260828373</v>
      </c>
      <c r="I35" s="95">
        <f t="shared" si="64"/>
        <v>15.257348063153378</v>
      </c>
      <c r="J35" s="95">
        <f t="shared" si="64"/>
        <v>17.16804085726481</v>
      </c>
      <c r="K35" s="95">
        <f t="shared" si="64"/>
        <v>19.051058342027822</v>
      </c>
      <c r="L35" s="95">
        <f t="shared" si="64"/>
        <v>20.909826327200285</v>
      </c>
      <c r="M35" s="95">
        <f t="shared" si="64"/>
        <v>22.747045812097504</v>
      </c>
      <c r="N35" s="95">
        <f t="shared" si="64"/>
        <v>24.564898537898312</v>
      </c>
      <c r="O35" s="95">
        <f t="shared" si="64"/>
        <v>26.365181886903816</v>
      </c>
      <c r="P35" s="95">
        <f t="shared" si="64"/>
        <v>28.149401012925701</v>
      </c>
      <c r="Q35" s="95">
        <f t="shared" si="64"/>
        <v>29.918833863643528</v>
      </c>
      <c r="R35" s="95">
        <f t="shared" si="64"/>
        <v>31.674578353792775</v>
      </c>
      <c r="S35" s="95">
        <f t="shared" si="64"/>
        <v>33.417587401974494</v>
      </c>
      <c r="T35" s="95">
        <f t="shared" si="64"/>
        <v>35.14869548565234</v>
      </c>
      <c r="U35" s="95">
        <f t="shared" si="64"/>
        <v>36.868639125859794</v>
      </c>
      <c r="V35" s="95">
        <f t="shared" si="64"/>
        <v>38.578072936309574</v>
      </c>
      <c r="W35" s="95">
        <f t="shared" si="64"/>
        <v>40.277582371463353</v>
      </c>
      <c r="X35" s="95">
        <f t="shared" si="64"/>
        <v>41.967693977598429</v>
      </c>
      <c r="Y35" s="95">
        <f t="shared" si="64"/>
        <v>43.648883727357969</v>
      </c>
      <c r="Z35" s="95">
        <f t="shared" si="64"/>
        <v>45.321583863914029</v>
      </c>
      <c r="AA35" s="95">
        <f t="shared" si="64"/>
        <v>46.986188572294388</v>
      </c>
      <c r="AB35" s="95">
        <f t="shared" si="64"/>
        <v>48.643058717754059</v>
      </c>
      <c r="AC35" s="95">
        <f t="shared" si="64"/>
        <v>50.292525834662626</v>
      </c>
      <c r="AD35" s="128">
        <f t="shared" si="64"/>
        <v>51.9348955078326</v>
      </c>
      <c r="AE35" s="128">
        <f t="shared" si="64"/>
        <v>53.570450257227314</v>
      </c>
      <c r="AF35" s="128">
        <f t="shared" si="64"/>
        <v>55.199452013598389</v>
      </c>
      <c r="AG35" s="128">
        <f t="shared" si="64"/>
        <v>56.822144254766826</v>
      </c>
      <c r="AH35" s="128">
        <f t="shared" si="64"/>
        <v>58.438753858510957</v>
      </c>
      <c r="AI35" s="128">
        <f t="shared" si="64"/>
        <v>60.049492717337237</v>
      </c>
      <c r="AJ35" s="128">
        <f t="shared" si="64"/>
        <v>61.65455915202174</v>
      </c>
      <c r="AK35" s="128">
        <f t="shared" si="64"/>
        <v>63.254139154179953</v>
      </c>
      <c r="AL35" s="128">
        <f t="shared" si="64"/>
        <v>64.848407482836677</v>
      </c>
      <c r="AM35" s="128">
        <f t="shared" si="64"/>
        <v>66.437528635729933</v>
      </c>
      <c r="AN35" s="128">
        <f t="shared" si="64"/>
        <v>68.021657712655752</v>
      </c>
      <c r="AO35" s="128">
        <f t="shared" si="64"/>
        <v>69.600941185378218</v>
      </c>
      <c r="AP35" s="128">
        <f t="shared" si="64"/>
        <v>71.175517586352512</v>
      </c>
      <c r="AQ35" s="128">
        <f t="shared" si="64"/>
        <v>72.745518126636995</v>
      </c>
      <c r="AR35" s="128">
        <f t="shared" si="64"/>
        <v>56.642149508651237</v>
      </c>
      <c r="AS35" s="128">
        <f t="shared" si="64"/>
        <v>60.347149499457636</v>
      </c>
      <c r="AT35" s="128">
        <f t="shared" si="64"/>
        <v>64.022402509478127</v>
      </c>
      <c r="AU35" s="128">
        <f t="shared" si="64"/>
        <v>67.670052813015985</v>
      </c>
      <c r="AV35" s="128">
        <f t="shared" si="64"/>
        <v>71.291969278551292</v>
      </c>
      <c r="AW35" s="128">
        <f t="shared" si="64"/>
        <v>74.889794499910067</v>
      </c>
      <c r="AX35" s="128">
        <f t="shared" si="64"/>
        <v>62.129072677127546</v>
      </c>
      <c r="AY35" s="128">
        <f t="shared" si="64"/>
        <v>65.55530957699365</v>
      </c>
      <c r="AZ35" s="128">
        <f t="shared" si="64"/>
        <v>68.95810528013115</v>
      </c>
      <c r="BA35" s="128">
        <f t="shared" si="64"/>
        <v>72.338913285254421</v>
      </c>
      <c r="BB35" s="128">
        <f t="shared" si="64"/>
        <v>75.699025155957528</v>
      </c>
      <c r="BC35" s="128">
        <f t="shared" si="64"/>
        <v>79.039595767887562</v>
      </c>
      <c r="BD35" s="128">
        <f t="shared" si="64"/>
        <v>82.361663602531507</v>
      </c>
      <c r="BE35" s="128">
        <f t="shared" si="64"/>
        <v>85.666167240958785</v>
      </c>
      <c r="BF35" s="128">
        <f t="shared" si="64"/>
        <v>68.255927961706107</v>
      </c>
      <c r="BG35" s="128">
        <f t="shared" si="64"/>
        <v>72.164561958729479</v>
      </c>
      <c r="BH35" s="128">
        <f t="shared" si="64"/>
        <v>76.045489027174256</v>
      </c>
      <c r="BI35" s="128">
        <f t="shared" si="64"/>
        <v>79.900485684024218</v>
      </c>
      <c r="BJ35" s="128">
        <f t="shared" si="64"/>
        <v>83.731124142407339</v>
      </c>
      <c r="BK35" s="128">
        <f t="shared" si="64"/>
        <v>87.538805139261527</v>
      </c>
      <c r="BL35" s="128">
        <f t="shared" si="64"/>
        <v>91.324784134771079</v>
      </c>
      <c r="BM35" s="128">
        <f t="shared" si="64"/>
        <v>95.090192469760964</v>
      </c>
      <c r="BN35" s="128">
        <f t="shared" si="64"/>
        <v>75.58349080988549</v>
      </c>
      <c r="BO35" s="128">
        <f t="shared" si="64"/>
        <v>78.867269886396812</v>
      </c>
      <c r="BP35" s="128">
        <f t="shared" ref="BP35:DQ35" si="65">EXP(-1.0587+0.8836*LN(BP25)+0.284)</f>
        <v>82.133129600117968</v>
      </c>
      <c r="BQ35" s="128">
        <f t="shared" si="65"/>
        <v>85.381966094527385</v>
      </c>
      <c r="BR35" s="128">
        <f t="shared" si="65"/>
        <v>88.614594173048772</v>
      </c>
      <c r="BS35" s="128">
        <f t="shared" si="65"/>
        <v>91.831757726177017</v>
      </c>
      <c r="BT35" s="128">
        <f t="shared" si="65"/>
        <v>95.034138462360644</v>
      </c>
      <c r="BU35" s="128">
        <f t="shared" si="65"/>
        <v>98.222363272646561</v>
      </c>
      <c r="BV35" s="128">
        <f t="shared" si="65"/>
        <v>83.389037425776436</v>
      </c>
      <c r="BW35" s="128">
        <f t="shared" si="65"/>
        <v>86.177416791990737</v>
      </c>
      <c r="BX35" s="128">
        <f t="shared" si="65"/>
        <v>88.953958903713456</v>
      </c>
      <c r="BY35" s="128">
        <f t="shared" si="65"/>
        <v>91.719128858744597</v>
      </c>
      <c r="BZ35" s="128">
        <f t="shared" si="65"/>
        <v>94.473358283598117</v>
      </c>
      <c r="CA35" s="128">
        <f t="shared" si="65"/>
        <v>97.21704876439675</v>
      </c>
      <c r="CB35" s="128">
        <f t="shared" si="65"/>
        <v>99.950574827965369</v>
      </c>
      <c r="CC35" s="128">
        <f t="shared" si="65"/>
        <v>102.67428654416675</v>
      </c>
      <c r="CD35" s="128">
        <f t="shared" si="65"/>
        <v>105.38851180751007</v>
      </c>
      <c r="CE35" s="128">
        <f t="shared" si="65"/>
        <v>90.817439521330556</v>
      </c>
      <c r="CF35" s="128">
        <f t="shared" si="65"/>
        <v>93.462845833103955</v>
      </c>
      <c r="CG35" s="128">
        <f t="shared" si="65"/>
        <v>96.098423442642684</v>
      </c>
      <c r="CH35" s="128">
        <f t="shared" si="65"/>
        <v>98.724511808221905</v>
      </c>
      <c r="CI35" s="128">
        <f t="shared" si="65"/>
        <v>101.34142882636461</v>
      </c>
      <c r="CJ35" s="128">
        <f t="shared" si="65"/>
        <v>103.94947279002167</v>
      </c>
      <c r="CK35" s="128">
        <f t="shared" si="65"/>
        <v>106.54892411847366</v>
      </c>
      <c r="CL35" s="128">
        <f t="shared" si="65"/>
        <v>109.14004689112262</v>
      </c>
      <c r="CM35" s="128">
        <f t="shared" si="65"/>
        <v>111.72309021207182</v>
      </c>
      <c r="CN35" s="128">
        <f t="shared" si="65"/>
        <v>97.719876324752803</v>
      </c>
      <c r="CO35" s="128">
        <f t="shared" si="65"/>
        <v>100.34026950218272</v>
      </c>
      <c r="CP35" s="128">
        <f t="shared" si="65"/>
        <v>102.95167758669622</v>
      </c>
      <c r="CQ35" s="128">
        <f t="shared" si="65"/>
        <v>105.55438765154793</v>
      </c>
      <c r="CR35" s="128">
        <f t="shared" si="65"/>
        <v>108.14866986405879</v>
      </c>
      <c r="CS35" s="128">
        <f t="shared" si="65"/>
        <v>110.73477891211462</v>
      </c>
      <c r="CT35" s="128">
        <f t="shared" si="65"/>
        <v>113.31295527585063</v>
      </c>
      <c r="CU35" s="128">
        <f t="shared" si="65"/>
        <v>115.88342636486892</v>
      </c>
      <c r="CV35" s="128">
        <f t="shared" si="65"/>
        <v>118.44640753822225</v>
      </c>
      <c r="CW35" s="128">
        <f t="shared" si="65"/>
        <v>121.00210302181871</v>
      </c>
      <c r="CX35" s="128">
        <f t="shared" si="65"/>
        <v>123.55070673576577</v>
      </c>
      <c r="CY35" s="185">
        <f t="shared" si="65"/>
        <v>126.09240304238686</v>
      </c>
      <c r="CZ35" s="185">
        <f t="shared" si="65"/>
        <v>106.27278712333739</v>
      </c>
      <c r="DA35" s="185">
        <f t="shared" si="65"/>
        <v>108.80972020910058</v>
      </c>
      <c r="DB35" s="185">
        <f t="shared" si="65"/>
        <v>111.33888433401286</v>
      </c>
      <c r="DC35" s="185">
        <f t="shared" si="65"/>
        <v>113.86050185489383</v>
      </c>
      <c r="DD35" s="185">
        <f t="shared" si="65"/>
        <v>116.37478336429794</v>
      </c>
      <c r="DE35" s="185">
        <f t="shared" si="65"/>
        <v>118.88192858475014</v>
      </c>
      <c r="DF35" s="185">
        <f t="shared" si="65"/>
        <v>121.38212717532559</v>
      </c>
      <c r="DG35" s="185">
        <f t="shared" si="65"/>
        <v>123.87555946100868</v>
      </c>
      <c r="DH35" s="185">
        <f t="shared" si="65"/>
        <v>126.36239709380712</v>
      </c>
      <c r="DI35" s="185">
        <f t="shared" si="65"/>
        <v>128.84280365338799</v>
      </c>
      <c r="DJ35" s="185">
        <f t="shared" si="65"/>
        <v>131.31693519395847</v>
      </c>
      <c r="DK35" s="185">
        <f t="shared" si="65"/>
        <v>133.78494074324709</v>
      </c>
      <c r="DL35" s="185">
        <f t="shared" si="65"/>
        <v>116.2656165763932</v>
      </c>
      <c r="DM35" s="185">
        <f t="shared" si="65"/>
        <v>118.77306805641595</v>
      </c>
      <c r="DN35" s="185">
        <f t="shared" si="65"/>
        <v>121.27356485962979</v>
      </c>
      <c r="DO35" s="185">
        <f t="shared" si="65"/>
        <v>123.76728770263693</v>
      </c>
      <c r="DP35" s="185">
        <f t="shared" si="65"/>
        <v>126.25440860162962</v>
      </c>
      <c r="DQ35" s="185">
        <f t="shared" si="65"/>
        <v>128.73509147550749</v>
      </c>
      <c r="DR35" s="186">
        <f>EXP(-1.0587+0.8836*LN(DR25)+0.284)</f>
        <v>131.20949269496836</v>
      </c>
      <c r="DS35" s="7"/>
      <c r="DT35" s="7"/>
    </row>
    <row r="36" spans="1:124" ht="29.5" thickBot="1" x14ac:dyDescent="0.4">
      <c r="A36" s="151" t="s">
        <v>227</v>
      </c>
      <c r="B36" s="95">
        <v>0</v>
      </c>
      <c r="C36" s="95">
        <f>EXP(-1.0587+0.8836*LN(C27)+0.284)</f>
        <v>0.78447147983829457</v>
      </c>
      <c r="D36" s="95">
        <f>EXP(-1.0587+0.8836*LN(D27)+0.284)</f>
        <v>1.4473289970031293</v>
      </c>
      <c r="E36" s="95">
        <f t="shared" ref="D36:BO36" si="66">EXP(-1.0587+0.8836*LN(E27)+0.284)</f>
        <v>2.0709113088634812</v>
      </c>
      <c r="F36" s="95">
        <f t="shared" si="66"/>
        <v>2.6702834703409293</v>
      </c>
      <c r="G36" s="95">
        <f t="shared" si="66"/>
        <v>3.2522734581910884</v>
      </c>
      <c r="H36" s="95">
        <f t="shared" si="66"/>
        <v>3.8207762354313544</v>
      </c>
      <c r="I36" s="95">
        <f t="shared" si="66"/>
        <v>4.3783027341180984</v>
      </c>
      <c r="J36" s="95">
        <f t="shared" si="66"/>
        <v>4.926601917560129</v>
      </c>
      <c r="K36" s="95">
        <f t="shared" si="66"/>
        <v>5.4669592960380085</v>
      </c>
      <c r="L36" s="95">
        <f t="shared" si="66"/>
        <v>6.0003579520748147</v>
      </c>
      <c r="M36" s="95">
        <f t="shared" si="66"/>
        <v>6.5275729740173629</v>
      </c>
      <c r="N36" s="95">
        <f t="shared" si="66"/>
        <v>7.0492304420552738</v>
      </c>
      <c r="O36" s="95">
        <f t="shared" si="66"/>
        <v>7.565846139390878</v>
      </c>
      <c r="P36" s="95">
        <f t="shared" si="66"/>
        <v>8.0778519903023618</v>
      </c>
      <c r="Q36" s="95">
        <f t="shared" si="66"/>
        <v>8.5856147191900511</v>
      </c>
      <c r="R36" s="95">
        <f t="shared" si="66"/>
        <v>9.0894493875619347</v>
      </c>
      <c r="S36" s="95">
        <f t="shared" si="66"/>
        <v>9.5896294483207605</v>
      </c>
      <c r="T36" s="95">
        <f t="shared" si="66"/>
        <v>10.086394366080269</v>
      </c>
      <c r="U36" s="95">
        <f t="shared" si="66"/>
        <v>10.579955495529454</v>
      </c>
      <c r="V36" s="95">
        <f t="shared" si="66"/>
        <v>11.070500686941925</v>
      </c>
      <c r="W36" s="95">
        <f t="shared" si="66"/>
        <v>13.091109942798838</v>
      </c>
      <c r="X36" s="95">
        <f t="shared" si="66"/>
        <v>15.071265428083585</v>
      </c>
      <c r="Y36" s="95">
        <f t="shared" si="66"/>
        <v>17.017617598925618</v>
      </c>
      <c r="Z36" s="95">
        <f t="shared" si="66"/>
        <v>18.935005633400532</v>
      </c>
      <c r="AA36" s="95">
        <f t="shared" si="66"/>
        <v>16.587746761433479</v>
      </c>
      <c r="AB36" s="95">
        <f t="shared" si="66"/>
        <v>18.658058208480558</v>
      </c>
      <c r="AC36" s="95">
        <f t="shared" si="66"/>
        <v>20.698471187040013</v>
      </c>
      <c r="AD36" s="95">
        <f t="shared" si="66"/>
        <v>22.712676911847797</v>
      </c>
      <c r="AE36" s="95">
        <f t="shared" si="66"/>
        <v>24.703587500565483</v>
      </c>
      <c r="AF36" s="95">
        <f t="shared" si="66"/>
        <v>21.148224410899232</v>
      </c>
      <c r="AG36" s="95">
        <f t="shared" si="66"/>
        <v>23.252094826272785</v>
      </c>
      <c r="AH36" s="95">
        <f t="shared" si="66"/>
        <v>25.331143775948256</v>
      </c>
      <c r="AI36" s="95">
        <f t="shared" si="66"/>
        <v>27.387924860466448</v>
      </c>
      <c r="AJ36" s="95">
        <f t="shared" si="66"/>
        <v>29.424535161464142</v>
      </c>
      <c r="AK36" s="95">
        <f t="shared" si="66"/>
        <v>26.050313353598867</v>
      </c>
      <c r="AL36" s="95">
        <f t="shared" si="66"/>
        <v>28.146193342933906</v>
      </c>
      <c r="AM36" s="95">
        <f t="shared" si="66"/>
        <v>30.221691334032908</v>
      </c>
      <c r="AN36" s="95">
        <f t="shared" si="66"/>
        <v>32.278563439349682</v>
      </c>
      <c r="AO36" s="95">
        <f t="shared" si="66"/>
        <v>34.318299270283269</v>
      </c>
      <c r="AP36" s="95">
        <f t="shared" si="66"/>
        <v>31.061834975351903</v>
      </c>
      <c r="AQ36" s="95">
        <f t="shared" si="66"/>
        <v>33.126678470416266</v>
      </c>
      <c r="AR36" s="95">
        <f t="shared" si="66"/>
        <v>35.174692266277191</v>
      </c>
      <c r="AS36" s="95">
        <f t="shared" si="66"/>
        <v>37.207106721859425</v>
      </c>
      <c r="AT36" s="95">
        <f t="shared" si="66"/>
        <v>39.224992064940999</v>
      </c>
      <c r="AU36" s="95">
        <f t="shared" si="66"/>
        <v>36.04329946228934</v>
      </c>
      <c r="AV36" s="95">
        <f t="shared" si="66"/>
        <v>38.054549909111273</v>
      </c>
      <c r="AW36" s="95">
        <f t="shared" si="66"/>
        <v>40.051886402928389</v>
      </c>
      <c r="AX36" s="95">
        <f t="shared" si="66"/>
        <v>42.036180795708262</v>
      </c>
      <c r="AY36" s="95">
        <f t="shared" si="66"/>
        <v>44.008206834837189</v>
      </c>
      <c r="AZ36" s="95">
        <f t="shared" si="66"/>
        <v>40.861831146131486</v>
      </c>
      <c r="BA36" s="95">
        <f t="shared" si="66"/>
        <v>42.797189226230948</v>
      </c>
      <c r="BB36" s="95">
        <f t="shared" si="66"/>
        <v>44.72108157512195</v>
      </c>
      <c r="BC36" s="95">
        <f t="shared" si="66"/>
        <v>46.634128360437401</v>
      </c>
      <c r="BD36" s="95">
        <f t="shared" si="66"/>
        <v>48.536889077222554</v>
      </c>
      <c r="BE36" s="95">
        <f t="shared" si="66"/>
        <v>45.388950861803551</v>
      </c>
      <c r="BF36" s="95">
        <f t="shared" si="66"/>
        <v>47.2262139608994</v>
      </c>
      <c r="BG36" s="95">
        <f t="shared" si="66"/>
        <v>49.054106453699518</v>
      </c>
      <c r="BH36" s="95">
        <f t="shared" si="66"/>
        <v>50.873067605260403</v>
      </c>
      <c r="BI36" s="95">
        <f t="shared" si="66"/>
        <v>52.683499208284282</v>
      </c>
      <c r="BJ36" s="95">
        <f t="shared" si="66"/>
        <v>49.498912851978972</v>
      </c>
      <c r="BK36" s="95">
        <f t="shared" si="66"/>
        <v>51.230113966297964</v>
      </c>
      <c r="BL36" s="95">
        <f t="shared" si="66"/>
        <v>52.953640814865075</v>
      </c>
      <c r="BM36" s="95">
        <f t="shared" si="66"/>
        <v>54.66980777593772</v>
      </c>
      <c r="BN36" s="95">
        <f t="shared" si="66"/>
        <v>56.37890567289331</v>
      </c>
      <c r="BO36" s="95">
        <f t="shared" si="66"/>
        <v>53.138369942502599</v>
      </c>
      <c r="BP36" s="95">
        <f t="shared" ref="BP36:CW36" si="67">EXP(-1.0587+0.8836*LN(BP27)+0.284)</f>
        <v>54.768871169605511</v>
      </c>
      <c r="BQ36" s="95">
        <f t="shared" si="67"/>
        <v>56.393001762517834</v>
      </c>
      <c r="BR36" s="95">
        <f t="shared" si="67"/>
        <v>58.010992738519761</v>
      </c>
      <c r="BS36" s="95">
        <f t="shared" si="67"/>
        <v>59.62305973089402</v>
      </c>
      <c r="BT36" s="95">
        <f t="shared" si="67"/>
        <v>56.32251666999651</v>
      </c>
      <c r="BU36" s="95">
        <f t="shared" si="67"/>
        <v>57.842439314515858</v>
      </c>
      <c r="BV36" s="95">
        <f t="shared" si="67"/>
        <v>59.357118078479495</v>
      </c>
      <c r="BW36" s="95">
        <f t="shared" si="67"/>
        <v>60.86672150927911</v>
      </c>
      <c r="BX36" s="95">
        <f t="shared" si="67"/>
        <v>62.371408170511678</v>
      </c>
      <c r="BY36" s="95">
        <f t="shared" si="67"/>
        <v>58.992943235397384</v>
      </c>
      <c r="BZ36" s="95">
        <f t="shared" si="67"/>
        <v>60.405982577460406</v>
      </c>
      <c r="CA36" s="95">
        <f t="shared" si="67"/>
        <v>61.81468044684221</v>
      </c>
      <c r="CB36" s="95">
        <f t="shared" si="67"/>
        <v>63.219161500663617</v>
      </c>
      <c r="CC36" s="95">
        <f t="shared" si="67"/>
        <v>64.619543780139225</v>
      </c>
      <c r="CD36" s="95">
        <f t="shared" si="67"/>
        <v>61.299118686230791</v>
      </c>
      <c r="CE36" s="95">
        <f t="shared" si="67"/>
        <v>62.607819025107858</v>
      </c>
      <c r="CF36" s="95">
        <f t="shared" si="67"/>
        <v>63.912925241913804</v>
      </c>
      <c r="CG36" s="95">
        <f t="shared" si="67"/>
        <v>65.214529832193762</v>
      </c>
      <c r="CH36" s="95">
        <f t="shared" si="67"/>
        <v>66.512720880222702</v>
      </c>
      <c r="CI36" s="95">
        <f t="shared" si="67"/>
        <v>63.246931242227227</v>
      </c>
      <c r="CJ36" s="95">
        <f t="shared" si="67"/>
        <v>64.481071679987309</v>
      </c>
      <c r="CK36" s="95">
        <f t="shared" si="67"/>
        <v>65.712108041370669</v>
      </c>
      <c r="CL36" s="95">
        <f t="shared" si="67"/>
        <v>66.940113627946516</v>
      </c>
      <c r="CM36" s="95">
        <f t="shared" si="67"/>
        <v>68.165158527544065</v>
      </c>
      <c r="CN36" s="95">
        <f t="shared" si="67"/>
        <v>65.117720527935134</v>
      </c>
      <c r="CO36" s="95">
        <f t="shared" si="67"/>
        <v>66.278190671753066</v>
      </c>
      <c r="CP36" s="95">
        <f t="shared" si="67"/>
        <v>67.435990142936703</v>
      </c>
      <c r="CQ36" s="95">
        <f t="shared" si="67"/>
        <v>68.591176750699304</v>
      </c>
      <c r="CR36" s="95">
        <f t="shared" si="67"/>
        <v>69.743805977041575</v>
      </c>
      <c r="CS36" s="95">
        <f t="shared" si="67"/>
        <v>66.7747140404758</v>
      </c>
      <c r="CT36" s="95">
        <f t="shared" si="67"/>
        <v>67.876366263243966</v>
      </c>
      <c r="CU36" s="95">
        <f t="shared" si="67"/>
        <v>68.975667970835246</v>
      </c>
      <c r="CV36" s="95">
        <f t="shared" si="67"/>
        <v>70.072666400210437</v>
      </c>
      <c r="CW36" s="95">
        <f t="shared" si="67"/>
        <v>71.167407020454192</v>
      </c>
      <c r="CX36" s="116">
        <f>EXP(-1.0587+0.8836*LN(CX27)+0.284)</f>
        <v>72.259933628513053</v>
      </c>
      <c r="CY36" s="166"/>
      <c r="CZ36" s="167"/>
      <c r="DA36" s="167"/>
      <c r="DB36" s="167"/>
      <c r="DC36" s="167"/>
      <c r="DD36" s="167"/>
      <c r="DE36" s="167"/>
      <c r="DF36" s="167"/>
      <c r="DG36" s="167"/>
      <c r="DH36" s="167"/>
      <c r="DI36" s="167"/>
      <c r="DJ36" s="167"/>
      <c r="DK36" s="167"/>
      <c r="DL36" s="167"/>
      <c r="DM36" s="167"/>
      <c r="DN36" s="167"/>
      <c r="DO36" s="167"/>
      <c r="DP36" s="167"/>
      <c r="DQ36" s="167"/>
      <c r="DR36" s="167"/>
      <c r="DS36" s="7"/>
      <c r="DT36" s="7"/>
    </row>
    <row r="37" spans="1:124" ht="29.5" thickBot="1" x14ac:dyDescent="0.4">
      <c r="A37" s="155" t="s">
        <v>228</v>
      </c>
      <c r="B37" s="95">
        <v>0</v>
      </c>
      <c r="C37" s="95">
        <f>EXP(-1.0587+0.8836*LN(C29)+0.284)</f>
        <v>0.58776547097474707</v>
      </c>
      <c r="D37" s="95">
        <f t="shared" ref="D37:BO37" si="68">EXP(-1.0587+0.8836*LN(D29)+0.284)</f>
        <v>1.0844116471312737</v>
      </c>
      <c r="E37" s="95">
        <f t="shared" si="68"/>
        <v>1.5516308649639898</v>
      </c>
      <c r="F37" s="95">
        <f t="shared" si="68"/>
        <v>2.0007106209961183</v>
      </c>
      <c r="G37" s="95">
        <f t="shared" si="68"/>
        <v>2.4367667786805867</v>
      </c>
      <c r="H37" s="95">
        <f t="shared" si="68"/>
        <v>2.8627176401242105</v>
      </c>
      <c r="I37" s="95">
        <f t="shared" si="68"/>
        <v>3.2804445218574583</v>
      </c>
      <c r="J37" s="95">
        <f t="shared" si="68"/>
        <v>3.6912578351181313</v>
      </c>
      <c r="K37" s="95">
        <f t="shared" si="68"/>
        <v>4.0961207488357854</v>
      </c>
      <c r="L37" s="95">
        <f t="shared" si="68"/>
        <v>4.4957698378598945</v>
      </c>
      <c r="M37" s="95">
        <f t="shared" si="68"/>
        <v>4.8907858373464546</v>
      </c>
      <c r="N37" s="95">
        <f t="shared" si="68"/>
        <v>5.2816378380488862</v>
      </c>
      <c r="O37" s="95">
        <f t="shared" si="68"/>
        <v>5.6687122906727136</v>
      </c>
      <c r="P37" s="95">
        <f t="shared" si="68"/>
        <v>6.0523328146015727</v>
      </c>
      <c r="Q37" s="95">
        <f t="shared" si="68"/>
        <v>6.4327741781927843</v>
      </c>
      <c r="R37" s="95">
        <f t="shared" si="68"/>
        <v>6.8102724413674371</v>
      </c>
      <c r="S37" s="95">
        <f t="shared" si="68"/>
        <v>7.1850324887877584</v>
      </c>
      <c r="T37" s="95">
        <f t="shared" si="68"/>
        <v>7.5572337393811306</v>
      </c>
      <c r="U37" s="95">
        <f t="shared" si="68"/>
        <v>7.9270345507061402</v>
      </c>
      <c r="V37" s="95">
        <f t="shared" si="68"/>
        <v>8.2945756696316852</v>
      </c>
      <c r="W37" s="95">
        <f t="shared" si="68"/>
        <v>8.6599829732678497</v>
      </c>
      <c r="X37" s="95">
        <f t="shared" si="68"/>
        <v>9.0233696730222519</v>
      </c>
      <c r="Y37" s="95">
        <f t="shared" si="68"/>
        <v>9.3848381065910154</v>
      </c>
      <c r="Z37" s="95">
        <f t="shared" si="68"/>
        <v>9.7444812095052917</v>
      </c>
      <c r="AA37" s="95">
        <f t="shared" si="68"/>
        <v>10.102383734509091</v>
      </c>
      <c r="AB37" s="95">
        <f t="shared" si="68"/>
        <v>10.458623270344846</v>
      </c>
      <c r="AC37" s="95">
        <f t="shared" si="68"/>
        <v>10.813271099394132</v>
      </c>
      <c r="AD37" s="95">
        <f t="shared" si="68"/>
        <v>11.166392924688713</v>
      </c>
      <c r="AE37" s="95">
        <f t="shared" si="68"/>
        <v>11.518049490144348</v>
      </c>
      <c r="AF37" s="95">
        <f t="shared" si="68"/>
        <v>11.868297112841578</v>
      </c>
      <c r="AG37" s="95">
        <f t="shared" si="68"/>
        <v>12.217188142342115</v>
      </c>
      <c r="AH37" s="95">
        <f t="shared" si="68"/>
        <v>12.564771359073726</v>
      </c>
      <c r="AI37" s="95">
        <f t="shared" si="68"/>
        <v>12.911092321518067</v>
      </c>
      <c r="AJ37" s="95">
        <f t="shared" si="68"/>
        <v>13.256193670132765</v>
      </c>
      <c r="AK37" s="95">
        <f t="shared" si="68"/>
        <v>13.600115394513223</v>
      </c>
      <c r="AL37" s="95">
        <f t="shared" si="68"/>
        <v>13.942895069163439</v>
      </c>
      <c r="AM37" s="95">
        <f t="shared" si="68"/>
        <v>14.284568062333593</v>
      </c>
      <c r="AN37" s="95">
        <f t="shared" si="68"/>
        <v>14.625167721645713</v>
      </c>
      <c r="AO37" s="95">
        <f t="shared" si="68"/>
        <v>14.964725539630079</v>
      </c>
      <c r="AP37" s="95">
        <f t="shared" si="68"/>
        <v>15.303271301805914</v>
      </c>
      <c r="AQ37" s="95">
        <f t="shared" si="68"/>
        <v>15.640833219537042</v>
      </c>
      <c r="AR37" s="95">
        <f t="shared" si="68"/>
        <v>15.977438049561178</v>
      </c>
      <c r="AS37" s="95">
        <f t="shared" si="68"/>
        <v>16.313111201814721</v>
      </c>
      <c r="AT37" s="95">
        <f t="shared" si="68"/>
        <v>16.6478768369448</v>
      </c>
      <c r="AU37" s="95">
        <f t="shared" si="68"/>
        <v>16.981757954706605</v>
      </c>
      <c r="AV37" s="95">
        <f t="shared" si="68"/>
        <v>17.314776474281789</v>
      </c>
      <c r="AW37" s="95">
        <f t="shared" si="68"/>
        <v>17.646953307415419</v>
      </c>
      <c r="AX37" s="95">
        <f t="shared" si="68"/>
        <v>17.978308425153099</v>
      </c>
      <c r="AY37" s="95">
        <f t="shared" si="68"/>
        <v>18.308860918859516</v>
      </c>
      <c r="AZ37" s="95">
        <f t="shared" si="68"/>
        <v>18.63862905611526</v>
      </c>
      <c r="BA37" s="95">
        <f t="shared" si="68"/>
        <v>18.96763033201572</v>
      </c>
      <c r="BB37" s="95">
        <f t="shared" si="68"/>
        <v>19.29588151633256</v>
      </c>
      <c r="BC37" s="95">
        <f t="shared" si="68"/>
        <v>19.623398696945195</v>
      </c>
      <c r="BD37" s="95">
        <f t="shared" si="68"/>
        <v>19.95019731990142</v>
      </c>
      <c r="BE37" s="95">
        <f t="shared" si="68"/>
        <v>20.276292226426797</v>
      </c>
      <c r="BF37" s="95">
        <f t="shared" si="68"/>
        <v>15.134123129051133</v>
      </c>
      <c r="BG37" s="95">
        <f t="shared" si="68"/>
        <v>15.994243628776902</v>
      </c>
      <c r="BH37" s="95">
        <f t="shared" si="68"/>
        <v>16.848310223536981</v>
      </c>
      <c r="BI37" s="95">
        <f t="shared" si="68"/>
        <v>17.696708483227788</v>
      </c>
      <c r="BJ37" s="95">
        <f t="shared" si="68"/>
        <v>18.539779916977881</v>
      </c>
      <c r="BK37" s="95">
        <f t="shared" si="68"/>
        <v>19.377829010297837</v>
      </c>
      <c r="BL37" s="95">
        <f t="shared" si="68"/>
        <v>20.211128849491754</v>
      </c>
      <c r="BM37" s="95">
        <f t="shared" si="68"/>
        <v>21.039925669563541</v>
      </c>
      <c r="BN37" s="95">
        <f t="shared" si="68"/>
        <v>16.279585114134662</v>
      </c>
      <c r="BO37" s="95">
        <f t="shared" si="68"/>
        <v>16.96508456353013</v>
      </c>
      <c r="BP37" s="95">
        <f t="shared" ref="BP37:DR37" si="69">EXP(-1.0587+0.8836*LN(BP29)+0.284)</f>
        <v>17.646953307415409</v>
      </c>
      <c r="BQ37" s="95">
        <f t="shared" si="69"/>
        <v>18.325367805711213</v>
      </c>
      <c r="BR37" s="95">
        <f t="shared" si="69"/>
        <v>19.000488933911313</v>
      </c>
      <c r="BS37" s="95">
        <f t="shared" si="69"/>
        <v>19.672463929093389</v>
      </c>
      <c r="BT37" s="95">
        <f t="shared" si="69"/>
        <v>20.341428027253752</v>
      </c>
      <c r="BU37" s="95">
        <f t="shared" si="69"/>
        <v>21.007505850576877</v>
      </c>
      <c r="BV37" s="95">
        <f t="shared" si="69"/>
        <v>17.081753113040932</v>
      </c>
      <c r="BW37" s="95">
        <f t="shared" si="69"/>
        <v>17.663540416878071</v>
      </c>
      <c r="BX37" s="95">
        <f t="shared" si="69"/>
        <v>18.242813741760852</v>
      </c>
      <c r="BY37" s="95">
        <f t="shared" si="69"/>
        <v>18.819673568455318</v>
      </c>
      <c r="BZ37" s="95">
        <f t="shared" si="69"/>
        <v>19.394213026039552</v>
      </c>
      <c r="CA37" s="95">
        <f t="shared" si="69"/>
        <v>19.966518657610649</v>
      </c>
      <c r="CB37" s="95">
        <f t="shared" si="69"/>
        <v>20.536671084039654</v>
      </c>
      <c r="CC37" s="95">
        <f t="shared" si="69"/>
        <v>21.104745582120369</v>
      </c>
      <c r="CD37" s="95">
        <f t="shared" si="69"/>
        <v>21.670812590420589</v>
      </c>
      <c r="CE37" s="95">
        <f t="shared" si="69"/>
        <v>17.994854957060436</v>
      </c>
      <c r="CF37" s="95">
        <f t="shared" si="69"/>
        <v>18.523298318319124</v>
      </c>
      <c r="CG37" s="95">
        <f t="shared" si="69"/>
        <v>19.049762809414069</v>
      </c>
      <c r="CH37" s="95">
        <f t="shared" si="69"/>
        <v>19.574317298357574</v>
      </c>
      <c r="CI37" s="106">
        <f t="shared" si="69"/>
        <v>20.097026246330525</v>
      </c>
      <c r="CJ37" s="106">
        <f t="shared" si="69"/>
        <v>20.617950110782704</v>
      </c>
      <c r="CK37" s="106">
        <f t="shared" si="69"/>
        <v>21.137145701211885</v>
      </c>
      <c r="CL37" s="106">
        <f t="shared" si="69"/>
        <v>21.654666494335828</v>
      </c>
      <c r="CM37" s="106">
        <f t="shared" si="69"/>
        <v>22.170562914262913</v>
      </c>
      <c r="CN37" s="106">
        <f t="shared" si="69"/>
        <v>19.115435211201454</v>
      </c>
      <c r="CO37" s="106">
        <f t="shared" si="69"/>
        <v>19.623398696945195</v>
      </c>
      <c r="CP37" s="106">
        <f t="shared" si="69"/>
        <v>20.129635678131358</v>
      </c>
      <c r="CQ37" s="106">
        <f t="shared" si="69"/>
        <v>20.634200846902065</v>
      </c>
      <c r="CR37" s="106">
        <f t="shared" si="69"/>
        <v>21.137145701211885</v>
      </c>
      <c r="CS37" s="106">
        <f t="shared" si="69"/>
        <v>21.638518812176681</v>
      </c>
      <c r="CT37" s="106">
        <f t="shared" si="69"/>
        <v>22.13836606263537</v>
      </c>
      <c r="CU37" s="106">
        <f t="shared" si="69"/>
        <v>22.636730860679609</v>
      </c>
      <c r="CV37" s="106">
        <f t="shared" si="69"/>
        <v>23.133654331334995</v>
      </c>
      <c r="CW37" s="106">
        <f t="shared" si="69"/>
        <v>23.629175489105553</v>
      </c>
      <c r="CX37" s="106">
        <f t="shared" si="69"/>
        <v>20.585443574370771</v>
      </c>
      <c r="CY37" s="183">
        <f t="shared" si="69"/>
        <v>21.153343307020656</v>
      </c>
      <c r="CZ37" s="183">
        <f t="shared" si="69"/>
        <v>21.719241377144584</v>
      </c>
      <c r="DA37" s="183">
        <f t="shared" si="69"/>
        <v>22.283203471863288</v>
      </c>
      <c r="DB37" s="183">
        <f t="shared" si="69"/>
        <v>22.845291308017149</v>
      </c>
      <c r="DC37" s="183">
        <f t="shared" si="69"/>
        <v>23.405562975756631</v>
      </c>
      <c r="DD37" s="183">
        <f t="shared" si="69"/>
        <v>23.9640732439135</v>
      </c>
      <c r="DE37" s="183">
        <f t="shared" si="69"/>
        <v>24.520873832298783</v>
      </c>
      <c r="DF37" s="183">
        <f t="shared" si="69"/>
        <v>25.076013655265704</v>
      </c>
      <c r="DG37" s="183">
        <f t="shared" si="69"/>
        <v>25.629539040212915</v>
      </c>
      <c r="DH37" s="183">
        <f t="shared" si="69"/>
        <v>22.363615092046409</v>
      </c>
      <c r="DI37" s="183">
        <f t="shared" si="69"/>
        <v>22.845291308017149</v>
      </c>
      <c r="DJ37" s="183">
        <f t="shared" si="69"/>
        <v>23.325633250063945</v>
      </c>
      <c r="DK37" s="183">
        <f t="shared" si="69"/>
        <v>23.804675545937901</v>
      </c>
      <c r="DL37" s="183">
        <f t="shared" si="69"/>
        <v>24.282451158305349</v>
      </c>
      <c r="DM37" s="183">
        <f t="shared" si="69"/>
        <v>24.758991500034714</v>
      </c>
      <c r="DN37" s="183">
        <f t="shared" si="69"/>
        <v>25.234326539168599</v>
      </c>
      <c r="DO37" s="183">
        <f t="shared" si="69"/>
        <v>25.708484894703101</v>
      </c>
      <c r="DP37" s="183">
        <f t="shared" si="69"/>
        <v>26.181493924154807</v>
      </c>
      <c r="DQ37" s="183">
        <f t="shared" si="69"/>
        <v>26.653379803772363</v>
      </c>
      <c r="DR37" s="184">
        <f t="shared" si="69"/>
        <v>27.124167602145715</v>
      </c>
      <c r="DS37" s="7"/>
      <c r="DT37" s="7"/>
    </row>
    <row r="38" spans="1:124" ht="29.5" thickBot="1" x14ac:dyDescent="0.4">
      <c r="A38" s="156" t="s">
        <v>229</v>
      </c>
      <c r="B38" s="95">
        <v>0</v>
      </c>
      <c r="C38" s="95">
        <f>EXP(-1.0587+0.8836*LN(C31)+0.284)</f>
        <v>6.7793895462287397</v>
      </c>
      <c r="D38" s="95">
        <f t="shared" ref="D38:BO38" si="70">EXP(-1.0587+0.8836*LN(D31)+0.284)</f>
        <v>12.507793239671786</v>
      </c>
      <c r="E38" s="95">
        <f t="shared" si="70"/>
        <v>17.896781258854642</v>
      </c>
      <c r="F38" s="95">
        <f t="shared" si="70"/>
        <v>23.076545559091954</v>
      </c>
      <c r="G38" s="95">
        <f t="shared" si="70"/>
        <v>28.106093402506804</v>
      </c>
      <c r="H38" s="95">
        <f t="shared" si="70"/>
        <v>33.019084995036231</v>
      </c>
      <c r="I38" s="95">
        <f t="shared" si="70"/>
        <v>37.837219769956988</v>
      </c>
      <c r="J38" s="95">
        <f t="shared" si="70"/>
        <v>42.57561223923944</v>
      </c>
      <c r="K38" s="95">
        <f t="shared" si="70"/>
        <v>47.245371761453889</v>
      </c>
      <c r="L38" s="95">
        <f t="shared" si="70"/>
        <v>51.854994119495181</v>
      </c>
      <c r="M38" s="95">
        <f t="shared" si="70"/>
        <v>56.411177614029398</v>
      </c>
      <c r="N38" s="95">
        <f t="shared" si="70"/>
        <v>60.919332819693921</v>
      </c>
      <c r="O38" s="95">
        <f t="shared" si="70"/>
        <v>65.383917126387445</v>
      </c>
      <c r="P38" s="95">
        <f t="shared" si="70"/>
        <v>69.808663216573876</v>
      </c>
      <c r="Q38" s="95">
        <f t="shared" si="70"/>
        <v>54.456466905676692</v>
      </c>
      <c r="R38" s="95">
        <f t="shared" si="70"/>
        <v>58.984696621608954</v>
      </c>
      <c r="S38" s="95">
        <f t="shared" si="70"/>
        <v>63.467537377589501</v>
      </c>
      <c r="T38" s="95">
        <f t="shared" si="70"/>
        <v>67.909010719362158</v>
      </c>
      <c r="U38" s="95">
        <f t="shared" si="70"/>
        <v>72.312511846394017</v>
      </c>
      <c r="V38" s="95">
        <f t="shared" si="70"/>
        <v>76.680943509390133</v>
      </c>
      <c r="W38" s="95">
        <f t="shared" si="70"/>
        <v>81.727347752282327</v>
      </c>
      <c r="X38" s="95">
        <f t="shared" si="70"/>
        <v>86.733004245845152</v>
      </c>
      <c r="Y38" s="95">
        <f t="shared" si="70"/>
        <v>72.590006230717421</v>
      </c>
      <c r="Z38" s="95">
        <f t="shared" si="70"/>
        <v>77.671644278246561</v>
      </c>
      <c r="AA38" s="95">
        <f t="shared" si="70"/>
        <v>82.709822978605885</v>
      </c>
      <c r="AB38" s="95">
        <f t="shared" si="70"/>
        <v>87.707865544824969</v>
      </c>
      <c r="AC38" s="95">
        <f t="shared" si="70"/>
        <v>92.668644041938236</v>
      </c>
      <c r="AD38" s="95">
        <f t="shared" si="70"/>
        <v>97.594664184270997</v>
      </c>
      <c r="AE38" s="95">
        <f t="shared" si="70"/>
        <v>102.48813026742008</v>
      </c>
      <c r="AF38" s="95">
        <f t="shared" si="70"/>
        <v>107.35099571030355</v>
      </c>
      <c r="AG38" s="95">
        <f t="shared" si="70"/>
        <v>96.740361996412631</v>
      </c>
      <c r="AH38" s="95">
        <f t="shared" si="70"/>
        <v>102.06385279085076</v>
      </c>
      <c r="AI38" s="95">
        <f t="shared" si="70"/>
        <v>107.35099571030355</v>
      </c>
      <c r="AJ38" s="95">
        <f t="shared" si="70"/>
        <v>112.6040402341677</v>
      </c>
      <c r="AK38" s="95">
        <f t="shared" si="70"/>
        <v>117.82498568085008</v>
      </c>
      <c r="AL38" s="95">
        <f t="shared" si="70"/>
        <v>123.01562014286847</v>
      </c>
      <c r="AM38" s="95">
        <f t="shared" si="70"/>
        <v>128.17755179561499</v>
      </c>
      <c r="AN38" s="95">
        <f t="shared" si="70"/>
        <v>133.31223435270485</v>
      </c>
      <c r="AO38" s="95">
        <f t="shared" si="70"/>
        <v>123.01562014286847</v>
      </c>
      <c r="AP38" s="95">
        <f t="shared" si="70"/>
        <v>128.17755179561499</v>
      </c>
      <c r="AQ38" s="95">
        <f t="shared" si="70"/>
        <v>134.08016970691131</v>
      </c>
      <c r="AR38" s="95">
        <f t="shared" si="70"/>
        <v>139.94874067583905</v>
      </c>
      <c r="AS38" s="95">
        <f t="shared" si="70"/>
        <v>145.78505995507203</v>
      </c>
      <c r="AT38" s="95">
        <f t="shared" si="70"/>
        <v>151.59075138294651</v>
      </c>
      <c r="AU38" s="95">
        <f t="shared" si="70"/>
        <v>157.36729045023876</v>
      </c>
      <c r="AV38" s="95">
        <f t="shared" si="70"/>
        <v>163.11602343553233</v>
      </c>
      <c r="AW38" s="95">
        <f t="shared" si="70"/>
        <v>168.83818340909201</v>
      </c>
      <c r="AX38" s="95">
        <f t="shared" si="70"/>
        <v>174.53490371799325</v>
      </c>
      <c r="AY38" s="95">
        <f t="shared" si="70"/>
        <v>180.20722942717001</v>
      </c>
      <c r="AZ38" s="95">
        <f t="shared" si="70"/>
        <v>185.85612708789085</v>
      </c>
      <c r="BA38" s="95">
        <f t="shared" si="70"/>
        <v>192.45875410959528</v>
      </c>
      <c r="BB38" s="95">
        <f t="shared" si="70"/>
        <v>199.03166880131877</v>
      </c>
      <c r="BC38" s="95">
        <f t="shared" si="70"/>
        <v>205.576106098861</v>
      </c>
      <c r="BD38" s="95">
        <f t="shared" si="70"/>
        <v>212.09320710776052</v>
      </c>
      <c r="BE38" s="95">
        <f t="shared" si="70"/>
        <v>218.58402923915727</v>
      </c>
      <c r="BF38" s="95">
        <f t="shared" si="70"/>
        <v>225.04955494761182</v>
      </c>
      <c r="BG38" s="95">
        <f t="shared" si="70"/>
        <v>231.49069930282826</v>
      </c>
      <c r="BH38" s="95">
        <f t="shared" si="70"/>
        <v>237.90831658265753</v>
      </c>
      <c r="BI38" s="95">
        <f t="shared" si="70"/>
        <v>244.30320603986345</v>
      </c>
      <c r="BJ38" s="95">
        <f t="shared" si="70"/>
        <v>250.67611696755802</v>
      </c>
      <c r="BK38" s="95">
        <f t="shared" si="70"/>
        <v>257.96696777330681</v>
      </c>
      <c r="BL38" s="95">
        <f t="shared" si="70"/>
        <v>265.23076997222728</v>
      </c>
      <c r="BM38" s="95">
        <f t="shared" si="70"/>
        <v>272.46845642658832</v>
      </c>
      <c r="BN38" s="95">
        <f t="shared" si="70"/>
        <v>279.68090082670267</v>
      </c>
      <c r="BO38" s="95">
        <f t="shared" si="70"/>
        <v>286.86892305756675</v>
      </c>
      <c r="BP38" s="95">
        <f t="shared" ref="BP38:CH38" si="71">EXP(-1.0587+0.8836*LN(BP31)+0.284)</f>
        <v>294.03329394069044</v>
      </c>
      <c r="BQ38" s="95">
        <f t="shared" si="71"/>
        <v>301.17473943905208</v>
      </c>
      <c r="BR38" s="95">
        <f t="shared" si="71"/>
        <v>308.29394439871976</v>
      </c>
      <c r="BS38" s="95">
        <f t="shared" si="71"/>
        <v>315.39155588894459</v>
      </c>
      <c r="BT38" s="95">
        <f t="shared" si="71"/>
        <v>322.46818619293083</v>
      </c>
      <c r="BU38" s="95">
        <f t="shared" si="71"/>
        <v>330.20621437407033</v>
      </c>
      <c r="BV38" s="95">
        <f t="shared" si="71"/>
        <v>337.92042584960507</v>
      </c>
      <c r="BW38" s="95">
        <f t="shared" si="71"/>
        <v>345.61150565119596</v>
      </c>
      <c r="BX38" s="95">
        <f t="shared" si="71"/>
        <v>353.28010239274829</v>
      </c>
      <c r="BY38" s="95">
        <f t="shared" si="71"/>
        <v>360.92683105164554</v>
      </c>
      <c r="BZ38" s="95">
        <f t="shared" si="71"/>
        <v>368.55227547611281</v>
      </c>
      <c r="CA38" s="95">
        <f t="shared" si="71"/>
        <v>376.15699065144219</v>
      </c>
      <c r="CB38" s="95">
        <f t="shared" si="71"/>
        <v>383.74150475325416</v>
      </c>
      <c r="CC38" s="95">
        <f t="shared" si="71"/>
        <v>391.30632101211472</v>
      </c>
      <c r="CD38" s="95">
        <f t="shared" si="71"/>
        <v>398.8519194105794</v>
      </c>
      <c r="CE38" s="95">
        <f t="shared" si="71"/>
        <v>406.5998563869918</v>
      </c>
      <c r="CF38" s="95">
        <f t="shared" si="71"/>
        <v>414.32839143304398</v>
      </c>
      <c r="CG38" s="95">
        <f t="shared" si="71"/>
        <v>422.0379807504238</v>
      </c>
      <c r="CH38" s="116">
        <f t="shared" si="71"/>
        <v>429.72906062382532</v>
      </c>
      <c r="CI38" s="166"/>
      <c r="CJ38" s="167"/>
      <c r="CK38" s="167"/>
      <c r="CL38" s="167"/>
      <c r="CM38" s="167"/>
      <c r="CN38" s="167"/>
      <c r="CO38" s="167"/>
      <c r="CP38" s="167"/>
      <c r="CQ38" s="167"/>
      <c r="CR38" s="167"/>
      <c r="CS38" s="167"/>
      <c r="CT38" s="167"/>
      <c r="CU38" s="167"/>
      <c r="CV38" s="167"/>
      <c r="CW38" s="167"/>
      <c r="CX38" s="167"/>
      <c r="CY38" s="167"/>
      <c r="CZ38" s="167"/>
      <c r="DA38" s="167"/>
      <c r="DB38" s="167"/>
      <c r="DC38" s="167"/>
      <c r="DD38" s="167"/>
      <c r="DE38" s="167"/>
      <c r="DF38" s="167"/>
      <c r="DG38" s="167"/>
      <c r="DH38" s="167"/>
      <c r="DI38" s="167"/>
      <c r="DJ38" s="167"/>
      <c r="DK38" s="167"/>
      <c r="DL38" s="167"/>
      <c r="DM38" s="167"/>
      <c r="DN38" s="167"/>
      <c r="DO38" s="167"/>
      <c r="DP38" s="167"/>
      <c r="DQ38" s="167"/>
      <c r="DR38" s="167"/>
      <c r="DS38" s="7"/>
      <c r="DT38" s="7"/>
    </row>
    <row r="39" spans="1:124" ht="31.5" customHeight="1" x14ac:dyDescent="0.35">
      <c r="A39" s="3" t="s">
        <v>10</v>
      </c>
      <c r="B39" s="95">
        <f>70</f>
        <v>70</v>
      </c>
      <c r="C39" s="95">
        <f>70</f>
        <v>70</v>
      </c>
      <c r="D39" s="95">
        <f>70</f>
        <v>70</v>
      </c>
      <c r="E39" s="95">
        <f>70</f>
        <v>70</v>
      </c>
      <c r="F39" s="95">
        <f>70</f>
        <v>70</v>
      </c>
      <c r="G39" s="95">
        <f>70</f>
        <v>70</v>
      </c>
      <c r="H39" s="95">
        <f>70</f>
        <v>70</v>
      </c>
      <c r="I39" s="95">
        <f>70</f>
        <v>70</v>
      </c>
      <c r="J39" s="95">
        <f>70</f>
        <v>70</v>
      </c>
      <c r="K39" s="95">
        <f>70</f>
        <v>70</v>
      </c>
      <c r="L39" s="95">
        <f>70</f>
        <v>70</v>
      </c>
      <c r="M39" s="95">
        <f>70</f>
        <v>70</v>
      </c>
      <c r="N39" s="95">
        <f>70</f>
        <v>70</v>
      </c>
      <c r="O39" s="95">
        <f>70</f>
        <v>70</v>
      </c>
      <c r="P39" s="95">
        <f>70</f>
        <v>70</v>
      </c>
      <c r="Q39" s="95">
        <f>70</f>
        <v>70</v>
      </c>
      <c r="R39" s="95">
        <f>70</f>
        <v>70</v>
      </c>
      <c r="S39" s="95">
        <f>70</f>
        <v>70</v>
      </c>
      <c r="T39" s="95">
        <f>70</f>
        <v>70</v>
      </c>
      <c r="U39" s="95">
        <f>70</f>
        <v>70</v>
      </c>
      <c r="V39" s="95">
        <f>70</f>
        <v>70</v>
      </c>
      <c r="W39" s="95">
        <f>70</f>
        <v>70</v>
      </c>
      <c r="X39" s="95">
        <f>70</f>
        <v>70</v>
      </c>
      <c r="Y39" s="95">
        <f>70</f>
        <v>70</v>
      </c>
      <c r="Z39" s="95">
        <f>70</f>
        <v>70</v>
      </c>
      <c r="AA39" s="95">
        <f>70</f>
        <v>70</v>
      </c>
      <c r="AB39" s="95">
        <f>70</f>
        <v>70</v>
      </c>
      <c r="AC39" s="95">
        <f>70</f>
        <v>70</v>
      </c>
      <c r="AD39" s="95">
        <f>70</f>
        <v>70</v>
      </c>
      <c r="AE39" s="95">
        <f>70</f>
        <v>70</v>
      </c>
      <c r="AF39" s="95">
        <f>70</f>
        <v>70</v>
      </c>
      <c r="AG39" s="95">
        <f>70</f>
        <v>70</v>
      </c>
      <c r="AH39" s="95">
        <f>70</f>
        <v>70</v>
      </c>
      <c r="AI39" s="95">
        <f>70</f>
        <v>70</v>
      </c>
      <c r="AJ39" s="95">
        <f>70</f>
        <v>70</v>
      </c>
      <c r="AK39" s="95">
        <f>70</f>
        <v>70</v>
      </c>
      <c r="AL39" s="95">
        <f>70</f>
        <v>70</v>
      </c>
      <c r="AM39" s="95">
        <f>70</f>
        <v>70</v>
      </c>
      <c r="AN39" s="95">
        <f>70</f>
        <v>70</v>
      </c>
      <c r="AO39" s="95">
        <f>70</f>
        <v>70</v>
      </c>
      <c r="AP39" s="95">
        <f>70</f>
        <v>70</v>
      </c>
      <c r="AQ39" s="95">
        <f>70</f>
        <v>70</v>
      </c>
      <c r="AR39" s="95">
        <f>70</f>
        <v>70</v>
      </c>
      <c r="AS39" s="95">
        <f>70</f>
        <v>70</v>
      </c>
      <c r="AT39" s="95">
        <f>70</f>
        <v>70</v>
      </c>
      <c r="AU39" s="95">
        <f>70</f>
        <v>70</v>
      </c>
      <c r="AV39" s="95">
        <f>70</f>
        <v>70</v>
      </c>
      <c r="AW39" s="95">
        <f>70</f>
        <v>70</v>
      </c>
      <c r="AX39" s="95">
        <f>70</f>
        <v>70</v>
      </c>
      <c r="AY39" s="95">
        <f>70</f>
        <v>70</v>
      </c>
      <c r="AZ39" s="95">
        <f>70</f>
        <v>70</v>
      </c>
      <c r="BA39" s="95">
        <f>70</f>
        <v>70</v>
      </c>
      <c r="BB39" s="95">
        <f>70</f>
        <v>70</v>
      </c>
      <c r="BC39" s="95">
        <f>70</f>
        <v>70</v>
      </c>
      <c r="BD39" s="95">
        <f>70</f>
        <v>70</v>
      </c>
      <c r="BE39" s="95">
        <f>70</f>
        <v>70</v>
      </c>
      <c r="BF39" s="95">
        <f>70</f>
        <v>70</v>
      </c>
      <c r="BG39" s="95">
        <f>70</f>
        <v>70</v>
      </c>
      <c r="BH39" s="95">
        <f>70</f>
        <v>70</v>
      </c>
      <c r="BI39" s="95">
        <f>70</f>
        <v>70</v>
      </c>
      <c r="BJ39" s="95">
        <f>70</f>
        <v>70</v>
      </c>
      <c r="BK39" s="95">
        <f>70</f>
        <v>70</v>
      </c>
      <c r="BL39" s="95">
        <f>70</f>
        <v>70</v>
      </c>
      <c r="BM39" s="95">
        <f>70</f>
        <v>70</v>
      </c>
      <c r="BN39" s="95">
        <f>70</f>
        <v>70</v>
      </c>
      <c r="BO39" s="95">
        <f>70</f>
        <v>70</v>
      </c>
      <c r="BP39" s="95">
        <f>70</f>
        <v>70</v>
      </c>
      <c r="BQ39" s="95">
        <f>70</f>
        <v>70</v>
      </c>
      <c r="BR39" s="95">
        <f>70</f>
        <v>70</v>
      </c>
      <c r="BS39" s="95">
        <f>70</f>
        <v>70</v>
      </c>
      <c r="BT39" s="95">
        <f>70</f>
        <v>70</v>
      </c>
      <c r="BU39" s="95">
        <f>70</f>
        <v>70</v>
      </c>
      <c r="BV39" s="95">
        <f>70</f>
        <v>70</v>
      </c>
      <c r="BW39" s="95">
        <f>70</f>
        <v>70</v>
      </c>
      <c r="BX39" s="95">
        <f>70</f>
        <v>70</v>
      </c>
      <c r="BY39" s="95">
        <f>70</f>
        <v>70</v>
      </c>
      <c r="BZ39" s="95">
        <f>70</f>
        <v>70</v>
      </c>
      <c r="CA39" s="95">
        <f>70</f>
        <v>70</v>
      </c>
      <c r="CB39" s="95">
        <f>70</f>
        <v>70</v>
      </c>
      <c r="CC39" s="95">
        <f>70</f>
        <v>70</v>
      </c>
      <c r="CD39" s="95">
        <f>70</f>
        <v>70</v>
      </c>
      <c r="CE39" s="95">
        <f>70</f>
        <v>70</v>
      </c>
      <c r="CF39" s="95">
        <f>70</f>
        <v>70</v>
      </c>
      <c r="CG39" s="95">
        <f>70</f>
        <v>70</v>
      </c>
      <c r="CH39" s="95">
        <f>70</f>
        <v>70</v>
      </c>
      <c r="CI39" s="128">
        <f>70</f>
        <v>70</v>
      </c>
      <c r="CJ39" s="128">
        <f>70</f>
        <v>70</v>
      </c>
      <c r="CK39" s="128">
        <f>70</f>
        <v>70</v>
      </c>
      <c r="CL39" s="128">
        <f>70</f>
        <v>70</v>
      </c>
      <c r="CM39" s="128">
        <f>70</f>
        <v>70</v>
      </c>
      <c r="CN39" s="128">
        <f>70</f>
        <v>70</v>
      </c>
      <c r="CO39" s="128">
        <f>70</f>
        <v>70</v>
      </c>
      <c r="CP39" s="128">
        <f>70</f>
        <v>70</v>
      </c>
      <c r="CQ39" s="128">
        <f>70</f>
        <v>70</v>
      </c>
      <c r="CR39" s="128">
        <f>70</f>
        <v>70</v>
      </c>
      <c r="CS39" s="128">
        <f>70</f>
        <v>70</v>
      </c>
      <c r="CT39" s="128">
        <f>70</f>
        <v>70</v>
      </c>
      <c r="CU39" s="128">
        <f>70</f>
        <v>70</v>
      </c>
      <c r="CV39" s="128">
        <f>70</f>
        <v>70</v>
      </c>
      <c r="CW39" s="128">
        <f>70</f>
        <v>70</v>
      </c>
      <c r="CX39" s="128">
        <f>70</f>
        <v>70</v>
      </c>
      <c r="CY39" s="128">
        <f>70</f>
        <v>70</v>
      </c>
      <c r="CZ39" s="128">
        <f>70</f>
        <v>70</v>
      </c>
      <c r="DA39" s="128">
        <f>70</f>
        <v>70</v>
      </c>
      <c r="DB39" s="128">
        <f>70</f>
        <v>70</v>
      </c>
      <c r="DC39" s="128">
        <f>70</f>
        <v>70</v>
      </c>
      <c r="DD39" s="128">
        <f>70</f>
        <v>70</v>
      </c>
      <c r="DE39" s="128">
        <f>70</f>
        <v>70</v>
      </c>
      <c r="DF39" s="128">
        <f>70</f>
        <v>70</v>
      </c>
      <c r="DG39" s="128">
        <f>70</f>
        <v>70</v>
      </c>
      <c r="DH39" s="128">
        <f>70</f>
        <v>70</v>
      </c>
      <c r="DI39" s="128">
        <f>70</f>
        <v>70</v>
      </c>
      <c r="DJ39" s="128">
        <f>70</f>
        <v>70</v>
      </c>
      <c r="DK39" s="128">
        <f>70</f>
        <v>70</v>
      </c>
      <c r="DL39" s="128">
        <f>70</f>
        <v>70</v>
      </c>
      <c r="DM39" s="128">
        <f>70</f>
        <v>70</v>
      </c>
      <c r="DN39" s="128">
        <f>70</f>
        <v>70</v>
      </c>
      <c r="DO39" s="128">
        <f>70</f>
        <v>70</v>
      </c>
      <c r="DP39" s="128">
        <f>70</f>
        <v>70</v>
      </c>
      <c r="DQ39" s="128">
        <f>70</f>
        <v>70</v>
      </c>
      <c r="DR39" s="180">
        <f>70</f>
        <v>70</v>
      </c>
      <c r="DS39" s="7"/>
      <c r="DT39" s="7"/>
    </row>
    <row r="40" spans="1:124" ht="15" thickBot="1" x14ac:dyDescent="0.4">
      <c r="A40" s="4" t="s">
        <v>182</v>
      </c>
      <c r="B40" s="106">
        <f t="shared" ref="B40:AF40" si="72">B19*(($B$53-$B$52)/30)</f>
        <v>0</v>
      </c>
      <c r="C40" s="106">
        <f t="shared" si="72"/>
        <v>0.33333333333333331</v>
      </c>
      <c r="D40" s="106">
        <f t="shared" si="72"/>
        <v>0.66666666666666663</v>
      </c>
      <c r="E40" s="106">
        <f t="shared" si="72"/>
        <v>1</v>
      </c>
      <c r="F40" s="106">
        <f t="shared" si="72"/>
        <v>1.3333333333333333</v>
      </c>
      <c r="G40" s="106">
        <f t="shared" si="72"/>
        <v>1.6666666666666665</v>
      </c>
      <c r="H40" s="106">
        <f t="shared" si="72"/>
        <v>2</v>
      </c>
      <c r="I40" s="106">
        <f t="shared" si="72"/>
        <v>2.333333333333333</v>
      </c>
      <c r="J40" s="106">
        <f t="shared" si="72"/>
        <v>2.6666666666666665</v>
      </c>
      <c r="K40" s="106">
        <f t="shared" si="72"/>
        <v>3</v>
      </c>
      <c r="L40" s="106">
        <f t="shared" si="72"/>
        <v>3.333333333333333</v>
      </c>
      <c r="M40" s="106">
        <f t="shared" si="72"/>
        <v>3.6666666666666665</v>
      </c>
      <c r="N40" s="106">
        <f t="shared" si="72"/>
        <v>4</v>
      </c>
      <c r="O40" s="106">
        <f t="shared" si="72"/>
        <v>4.333333333333333</v>
      </c>
      <c r="P40" s="106">
        <f t="shared" si="72"/>
        <v>4.6666666666666661</v>
      </c>
      <c r="Q40" s="106">
        <f t="shared" si="72"/>
        <v>5</v>
      </c>
      <c r="R40" s="106">
        <f t="shared" si="72"/>
        <v>5.333333333333333</v>
      </c>
      <c r="S40" s="106">
        <f t="shared" si="72"/>
        <v>5.6666666666666661</v>
      </c>
      <c r="T40" s="106">
        <f t="shared" si="72"/>
        <v>6</v>
      </c>
      <c r="U40" s="106">
        <f t="shared" si="72"/>
        <v>6.333333333333333</v>
      </c>
      <c r="V40" s="106">
        <f t="shared" si="72"/>
        <v>6.6666666666666661</v>
      </c>
      <c r="W40" s="106">
        <f t="shared" si="72"/>
        <v>7</v>
      </c>
      <c r="X40" s="106">
        <f t="shared" si="72"/>
        <v>7.333333333333333</v>
      </c>
      <c r="Y40" s="106">
        <f t="shared" si="72"/>
        <v>7.6666666666666661</v>
      </c>
      <c r="Z40" s="106">
        <f t="shared" si="72"/>
        <v>8</v>
      </c>
      <c r="AA40" s="106">
        <f t="shared" si="72"/>
        <v>8.3333333333333321</v>
      </c>
      <c r="AB40" s="106">
        <f t="shared" si="72"/>
        <v>8.6666666666666661</v>
      </c>
      <c r="AC40" s="106">
        <f t="shared" si="72"/>
        <v>9</v>
      </c>
      <c r="AD40" s="106">
        <f t="shared" si="72"/>
        <v>9.3333333333333321</v>
      </c>
      <c r="AE40" s="106">
        <f t="shared" si="72"/>
        <v>9.6666666666666661</v>
      </c>
      <c r="AF40" s="106">
        <f t="shared" si="72"/>
        <v>10</v>
      </c>
      <c r="AG40" s="106">
        <v>10</v>
      </c>
      <c r="AH40" s="106">
        <v>10</v>
      </c>
      <c r="AI40" s="106">
        <v>10</v>
      </c>
      <c r="AJ40" s="106">
        <v>10</v>
      </c>
      <c r="AK40" s="106">
        <v>10</v>
      </c>
      <c r="AL40" s="106">
        <v>10</v>
      </c>
      <c r="AM40" s="106">
        <v>10</v>
      </c>
      <c r="AN40" s="106">
        <v>10</v>
      </c>
      <c r="AO40" s="106">
        <v>10</v>
      </c>
      <c r="AP40" s="106">
        <v>10</v>
      </c>
      <c r="AQ40" s="106">
        <v>10</v>
      </c>
      <c r="AR40" s="106">
        <v>10</v>
      </c>
      <c r="AS40" s="106">
        <v>10</v>
      </c>
      <c r="AT40" s="106">
        <v>10</v>
      </c>
      <c r="AU40" s="106">
        <v>10</v>
      </c>
      <c r="AV40" s="106">
        <v>10</v>
      </c>
      <c r="AW40" s="106">
        <v>10</v>
      </c>
      <c r="AX40" s="106">
        <v>10</v>
      </c>
      <c r="AY40" s="106">
        <v>10</v>
      </c>
      <c r="AZ40" s="106">
        <v>10</v>
      </c>
      <c r="BA40" s="106">
        <v>10</v>
      </c>
      <c r="BB40" s="106">
        <v>10</v>
      </c>
      <c r="BC40" s="106">
        <v>10</v>
      </c>
      <c r="BD40" s="106">
        <v>10</v>
      </c>
      <c r="BE40" s="106">
        <v>10</v>
      </c>
      <c r="BF40" s="106">
        <v>10</v>
      </c>
      <c r="BG40" s="106">
        <v>10</v>
      </c>
      <c r="BH40" s="106">
        <v>10</v>
      </c>
      <c r="BI40" s="106">
        <v>10</v>
      </c>
      <c r="BJ40" s="106">
        <v>10</v>
      </c>
      <c r="BK40" s="106">
        <v>10</v>
      </c>
      <c r="BL40" s="106">
        <v>10</v>
      </c>
      <c r="BM40" s="106">
        <v>10</v>
      </c>
      <c r="BN40" s="106">
        <v>10</v>
      </c>
      <c r="BO40" s="106">
        <v>10</v>
      </c>
      <c r="BP40" s="106">
        <v>10</v>
      </c>
      <c r="BQ40" s="106">
        <v>10</v>
      </c>
      <c r="BR40" s="106">
        <v>10</v>
      </c>
      <c r="BS40" s="106">
        <v>10</v>
      </c>
      <c r="BT40" s="127">
        <v>10</v>
      </c>
      <c r="BU40" s="127">
        <v>10</v>
      </c>
      <c r="BV40" s="127">
        <v>10</v>
      </c>
      <c r="BW40" s="127">
        <v>10</v>
      </c>
      <c r="BX40" s="127">
        <v>10</v>
      </c>
      <c r="BY40" s="127">
        <v>10</v>
      </c>
      <c r="BZ40" s="127">
        <v>10</v>
      </c>
      <c r="CA40" s="127">
        <v>10</v>
      </c>
      <c r="CB40" s="127">
        <v>10</v>
      </c>
      <c r="CC40" s="127">
        <v>10</v>
      </c>
      <c r="CD40" s="127">
        <v>10</v>
      </c>
      <c r="CE40" s="127">
        <v>10</v>
      </c>
      <c r="CF40" s="127">
        <v>10</v>
      </c>
      <c r="CG40" s="127">
        <v>10</v>
      </c>
      <c r="CH40" s="127">
        <v>10</v>
      </c>
      <c r="CI40" s="127">
        <v>10</v>
      </c>
      <c r="CJ40" s="127">
        <v>10</v>
      </c>
      <c r="CK40" s="127">
        <v>10</v>
      </c>
      <c r="CL40" s="127">
        <v>10</v>
      </c>
      <c r="CM40" s="127">
        <v>10</v>
      </c>
      <c r="CN40" s="127">
        <v>10</v>
      </c>
      <c r="CO40" s="127">
        <v>10</v>
      </c>
      <c r="CP40" s="127">
        <v>10</v>
      </c>
      <c r="CQ40" s="127">
        <v>10</v>
      </c>
      <c r="CR40" s="127">
        <v>10</v>
      </c>
      <c r="CS40" s="127">
        <v>10</v>
      </c>
      <c r="CT40" s="127">
        <v>10</v>
      </c>
      <c r="CU40" s="127">
        <v>10</v>
      </c>
      <c r="CV40" s="127">
        <v>10</v>
      </c>
      <c r="CW40" s="127">
        <v>10</v>
      </c>
      <c r="CX40" s="127">
        <v>10</v>
      </c>
      <c r="CY40" s="127">
        <v>10</v>
      </c>
      <c r="CZ40" s="127">
        <v>10</v>
      </c>
      <c r="DA40" s="127">
        <v>10</v>
      </c>
      <c r="DB40" s="127">
        <v>10</v>
      </c>
      <c r="DC40" s="127">
        <v>10</v>
      </c>
      <c r="DD40" s="127">
        <v>10</v>
      </c>
      <c r="DE40" s="127">
        <v>10</v>
      </c>
      <c r="DF40" s="127">
        <v>10</v>
      </c>
      <c r="DG40" s="127">
        <v>10</v>
      </c>
      <c r="DH40" s="127">
        <v>10</v>
      </c>
      <c r="DI40" s="127">
        <v>10</v>
      </c>
      <c r="DJ40" s="127">
        <v>10</v>
      </c>
      <c r="DK40" s="127">
        <v>10</v>
      </c>
      <c r="DL40" s="127">
        <v>10</v>
      </c>
      <c r="DM40" s="127">
        <v>10</v>
      </c>
      <c r="DN40" s="127">
        <v>10</v>
      </c>
      <c r="DO40" s="127">
        <v>10</v>
      </c>
      <c r="DP40" s="127">
        <v>10</v>
      </c>
      <c r="DQ40" s="127">
        <v>10</v>
      </c>
      <c r="DR40" s="177">
        <v>10</v>
      </c>
      <c r="DS40" s="7"/>
      <c r="DT40" s="7"/>
    </row>
    <row r="41" spans="1:124" ht="24.5" customHeight="1" x14ac:dyDescent="0.35">
      <c r="A41" s="203" t="s">
        <v>230</v>
      </c>
      <c r="B41" s="204"/>
      <c r="C41" s="204"/>
      <c r="D41" s="204"/>
      <c r="E41" s="204"/>
      <c r="F41" s="204"/>
      <c r="G41" s="204"/>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c r="BJ41" s="187"/>
      <c r="BK41" s="187"/>
      <c r="BL41" s="187"/>
      <c r="BM41" s="187"/>
      <c r="BN41" s="187"/>
      <c r="BO41" s="187"/>
      <c r="BP41" s="187"/>
      <c r="BQ41" s="187"/>
      <c r="BR41" s="187"/>
      <c r="BS41" s="187"/>
      <c r="BT41" s="187"/>
      <c r="BU41" s="187"/>
      <c r="BV41" s="187"/>
      <c r="BW41" s="187"/>
      <c r="BX41" s="187"/>
      <c r="BY41" s="187"/>
      <c r="BZ41" s="187"/>
      <c r="CA41" s="187"/>
      <c r="CB41" s="187"/>
      <c r="CC41" s="187"/>
      <c r="CD41" s="187"/>
      <c r="CE41" s="187"/>
      <c r="CF41" s="187"/>
      <c r="CG41" s="187"/>
      <c r="CH41" s="187"/>
      <c r="CI41" s="187"/>
      <c r="CJ41" s="187"/>
      <c r="CK41" s="187"/>
      <c r="CL41" s="187"/>
      <c r="CM41" s="187"/>
      <c r="CN41" s="187"/>
      <c r="CO41" s="187"/>
      <c r="CP41" s="187"/>
      <c r="CQ41" s="187"/>
      <c r="CR41" s="187"/>
      <c r="CS41" s="187"/>
      <c r="CT41" s="187"/>
      <c r="CU41" s="187"/>
      <c r="CV41" s="187"/>
      <c r="CW41" s="187"/>
      <c r="CX41" s="187"/>
      <c r="CY41" s="187"/>
      <c r="CZ41" s="187"/>
      <c r="DA41" s="187"/>
      <c r="DB41" s="187"/>
      <c r="DC41" s="187"/>
      <c r="DD41" s="187"/>
      <c r="DE41" s="187"/>
      <c r="DF41" s="187"/>
      <c r="DG41" s="187"/>
      <c r="DH41" s="187"/>
      <c r="DI41" s="187"/>
      <c r="DJ41" s="187"/>
      <c r="DK41" s="187"/>
      <c r="DL41" s="187"/>
      <c r="DM41" s="187"/>
      <c r="DN41" s="187"/>
      <c r="DO41" s="187"/>
      <c r="DP41" s="187"/>
      <c r="DQ41" s="187"/>
      <c r="DR41" s="188"/>
      <c r="DS41" s="7"/>
      <c r="DT41" s="7"/>
    </row>
    <row r="42" spans="1:124" x14ac:dyDescent="0.35">
      <c r="A42" s="3" t="s">
        <v>231</v>
      </c>
      <c r="B42" s="95">
        <f>(((B43+B45)*$B$49)+$B$57+B46)*(44/12)</f>
        <v>256.66666666666663</v>
      </c>
      <c r="C42" s="95">
        <f t="shared" ref="C42:BN42" si="73">(((C43+C45)*$B$49)+$B$57+C46)*(44/12)</f>
        <v>259.87253071086724</v>
      </c>
      <c r="D42" s="95">
        <f t="shared" si="73"/>
        <v>262.9793750942095</v>
      </c>
      <c r="E42" s="95">
        <f t="shared" si="73"/>
        <v>266.05424109757053</v>
      </c>
      <c r="F42" s="95">
        <f t="shared" si="73"/>
        <v>269.10939488345639</v>
      </c>
      <c r="G42" s="95">
        <f t="shared" si="73"/>
        <v>272.15039587882609</v>
      </c>
      <c r="H42" s="95">
        <f t="shared" si="73"/>
        <v>275.18041541292968</v>
      </c>
      <c r="I42" s="95">
        <f t="shared" si="73"/>
        <v>278.20149791911336</v>
      </c>
      <c r="J42" s="95">
        <f t="shared" si="73"/>
        <v>281.21506742591714</v>
      </c>
      <c r="K42" s="95">
        <f t="shared" si="73"/>
        <v>284.22217061243276</v>
      </c>
      <c r="L42" s="95">
        <f t="shared" si="73"/>
        <v>287.22360791716164</v>
      </c>
      <c r="M42" s="95">
        <f t="shared" si="73"/>
        <v>290.22001042705762</v>
      </c>
      <c r="N42" s="95">
        <f t="shared" si="73"/>
        <v>293.21188790470609</v>
      </c>
      <c r="O42" s="95">
        <f t="shared" si="73"/>
        <v>296.19966030745945</v>
      </c>
      <c r="P42" s="95">
        <f t="shared" si="73"/>
        <v>299.18367931364969</v>
      </c>
      <c r="Q42" s="95">
        <f t="shared" si="73"/>
        <v>302.16424351502525</v>
      </c>
      <c r="R42" s="95">
        <f t="shared" si="73"/>
        <v>305.14160943873964</v>
      </c>
      <c r="S42" s="95">
        <f t="shared" si="73"/>
        <v>308.11599973368197</v>
      </c>
      <c r="T42" s="95">
        <f t="shared" si="73"/>
        <v>311.08760937503695</v>
      </c>
      <c r="U42" s="95">
        <f t="shared" si="73"/>
        <v>314.05661045052523</v>
      </c>
      <c r="V42" s="95">
        <f t="shared" si="73"/>
        <v>317.02315591026837</v>
      </c>
      <c r="W42" s="95">
        <f t="shared" si="73"/>
        <v>319.9873825453684</v>
      </c>
      <c r="X42" s="95">
        <f t="shared" si="73"/>
        <v>322.94941338306347</v>
      </c>
      <c r="Y42" s="95">
        <f t="shared" si="73"/>
        <v>325.909359634091</v>
      </c>
      <c r="Z42" s="95">
        <f t="shared" si="73"/>
        <v>328.86732229182223</v>
      </c>
      <c r="AA42" s="95">
        <f t="shared" si="73"/>
        <v>331.82339345736472</v>
      </c>
      <c r="AB42" s="95">
        <f t="shared" si="73"/>
        <v>334.77765744668005</v>
      </c>
      <c r="AC42" s="95">
        <f t="shared" si="73"/>
        <v>337.73019172258512</v>
      </c>
      <c r="AD42" s="95">
        <f t="shared" si="73"/>
        <v>340.68106768479754</v>
      </c>
      <c r="AE42" s="95">
        <f t="shared" si="73"/>
        <v>343.63035134394613</v>
      </c>
      <c r="AF42" s="95">
        <f t="shared" si="73"/>
        <v>346.57810390000185</v>
      </c>
      <c r="AG42" s="95">
        <f t="shared" si="73"/>
        <v>348.30216001919695</v>
      </c>
      <c r="AH42" s="95">
        <f t="shared" si="73"/>
        <v>350.02479493361767</v>
      </c>
      <c r="AI42" s="95">
        <f t="shared" si="73"/>
        <v>351.74605815182741</v>
      </c>
      <c r="AJ42" s="95">
        <f t="shared" si="73"/>
        <v>353.46599601136273</v>
      </c>
      <c r="AK42" s="95">
        <f t="shared" si="73"/>
        <v>355.18465196905896</v>
      </c>
      <c r="AL42" s="95">
        <f t="shared" si="73"/>
        <v>356.90206685726264</v>
      </c>
      <c r="AM42" s="95">
        <f t="shared" si="73"/>
        <v>358.61827911077688</v>
      </c>
      <c r="AN42" s="95">
        <f t="shared" si="73"/>
        <v>360.33332496858065</v>
      </c>
      <c r="AO42" s="95">
        <f t="shared" si="73"/>
        <v>362.04723865371847</v>
      </c>
      <c r="AP42" s="95">
        <f t="shared" si="73"/>
        <v>363.76005253421954</v>
      </c>
      <c r="AQ42" s="95">
        <f t="shared" si="73"/>
        <v>365.47179726747311</v>
      </c>
      <c r="AR42" s="95">
        <f t="shared" si="73"/>
        <v>367.18250193012091</v>
      </c>
      <c r="AS42" s="95">
        <f t="shared" si="73"/>
        <v>368.89219413523102</v>
      </c>
      <c r="AT42" s="95">
        <f t="shared" si="73"/>
        <v>370.60090013826419</v>
      </c>
      <c r="AU42" s="95">
        <f t="shared" si="73"/>
        <v>372.30864493313618</v>
      </c>
      <c r="AV42" s="95">
        <f t="shared" si="73"/>
        <v>374.01545233949929</v>
      </c>
      <c r="AW42" s="95">
        <f t="shared" si="73"/>
        <v>375.72134508222109</v>
      </c>
      <c r="AX42" s="95">
        <f t="shared" si="73"/>
        <v>377.42634486390762</v>
      </c>
      <c r="AY42" s="95">
        <f t="shared" si="73"/>
        <v>379.1304724312127</v>
      </c>
      <c r="AZ42" s="95">
        <f t="shared" si="73"/>
        <v>380.83374763558089</v>
      </c>
      <c r="BA42" s="95">
        <f t="shared" si="73"/>
        <v>382.53618948899441</v>
      </c>
      <c r="BB42" s="95">
        <f t="shared" si="73"/>
        <v>384.23781621522363</v>
      </c>
      <c r="BC42" s="95">
        <f t="shared" si="73"/>
        <v>385.93864529702415</v>
      </c>
      <c r="BD42" s="95">
        <f t="shared" si="73"/>
        <v>387.63869351967094</v>
      </c>
      <c r="BE42" s="95">
        <f t="shared" si="73"/>
        <v>389.33797701117629</v>
      </c>
      <c r="BF42" s="95">
        <f t="shared" si="73"/>
        <v>391.03651127950093</v>
      </c>
      <c r="BG42" s="95">
        <f t="shared" si="73"/>
        <v>392.7343112470308</v>
      </c>
      <c r="BH42" s="95">
        <f t="shared" si="73"/>
        <v>394.43139128256649</v>
      </c>
      <c r="BI42" s="95">
        <f t="shared" si="73"/>
        <v>396.12776523104452</v>
      </c>
      <c r="BJ42" s="95">
        <f t="shared" si="73"/>
        <v>397.82344644118524</v>
      </c>
      <c r="BK42" s="95">
        <f t="shared" si="73"/>
        <v>399.51844779124667</v>
      </c>
      <c r="BL42" s="95">
        <f t="shared" si="73"/>
        <v>401.21278171304101</v>
      </c>
      <c r="BM42" s="95">
        <f t="shared" si="73"/>
        <v>402.90646021435731</v>
      </c>
      <c r="BN42" s="95">
        <f t="shared" si="73"/>
        <v>404.59949489992141</v>
      </c>
      <c r="BO42" s="95">
        <f t="shared" ref="BO42:DR42" si="74">(((BO43+BO45)*$B$49)+$B$57+BO46)*(44/12)</f>
        <v>406.29189699100743</v>
      </c>
      <c r="BP42" s="95">
        <f t="shared" si="74"/>
        <v>407.98367734380855</v>
      </c>
      <c r="BQ42" s="95">
        <f t="shared" si="74"/>
        <v>409.67484646666333</v>
      </c>
      <c r="BR42" s="95">
        <f t="shared" si="74"/>
        <v>411.36541453622357</v>
      </c>
      <c r="BS42" s="95">
        <f t="shared" si="74"/>
        <v>413.05539141264484</v>
      </c>
      <c r="BT42" s="95">
        <f t="shared" si="74"/>
        <v>414.74478665387056</v>
      </c>
      <c r="BU42" s="95">
        <f t="shared" si="74"/>
        <v>416.43360952907773</v>
      </c>
      <c r="BV42" s="95">
        <f t="shared" si="74"/>
        <v>418.12186903134238</v>
      </c>
      <c r="BW42" s="95">
        <f t="shared" si="74"/>
        <v>419.80957388958251</v>
      </c>
      <c r="BX42" s="95">
        <f t="shared" si="74"/>
        <v>421.49673257982721</v>
      </c>
      <c r="BY42" s="95">
        <f t="shared" si="74"/>
        <v>423.18335333585975</v>
      </c>
      <c r="BZ42" s="95">
        <f t="shared" si="74"/>
        <v>424.86944415927667</v>
      </c>
      <c r="CA42" s="95">
        <f t="shared" si="74"/>
        <v>426.55501282900275</v>
      </c>
      <c r="CB42" s="95">
        <f t="shared" si="74"/>
        <v>428.24006691029678</v>
      </c>
      <c r="CC42" s="95">
        <f t="shared" si="74"/>
        <v>429.92461376328345</v>
      </c>
      <c r="CD42" s="95">
        <f t="shared" si="74"/>
        <v>431.60866055103997</v>
      </c>
      <c r="CE42" s="95">
        <f t="shared" si="74"/>
        <v>433.29221424726762</v>
      </c>
      <c r="CF42" s="95">
        <f t="shared" si="74"/>
        <v>434.97528164357306</v>
      </c>
      <c r="CG42" s="95">
        <f t="shared" si="74"/>
        <v>436.65786935638471</v>
      </c>
      <c r="CH42" s="95">
        <f t="shared" si="74"/>
        <v>438.33998383352611</v>
      </c>
      <c r="CI42" s="95">
        <f t="shared" si="74"/>
        <v>440.02163136046738</v>
      </c>
      <c r="CJ42" s="95">
        <f t="shared" si="74"/>
        <v>441.70281806627446</v>
      </c>
      <c r="CK42" s="95">
        <f t="shared" si="74"/>
        <v>443.38354992927287</v>
      </c>
      <c r="CL42" s="95">
        <f t="shared" si="74"/>
        <v>445.06383278244459</v>
      </c>
      <c r="CM42" s="95">
        <f t="shared" si="74"/>
        <v>446.74367231857229</v>
      </c>
      <c r="CN42" s="95">
        <f t="shared" si="74"/>
        <v>448.42307409514535</v>
      </c>
      <c r="CO42" s="95">
        <f t="shared" si="74"/>
        <v>450.10204353904243</v>
      </c>
      <c r="CP42" s="95">
        <f t="shared" si="74"/>
        <v>451.7805859510014</v>
      </c>
      <c r="CQ42" s="95">
        <f t="shared" si="74"/>
        <v>453.45870650989019</v>
      </c>
      <c r="CR42" s="95">
        <f t="shared" si="74"/>
        <v>455.13641027678835</v>
      </c>
      <c r="CS42" s="95">
        <f t="shared" si="74"/>
        <v>456.8137021988897</v>
      </c>
      <c r="CT42" s="95">
        <f t="shared" si="74"/>
        <v>458.49058711323676</v>
      </c>
      <c r="CU42" s="95">
        <f t="shared" si="74"/>
        <v>460.16706975029382</v>
      </c>
      <c r="CV42" s="95">
        <f t="shared" si="74"/>
        <v>461.84315473737024</v>
      </c>
      <c r="CW42" s="95">
        <f t="shared" si="74"/>
        <v>463.51884660189836</v>
      </c>
      <c r="CX42" s="95">
        <f t="shared" si="74"/>
        <v>465.19414977457598</v>
      </c>
      <c r="CY42" s="95">
        <f t="shared" si="74"/>
        <v>466.86906859237962</v>
      </c>
      <c r="CZ42" s="95">
        <f t="shared" si="74"/>
        <v>468.54360730145476</v>
      </c>
      <c r="DA42" s="95">
        <f t="shared" si="74"/>
        <v>470.21777005988957</v>
      </c>
      <c r="DB42" s="95">
        <f t="shared" si="74"/>
        <v>471.89156094037787</v>
      </c>
      <c r="DC42" s="95">
        <f t="shared" si="74"/>
        <v>473.56498393277684</v>
      </c>
      <c r="DD42" s="95">
        <f t="shared" si="74"/>
        <v>475.23804294656395</v>
      </c>
      <c r="DE42" s="95">
        <f t="shared" si="74"/>
        <v>476.91074181319982</v>
      </c>
      <c r="DF42" s="95">
        <f t="shared" si="74"/>
        <v>478.5830842883986</v>
      </c>
      <c r="DG42" s="95">
        <f t="shared" si="74"/>
        <v>480.25507405431256</v>
      </c>
      <c r="DH42" s="95">
        <f t="shared" si="74"/>
        <v>481.92671472163516</v>
      </c>
      <c r="DI42" s="95">
        <f t="shared" si="74"/>
        <v>483.59800983162364</v>
      </c>
      <c r="DJ42" s="95">
        <f t="shared" si="74"/>
        <v>485.26896285804816</v>
      </c>
      <c r="DK42" s="95">
        <f t="shared" si="74"/>
        <v>486.93957720906837</v>
      </c>
      <c r="DL42" s="95">
        <f t="shared" si="74"/>
        <v>488.60985622904252</v>
      </c>
      <c r="DM42" s="95">
        <f t="shared" si="74"/>
        <v>490.27980320026995</v>
      </c>
      <c r="DN42" s="95">
        <f t="shared" si="74"/>
        <v>491.94942134467294</v>
      </c>
      <c r="DO42" s="95">
        <f t="shared" si="74"/>
        <v>493.61871382541761</v>
      </c>
      <c r="DP42" s="95">
        <f t="shared" si="74"/>
        <v>495.28768374847834</v>
      </c>
      <c r="DQ42" s="95">
        <f t="shared" si="74"/>
        <v>496.95633416414756</v>
      </c>
      <c r="DR42" s="176">
        <f t="shared" si="74"/>
        <v>498.62466806849301</v>
      </c>
    </row>
    <row r="43" spans="1:124" x14ac:dyDescent="0.35">
      <c r="A43" s="3" t="s">
        <v>232</v>
      </c>
      <c r="B43" s="95">
        <f>B44*$C$36*$E$37</f>
        <v>0</v>
      </c>
      <c r="C43" s="95">
        <f>C44*1.43*$E$51</f>
        <v>0.7722</v>
      </c>
      <c r="D43" s="95">
        <f t="shared" ref="D43:BO43" si="75">D44*1.43*$E$51</f>
        <v>1.5444</v>
      </c>
      <c r="E43" s="95">
        <f t="shared" si="75"/>
        <v>2.3166000000000002</v>
      </c>
      <c r="F43" s="95">
        <f t="shared" si="75"/>
        <v>3.0888</v>
      </c>
      <c r="G43" s="95">
        <f t="shared" si="75"/>
        <v>3.8609999999999998</v>
      </c>
      <c r="H43" s="95">
        <f t="shared" si="75"/>
        <v>4.6332000000000004</v>
      </c>
      <c r="I43" s="95">
        <f t="shared" si="75"/>
        <v>5.4054000000000002</v>
      </c>
      <c r="J43" s="95">
        <f t="shared" si="75"/>
        <v>6.1776</v>
      </c>
      <c r="K43" s="95">
        <f t="shared" si="75"/>
        <v>6.9497999999999998</v>
      </c>
      <c r="L43" s="95">
        <f t="shared" si="75"/>
        <v>7.7219999999999995</v>
      </c>
      <c r="M43" s="95">
        <f t="shared" si="75"/>
        <v>8.4941999999999993</v>
      </c>
      <c r="N43" s="95">
        <f t="shared" si="75"/>
        <v>9.2664000000000009</v>
      </c>
      <c r="O43" s="95">
        <f t="shared" si="75"/>
        <v>10.038600000000001</v>
      </c>
      <c r="P43" s="95">
        <f t="shared" si="75"/>
        <v>10.8108</v>
      </c>
      <c r="Q43" s="95">
        <f t="shared" si="75"/>
        <v>11.583</v>
      </c>
      <c r="R43" s="95">
        <f t="shared" si="75"/>
        <v>12.3552</v>
      </c>
      <c r="S43" s="95">
        <f t="shared" si="75"/>
        <v>13.1274</v>
      </c>
      <c r="T43" s="95">
        <f t="shared" si="75"/>
        <v>13.8996</v>
      </c>
      <c r="U43" s="95">
        <f t="shared" si="75"/>
        <v>14.671799999999999</v>
      </c>
      <c r="V43" s="95">
        <f t="shared" si="75"/>
        <v>15.443999999999999</v>
      </c>
      <c r="W43" s="95">
        <f t="shared" si="75"/>
        <v>16.216200000000001</v>
      </c>
      <c r="X43" s="95">
        <f t="shared" si="75"/>
        <v>16.988399999999999</v>
      </c>
      <c r="Y43" s="95">
        <f t="shared" si="75"/>
        <v>17.7606</v>
      </c>
      <c r="Z43" s="95">
        <f t="shared" si="75"/>
        <v>18.532800000000002</v>
      </c>
      <c r="AA43" s="95">
        <f t="shared" si="75"/>
        <v>19.305</v>
      </c>
      <c r="AB43" s="95">
        <f t="shared" si="75"/>
        <v>20.077200000000001</v>
      </c>
      <c r="AC43" s="95">
        <f t="shared" si="75"/>
        <v>20.849400000000003</v>
      </c>
      <c r="AD43" s="95">
        <f t="shared" si="75"/>
        <v>21.621600000000001</v>
      </c>
      <c r="AE43" s="95">
        <f t="shared" si="75"/>
        <v>22.393800000000002</v>
      </c>
      <c r="AF43" s="95">
        <f t="shared" si="75"/>
        <v>23.166</v>
      </c>
      <c r="AG43" s="95">
        <f t="shared" si="75"/>
        <v>23.938200000000002</v>
      </c>
      <c r="AH43" s="95">
        <f t="shared" si="75"/>
        <v>24.7104</v>
      </c>
      <c r="AI43" s="95">
        <f t="shared" si="75"/>
        <v>25.482600000000001</v>
      </c>
      <c r="AJ43" s="95">
        <f t="shared" si="75"/>
        <v>26.254799999999999</v>
      </c>
      <c r="AK43" s="95">
        <f t="shared" si="75"/>
        <v>27.027000000000001</v>
      </c>
      <c r="AL43" s="95">
        <f t="shared" si="75"/>
        <v>27.799199999999999</v>
      </c>
      <c r="AM43" s="95">
        <f t="shared" si="75"/>
        <v>28.571400000000001</v>
      </c>
      <c r="AN43" s="95">
        <f t="shared" si="75"/>
        <v>29.343599999999999</v>
      </c>
      <c r="AO43" s="95">
        <f t="shared" si="75"/>
        <v>30.1158</v>
      </c>
      <c r="AP43" s="95">
        <f t="shared" si="75"/>
        <v>30.887999999999998</v>
      </c>
      <c r="AQ43" s="95">
        <f t="shared" si="75"/>
        <v>31.6602</v>
      </c>
      <c r="AR43" s="95">
        <f t="shared" si="75"/>
        <v>32.432400000000001</v>
      </c>
      <c r="AS43" s="95">
        <f t="shared" si="75"/>
        <v>33.204599999999999</v>
      </c>
      <c r="AT43" s="95">
        <f t="shared" si="75"/>
        <v>33.976799999999997</v>
      </c>
      <c r="AU43" s="95">
        <f t="shared" si="75"/>
        <v>34.749000000000002</v>
      </c>
      <c r="AV43" s="95">
        <f t="shared" si="75"/>
        <v>35.5212</v>
      </c>
      <c r="AW43" s="95">
        <f t="shared" si="75"/>
        <v>36.293399999999998</v>
      </c>
      <c r="AX43" s="95">
        <f t="shared" si="75"/>
        <v>37.065600000000003</v>
      </c>
      <c r="AY43" s="95">
        <f t="shared" si="75"/>
        <v>37.837800000000001</v>
      </c>
      <c r="AZ43" s="95">
        <f t="shared" si="75"/>
        <v>38.61</v>
      </c>
      <c r="BA43" s="95">
        <f t="shared" si="75"/>
        <v>39.382199999999997</v>
      </c>
      <c r="BB43" s="95">
        <f t="shared" si="75"/>
        <v>40.154400000000003</v>
      </c>
      <c r="BC43" s="95">
        <f t="shared" si="75"/>
        <v>40.926600000000001</v>
      </c>
      <c r="BD43" s="95">
        <f t="shared" si="75"/>
        <v>41.698800000000006</v>
      </c>
      <c r="BE43" s="95">
        <f t="shared" si="75"/>
        <v>42.470999999999997</v>
      </c>
      <c r="BF43" s="95">
        <f t="shared" si="75"/>
        <v>43.243200000000002</v>
      </c>
      <c r="BG43" s="95">
        <f t="shared" si="75"/>
        <v>44.0154</v>
      </c>
      <c r="BH43" s="95">
        <f t="shared" si="75"/>
        <v>44.787600000000005</v>
      </c>
      <c r="BI43" s="95">
        <f t="shared" si="75"/>
        <v>45.559799999999996</v>
      </c>
      <c r="BJ43" s="95">
        <f t="shared" si="75"/>
        <v>46.332000000000001</v>
      </c>
      <c r="BK43" s="95">
        <f t="shared" si="75"/>
        <v>47.104199999999999</v>
      </c>
      <c r="BL43" s="95">
        <f t="shared" si="75"/>
        <v>47.876400000000004</v>
      </c>
      <c r="BM43" s="95">
        <f t="shared" si="75"/>
        <v>48.648599999999995</v>
      </c>
      <c r="BN43" s="95">
        <f t="shared" si="75"/>
        <v>49.4208</v>
      </c>
      <c r="BO43" s="95">
        <f t="shared" si="75"/>
        <v>50.193000000000005</v>
      </c>
      <c r="BP43" s="95">
        <f t="shared" ref="BP43:DQ43" si="76">BP44*1.43*$E$51</f>
        <v>50.965200000000003</v>
      </c>
      <c r="BQ43" s="95">
        <f t="shared" si="76"/>
        <v>51.737400000000008</v>
      </c>
      <c r="BR43" s="95">
        <f t="shared" si="76"/>
        <v>52.509599999999999</v>
      </c>
      <c r="BS43" s="95">
        <f t="shared" si="76"/>
        <v>53.281800000000004</v>
      </c>
      <c r="BT43" s="95">
        <f t="shared" si="76"/>
        <v>54.054000000000002</v>
      </c>
      <c r="BU43" s="95">
        <f t="shared" si="76"/>
        <v>54.826200000000007</v>
      </c>
      <c r="BV43" s="95">
        <f t="shared" si="76"/>
        <v>55.598399999999998</v>
      </c>
      <c r="BW43" s="95">
        <f t="shared" si="76"/>
        <v>56.370600000000003</v>
      </c>
      <c r="BX43" s="95">
        <f t="shared" si="76"/>
        <v>57.142800000000001</v>
      </c>
      <c r="BY43" s="95">
        <f t="shared" si="76"/>
        <v>57.915000000000006</v>
      </c>
      <c r="BZ43" s="95">
        <f t="shared" si="76"/>
        <v>58.687199999999997</v>
      </c>
      <c r="CA43" s="95">
        <f t="shared" si="76"/>
        <v>59.459400000000002</v>
      </c>
      <c r="CB43" s="95">
        <f t="shared" si="76"/>
        <v>60.2316</v>
      </c>
      <c r="CC43" s="95">
        <f t="shared" si="76"/>
        <v>61.003800000000005</v>
      </c>
      <c r="CD43" s="95">
        <f t="shared" si="76"/>
        <v>61.775999999999996</v>
      </c>
      <c r="CE43" s="95">
        <f t="shared" si="76"/>
        <v>62.548200000000001</v>
      </c>
      <c r="CF43" s="95">
        <f t="shared" si="76"/>
        <v>63.320399999999999</v>
      </c>
      <c r="CG43" s="95">
        <f t="shared" si="76"/>
        <v>64.092600000000004</v>
      </c>
      <c r="CH43" s="95">
        <f t="shared" si="76"/>
        <v>64.864800000000002</v>
      </c>
      <c r="CI43" s="95">
        <f t="shared" si="76"/>
        <v>65.637</v>
      </c>
      <c r="CJ43" s="95">
        <f t="shared" si="76"/>
        <v>66.409199999999998</v>
      </c>
      <c r="CK43" s="95">
        <f t="shared" si="76"/>
        <v>67.181399999999996</v>
      </c>
      <c r="CL43" s="95">
        <f t="shared" si="76"/>
        <v>67.953599999999994</v>
      </c>
      <c r="CM43" s="95">
        <f t="shared" si="76"/>
        <v>68.725800000000007</v>
      </c>
      <c r="CN43" s="95">
        <f t="shared" si="76"/>
        <v>69.498000000000005</v>
      </c>
      <c r="CO43" s="95">
        <f t="shared" si="76"/>
        <v>70.270200000000003</v>
      </c>
      <c r="CP43" s="95">
        <f t="shared" si="76"/>
        <v>71.042400000000001</v>
      </c>
      <c r="CQ43" s="95">
        <f t="shared" si="76"/>
        <v>71.814599999999999</v>
      </c>
      <c r="CR43" s="95">
        <f t="shared" si="76"/>
        <v>72.586799999999997</v>
      </c>
      <c r="CS43" s="95">
        <f t="shared" si="76"/>
        <v>73.358999999999995</v>
      </c>
      <c r="CT43" s="95">
        <f t="shared" si="76"/>
        <v>74.131200000000007</v>
      </c>
      <c r="CU43" s="95">
        <f t="shared" si="76"/>
        <v>74.903400000000005</v>
      </c>
      <c r="CV43" s="95">
        <f t="shared" si="76"/>
        <v>75.675600000000003</v>
      </c>
      <c r="CW43" s="95">
        <f t="shared" si="76"/>
        <v>76.447800000000001</v>
      </c>
      <c r="CX43" s="95">
        <f t="shared" si="76"/>
        <v>77.22</v>
      </c>
      <c r="CY43" s="95">
        <f t="shared" si="76"/>
        <v>77.992200000000011</v>
      </c>
      <c r="CZ43" s="95">
        <f t="shared" si="76"/>
        <v>78.764399999999995</v>
      </c>
      <c r="DA43" s="95">
        <f t="shared" si="76"/>
        <v>79.536600000000007</v>
      </c>
      <c r="DB43" s="95">
        <f t="shared" si="76"/>
        <v>80.308800000000005</v>
      </c>
      <c r="DC43" s="95">
        <f t="shared" si="76"/>
        <v>81.081000000000003</v>
      </c>
      <c r="DD43" s="95">
        <f t="shared" si="76"/>
        <v>81.853200000000001</v>
      </c>
      <c r="DE43" s="95">
        <f t="shared" si="76"/>
        <v>82.625399999999999</v>
      </c>
      <c r="DF43" s="95">
        <f t="shared" si="76"/>
        <v>83.397600000000011</v>
      </c>
      <c r="DG43" s="95">
        <f t="shared" si="76"/>
        <v>84.169800000000009</v>
      </c>
      <c r="DH43" s="95">
        <f t="shared" si="76"/>
        <v>84.941999999999993</v>
      </c>
      <c r="DI43" s="95">
        <f t="shared" si="76"/>
        <v>85.714200000000005</v>
      </c>
      <c r="DJ43" s="95">
        <f t="shared" si="76"/>
        <v>86.486400000000003</v>
      </c>
      <c r="DK43" s="95">
        <f t="shared" si="76"/>
        <v>87.258600000000001</v>
      </c>
      <c r="DL43" s="95">
        <f t="shared" si="76"/>
        <v>88.030799999999999</v>
      </c>
      <c r="DM43" s="95">
        <f t="shared" si="76"/>
        <v>88.802999999999997</v>
      </c>
      <c r="DN43" s="95">
        <f t="shared" si="76"/>
        <v>89.575200000000009</v>
      </c>
      <c r="DO43" s="95">
        <f t="shared" si="76"/>
        <v>90.347400000000007</v>
      </c>
      <c r="DP43" s="95">
        <f t="shared" si="76"/>
        <v>91.119599999999991</v>
      </c>
      <c r="DQ43" s="95">
        <f t="shared" si="76"/>
        <v>91.891800000000003</v>
      </c>
      <c r="DR43" s="176">
        <f>DR44*1.43*$E$51</f>
        <v>92.664000000000001</v>
      </c>
    </row>
    <row r="44" spans="1:124" ht="17" customHeight="1" x14ac:dyDescent="0.35">
      <c r="A44" s="18" t="s">
        <v>233</v>
      </c>
      <c r="B44" s="95">
        <v>0</v>
      </c>
      <c r="C44" s="95">
        <f>IF($B$16="NON",1,0.5)</f>
        <v>1</v>
      </c>
      <c r="D44" s="95">
        <f>IF($B$16="NON",C44+1,C44+0.5)</f>
        <v>2</v>
      </c>
      <c r="E44" s="95">
        <f t="shared" ref="E44:AF44" si="77">IF($B$16="NON",D44+1,D44+0.5)</f>
        <v>3</v>
      </c>
      <c r="F44" s="95">
        <f t="shared" si="77"/>
        <v>4</v>
      </c>
      <c r="G44" s="95">
        <f t="shared" si="77"/>
        <v>5</v>
      </c>
      <c r="H44" s="95">
        <f t="shared" si="77"/>
        <v>6</v>
      </c>
      <c r="I44" s="95">
        <f t="shared" si="77"/>
        <v>7</v>
      </c>
      <c r="J44" s="95">
        <f t="shared" si="77"/>
        <v>8</v>
      </c>
      <c r="K44" s="95">
        <f t="shared" si="77"/>
        <v>9</v>
      </c>
      <c r="L44" s="95">
        <f t="shared" si="77"/>
        <v>10</v>
      </c>
      <c r="M44" s="95">
        <f t="shared" si="77"/>
        <v>11</v>
      </c>
      <c r="N44" s="95">
        <f t="shared" si="77"/>
        <v>12</v>
      </c>
      <c r="O44" s="95">
        <f t="shared" si="77"/>
        <v>13</v>
      </c>
      <c r="P44" s="95">
        <f t="shared" si="77"/>
        <v>14</v>
      </c>
      <c r="Q44" s="95">
        <f t="shared" si="77"/>
        <v>15</v>
      </c>
      <c r="R44" s="95">
        <f t="shared" si="77"/>
        <v>16</v>
      </c>
      <c r="S44" s="95">
        <f t="shared" si="77"/>
        <v>17</v>
      </c>
      <c r="T44" s="95">
        <f t="shared" si="77"/>
        <v>18</v>
      </c>
      <c r="U44" s="95">
        <f t="shared" si="77"/>
        <v>19</v>
      </c>
      <c r="V44" s="95">
        <f t="shared" si="77"/>
        <v>20</v>
      </c>
      <c r="W44" s="95">
        <f t="shared" si="77"/>
        <v>21</v>
      </c>
      <c r="X44" s="95">
        <f t="shared" si="77"/>
        <v>22</v>
      </c>
      <c r="Y44" s="95">
        <f t="shared" si="77"/>
        <v>23</v>
      </c>
      <c r="Z44" s="95">
        <f t="shared" si="77"/>
        <v>24</v>
      </c>
      <c r="AA44" s="95">
        <f t="shared" si="77"/>
        <v>25</v>
      </c>
      <c r="AB44" s="95">
        <f t="shared" si="77"/>
        <v>26</v>
      </c>
      <c r="AC44" s="95">
        <f t="shared" si="77"/>
        <v>27</v>
      </c>
      <c r="AD44" s="95">
        <f t="shared" si="77"/>
        <v>28</v>
      </c>
      <c r="AE44" s="95">
        <f t="shared" si="77"/>
        <v>29</v>
      </c>
      <c r="AF44" s="95">
        <f t="shared" si="77"/>
        <v>30</v>
      </c>
      <c r="AG44" s="95">
        <f t="shared" ref="AG44" si="78">IF($B$16="NON",AF44+1,AF44+0.5)</f>
        <v>31</v>
      </c>
      <c r="AH44" s="95">
        <f t="shared" ref="AH44" si="79">IF($B$16="NON",AG44+1,AG44+0.5)</f>
        <v>32</v>
      </c>
      <c r="AI44" s="95">
        <f t="shared" ref="AI44" si="80">IF($B$16="NON",AH44+1,AH44+0.5)</f>
        <v>33</v>
      </c>
      <c r="AJ44" s="95">
        <f t="shared" ref="AJ44" si="81">IF($B$16="NON",AI44+1,AI44+0.5)</f>
        <v>34</v>
      </c>
      <c r="AK44" s="95">
        <f t="shared" ref="AK44" si="82">IF($B$16="NON",AJ44+1,AJ44+0.5)</f>
        <v>35</v>
      </c>
      <c r="AL44" s="95">
        <f t="shared" ref="AL44" si="83">IF($B$16="NON",AK44+1,AK44+0.5)</f>
        <v>36</v>
      </c>
      <c r="AM44" s="95">
        <f t="shared" ref="AM44" si="84">IF($B$16="NON",AL44+1,AL44+0.5)</f>
        <v>37</v>
      </c>
      <c r="AN44" s="95">
        <f t="shared" ref="AN44" si="85">IF($B$16="NON",AM44+1,AM44+0.5)</f>
        <v>38</v>
      </c>
      <c r="AO44" s="95">
        <f t="shared" ref="AO44" si="86">IF($B$16="NON",AN44+1,AN44+0.5)</f>
        <v>39</v>
      </c>
      <c r="AP44" s="95">
        <f t="shared" ref="AP44" si="87">IF($B$16="NON",AO44+1,AO44+0.5)</f>
        <v>40</v>
      </c>
      <c r="AQ44" s="95">
        <f t="shared" ref="AQ44" si="88">IF($B$16="NON",AP44+1,AP44+0.5)</f>
        <v>41</v>
      </c>
      <c r="AR44" s="95">
        <f t="shared" ref="AR44" si="89">IF($B$16="NON",AQ44+1,AQ44+0.5)</f>
        <v>42</v>
      </c>
      <c r="AS44" s="95">
        <f t="shared" ref="AS44" si="90">IF($B$16="NON",AR44+1,AR44+0.5)</f>
        <v>43</v>
      </c>
      <c r="AT44" s="95">
        <f t="shared" ref="AT44" si="91">IF($B$16="NON",AS44+1,AS44+0.5)</f>
        <v>44</v>
      </c>
      <c r="AU44" s="95">
        <f t="shared" ref="AU44" si="92">IF($B$16="NON",AT44+1,AT44+0.5)</f>
        <v>45</v>
      </c>
      <c r="AV44" s="95">
        <f t="shared" ref="AV44" si="93">IF($B$16="NON",AU44+1,AU44+0.5)</f>
        <v>46</v>
      </c>
      <c r="AW44" s="95">
        <f t="shared" ref="AW44" si="94">IF($B$16="NON",AV44+1,AV44+0.5)</f>
        <v>47</v>
      </c>
      <c r="AX44" s="95">
        <f t="shared" ref="AX44" si="95">IF($B$16="NON",AW44+1,AW44+0.5)</f>
        <v>48</v>
      </c>
      <c r="AY44" s="95">
        <f t="shared" ref="AY44" si="96">IF($B$16="NON",AX44+1,AX44+0.5)</f>
        <v>49</v>
      </c>
      <c r="AZ44" s="95">
        <f t="shared" ref="AZ44" si="97">IF($B$16="NON",AY44+1,AY44+0.5)</f>
        <v>50</v>
      </c>
      <c r="BA44" s="95">
        <f t="shared" ref="BA44" si="98">IF($B$16="NON",AZ44+1,AZ44+0.5)</f>
        <v>51</v>
      </c>
      <c r="BB44" s="95">
        <f t="shared" ref="BB44" si="99">IF($B$16="NON",BA44+1,BA44+0.5)</f>
        <v>52</v>
      </c>
      <c r="BC44" s="95">
        <f t="shared" ref="BC44" si="100">IF($B$16="NON",BB44+1,BB44+0.5)</f>
        <v>53</v>
      </c>
      <c r="BD44" s="95">
        <f t="shared" ref="BD44" si="101">IF($B$16="NON",BC44+1,BC44+0.5)</f>
        <v>54</v>
      </c>
      <c r="BE44" s="95">
        <f t="shared" ref="BE44" si="102">IF($B$16="NON",BD44+1,BD44+0.5)</f>
        <v>55</v>
      </c>
      <c r="BF44" s="95">
        <f t="shared" ref="BF44" si="103">IF($B$16="NON",BE44+1,BE44+0.5)</f>
        <v>56</v>
      </c>
      <c r="BG44" s="95">
        <f t="shared" ref="BG44" si="104">IF($B$16="NON",BF44+1,BF44+0.5)</f>
        <v>57</v>
      </c>
      <c r="BH44" s="95">
        <f t="shared" ref="BH44" si="105">IF($B$16="NON",BG44+1,BG44+0.5)</f>
        <v>58</v>
      </c>
      <c r="BI44" s="95">
        <f t="shared" ref="BI44" si="106">IF($B$16="NON",BH44+1,BH44+0.5)</f>
        <v>59</v>
      </c>
      <c r="BJ44" s="95">
        <f t="shared" ref="BJ44" si="107">IF($B$16="NON",BI44+1,BI44+0.5)</f>
        <v>60</v>
      </c>
      <c r="BK44" s="95">
        <f t="shared" ref="BK44" si="108">IF($B$16="NON",BJ44+1,BJ44+0.5)</f>
        <v>61</v>
      </c>
      <c r="BL44" s="95">
        <f t="shared" ref="BL44" si="109">IF($B$16="NON",BK44+1,BK44+0.5)</f>
        <v>62</v>
      </c>
      <c r="BM44" s="95">
        <f t="shared" ref="BM44" si="110">IF($B$16="NON",BL44+1,BL44+0.5)</f>
        <v>63</v>
      </c>
      <c r="BN44" s="95">
        <f t="shared" ref="BN44" si="111">IF($B$16="NON",BM44+1,BM44+0.5)</f>
        <v>64</v>
      </c>
      <c r="BO44" s="95">
        <f t="shared" ref="BO44" si="112">IF($B$16="NON",BN44+1,BN44+0.5)</f>
        <v>65</v>
      </c>
      <c r="BP44" s="95">
        <f t="shared" ref="BP44" si="113">IF($B$16="NON",BO44+1,BO44+0.5)</f>
        <v>66</v>
      </c>
      <c r="BQ44" s="95">
        <f t="shared" ref="BQ44" si="114">IF($B$16="NON",BP44+1,BP44+0.5)</f>
        <v>67</v>
      </c>
      <c r="BR44" s="95">
        <f t="shared" ref="BR44" si="115">IF($B$16="NON",BQ44+1,BQ44+0.5)</f>
        <v>68</v>
      </c>
      <c r="BS44" s="95">
        <f t="shared" ref="BS44" si="116">IF($B$16="NON",BR44+1,BR44+0.5)</f>
        <v>69</v>
      </c>
      <c r="BT44" s="95">
        <f t="shared" ref="BT44" si="117">IF($B$16="NON",BS44+1,BS44+0.5)</f>
        <v>70</v>
      </c>
      <c r="BU44" s="95">
        <f t="shared" ref="BU44" si="118">IF($B$16="NON",BT44+1,BT44+0.5)</f>
        <v>71</v>
      </c>
      <c r="BV44" s="95">
        <f t="shared" ref="BV44" si="119">IF($B$16="NON",BU44+1,BU44+0.5)</f>
        <v>72</v>
      </c>
      <c r="BW44" s="95">
        <f t="shared" ref="BW44" si="120">IF($B$16="NON",BV44+1,BV44+0.5)</f>
        <v>73</v>
      </c>
      <c r="BX44" s="95">
        <f t="shared" ref="BX44" si="121">IF($B$16="NON",BW44+1,BW44+0.5)</f>
        <v>74</v>
      </c>
      <c r="BY44" s="95">
        <f t="shared" ref="BY44" si="122">IF($B$16="NON",BX44+1,BX44+0.5)</f>
        <v>75</v>
      </c>
      <c r="BZ44" s="95">
        <f t="shared" ref="BZ44" si="123">IF($B$16="NON",BY44+1,BY44+0.5)</f>
        <v>76</v>
      </c>
      <c r="CA44" s="95">
        <f t="shared" ref="CA44" si="124">IF($B$16="NON",BZ44+1,BZ44+0.5)</f>
        <v>77</v>
      </c>
      <c r="CB44" s="95">
        <f t="shared" ref="CB44" si="125">IF($B$16="NON",CA44+1,CA44+0.5)</f>
        <v>78</v>
      </c>
      <c r="CC44" s="95">
        <f t="shared" ref="CC44" si="126">IF($B$16="NON",CB44+1,CB44+0.5)</f>
        <v>79</v>
      </c>
      <c r="CD44" s="95">
        <f t="shared" ref="CD44" si="127">IF($B$16="NON",CC44+1,CC44+0.5)</f>
        <v>80</v>
      </c>
      <c r="CE44" s="95">
        <f t="shared" ref="CE44" si="128">IF($B$16="NON",CD44+1,CD44+0.5)</f>
        <v>81</v>
      </c>
      <c r="CF44" s="95">
        <f t="shared" ref="CF44" si="129">IF($B$16="NON",CE44+1,CE44+0.5)</f>
        <v>82</v>
      </c>
      <c r="CG44" s="95">
        <f t="shared" ref="CG44" si="130">IF($B$16="NON",CF44+1,CF44+0.5)</f>
        <v>83</v>
      </c>
      <c r="CH44" s="95">
        <f t="shared" ref="CH44" si="131">IF($B$16="NON",CG44+1,CG44+0.5)</f>
        <v>84</v>
      </c>
      <c r="CI44" s="95">
        <f t="shared" ref="CI44" si="132">IF($B$16="NON",CH44+1,CH44+0.5)</f>
        <v>85</v>
      </c>
      <c r="CJ44" s="95">
        <f t="shared" ref="CJ44" si="133">IF($B$16="NON",CI44+1,CI44+0.5)</f>
        <v>86</v>
      </c>
      <c r="CK44" s="95">
        <f t="shared" ref="CK44" si="134">IF($B$16="NON",CJ44+1,CJ44+0.5)</f>
        <v>87</v>
      </c>
      <c r="CL44" s="95">
        <f t="shared" ref="CL44" si="135">IF($B$16="NON",CK44+1,CK44+0.5)</f>
        <v>88</v>
      </c>
      <c r="CM44" s="95">
        <f t="shared" ref="CM44" si="136">IF($B$16="NON",CL44+1,CL44+0.5)</f>
        <v>89</v>
      </c>
      <c r="CN44" s="95">
        <f t="shared" ref="CN44" si="137">IF($B$16="NON",CM44+1,CM44+0.5)</f>
        <v>90</v>
      </c>
      <c r="CO44" s="95">
        <f t="shared" ref="CO44" si="138">IF($B$16="NON",CN44+1,CN44+0.5)</f>
        <v>91</v>
      </c>
      <c r="CP44" s="95">
        <f t="shared" ref="CP44" si="139">IF($B$16="NON",CO44+1,CO44+0.5)</f>
        <v>92</v>
      </c>
      <c r="CQ44" s="95">
        <f t="shared" ref="CQ44" si="140">IF($B$16="NON",CP44+1,CP44+0.5)</f>
        <v>93</v>
      </c>
      <c r="CR44" s="95">
        <f t="shared" ref="CR44" si="141">IF($B$16="NON",CQ44+1,CQ44+0.5)</f>
        <v>94</v>
      </c>
      <c r="CS44" s="95">
        <f t="shared" ref="CS44" si="142">IF($B$16="NON",CR44+1,CR44+0.5)</f>
        <v>95</v>
      </c>
      <c r="CT44" s="95">
        <f t="shared" ref="CT44" si="143">IF($B$16="NON",CS44+1,CS44+0.5)</f>
        <v>96</v>
      </c>
      <c r="CU44" s="95">
        <f t="shared" ref="CU44" si="144">IF($B$16="NON",CT44+1,CT44+0.5)</f>
        <v>97</v>
      </c>
      <c r="CV44" s="95">
        <f t="shared" ref="CV44" si="145">IF($B$16="NON",CU44+1,CU44+0.5)</f>
        <v>98</v>
      </c>
      <c r="CW44" s="95">
        <f t="shared" ref="CW44" si="146">IF($B$16="NON",CV44+1,CV44+0.5)</f>
        <v>99</v>
      </c>
      <c r="CX44" s="95">
        <f t="shared" ref="CX44" si="147">IF($B$16="NON",CW44+1,CW44+0.5)</f>
        <v>100</v>
      </c>
      <c r="CY44" s="95">
        <f t="shared" ref="CY44" si="148">IF($B$16="NON",CX44+1,CX44+0.5)</f>
        <v>101</v>
      </c>
      <c r="CZ44" s="95">
        <f t="shared" ref="CZ44" si="149">IF($B$16="NON",CY44+1,CY44+0.5)</f>
        <v>102</v>
      </c>
      <c r="DA44" s="95">
        <f t="shared" ref="DA44" si="150">IF($B$16="NON",CZ44+1,CZ44+0.5)</f>
        <v>103</v>
      </c>
      <c r="DB44" s="95">
        <f t="shared" ref="DB44" si="151">IF($B$16="NON",DA44+1,DA44+0.5)</f>
        <v>104</v>
      </c>
      <c r="DC44" s="95">
        <f t="shared" ref="DC44" si="152">IF($B$16="NON",DB44+1,DB44+0.5)</f>
        <v>105</v>
      </c>
      <c r="DD44" s="95">
        <f t="shared" ref="DD44" si="153">IF($B$16="NON",DC44+1,DC44+0.5)</f>
        <v>106</v>
      </c>
      <c r="DE44" s="95">
        <f t="shared" ref="DE44" si="154">IF($B$16="NON",DD44+1,DD44+0.5)</f>
        <v>107</v>
      </c>
      <c r="DF44" s="95">
        <f t="shared" ref="DF44" si="155">IF($B$16="NON",DE44+1,DE44+0.5)</f>
        <v>108</v>
      </c>
      <c r="DG44" s="95">
        <f t="shared" ref="DG44" si="156">IF($B$16="NON",DF44+1,DF44+0.5)</f>
        <v>109</v>
      </c>
      <c r="DH44" s="95">
        <f t="shared" ref="DH44" si="157">IF($B$16="NON",DG44+1,DG44+0.5)</f>
        <v>110</v>
      </c>
      <c r="DI44" s="95">
        <f t="shared" ref="DI44" si="158">IF($B$16="NON",DH44+1,DH44+0.5)</f>
        <v>111</v>
      </c>
      <c r="DJ44" s="95">
        <f t="shared" ref="DJ44" si="159">IF($B$16="NON",DI44+1,DI44+0.5)</f>
        <v>112</v>
      </c>
      <c r="DK44" s="95">
        <f t="shared" ref="DK44" si="160">IF($B$16="NON",DJ44+1,DJ44+0.5)</f>
        <v>113</v>
      </c>
      <c r="DL44" s="95">
        <f t="shared" ref="DL44" si="161">IF($B$16="NON",DK44+1,DK44+0.5)</f>
        <v>114</v>
      </c>
      <c r="DM44" s="95">
        <f t="shared" ref="DM44" si="162">IF($B$16="NON",DL44+1,DL44+0.5)</f>
        <v>115</v>
      </c>
      <c r="DN44" s="95">
        <f t="shared" ref="DN44" si="163">IF($B$16="NON",DM44+1,DM44+0.5)</f>
        <v>116</v>
      </c>
      <c r="DO44" s="95">
        <f t="shared" ref="DO44" si="164">IF($B$16="NON",DN44+1,DN44+0.5)</f>
        <v>117</v>
      </c>
      <c r="DP44" s="95">
        <f t="shared" ref="DP44" si="165">IF($B$16="NON",DO44+1,DO44+0.5)</f>
        <v>118</v>
      </c>
      <c r="DQ44" s="95">
        <f t="shared" ref="DQ44" si="166">IF($B$16="NON",DP44+1,DP44+0.5)</f>
        <v>119</v>
      </c>
      <c r="DR44" s="176">
        <f t="shared" ref="DR44" si="167">IF($B$16="NON",DQ44+1,DQ44+0.5)</f>
        <v>120</v>
      </c>
    </row>
    <row r="45" spans="1:124" x14ac:dyDescent="0.35">
      <c r="A45" s="3" t="s">
        <v>234</v>
      </c>
      <c r="B45" s="95">
        <v>0</v>
      </c>
      <c r="C45" s="95">
        <f>EXP(-1.0587+0.8836*LN(C43)+0.284)</f>
        <v>0.36673310352824318</v>
      </c>
      <c r="D45" s="95">
        <f t="shared" ref="D45:BO45" si="168">EXP(-1.0587+0.8836*LN(D43)+0.284)</f>
        <v>0.67661281326223488</v>
      </c>
      <c r="E45" s="95">
        <f t="shared" si="168"/>
        <v>0.96813173066252567</v>
      </c>
      <c r="F45" s="95">
        <f t="shared" si="168"/>
        <v>1.2483326284598115</v>
      </c>
      <c r="G45" s="95">
        <f t="shared" si="168"/>
        <v>1.5204075221330005</v>
      </c>
      <c r="H45" s="95">
        <f t="shared" si="168"/>
        <v>1.7861772705816299</v>
      </c>
      <c r="I45" s="95">
        <f t="shared" si="168"/>
        <v>2.0468157111336969</v>
      </c>
      <c r="J45" s="95">
        <f t="shared" si="168"/>
        <v>2.3031404678312204</v>
      </c>
      <c r="K45" s="95">
        <f t="shared" si="168"/>
        <v>2.5557525047460969</v>
      </c>
      <c r="L45" s="95">
        <f t="shared" si="168"/>
        <v>2.8051114037929983</v>
      </c>
      <c r="M45" s="95">
        <f t="shared" si="168"/>
        <v>3.0515795115482436</v>
      </c>
      <c r="N45" s="95">
        <f t="shared" si="168"/>
        <v>3.2954495146637965</v>
      </c>
      <c r="O45" s="95">
        <f t="shared" si="168"/>
        <v>3.5369625369783226</v>
      </c>
      <c r="P45" s="95">
        <f t="shared" si="168"/>
        <v>3.7763204990652208</v>
      </c>
      <c r="Q45" s="95">
        <f t="shared" si="168"/>
        <v>4.0136948411628293</v>
      </c>
      <c r="R45" s="95">
        <f t="shared" si="168"/>
        <v>4.2492328515889488</v>
      </c>
      <c r="S45" s="95">
        <f t="shared" si="168"/>
        <v>4.4830623670263225</v>
      </c>
      <c r="T45" s="95">
        <f t="shared" si="168"/>
        <v>4.7152953349494542</v>
      </c>
      <c r="U45" s="95">
        <f t="shared" si="168"/>
        <v>4.9460305617050739</v>
      </c>
      <c r="V45" s="95">
        <f t="shared" si="168"/>
        <v>5.1753558655448444</v>
      </c>
      <c r="W45" s="95">
        <f t="shared" si="168"/>
        <v>5.4033497868143936</v>
      </c>
      <c r="X45" s="95">
        <f t="shared" si="168"/>
        <v>5.6300829631624536</v>
      </c>
      <c r="Y45" s="95">
        <f t="shared" si="168"/>
        <v>5.8556192476439568</v>
      </c>
      <c r="Z45" s="95">
        <f t="shared" si="168"/>
        <v>6.0800166268835865</v>
      </c>
      <c r="AA45" s="95">
        <f t="shared" si="168"/>
        <v>6.303327981900015</v>
      </c>
      <c r="AB45" s="95">
        <f t="shared" si="168"/>
        <v>6.5256017237716613</v>
      </c>
      <c r="AC45" s="95">
        <f t="shared" si="168"/>
        <v>6.7468823287570228</v>
      </c>
      <c r="AD45" s="95">
        <f t="shared" si="168"/>
        <v>6.9672107919092996</v>
      </c>
      <c r="AE45" s="95">
        <f t="shared" si="168"/>
        <v>7.1866250140679311</v>
      </c>
      <c r="AF45" s="95">
        <f t="shared" si="168"/>
        <v>7.4051601339723527</v>
      </c>
      <c r="AG45" s="95">
        <f t="shared" si="168"/>
        <v>7.6228488148499522</v>
      </c>
      <c r="AH45" s="95">
        <f t="shared" si="168"/>
        <v>7.8397214929862118</v>
      </c>
      <c r="AI45" s="95">
        <f t="shared" si="168"/>
        <v>8.0558065943506652</v>
      </c>
      <c r="AJ45" s="95">
        <f t="shared" si="168"/>
        <v>8.2711307242274366</v>
      </c>
      <c r="AK45" s="95">
        <f t="shared" si="168"/>
        <v>8.4857188339094556</v>
      </c>
      <c r="AL45" s="95">
        <f t="shared" si="168"/>
        <v>8.6995943678063323</v>
      </c>
      <c r="AM45" s="95">
        <f t="shared" si="168"/>
        <v>8.9127793937475044</v>
      </c>
      <c r="AN45" s="95">
        <f t="shared" si="168"/>
        <v>9.1252947188023139</v>
      </c>
      <c r="AO45" s="95">
        <f t="shared" si="168"/>
        <v>9.3371599925656295</v>
      </c>
      <c r="AP45" s="95">
        <f t="shared" si="168"/>
        <v>9.5483937995519046</v>
      </c>
      <c r="AQ45" s="95">
        <f t="shared" si="168"/>
        <v>9.7590137420898415</v>
      </c>
      <c r="AR45" s="95">
        <f t="shared" si="168"/>
        <v>9.969036514901978</v>
      </c>
      <c r="AS45" s="95">
        <f t="shared" si="168"/>
        <v>10.178477972381435</v>
      </c>
      <c r="AT45" s="95">
        <f t="shared" si="168"/>
        <v>10.387353189433997</v>
      </c>
      <c r="AU45" s="95">
        <f t="shared" si="168"/>
        <v>10.595676516633208</v>
      </c>
      <c r="AV45" s="95">
        <f t="shared" si="168"/>
        <v>10.803461630334509</v>
      </c>
      <c r="AW45" s="95">
        <f t="shared" si="168"/>
        <v>11.01072157830875</v>
      </c>
      <c r="AX45" s="95">
        <f t="shared" si="168"/>
        <v>11.217468821382386</v>
      </c>
      <c r="AY45" s="95">
        <f t="shared" si="168"/>
        <v>11.423715271509701</v>
      </c>
      <c r="AZ45" s="95">
        <f t="shared" si="168"/>
        <v>11.629472326649347</v>
      </c>
      <c r="BA45" s="95">
        <f t="shared" si="168"/>
        <v>11.834750902771939</v>
      </c>
      <c r="BB45" s="95">
        <f t="shared" si="168"/>
        <v>12.039561463286329</v>
      </c>
      <c r="BC45" s="95">
        <f t="shared" si="168"/>
        <v>12.243914046138295</v>
      </c>
      <c r="BD45" s="95">
        <f t="shared" si="168"/>
        <v>12.447818288806266</v>
      </c>
      <c r="BE45" s="95">
        <f t="shared" si="168"/>
        <v>12.651283451393107</v>
      </c>
      <c r="BF45" s="95">
        <f t="shared" si="168"/>
        <v>12.854318437990987</v>
      </c>
      <c r="BG45" s="95">
        <f t="shared" si="168"/>
        <v>13.056931816477009</v>
      </c>
      <c r="BH45" s="95">
        <f t="shared" si="168"/>
        <v>13.259131836880305</v>
      </c>
      <c r="BI45" s="95">
        <f t="shared" si="168"/>
        <v>13.46092644844661</v>
      </c>
      <c r="BJ45" s="95">
        <f t="shared" si="168"/>
        <v>13.662323315513062</v>
      </c>
      <c r="BK45" s="95">
        <f t="shared" si="168"/>
        <v>13.863329832294768</v>
      </c>
      <c r="BL45" s="95">
        <f t="shared" si="168"/>
        <v>14.063953136674259</v>
      </c>
      <c r="BM45" s="95">
        <f t="shared" si="168"/>
        <v>14.264200123075991</v>
      </c>
      <c r="BN45" s="95">
        <f t="shared" si="168"/>
        <v>14.464077454500362</v>
      </c>
      <c r="BO45" s="95">
        <f t="shared" si="168"/>
        <v>14.663591573784165</v>
      </c>
      <c r="BP45" s="95">
        <f t="shared" ref="BP45:DR45" si="169">EXP(-1.0587+0.8836*LN(BP43)+0.284)</f>
        <v>14.862748714148445</v>
      </c>
      <c r="BQ45" s="95">
        <f t="shared" si="169"/>
        <v>15.061554909088979</v>
      </c>
      <c r="BR45" s="95">
        <f t="shared" si="169"/>
        <v>15.260016001659478</v>
      </c>
      <c r="BS45" s="95">
        <f t="shared" si="169"/>
        <v>15.458137653193214</v>
      </c>
      <c r="BT45" s="95">
        <f t="shared" si="169"/>
        <v>15.655925351504667</v>
      </c>
      <c r="BU45" s="95">
        <f t="shared" si="169"/>
        <v>15.853384418609242</v>
      </c>
      <c r="BV45" s="95">
        <f t="shared" si="169"/>
        <v>16.050520017995645</v>
      </c>
      <c r="BW45" s="95">
        <f t="shared" si="169"/>
        <v>16.247337161482779</v>
      </c>
      <c r="BX45" s="95">
        <f t="shared" si="169"/>
        <v>16.443840715690257</v>
      </c>
      <c r="BY45" s="95">
        <f t="shared" si="169"/>
        <v>16.640035408149132</v>
      </c>
      <c r="BZ45" s="95">
        <f t="shared" si="169"/>
        <v>16.835925833077539</v>
      </c>
      <c r="CA45" s="95">
        <f t="shared" si="169"/>
        <v>17.031516456843697</v>
      </c>
      <c r="CB45" s="95">
        <f t="shared" si="169"/>
        <v>17.226811623136925</v>
      </c>
      <c r="CC45" s="95">
        <f t="shared" si="169"/>
        <v>17.421815557866097</v>
      </c>
      <c r="CD45" s="95">
        <f t="shared" si="169"/>
        <v>17.616532373802876</v>
      </c>
      <c r="CE45" s="95">
        <f t="shared" si="169"/>
        <v>17.810966074986212</v>
      </c>
      <c r="CF45" s="95">
        <f t="shared" si="169"/>
        <v>18.005120560903215</v>
      </c>
      <c r="CG45" s="95">
        <f t="shared" si="169"/>
        <v>18.19899963046014</v>
      </c>
      <c r="CH45" s="95">
        <f t="shared" si="169"/>
        <v>18.392606985756636</v>
      </c>
      <c r="CI45" s="95">
        <f t="shared" si="169"/>
        <v>18.585946235675092</v>
      </c>
      <c r="CJ45" s="95">
        <f t="shared" si="169"/>
        <v>18.779020899296363</v>
      </c>
      <c r="CK45" s="95">
        <f t="shared" si="169"/>
        <v>18.971834409151878</v>
      </c>
      <c r="CL45" s="95">
        <f t="shared" si="169"/>
        <v>19.16439011432227</v>
      </c>
      <c r="CM45" s="95">
        <f t="shared" si="169"/>
        <v>19.356691283390798</v>
      </c>
      <c r="CN45" s="95">
        <f t="shared" si="169"/>
        <v>19.548741107260515</v>
      </c>
      <c r="CO45" s="95">
        <f t="shared" si="169"/>
        <v>19.740542701842557</v>
      </c>
      <c r="CP45" s="95">
        <f t="shared" si="169"/>
        <v>19.932099110622822</v>
      </c>
      <c r="CQ45" s="95">
        <f t="shared" si="169"/>
        <v>20.12341330711401</v>
      </c>
      <c r="CR45" s="95">
        <f t="shared" si="169"/>
        <v>20.314488197199065</v>
      </c>
      <c r="CS45" s="95">
        <f t="shared" si="169"/>
        <v>20.505326621372113</v>
      </c>
      <c r="CT45" s="95">
        <f t="shared" si="169"/>
        <v>20.695931356882326</v>
      </c>
      <c r="CU45" s="95">
        <f t="shared" si="169"/>
        <v>20.886305119785941</v>
      </c>
      <c r="CV45" s="95">
        <f t="shared" si="169"/>
        <v>21.076450566911173</v>
      </c>
      <c r="CW45" s="95">
        <f t="shared" si="169"/>
        <v>21.266370297740689</v>
      </c>
      <c r="CX45" s="95">
        <f t="shared" si="169"/>
        <v>21.456066856215884</v>
      </c>
      <c r="CY45" s="95">
        <f t="shared" si="169"/>
        <v>21.645542732466772</v>
      </c>
      <c r="CZ45" s="95">
        <f t="shared" si="169"/>
        <v>21.83480036447164</v>
      </c>
      <c r="DA45" s="95">
        <f t="shared" si="169"/>
        <v>22.023842139649517</v>
      </c>
      <c r="DB45" s="95">
        <f t="shared" si="169"/>
        <v>22.212670396389218</v>
      </c>
      <c r="DC45" s="95">
        <f t="shared" si="169"/>
        <v>22.401287425517804</v>
      </c>
      <c r="DD45" s="95">
        <f t="shared" si="169"/>
        <v>22.589695471711394</v>
      </c>
      <c r="DE45" s="95">
        <f t="shared" si="169"/>
        <v>22.777896734851623</v>
      </c>
      <c r="DF45" s="95">
        <f t="shared" si="169"/>
        <v>22.965893371329315</v>
      </c>
      <c r="DG45" s="95">
        <f t="shared" si="169"/>
        <v>23.153687495299089</v>
      </c>
      <c r="DH45" s="95">
        <f t="shared" si="169"/>
        <v>23.34128117988622</v>
      </c>
      <c r="DI45" s="95">
        <f t="shared" si="169"/>
        <v>23.528676458348531</v>
      </c>
      <c r="DJ45" s="95">
        <f t="shared" si="169"/>
        <v>23.715875325195146</v>
      </c>
      <c r="DK45" s="95">
        <f t="shared" si="169"/>
        <v>23.902879737264204</v>
      </c>
      <c r="DL45" s="95">
        <f t="shared" si="169"/>
        <v>24.089691614761261</v>
      </c>
      <c r="DM45" s="95">
        <f t="shared" si="169"/>
        <v>24.276312842260264</v>
      </c>
      <c r="DN45" s="95">
        <f t="shared" si="169"/>
        <v>24.462745269668691</v>
      </c>
      <c r="DO45" s="95">
        <f t="shared" si="169"/>
        <v>24.64899071315849</v>
      </c>
      <c r="DP45" s="95">
        <f t="shared" si="169"/>
        <v>24.835050956064197</v>
      </c>
      <c r="DQ45" s="95">
        <f t="shared" si="169"/>
        <v>25.020927749749823</v>
      </c>
      <c r="DR45" s="176">
        <f t="shared" si="169"/>
        <v>25.206622814445748</v>
      </c>
    </row>
    <row r="46" spans="1:124" ht="15" thickBot="1" x14ac:dyDescent="0.4">
      <c r="A46" s="3" t="s">
        <v>182</v>
      </c>
      <c r="B46" s="95">
        <f>(B36*(($B$39-$B$38)/30))</f>
        <v>0</v>
      </c>
      <c r="C46" s="106">
        <f>C19*(($B$53-$B$52)/30)</f>
        <v>0.33333333333333331</v>
      </c>
      <c r="D46" s="106">
        <f t="shared" ref="D46:AF46" si="170">D19*(($B$53-$B$52)/30)</f>
        <v>0.66666666666666663</v>
      </c>
      <c r="E46" s="106">
        <f t="shared" si="170"/>
        <v>1</v>
      </c>
      <c r="F46" s="106">
        <f t="shared" si="170"/>
        <v>1.3333333333333333</v>
      </c>
      <c r="G46" s="106">
        <f t="shared" si="170"/>
        <v>1.6666666666666665</v>
      </c>
      <c r="H46" s="106">
        <f t="shared" si="170"/>
        <v>2</v>
      </c>
      <c r="I46" s="106">
        <f t="shared" si="170"/>
        <v>2.333333333333333</v>
      </c>
      <c r="J46" s="106">
        <f t="shared" si="170"/>
        <v>2.6666666666666665</v>
      </c>
      <c r="K46" s="106">
        <f t="shared" si="170"/>
        <v>3</v>
      </c>
      <c r="L46" s="106">
        <f t="shared" si="170"/>
        <v>3.333333333333333</v>
      </c>
      <c r="M46" s="106">
        <f t="shared" si="170"/>
        <v>3.6666666666666665</v>
      </c>
      <c r="N46" s="106">
        <f t="shared" si="170"/>
        <v>4</v>
      </c>
      <c r="O46" s="106">
        <f t="shared" si="170"/>
        <v>4.333333333333333</v>
      </c>
      <c r="P46" s="106">
        <f t="shared" si="170"/>
        <v>4.6666666666666661</v>
      </c>
      <c r="Q46" s="106">
        <f t="shared" si="170"/>
        <v>5</v>
      </c>
      <c r="R46" s="106">
        <f t="shared" si="170"/>
        <v>5.333333333333333</v>
      </c>
      <c r="S46" s="106">
        <f t="shared" si="170"/>
        <v>5.6666666666666661</v>
      </c>
      <c r="T46" s="106">
        <f t="shared" si="170"/>
        <v>6</v>
      </c>
      <c r="U46" s="106">
        <f t="shared" si="170"/>
        <v>6.333333333333333</v>
      </c>
      <c r="V46" s="106">
        <f t="shared" si="170"/>
        <v>6.6666666666666661</v>
      </c>
      <c r="W46" s="106">
        <f t="shared" si="170"/>
        <v>7</v>
      </c>
      <c r="X46" s="106">
        <f t="shared" si="170"/>
        <v>7.333333333333333</v>
      </c>
      <c r="Y46" s="106">
        <f t="shared" si="170"/>
        <v>7.6666666666666661</v>
      </c>
      <c r="Z46" s="106">
        <f t="shared" si="170"/>
        <v>8</v>
      </c>
      <c r="AA46" s="106">
        <f t="shared" si="170"/>
        <v>8.3333333333333321</v>
      </c>
      <c r="AB46" s="106">
        <f t="shared" si="170"/>
        <v>8.6666666666666661</v>
      </c>
      <c r="AC46" s="106">
        <f t="shared" si="170"/>
        <v>9</v>
      </c>
      <c r="AD46" s="106">
        <f t="shared" si="170"/>
        <v>9.3333333333333321</v>
      </c>
      <c r="AE46" s="106">
        <f t="shared" si="170"/>
        <v>9.6666666666666661</v>
      </c>
      <c r="AF46" s="106">
        <f t="shared" si="170"/>
        <v>10</v>
      </c>
      <c r="AG46" s="106">
        <v>10</v>
      </c>
      <c r="AH46" s="106">
        <v>10</v>
      </c>
      <c r="AI46" s="106">
        <v>10</v>
      </c>
      <c r="AJ46" s="106">
        <v>10</v>
      </c>
      <c r="AK46" s="106">
        <v>10</v>
      </c>
      <c r="AL46" s="106">
        <v>10</v>
      </c>
      <c r="AM46" s="106">
        <v>10</v>
      </c>
      <c r="AN46" s="106">
        <v>10</v>
      </c>
      <c r="AO46" s="106">
        <v>10</v>
      </c>
      <c r="AP46" s="106">
        <v>10</v>
      </c>
      <c r="AQ46" s="106">
        <v>10</v>
      </c>
      <c r="AR46" s="106">
        <v>10</v>
      </c>
      <c r="AS46" s="106">
        <v>10</v>
      </c>
      <c r="AT46" s="106">
        <v>10</v>
      </c>
      <c r="AU46" s="106">
        <v>10</v>
      </c>
      <c r="AV46" s="106">
        <v>10</v>
      </c>
      <c r="AW46" s="106">
        <v>10</v>
      </c>
      <c r="AX46" s="106">
        <v>10</v>
      </c>
      <c r="AY46" s="106">
        <v>10</v>
      </c>
      <c r="AZ46" s="106">
        <v>10</v>
      </c>
      <c r="BA46" s="106">
        <v>10</v>
      </c>
      <c r="BB46" s="106">
        <v>10</v>
      </c>
      <c r="BC46" s="106">
        <v>10</v>
      </c>
      <c r="BD46" s="106">
        <v>10</v>
      </c>
      <c r="BE46" s="106">
        <v>10</v>
      </c>
      <c r="BF46" s="106">
        <v>10</v>
      </c>
      <c r="BG46" s="106">
        <v>10</v>
      </c>
      <c r="BH46" s="106">
        <v>10</v>
      </c>
      <c r="BI46" s="106">
        <v>10</v>
      </c>
      <c r="BJ46" s="106">
        <v>10</v>
      </c>
      <c r="BK46" s="106">
        <v>10</v>
      </c>
      <c r="BL46" s="106">
        <v>10</v>
      </c>
      <c r="BM46" s="106">
        <v>10</v>
      </c>
      <c r="BN46" s="106">
        <v>10</v>
      </c>
      <c r="BO46" s="106">
        <v>10</v>
      </c>
      <c r="BP46" s="106">
        <v>10</v>
      </c>
      <c r="BQ46" s="106">
        <v>10</v>
      </c>
      <c r="BR46" s="106">
        <v>10</v>
      </c>
      <c r="BS46" s="106">
        <v>10</v>
      </c>
      <c r="BT46" s="106">
        <v>10</v>
      </c>
      <c r="BU46" s="106">
        <v>10</v>
      </c>
      <c r="BV46" s="106">
        <v>10</v>
      </c>
      <c r="BW46" s="106">
        <v>10</v>
      </c>
      <c r="BX46" s="106">
        <v>10</v>
      </c>
      <c r="BY46" s="106">
        <v>10</v>
      </c>
      <c r="BZ46" s="106">
        <v>10</v>
      </c>
      <c r="CA46" s="106">
        <v>10</v>
      </c>
      <c r="CB46" s="106">
        <v>10</v>
      </c>
      <c r="CC46" s="106">
        <v>10</v>
      </c>
      <c r="CD46" s="106">
        <v>10</v>
      </c>
      <c r="CE46" s="106">
        <v>10</v>
      </c>
      <c r="CF46" s="106">
        <v>10</v>
      </c>
      <c r="CG46" s="106">
        <v>10</v>
      </c>
      <c r="CH46" s="106">
        <v>10</v>
      </c>
      <c r="CI46" s="106">
        <v>10</v>
      </c>
      <c r="CJ46" s="106">
        <v>10</v>
      </c>
      <c r="CK46" s="106">
        <v>10</v>
      </c>
      <c r="CL46" s="106">
        <v>10</v>
      </c>
      <c r="CM46" s="106">
        <v>10</v>
      </c>
      <c r="CN46" s="106">
        <v>10</v>
      </c>
      <c r="CO46" s="106">
        <v>10</v>
      </c>
      <c r="CP46" s="106">
        <v>10</v>
      </c>
      <c r="CQ46" s="106">
        <v>10</v>
      </c>
      <c r="CR46" s="106">
        <v>10</v>
      </c>
      <c r="CS46" s="106">
        <v>10</v>
      </c>
      <c r="CT46" s="106">
        <v>10</v>
      </c>
      <c r="CU46" s="106">
        <v>10</v>
      </c>
      <c r="CV46" s="106">
        <v>10</v>
      </c>
      <c r="CW46" s="106">
        <v>10</v>
      </c>
      <c r="CX46" s="106">
        <v>10</v>
      </c>
      <c r="CY46" s="106">
        <v>10</v>
      </c>
      <c r="CZ46" s="106">
        <v>10</v>
      </c>
      <c r="DA46" s="106">
        <v>10</v>
      </c>
      <c r="DB46" s="106">
        <v>10</v>
      </c>
      <c r="DC46" s="106">
        <v>10</v>
      </c>
      <c r="DD46" s="106">
        <v>10</v>
      </c>
      <c r="DE46" s="106">
        <v>10</v>
      </c>
      <c r="DF46" s="106">
        <v>10</v>
      </c>
      <c r="DG46" s="106">
        <v>10</v>
      </c>
      <c r="DH46" s="106">
        <v>10</v>
      </c>
      <c r="DI46" s="106">
        <v>10</v>
      </c>
      <c r="DJ46" s="106">
        <v>10</v>
      </c>
      <c r="DK46" s="106">
        <v>10</v>
      </c>
      <c r="DL46" s="106">
        <v>10</v>
      </c>
      <c r="DM46" s="106">
        <v>10</v>
      </c>
      <c r="DN46" s="106">
        <v>10</v>
      </c>
      <c r="DO46" s="106">
        <v>10</v>
      </c>
      <c r="DP46" s="106">
        <v>10</v>
      </c>
      <c r="DQ46" s="106">
        <v>10</v>
      </c>
      <c r="DR46" s="177">
        <v>10</v>
      </c>
    </row>
    <row r="47" spans="1:124" ht="15" thickBot="1" x14ac:dyDescent="0.4">
      <c r="A47" s="189" t="s">
        <v>203</v>
      </c>
      <c r="B47" s="106">
        <f>B21-(B42*$B$10)</f>
        <v>0</v>
      </c>
      <c r="C47" s="106">
        <f t="shared" ref="C47:BN47" si="171">C21-(C42*$B$10)</f>
        <v>63.266808358436265</v>
      </c>
      <c r="D47" s="106">
        <f t="shared" si="171"/>
        <v>124.21325510466886</v>
      </c>
      <c r="E47" s="106">
        <f t="shared" si="171"/>
        <v>184.41034152502471</v>
      </c>
      <c r="F47" s="106">
        <f t="shared" si="171"/>
        <v>244.14550480481876</v>
      </c>
      <c r="G47" s="106">
        <f t="shared" si="171"/>
        <v>303.54902089925099</v>
      </c>
      <c r="H47" s="106">
        <f t="shared" si="171"/>
        <v>374.53081228796327</v>
      </c>
      <c r="I47" s="106">
        <f t="shared" si="171"/>
        <v>445.18111737513027</v>
      </c>
      <c r="J47" s="106">
        <f t="shared" si="171"/>
        <v>515.56895365936907</v>
      </c>
      <c r="K47" s="106">
        <f t="shared" si="171"/>
        <v>585.73939195240337</v>
      </c>
      <c r="L47" s="106">
        <f t="shared" si="171"/>
        <v>655.724371303113</v>
      </c>
      <c r="M47" s="106">
        <f t="shared" si="171"/>
        <v>725.07906373627657</v>
      </c>
      <c r="N47" s="106">
        <f t="shared" si="171"/>
        <v>794.29308102099094</v>
      </c>
      <c r="O47" s="106">
        <f t="shared" si="171"/>
        <v>863.38085449601522</v>
      </c>
      <c r="P47" s="106">
        <f t="shared" si="171"/>
        <v>932.35421411897505</v>
      </c>
      <c r="Q47" s="106">
        <f t="shared" si="171"/>
        <v>805.08546013518389</v>
      </c>
      <c r="R47" s="106">
        <f t="shared" si="171"/>
        <v>871.99605652552054</v>
      </c>
      <c r="S47" s="106">
        <f t="shared" si="171"/>
        <v>938.79997215585581</v>
      </c>
      <c r="T47" s="106">
        <f t="shared" si="171"/>
        <v>1005.5061416566559</v>
      </c>
      <c r="U47" s="106">
        <f t="shared" si="171"/>
        <v>1072.1221680148237</v>
      </c>
      <c r="V47" s="106">
        <f t="shared" si="171"/>
        <v>1138.6545975498743</v>
      </c>
      <c r="W47" s="106">
        <f t="shared" si="171"/>
        <v>1222.211442947344</v>
      </c>
      <c r="X47" s="106">
        <f t="shared" si="171"/>
        <v>1305.617157319205</v>
      </c>
      <c r="Y47" s="106">
        <f t="shared" si="171"/>
        <v>1193.8475433362901</v>
      </c>
      <c r="Z47" s="106">
        <f t="shared" si="171"/>
        <v>1277.2580866567264</v>
      </c>
      <c r="AA47" s="106">
        <f t="shared" si="171"/>
        <v>1323.6284464964538</v>
      </c>
      <c r="AB47" s="106">
        <f t="shared" si="171"/>
        <v>1405.1025248328774</v>
      </c>
      <c r="AC47" s="106">
        <f t="shared" si="171"/>
        <v>1486.4557382524595</v>
      </c>
      <c r="AD47" s="106">
        <f t="shared" si="171"/>
        <v>1073.321454381346</v>
      </c>
      <c r="AE47" s="106">
        <f t="shared" si="171"/>
        <v>1141.3125919654622</v>
      </c>
      <c r="AF47" s="106">
        <f t="shared" si="171"/>
        <v>1159.8445123979031</v>
      </c>
      <c r="AG47" s="106">
        <f t="shared" si="171"/>
        <v>1066.7665877781133</v>
      </c>
      <c r="AH47" s="106">
        <f t="shared" si="171"/>
        <v>1140.0491701768869</v>
      </c>
      <c r="AI47" s="106">
        <f t="shared" si="171"/>
        <v>1213.2328429580243</v>
      </c>
      <c r="AJ47" s="106">
        <f t="shared" si="171"/>
        <v>1286.3250689759288</v>
      </c>
      <c r="AK47" s="106">
        <f t="shared" si="171"/>
        <v>1310.1907845063201</v>
      </c>
      <c r="AL47" s="106">
        <f t="shared" si="171"/>
        <v>1383.624100851182</v>
      </c>
      <c r="AM47" s="106">
        <f t="shared" si="171"/>
        <v>1456.9747154173315</v>
      </c>
      <c r="AN47" s="106">
        <f t="shared" si="171"/>
        <v>1530.2481346532923</v>
      </c>
      <c r="AO47" s="106">
        <f t="shared" si="171"/>
        <v>1437.9696472789783</v>
      </c>
      <c r="AP47" s="106">
        <f t="shared" si="171"/>
        <v>1462.2919279734024</v>
      </c>
      <c r="AQ47" s="106">
        <f t="shared" si="171"/>
        <v>1543.9703659187117</v>
      </c>
      <c r="AR47" s="106">
        <f t="shared" si="171"/>
        <v>1449.6525334299995</v>
      </c>
      <c r="AS47" s="106">
        <f t="shared" si="171"/>
        <v>1551.8301512542785</v>
      </c>
      <c r="AT47" s="106">
        <f t="shared" si="171"/>
        <v>1653.8869486340291</v>
      </c>
      <c r="AU47" s="106">
        <f t="shared" si="171"/>
        <v>1707.0486490326666</v>
      </c>
      <c r="AV47" s="106">
        <f t="shared" si="171"/>
        <v>1808.8067761967677</v>
      </c>
      <c r="AW47" s="106">
        <f t="shared" si="171"/>
        <v>1910.4613678257792</v>
      </c>
      <c r="AX47" s="106">
        <f t="shared" si="171"/>
        <v>1848.1056014431924</v>
      </c>
      <c r="AY47" s="106">
        <f t="shared" si="171"/>
        <v>1947.4125597393822</v>
      </c>
      <c r="AZ47" s="106">
        <f t="shared" si="171"/>
        <v>1997.9819571280123</v>
      </c>
      <c r="BA47" s="106">
        <f t="shared" si="171"/>
        <v>2107.6852000105619</v>
      </c>
      <c r="BB47" s="106">
        <f t="shared" si="171"/>
        <v>2217.2886441682804</v>
      </c>
      <c r="BC47" s="106">
        <f t="shared" si="171"/>
        <v>2326.7973611382722</v>
      </c>
      <c r="BD47" s="106">
        <f t="shared" si="171"/>
        <v>2436.2159574611969</v>
      </c>
      <c r="BE47" s="106">
        <f t="shared" si="171"/>
        <v>2497.0193228148091</v>
      </c>
      <c r="BF47" s="106">
        <f t="shared" si="171"/>
        <v>2348.0395427633248</v>
      </c>
      <c r="BG47" s="106">
        <f t="shared" si="171"/>
        <v>2466.5129673947995</v>
      </c>
      <c r="BH47" s="106">
        <f t="shared" si="171"/>
        <v>2584.879249248007</v>
      </c>
      <c r="BI47" s="106">
        <f t="shared" si="171"/>
        <v>2703.1440882950683</v>
      </c>
      <c r="BJ47" s="106">
        <f t="shared" si="171"/>
        <v>2772.8774601332625</v>
      </c>
      <c r="BK47" s="106">
        <f t="shared" si="171"/>
        <v>2901.0417626210874</v>
      </c>
      <c r="BL47" s="106">
        <f t="shared" si="171"/>
        <v>3029.1071120322777</v>
      </c>
      <c r="BM47" s="106">
        <f t="shared" si="171"/>
        <v>3157.0779433357848</v>
      </c>
      <c r="BN47" s="106">
        <f t="shared" si="171"/>
        <v>2997.3868982135045</v>
      </c>
      <c r="BO47" s="106">
        <f t="shared" ref="BO47:DQ47" si="172">BO21-(BO42*$B$10)</f>
        <v>3069.8299662720983</v>
      </c>
      <c r="BP47" s="106">
        <f t="shared" si="172"/>
        <v>3189.7533897806998</v>
      </c>
      <c r="BQ47" s="106">
        <f t="shared" si="172"/>
        <v>3309.5970770899794</v>
      </c>
      <c r="BR47" s="106">
        <f t="shared" si="172"/>
        <v>3429.3642068786785</v>
      </c>
      <c r="BS47" s="106">
        <f t="shared" si="172"/>
        <v>3549.0577215769299</v>
      </c>
      <c r="BT47" s="106">
        <f t="shared" si="172"/>
        <v>3620.3844801318974</v>
      </c>
      <c r="BU47" s="106">
        <f t="shared" si="172"/>
        <v>3747.122787775882</v>
      </c>
      <c r="BV47" s="106">
        <f t="shared" si="172"/>
        <v>3647.5077515321409</v>
      </c>
      <c r="BW47" s="106">
        <f t="shared" si="172"/>
        <v>3768.7574122873839</v>
      </c>
      <c r="BX47" s="106">
        <f t="shared" si="172"/>
        <v>3889.9405691595275</v>
      </c>
      <c r="BY47" s="106">
        <f t="shared" si="172"/>
        <v>3962.8132156359025</v>
      </c>
      <c r="BZ47" s="106">
        <f t="shared" si="172"/>
        <v>4082.9316429646506</v>
      </c>
      <c r="CA47" s="106">
        <f t="shared" si="172"/>
        <v>4202.9900989388334</v>
      </c>
      <c r="CB47" s="106">
        <f t="shared" si="172"/>
        <v>4322.990427237738</v>
      </c>
      <c r="CC47" s="106">
        <f t="shared" si="172"/>
        <v>4442.9343670018634</v>
      </c>
      <c r="CD47" s="106">
        <f t="shared" si="172"/>
        <v>4515.9944283423702</v>
      </c>
      <c r="CE47" s="106">
        <f t="shared" si="172"/>
        <v>4420.318712736117</v>
      </c>
      <c r="CF47" s="106">
        <f t="shared" si="172"/>
        <v>4540.3974618432976</v>
      </c>
      <c r="CG47" s="106">
        <f t="shared" si="172"/>
        <v>4660.4220065887193</v>
      </c>
      <c r="CH47" s="106">
        <f t="shared" si="172"/>
        <v>4780.3938980739158</v>
      </c>
      <c r="CI47" s="106">
        <f t="shared" si="172"/>
        <v>14.507601716111822</v>
      </c>
      <c r="CJ47" s="106">
        <f t="shared" si="172"/>
        <v>39.499292984620297</v>
      </c>
      <c r="CK47" s="106">
        <f t="shared" si="172"/>
        <v>64.472776149179481</v>
      </c>
      <c r="CL47" s="106">
        <f t="shared" si="172"/>
        <v>89.428665604596063</v>
      </c>
      <c r="CM47" s="106">
        <f t="shared" si="172"/>
        <v>114.36754034454225</v>
      </c>
      <c r="CN47" s="106">
        <f t="shared" si="172"/>
        <v>-108.81130892285273</v>
      </c>
      <c r="CO47" s="106">
        <f t="shared" si="172"/>
        <v>-84.606307854450279</v>
      </c>
      <c r="CP47" s="106">
        <f t="shared" si="172"/>
        <v>-60.419756836929082</v>
      </c>
      <c r="CQ47" s="106">
        <f t="shared" si="172"/>
        <v>-36.251018853098685</v>
      </c>
      <c r="CR47" s="106">
        <f t="shared" si="172"/>
        <v>-12.099494606886765</v>
      </c>
      <c r="CS47" s="106">
        <f t="shared" si="172"/>
        <v>-29.210102448295402</v>
      </c>
      <c r="CT47" s="106">
        <f t="shared" si="172"/>
        <v>-5.6257772793005643</v>
      </c>
      <c r="CU47" s="106">
        <f t="shared" si="172"/>
        <v>17.943027941391847</v>
      </c>
      <c r="CV47" s="106">
        <f t="shared" si="172"/>
        <v>41.496789559872013</v>
      </c>
      <c r="CW47" s="106">
        <f t="shared" si="172"/>
        <v>65.035958913210379</v>
      </c>
      <c r="CX47" s="106">
        <f t="shared" si="172"/>
        <v>57.168537487298636</v>
      </c>
      <c r="CY47" s="106">
        <f t="shared" si="172"/>
        <v>-587.0785311593836</v>
      </c>
      <c r="CZ47" s="106">
        <f t="shared" si="172"/>
        <v>-811.26108696424944</v>
      </c>
      <c r="DA47" s="106">
        <f t="shared" si="172"/>
        <v>-798.63537286622159</v>
      </c>
      <c r="DB47" s="106">
        <f t="shared" si="172"/>
        <v>-786.02222400474238</v>
      </c>
      <c r="DC47" s="106">
        <f t="shared" si="172"/>
        <v>-773.42119731850198</v>
      </c>
      <c r="DD47" s="106">
        <f t="shared" si="172"/>
        <v>-760.83187510594234</v>
      </c>
      <c r="DE47" s="106">
        <f t="shared" si="172"/>
        <v>-748.25386302042625</v>
      </c>
      <c r="DF47" s="106">
        <f t="shared" si="172"/>
        <v>-735.68678826706491</v>
      </c>
      <c r="DG47" s="106">
        <f t="shared" si="172"/>
        <v>-723.13029797670242</v>
      </c>
      <c r="DH47" s="106">
        <f t="shared" si="172"/>
        <v>-744.75782683529542</v>
      </c>
      <c r="DI47" s="106">
        <f t="shared" si="172"/>
        <v>-732.91468159830765</v>
      </c>
      <c r="DJ47" s="106">
        <f t="shared" si="172"/>
        <v>-721.08089808105524</v>
      </c>
      <c r="DK47" s="106">
        <f t="shared" si="172"/>
        <v>-709.25619518404983</v>
      </c>
      <c r="DL47" s="106">
        <f t="shared" si="172"/>
        <v>-911.24308742618177</v>
      </c>
      <c r="DM47" s="106">
        <f t="shared" si="172"/>
        <v>-899.34644912494787</v>
      </c>
      <c r="DN47" s="106">
        <f t="shared" si="172"/>
        <v>-887.46028244848003</v>
      </c>
      <c r="DO47" s="106">
        <f t="shared" si="172"/>
        <v>-875.58425878432809</v>
      </c>
      <c r="DP47" s="106">
        <f t="shared" si="172"/>
        <v>-863.71806621978612</v>
      </c>
      <c r="DQ47" s="106">
        <f t="shared" si="172"/>
        <v>-851.86140836893537</v>
      </c>
      <c r="DR47" s="177">
        <f>DR21-(DR42*$B$10)</f>
        <v>-840.01400330468914</v>
      </c>
      <c r="DS47" s="7"/>
      <c r="DT47" s="7"/>
    </row>
    <row r="48" spans="1:124" x14ac:dyDescent="0.35">
      <c r="A48" s="201" t="s">
        <v>9</v>
      </c>
      <c r="B48" s="202"/>
      <c r="C48" s="14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row>
    <row r="49" spans="1:124" ht="29" x14ac:dyDescent="0.35">
      <c r="A49" s="3" t="s">
        <v>3</v>
      </c>
      <c r="B49" s="13">
        <v>0.47499999999999998</v>
      </c>
      <c r="C49" s="55"/>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row>
    <row r="50" spans="1:124" ht="15" thickBot="1" x14ac:dyDescent="0.4">
      <c r="A50" s="3" t="s">
        <v>4</v>
      </c>
      <c r="B50" s="14">
        <f>IF(B12="Conifères",1.3,1.56)</f>
        <v>1.56</v>
      </c>
      <c r="C50" s="57"/>
      <c r="D50" s="15"/>
      <c r="E50" s="15"/>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row>
    <row r="51" spans="1:124" ht="87.5" customHeight="1" thickBot="1" x14ac:dyDescent="0.4">
      <c r="A51" s="11" t="s">
        <v>147</v>
      </c>
      <c r="B51" s="17"/>
      <c r="C51" s="58" t="str">
        <f>IF(B51="Alisier torminal",0.62,IF(B51="Arbousier",0.64,IF(B51="Aulne vert",0.42,IF(B51="Grands aulnes",0.42,IF(B51="Bouleaux",0.52,IF(B51="Cèdre de l’Atlas",0.36,IF(B51="Charme",0.61,IF(B51="Charme-houblon",0.66,IF(B51="Châtaignier",0.47,IF(B51="Chêne chevelu",0.67,IF(B51="Chêne-liège",0.7,IF(B51="Chêne pédonculé",0.54,IF(B51="Chêne pubescent",0.65,IF(B51="Chêne rouge d’Amérique",0.56,IF(B51="Chêne rouvre (sessile)",0.58,IF(B51="Chêne tauzin",0.64,IF(B51="Chêne vert",0.73,IF(B51="Chênes indifférenciés",0.56,IF(B51="Cornouiller mâle",0.74,IF(B51="Cyprès",0.4,IF(B51="Cytise aubour",0.6,IF(B51="Douglas",0.43,IF(B51="Epicéa commun",0.37,IF(B51="Epicéa de Sitka",0.36,IF(B51="Grands érables",0.51,IF(B51="Petits érables",0.56,IF(B51="Eucalyptus",0.56,IF(B51="Genévrier thurifère",0.48,IF(B51="Hêtre",0.55,IF(B51="Frênes",0.56,IF(B51="Fruitiers",0.58,IF(B51="If",0.58,IF(B51="Mélèze d’Europe",0.48,IF(B51="Mélèze du Japon",0.42,IF(B51="Merisier",0.5,IF(B51="Micocoulier",0.55,IF(B51="Mûrier",0.53,IF(B51="Noisetier",0.52,IF(B51="Noyer",0.52,IF(B51="Olivier",0.75,IF(B51="Ormes",0.52,IF(B51="Peupliers cultivés",0.35,IF(B51="Peupliers non cultivés",0.37,IF(B51="Pin d'Alep",0.45,IF(B51="Pin cembro",0.39,IF(B51="Pin à crochets",0.44,IF(B51="Pin laricio",0.46,IF(B51="Pin maritime",0.46,IF(B51="Pin mugho",0.44,IF(B51="Pin noir d'Autriche",0.46,IF(B51="Pin pignon",0.48,IF(B51="Pin sylvestre",0.44,IF(B51="Pin Weymouth",0.34,IF(B51="Platanes",0.5,IF(B51="Robinier faux acacia",0.58,IF(B51="Sapin méditerranéen",0.37,IF(B51="Sapin de Nordmann",0.37,IF(B51="Sapin pectiné",0.38,IF(B51="Sapin de Vancouver",0.36,IF(B51="Saules",0.37,IF(B51="Tamaris",0.53,IF(B51="Tilleuls",0.43,IF(B51="Tremble",0.38,IF(B51="Conifères (moyenne)",0.42,IF(B51="Feuillus (moyenne)",0.57,"")))))))))))))))))))))))))))))))))))))))))))))))))))))))))))))))))</f>
        <v/>
      </c>
      <c r="D51" s="25" t="s">
        <v>187</v>
      </c>
      <c r="E51" s="26">
        <f>IF(D51="Conifères (moyenne)",0.42,IF(D51="Feuillus (moyenne)",0.57,IF(D51="Moyenne",0.54,"")))</f>
        <v>0.54</v>
      </c>
      <c r="F51" s="205" t="s">
        <v>195</v>
      </c>
      <c r="G51" s="206"/>
      <c r="H51" s="7"/>
      <c r="I51" s="7"/>
      <c r="J51" s="7"/>
      <c r="K51" s="7"/>
      <c r="L51" s="7"/>
      <c r="M51" s="7"/>
      <c r="N51" s="7"/>
      <c r="O51" s="7"/>
      <c r="P51" s="7"/>
      <c r="Q51" s="7"/>
      <c r="R51" s="7"/>
      <c r="S51" s="7"/>
      <c r="T51" s="7"/>
      <c r="U51" s="7"/>
      <c r="V51" s="7"/>
      <c r="W51" s="7"/>
      <c r="X51" s="7"/>
      <c r="Y51" s="7"/>
      <c r="Z51" s="7"/>
      <c r="AA51" s="7"/>
      <c r="AB51" s="7"/>
      <c r="AC51" s="7"/>
      <c r="AD51" s="7"/>
      <c r="AE51" s="7"/>
      <c r="AF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row>
    <row r="52" spans="1:124" ht="29" x14ac:dyDescent="0.35">
      <c r="A52" s="3" t="s">
        <v>177</v>
      </c>
      <c r="B52" s="27">
        <v>0</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row>
    <row r="53" spans="1:124" x14ac:dyDescent="0.35">
      <c r="A53" s="3" t="s">
        <v>7</v>
      </c>
      <c r="B53" s="27">
        <v>10</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row>
    <row r="54" spans="1:124" ht="56.5" x14ac:dyDescent="0.35">
      <c r="A54" s="3" t="s">
        <v>144</v>
      </c>
      <c r="B54" s="27">
        <v>5</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row>
    <row r="55" spans="1:124" ht="43.5" x14ac:dyDescent="0.35">
      <c r="A55" s="3" t="s">
        <v>145</v>
      </c>
      <c r="B55" s="27">
        <v>0</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row>
    <row r="56" spans="1:124" ht="29" x14ac:dyDescent="0.35">
      <c r="A56" s="3" t="s">
        <v>186</v>
      </c>
      <c r="B56" s="27">
        <v>45</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row>
    <row r="57" spans="1:124" ht="58" x14ac:dyDescent="0.35">
      <c r="A57" s="3" t="s">
        <v>146</v>
      </c>
      <c r="B57" s="27">
        <v>70</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row>
    <row r="58" spans="1:124" ht="15" thickBot="1" x14ac:dyDescent="0.4">
      <c r="A58" s="197"/>
      <c r="B58" s="19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row>
    <row r="59" spans="1:124" ht="44" thickBot="1" x14ac:dyDescent="0.4">
      <c r="A59" s="2" t="s">
        <v>139</v>
      </c>
      <c r="B59" s="118">
        <f>AF47</f>
        <v>1159.8445123979031</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row>
    <row r="60" spans="1:124" ht="44" thickBot="1" x14ac:dyDescent="0.4">
      <c r="A60" s="2" t="s">
        <v>179</v>
      </c>
      <c r="B60" s="96">
        <f>(1/B11)*(SUM(B21:DR21))</f>
        <v>5803.6282780836609</v>
      </c>
      <c r="C60" s="98"/>
      <c r="D60" s="98"/>
      <c r="E60" s="98"/>
      <c r="F60" s="98"/>
      <c r="G60" s="98"/>
      <c r="H60" s="98"/>
      <c r="I60" s="98"/>
      <c r="J60" s="98"/>
      <c r="K60" s="98"/>
      <c r="L60" s="98"/>
      <c r="M60" s="98"/>
      <c r="N60" s="98"/>
      <c r="O60" s="98"/>
      <c r="P60" s="98"/>
      <c r="Q60" s="98"/>
      <c r="R60" s="98"/>
      <c r="S60" s="98"/>
      <c r="T60" s="98"/>
      <c r="U60" s="98"/>
      <c r="V60" s="98"/>
      <c r="W60" s="98"/>
      <c r="X60" s="98"/>
      <c r="Y60" s="98"/>
      <c r="Z60" s="98"/>
      <c r="AA60" s="98"/>
      <c r="AB60" s="98"/>
      <c r="AC60" s="98"/>
      <c r="AD60" s="98"/>
      <c r="AE60" s="98"/>
      <c r="AF60" s="98"/>
    </row>
    <row r="61" spans="1:124" ht="44" thickBot="1" x14ac:dyDescent="0.4">
      <c r="A61" s="2" t="s">
        <v>180</v>
      </c>
      <c r="B61" s="96">
        <f>(((1/120)*(SUM(B42:DR42))))*B10</f>
        <v>4503.2704136023513</v>
      </c>
      <c r="C61" s="98"/>
      <c r="D61" s="98"/>
      <c r="E61" s="98"/>
      <c r="F61" s="98"/>
      <c r="G61" s="98"/>
      <c r="H61" s="98"/>
      <c r="I61" s="98"/>
      <c r="J61" s="98"/>
      <c r="K61" s="98"/>
      <c r="L61" s="98"/>
      <c r="M61" s="98"/>
      <c r="N61" s="98"/>
      <c r="O61" s="98"/>
      <c r="P61" s="98"/>
      <c r="Q61" s="98"/>
      <c r="R61" s="98"/>
      <c r="S61" s="98"/>
      <c r="T61" s="98"/>
      <c r="U61" s="98"/>
      <c r="V61" s="98"/>
      <c r="W61" s="98"/>
      <c r="X61" s="98"/>
      <c r="Y61" s="98"/>
      <c r="Z61" s="98"/>
      <c r="AA61" s="98"/>
      <c r="AB61" s="98"/>
      <c r="AC61" s="98"/>
      <c r="AD61" s="98"/>
      <c r="AE61" s="98"/>
      <c r="AF61" s="98"/>
    </row>
    <row r="62" spans="1:124" ht="58.5" thickBot="1" x14ac:dyDescent="0.4">
      <c r="A62" s="119" t="s">
        <v>181</v>
      </c>
      <c r="B62" s="120">
        <f>B60-B61</f>
        <v>1300.3578644813097</v>
      </c>
      <c r="C62" s="98"/>
      <c r="D62" s="98"/>
      <c r="E62" s="98"/>
      <c r="F62" s="98"/>
      <c r="G62" s="98"/>
      <c r="H62" s="98"/>
      <c r="I62" s="98"/>
      <c r="J62" s="98"/>
      <c r="K62" s="98"/>
      <c r="L62" s="98"/>
      <c r="M62" s="98"/>
      <c r="N62" s="98"/>
      <c r="O62" s="98"/>
      <c r="P62" s="98"/>
      <c r="Q62" s="98"/>
      <c r="R62" s="98"/>
      <c r="S62" s="98"/>
      <c r="T62" s="98"/>
      <c r="U62" s="98"/>
      <c r="V62" s="98"/>
      <c r="W62" s="98"/>
      <c r="X62" s="98"/>
      <c r="Y62" s="98"/>
      <c r="Z62" s="98"/>
      <c r="AA62" s="98"/>
      <c r="AB62" s="98"/>
      <c r="AC62" s="98"/>
      <c r="AD62" s="98"/>
      <c r="AE62" s="98"/>
      <c r="AF62" s="98"/>
    </row>
  </sheetData>
  <sheetProtection algorithmName="SHA-512" hashValue="Mu/HVCXKgP1Y9DoweIu4Ft5kvEQ3UwrHnWHDSpoE1TRPWuyPVT0x37IzOgVu1nIJMokjmBzSjfYPf2Eske738g==" saltValue="nCWmJiR2lN+nT2WlcLPqJg==" spinCount="100000" sheet="1" objects="1" scenarios="1"/>
  <mergeCells count="5">
    <mergeCell ref="A58:B58"/>
    <mergeCell ref="A9:B9"/>
    <mergeCell ref="A48:B48"/>
    <mergeCell ref="A41:G41"/>
    <mergeCell ref="F51:G51"/>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prompt="Choisir l'essence pour avoir la di pour le scénario de référence">
          <x14:formula1>
            <xm:f>'Listes choix'!$C$65:$C$67</xm:f>
          </x14:formula1>
          <xm:sqref>D51</xm:sqref>
        </x14:dataValidation>
        <x14:dataValidation type="list" showInputMessage="1" showErrorMessage="1" prompt="Choisir l'essence pour avoir la di pour le scénario de projet">
          <x14:formula1>
            <xm:f>'Listes choix'!$C$2:$C$66</xm:f>
          </x14:formula1>
          <xm:sqref>B51</xm:sqref>
        </x14:dataValidation>
        <x14:dataValidation type="list" showInputMessage="1" showErrorMessage="1" prompt="Information nécessaire pour le calcul du stock de la Biomasse Aérienne du scénario de projet">
          <x14:formula1>
            <xm:f>'Listes choix'!$B$2:$B$3</xm:f>
          </x14:formula1>
          <xm:sqref>B12</xm:sqref>
        </x14:dataValidation>
        <x14:dataValidation type="list" showInputMessage="1" showErrorMessage="1" prompt="Choisir une de trois options">
          <x14:formula1>
            <xm:f>'Listes choix'!$A$71:$A$73</xm:f>
          </x14:formula1>
          <xm:sqref>B15</xm:sqref>
        </x14:dataValidation>
        <x14:dataValidation type="list" showInputMessage="1" showErrorMessage="1" prompt="Information nécessaire pour le scénario de référence">
          <x14:formula1>
            <xm:f>'Listes choix'!$T$2:$T$3</xm:f>
          </x14:formula1>
          <xm:sqref>B16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38"/>
  <sheetViews>
    <sheetView zoomScale="81" workbookViewId="0">
      <selection activeCell="R15" sqref="R15"/>
    </sheetView>
  </sheetViews>
  <sheetFormatPr baseColWidth="10" defaultRowHeight="14.5" x14ac:dyDescent="0.35"/>
  <cols>
    <col min="1" max="1" width="35.453125" customWidth="1"/>
  </cols>
  <sheetData>
    <row r="1" spans="1:33" x14ac:dyDescent="0.35">
      <c r="A1" s="1"/>
      <c r="D1" s="104"/>
    </row>
    <row r="2" spans="1:33" x14ac:dyDescent="0.35">
      <c r="A2" s="1"/>
    </row>
    <row r="3" spans="1:33" x14ac:dyDescent="0.35">
      <c r="A3" s="1"/>
    </row>
    <row r="4" spans="1:33" ht="16" thickBot="1" x14ac:dyDescent="0.4">
      <c r="A4" s="19"/>
      <c r="B4" s="7"/>
    </row>
    <row r="5" spans="1:33" ht="37.5" customHeight="1" thickBot="1" x14ac:dyDescent="0.4">
      <c r="A5" s="20" t="s">
        <v>204</v>
      </c>
      <c r="B5" s="100">
        <f>(SUM(B14:AF14)/30)*(44/12)</f>
        <v>83.140967899801765</v>
      </c>
    </row>
    <row r="6" spans="1:33" x14ac:dyDescent="0.35">
      <c r="A6" s="1"/>
    </row>
    <row r="7" spans="1:33" ht="15" thickBot="1" x14ac:dyDescent="0.4">
      <c r="A7" s="1"/>
    </row>
    <row r="8" spans="1:33" x14ac:dyDescent="0.35">
      <c r="A8" s="199" t="s">
        <v>11</v>
      </c>
      <c r="B8" s="200"/>
    </row>
    <row r="9" spans="1:33" ht="15" thickBot="1" x14ac:dyDescent="0.4">
      <c r="A9" s="4" t="s">
        <v>13</v>
      </c>
      <c r="B9" s="21">
        <v>30</v>
      </c>
    </row>
    <row r="10" spans="1:33" ht="15" thickBot="1" x14ac:dyDescent="0.4">
      <c r="A10" s="1"/>
    </row>
    <row r="11" spans="1:33" ht="15.5" x14ac:dyDescent="0.35">
      <c r="A11" s="210" t="s">
        <v>1</v>
      </c>
      <c r="B11" s="211"/>
      <c r="C11" s="211"/>
      <c r="D11" s="211"/>
      <c r="E11" s="211"/>
      <c r="F11" s="211"/>
      <c r="G11" s="211"/>
      <c r="H11" s="211"/>
      <c r="I11" s="211"/>
      <c r="J11" s="211"/>
      <c r="K11" s="211"/>
      <c r="L11" s="211"/>
      <c r="M11" s="211"/>
      <c r="N11" s="211"/>
      <c r="O11" s="211"/>
      <c r="P11" s="211"/>
      <c r="Q11" s="211"/>
      <c r="R11" s="211"/>
      <c r="S11" s="211"/>
      <c r="T11" s="211"/>
      <c r="U11" s="211"/>
      <c r="V11" s="211"/>
      <c r="W11" s="211"/>
      <c r="X11" s="211"/>
      <c r="Y11" s="211"/>
      <c r="Z11" s="211"/>
      <c r="AA11" s="211"/>
      <c r="AB11" s="211"/>
      <c r="AC11" s="211"/>
      <c r="AD11" s="211"/>
      <c r="AE11" s="211"/>
      <c r="AF11" s="211"/>
      <c r="AG11" s="162"/>
    </row>
    <row r="12" spans="1:33" ht="38" customHeight="1" x14ac:dyDescent="0.35">
      <c r="A12" s="3" t="s">
        <v>159</v>
      </c>
      <c r="B12" s="12">
        <v>0</v>
      </c>
      <c r="C12" s="12">
        <v>1</v>
      </c>
      <c r="D12" s="12">
        <v>2</v>
      </c>
      <c r="E12" s="12">
        <v>3</v>
      </c>
      <c r="F12" s="12">
        <v>4</v>
      </c>
      <c r="G12" s="12">
        <v>5</v>
      </c>
      <c r="H12" s="12">
        <v>6</v>
      </c>
      <c r="I12" s="12">
        <v>7</v>
      </c>
      <c r="J12" s="12">
        <v>8</v>
      </c>
      <c r="K12" s="12">
        <v>9</v>
      </c>
      <c r="L12" s="12">
        <v>10</v>
      </c>
      <c r="M12" s="12">
        <v>11</v>
      </c>
      <c r="N12" s="12">
        <v>12</v>
      </c>
      <c r="O12" s="12">
        <v>13</v>
      </c>
      <c r="P12" s="12">
        <v>14</v>
      </c>
      <c r="Q12" s="170">
        <v>15</v>
      </c>
      <c r="R12" s="12">
        <v>16</v>
      </c>
      <c r="S12" s="12">
        <v>17</v>
      </c>
      <c r="T12" s="12">
        <v>18</v>
      </c>
      <c r="U12" s="12">
        <v>19</v>
      </c>
      <c r="V12" s="12">
        <v>20</v>
      </c>
      <c r="W12" s="12">
        <v>21</v>
      </c>
      <c r="X12" s="12">
        <v>22</v>
      </c>
      <c r="Y12" s="170">
        <v>23</v>
      </c>
      <c r="Z12" s="12">
        <v>24</v>
      </c>
      <c r="AA12" s="12">
        <v>25</v>
      </c>
      <c r="AB12" s="12">
        <v>26</v>
      </c>
      <c r="AC12" s="122">
        <v>27</v>
      </c>
      <c r="AD12" s="12">
        <v>28</v>
      </c>
      <c r="AE12" s="12">
        <v>29</v>
      </c>
      <c r="AF12" s="13">
        <v>30</v>
      </c>
      <c r="AG12" s="162"/>
    </row>
    <row r="13" spans="1:33" x14ac:dyDescent="0.35">
      <c r="A13" s="212" t="s">
        <v>2</v>
      </c>
      <c r="B13" s="213"/>
      <c r="C13" s="213"/>
      <c r="D13" s="213"/>
      <c r="E13" s="213"/>
      <c r="F13" s="213"/>
      <c r="G13" s="213"/>
      <c r="H13" s="213"/>
      <c r="I13" s="213"/>
      <c r="J13" s="213"/>
      <c r="K13" s="213"/>
      <c r="L13" s="213"/>
      <c r="M13" s="213"/>
      <c r="N13" s="213"/>
      <c r="O13" s="213"/>
      <c r="P13" s="213"/>
      <c r="Q13" s="213"/>
      <c r="R13" s="213"/>
      <c r="S13" s="213"/>
      <c r="T13" s="213"/>
      <c r="U13" s="213"/>
      <c r="V13" s="213"/>
      <c r="W13" s="213"/>
      <c r="X13" s="213"/>
      <c r="Y13" s="213"/>
      <c r="Z13" s="213"/>
      <c r="AA13" s="213"/>
      <c r="AB13" s="213"/>
      <c r="AC13" s="213"/>
      <c r="AD13" s="213"/>
      <c r="AE13" s="213"/>
      <c r="AF13" s="213"/>
      <c r="AG13" s="162"/>
    </row>
    <row r="14" spans="1:33" ht="29" x14ac:dyDescent="0.35">
      <c r="A14" s="3" t="s">
        <v>239</v>
      </c>
      <c r="B14" s="12">
        <f>SUM(B15*5.67,B18*5.67,B21*1.2448)</f>
        <v>0</v>
      </c>
      <c r="C14" s="12">
        <f t="shared" ref="C14:AA14" si="0">SUM(C15*5.67,C18*5.67,C21*1.2448)</f>
        <v>0</v>
      </c>
      <c r="D14" s="12">
        <f t="shared" si="0"/>
        <v>0</v>
      </c>
      <c r="E14" s="12">
        <f t="shared" si="0"/>
        <v>0</v>
      </c>
      <c r="F14" s="12">
        <f t="shared" si="0"/>
        <v>0</v>
      </c>
      <c r="G14" s="12">
        <f t="shared" si="0"/>
        <v>0</v>
      </c>
      <c r="H14" s="12">
        <f t="shared" si="0"/>
        <v>0</v>
      </c>
      <c r="I14" s="12">
        <f t="shared" si="0"/>
        <v>0</v>
      </c>
      <c r="J14" s="12">
        <f t="shared" si="0"/>
        <v>0</v>
      </c>
      <c r="K14" s="12">
        <f t="shared" si="0"/>
        <v>0</v>
      </c>
      <c r="L14" s="12">
        <f t="shared" si="0"/>
        <v>0</v>
      </c>
      <c r="M14" s="12">
        <f t="shared" si="0"/>
        <v>0</v>
      </c>
      <c r="N14" s="12">
        <f t="shared" si="0"/>
        <v>0</v>
      </c>
      <c r="O14" s="12">
        <f t="shared" si="0"/>
        <v>0</v>
      </c>
      <c r="P14" s="12">
        <f t="shared" si="0"/>
        <v>0</v>
      </c>
      <c r="Q14" s="12">
        <f t="shared" si="0"/>
        <v>0</v>
      </c>
      <c r="R14" s="12">
        <f t="shared" si="0"/>
        <v>26.303157738872102</v>
      </c>
      <c r="S14" s="12">
        <f t="shared" si="0"/>
        <v>19.517405748265602</v>
      </c>
      <c r="T14" s="12">
        <f t="shared" si="0"/>
        <v>14.70114789262626</v>
      </c>
      <c r="U14" s="12">
        <f t="shared" si="0"/>
        <v>11.277885793922028</v>
      </c>
      <c r="V14" s="12">
        <f t="shared" si="0"/>
        <v>8.8399666156553742</v>
      </c>
      <c r="W14" s="12">
        <f t="shared" si="0"/>
        <v>7.0991294844972863</v>
      </c>
      <c r="X14" s="12">
        <f t="shared" si="0"/>
        <v>5.8515365270082489</v>
      </c>
      <c r="Y14" s="12">
        <f t="shared" si="0"/>
        <v>4.9530460759623196</v>
      </c>
      <c r="Z14" s="12">
        <f t="shared" si="0"/>
        <v>27.635325685451981</v>
      </c>
      <c r="AA14" s="12">
        <f t="shared" si="0"/>
        <v>22.390941471627592</v>
      </c>
      <c r="AB14" s="12">
        <f>SUM(AB15*5.67,AB18*5.67,AB21*1.2448)</f>
        <v>18.62671869147632</v>
      </c>
      <c r="AC14" s="12">
        <f>SUM(AC15*5.67,AC18*(5.67+1.2448),AC21*1.2448)</f>
        <v>17.245846789725309</v>
      </c>
      <c r="AD14" s="12">
        <f t="shared" ref="AD14:AE14" si="1">SUM(AD15*5.67,AD18*(5.67+1.2448),AD21*1.2448)</f>
        <v>207.67947786577543</v>
      </c>
      <c r="AE14" s="12">
        <f t="shared" si="1"/>
        <v>161.26085492908973</v>
      </c>
      <c r="AF14" s="12">
        <f>SUM(AF15*5.67,AF18*(5.67+1.2448),AF21*1.2448)</f>
        <v>126.86184150660425</v>
      </c>
      <c r="AG14" s="162"/>
    </row>
    <row r="15" spans="1:33" x14ac:dyDescent="0.35">
      <c r="A15" s="151" t="s">
        <v>235</v>
      </c>
      <c r="B15" s="12">
        <v>0</v>
      </c>
      <c r="C15" s="31">
        <f>C16+B17</f>
        <v>0</v>
      </c>
      <c r="D15" s="31">
        <f>D16+C17</f>
        <v>0</v>
      </c>
      <c r="E15" s="31">
        <f>E16+D17</f>
        <v>0</v>
      </c>
      <c r="F15" s="31">
        <f t="shared" ref="F15:AC15" si="2">F16+E17</f>
        <v>0</v>
      </c>
      <c r="G15" s="31">
        <f t="shared" si="2"/>
        <v>0</v>
      </c>
      <c r="H15" s="31">
        <f t="shared" si="2"/>
        <v>0</v>
      </c>
      <c r="I15" s="31">
        <f t="shared" si="2"/>
        <v>0</v>
      </c>
      <c r="J15" s="31">
        <f t="shared" si="2"/>
        <v>0</v>
      </c>
      <c r="K15" s="31">
        <f t="shared" si="2"/>
        <v>0</v>
      </c>
      <c r="L15" s="31">
        <f t="shared" si="2"/>
        <v>0</v>
      </c>
      <c r="M15" s="31">
        <f t="shared" si="2"/>
        <v>0</v>
      </c>
      <c r="N15" s="31">
        <f t="shared" si="2"/>
        <v>0</v>
      </c>
      <c r="O15" s="31">
        <f t="shared" si="2"/>
        <v>0</v>
      </c>
      <c r="P15" s="31">
        <f t="shared" si="2"/>
        <v>0</v>
      </c>
      <c r="Q15" s="31">
        <f t="shared" si="2"/>
        <v>0</v>
      </c>
      <c r="R15" s="31">
        <f t="shared" si="2"/>
        <v>0.59261252127544539</v>
      </c>
      <c r="S15" s="31">
        <f t="shared" si="2"/>
        <v>0.58099175119118085</v>
      </c>
      <c r="T15" s="31">
        <f t="shared" si="2"/>
        <v>0.56959885732029891</v>
      </c>
      <c r="U15" s="31">
        <f t="shared" si="2"/>
        <v>0.55842937114924585</v>
      </c>
      <c r="V15" s="31">
        <f t="shared" si="2"/>
        <v>0.54747891178929331</v>
      </c>
      <c r="W15" s="31">
        <f t="shared" si="2"/>
        <v>0.53674318425826872</v>
      </c>
      <c r="X15" s="31">
        <f t="shared" si="2"/>
        <v>0.52621797779598023</v>
      </c>
      <c r="Y15" s="31">
        <f t="shared" si="2"/>
        <v>0.51589916421267523</v>
      </c>
      <c r="Z15" s="31">
        <f t="shared" si="2"/>
        <v>1.8391608691396364</v>
      </c>
      <c r="AA15" s="31">
        <f t="shared" si="2"/>
        <v>1.803096046273172</v>
      </c>
      <c r="AB15" s="31">
        <f t="shared" si="2"/>
        <v>1.767738432585749</v>
      </c>
      <c r="AC15" s="31">
        <f t="shared" si="2"/>
        <v>1.7330741601367217</v>
      </c>
      <c r="AD15" s="31">
        <f t="shared" ref="AD15" si="3">AD16+AC17</f>
        <v>1.6990896329273011</v>
      </c>
      <c r="AE15" s="31">
        <f t="shared" ref="AE15" si="4">AE16+AD17</f>
        <v>1.6657715215679425</v>
      </c>
      <c r="AF15" s="31">
        <f t="shared" ref="AF15" si="5">AF16+AE17</f>
        <v>1.6331067580502996</v>
      </c>
      <c r="AG15" s="162"/>
    </row>
    <row r="16" spans="1:33" ht="29" x14ac:dyDescent="0.35">
      <c r="A16" s="151" t="s">
        <v>236</v>
      </c>
      <c r="B16" s="12">
        <v>0</v>
      </c>
      <c r="C16" s="31">
        <f>(EXP(-$C$34))*B15</f>
        <v>0</v>
      </c>
      <c r="D16" s="31">
        <f t="shared" ref="D16:AE16" si="6">(EXP(-$C$34))*C15</f>
        <v>0</v>
      </c>
      <c r="E16" s="31">
        <f t="shared" si="6"/>
        <v>0</v>
      </c>
      <c r="F16" s="31">
        <f t="shared" si="6"/>
        <v>0</v>
      </c>
      <c r="G16" s="31">
        <f t="shared" si="6"/>
        <v>0</v>
      </c>
      <c r="H16" s="31">
        <f t="shared" si="6"/>
        <v>0</v>
      </c>
      <c r="I16" s="31">
        <f t="shared" si="6"/>
        <v>0</v>
      </c>
      <c r="J16" s="31">
        <f t="shared" si="6"/>
        <v>0</v>
      </c>
      <c r="K16" s="31">
        <f t="shared" si="6"/>
        <v>0</v>
      </c>
      <c r="L16" s="31">
        <f t="shared" si="6"/>
        <v>0</v>
      </c>
      <c r="M16" s="31">
        <f t="shared" si="6"/>
        <v>0</v>
      </c>
      <c r="N16" s="31">
        <f t="shared" si="6"/>
        <v>0</v>
      </c>
      <c r="O16" s="31">
        <f t="shared" si="6"/>
        <v>0</v>
      </c>
      <c r="P16" s="31">
        <f t="shared" si="6"/>
        <v>0</v>
      </c>
      <c r="Q16" s="31">
        <f t="shared" si="6"/>
        <v>0</v>
      </c>
      <c r="R16" s="31">
        <f t="shared" si="6"/>
        <v>0</v>
      </c>
      <c r="S16" s="31">
        <f t="shared" si="6"/>
        <v>0.58099175119118085</v>
      </c>
      <c r="T16" s="31">
        <f t="shared" si="6"/>
        <v>0.56959885732029891</v>
      </c>
      <c r="U16" s="31">
        <f t="shared" si="6"/>
        <v>0.55842937114924585</v>
      </c>
      <c r="V16" s="31">
        <f t="shared" si="6"/>
        <v>0.54747891178929331</v>
      </c>
      <c r="W16" s="31">
        <f t="shared" si="6"/>
        <v>0.53674318425826872</v>
      </c>
      <c r="X16" s="31">
        <f t="shared" si="6"/>
        <v>0.52621797779598023</v>
      </c>
      <c r="Y16" s="31">
        <f t="shared" si="6"/>
        <v>0.51589916421267523</v>
      </c>
      <c r="Z16" s="31">
        <f t="shared" si="6"/>
        <v>0.50578269626988404</v>
      </c>
      <c r="AA16" s="31">
        <f t="shared" si="6"/>
        <v>1.803096046273172</v>
      </c>
      <c r="AB16" s="31">
        <f t="shared" si="6"/>
        <v>1.767738432585749</v>
      </c>
      <c r="AC16" s="31">
        <f>(EXP(-$C$34))*AB15</f>
        <v>1.7330741601367217</v>
      </c>
      <c r="AD16" s="31">
        <f t="shared" si="6"/>
        <v>1.6990896329273011</v>
      </c>
      <c r="AE16" s="31">
        <f t="shared" si="6"/>
        <v>1.6657715215679425</v>
      </c>
      <c r="AF16" s="31">
        <f>(EXP(-$C$34))*AE15</f>
        <v>1.6331067580502996</v>
      </c>
      <c r="AG16" s="162"/>
    </row>
    <row r="17" spans="1:33" ht="43.5" x14ac:dyDescent="0.35">
      <c r="A17" s="151" t="s">
        <v>237</v>
      </c>
      <c r="B17" s="12">
        <f>((1-EXP(-$C$34))/$C$34)*(B24*0.36*$B$28)</f>
        <v>0</v>
      </c>
      <c r="C17" s="12">
        <f t="shared" ref="C17:AF17" si="7">((1-EXP(-$C$34))/$C$34)*(C24*0.36*$B$28)</f>
        <v>0</v>
      </c>
      <c r="D17" s="12">
        <f t="shared" si="7"/>
        <v>0</v>
      </c>
      <c r="E17" s="12">
        <f t="shared" si="7"/>
        <v>0</v>
      </c>
      <c r="F17" s="12">
        <f t="shared" si="7"/>
        <v>0</v>
      </c>
      <c r="G17" s="12">
        <f t="shared" si="7"/>
        <v>0</v>
      </c>
      <c r="H17" s="12">
        <f t="shared" si="7"/>
        <v>0</v>
      </c>
      <c r="I17" s="12">
        <f t="shared" si="7"/>
        <v>0</v>
      </c>
      <c r="J17" s="12">
        <f t="shared" si="7"/>
        <v>0</v>
      </c>
      <c r="K17" s="12">
        <f t="shared" si="7"/>
        <v>0</v>
      </c>
      <c r="L17" s="12">
        <f t="shared" si="7"/>
        <v>0</v>
      </c>
      <c r="M17" s="12">
        <f t="shared" si="7"/>
        <v>0</v>
      </c>
      <c r="N17" s="12">
        <f t="shared" si="7"/>
        <v>0</v>
      </c>
      <c r="O17" s="12">
        <f t="shared" si="7"/>
        <v>0</v>
      </c>
      <c r="P17" s="12">
        <f t="shared" si="7"/>
        <v>0</v>
      </c>
      <c r="Q17" s="12">
        <f>((1-EXP(-$C$34))/$C$34)*(Q24*0.36*$B$28)</f>
        <v>0.59261252127544539</v>
      </c>
      <c r="R17" s="12">
        <f t="shared" si="7"/>
        <v>0</v>
      </c>
      <c r="S17" s="12">
        <f t="shared" si="7"/>
        <v>0</v>
      </c>
      <c r="T17" s="12">
        <f t="shared" si="7"/>
        <v>0</v>
      </c>
      <c r="U17" s="12">
        <f t="shared" si="7"/>
        <v>0</v>
      </c>
      <c r="V17" s="12">
        <f t="shared" si="7"/>
        <v>0</v>
      </c>
      <c r="W17" s="12">
        <f t="shared" si="7"/>
        <v>0</v>
      </c>
      <c r="X17" s="12">
        <f t="shared" si="7"/>
        <v>0</v>
      </c>
      <c r="Y17" s="12">
        <f t="shared" si="7"/>
        <v>1.3333781728697525</v>
      </c>
      <c r="Z17" s="12">
        <f t="shared" si="7"/>
        <v>0</v>
      </c>
      <c r="AA17" s="12">
        <f t="shared" si="7"/>
        <v>0</v>
      </c>
      <c r="AB17" s="12">
        <f t="shared" si="7"/>
        <v>0</v>
      </c>
      <c r="AC17" s="12">
        <f t="shared" si="7"/>
        <v>0</v>
      </c>
      <c r="AD17" s="12">
        <f t="shared" si="7"/>
        <v>0</v>
      </c>
      <c r="AE17" s="12">
        <f t="shared" si="7"/>
        <v>0</v>
      </c>
      <c r="AF17" s="12">
        <f t="shared" si="7"/>
        <v>0</v>
      </c>
      <c r="AG17" s="162"/>
    </row>
    <row r="18" spans="1:33" x14ac:dyDescent="0.35">
      <c r="A18" s="152" t="s">
        <v>205</v>
      </c>
      <c r="B18" s="12">
        <v>0</v>
      </c>
      <c r="C18" s="31">
        <f>C19+B20</f>
        <v>0</v>
      </c>
      <c r="D18" s="31">
        <f>D19+C20</f>
        <v>0</v>
      </c>
      <c r="E18" s="31">
        <f t="shared" ref="E18:AF18" si="8">E19+D20</f>
        <v>0</v>
      </c>
      <c r="F18" s="31">
        <f>F19+E20</f>
        <v>0</v>
      </c>
      <c r="G18" s="31">
        <f t="shared" si="8"/>
        <v>0</v>
      </c>
      <c r="H18" s="31">
        <f t="shared" si="8"/>
        <v>0</v>
      </c>
      <c r="I18" s="31">
        <f t="shared" si="8"/>
        <v>0</v>
      </c>
      <c r="J18" s="31">
        <f t="shared" si="8"/>
        <v>0</v>
      </c>
      <c r="K18" s="31">
        <f t="shared" si="8"/>
        <v>0</v>
      </c>
      <c r="L18" s="31">
        <f t="shared" si="8"/>
        <v>0</v>
      </c>
      <c r="M18" s="31">
        <f>M19+L20</f>
        <v>0</v>
      </c>
      <c r="N18" s="31">
        <f t="shared" si="8"/>
        <v>0</v>
      </c>
      <c r="O18" s="31">
        <f t="shared" si="8"/>
        <v>0</v>
      </c>
      <c r="P18" s="31">
        <f t="shared" si="8"/>
        <v>0</v>
      </c>
      <c r="Q18" s="31">
        <f>Q19+P20</f>
        <v>0</v>
      </c>
      <c r="R18" s="31">
        <f t="shared" si="8"/>
        <v>4.0463923709418568</v>
      </c>
      <c r="S18" s="31">
        <f t="shared" si="8"/>
        <v>2.8612314848344989</v>
      </c>
      <c r="T18" s="31">
        <f t="shared" si="8"/>
        <v>2.0231961854709284</v>
      </c>
      <c r="U18" s="31">
        <f t="shared" si="8"/>
        <v>1.4306157424172494</v>
      </c>
      <c r="V18" s="31">
        <f t="shared" si="8"/>
        <v>1.0115980927354642</v>
      </c>
      <c r="W18" s="31">
        <f t="shared" si="8"/>
        <v>0.71530787120862471</v>
      </c>
      <c r="X18" s="31">
        <f t="shared" si="8"/>
        <v>0.5057990463677321</v>
      </c>
      <c r="Y18" s="31">
        <f t="shared" si="8"/>
        <v>0.35765393560431236</v>
      </c>
      <c r="Z18" s="31">
        <f t="shared" si="8"/>
        <v>3.0347942782063924</v>
      </c>
      <c r="AA18" s="31">
        <f t="shared" si="8"/>
        <v>2.1459236136258739</v>
      </c>
      <c r="AB18" s="31">
        <f t="shared" si="8"/>
        <v>1.5173971391031962</v>
      </c>
      <c r="AC18" s="31">
        <f>AC19+AB20</f>
        <v>1.072961806812937</v>
      </c>
      <c r="AD18" s="31">
        <f>AD19+AC20</f>
        <v>18.220808503675681</v>
      </c>
      <c r="AE18" s="31">
        <f t="shared" si="8"/>
        <v>12.884057251650585</v>
      </c>
      <c r="AF18" s="160">
        <f t="shared" si="8"/>
        <v>9.1104042518378421</v>
      </c>
      <c r="AG18" s="162"/>
    </row>
    <row r="19" spans="1:33" ht="29" x14ac:dyDescent="0.35">
      <c r="A19" s="152" t="s">
        <v>206</v>
      </c>
      <c r="B19" s="12">
        <v>0</v>
      </c>
      <c r="C19" s="31">
        <f t="shared" ref="C19:AF19" si="9">(EXP(-$C$36))*B18</f>
        <v>0</v>
      </c>
      <c r="D19" s="31">
        <f t="shared" si="9"/>
        <v>0</v>
      </c>
      <c r="E19" s="31">
        <f t="shared" si="9"/>
        <v>0</v>
      </c>
      <c r="F19" s="31">
        <f t="shared" si="9"/>
        <v>0</v>
      </c>
      <c r="G19" s="31">
        <f t="shared" si="9"/>
        <v>0</v>
      </c>
      <c r="H19" s="31">
        <f t="shared" si="9"/>
        <v>0</v>
      </c>
      <c r="I19" s="31">
        <f t="shared" si="9"/>
        <v>0</v>
      </c>
      <c r="J19" s="31">
        <f t="shared" si="9"/>
        <v>0</v>
      </c>
      <c r="K19" s="31">
        <f t="shared" si="9"/>
        <v>0</v>
      </c>
      <c r="L19" s="31">
        <f t="shared" si="9"/>
        <v>0</v>
      </c>
      <c r="M19" s="31">
        <f t="shared" si="9"/>
        <v>0</v>
      </c>
      <c r="N19" s="31">
        <f t="shared" si="9"/>
        <v>0</v>
      </c>
      <c r="O19" s="31">
        <f t="shared" si="9"/>
        <v>0</v>
      </c>
      <c r="P19" s="31">
        <f t="shared" si="9"/>
        <v>0</v>
      </c>
      <c r="Q19" s="31">
        <f>(EXP(-$C$36))*P18</f>
        <v>0</v>
      </c>
      <c r="R19" s="31">
        <f t="shared" si="9"/>
        <v>0</v>
      </c>
      <c r="S19" s="31">
        <f t="shared" si="9"/>
        <v>2.8612314848344989</v>
      </c>
      <c r="T19" s="31">
        <f t="shared" si="9"/>
        <v>2.0231961854709284</v>
      </c>
      <c r="U19" s="31">
        <f t="shared" si="9"/>
        <v>1.4306157424172494</v>
      </c>
      <c r="V19" s="31">
        <f t="shared" si="9"/>
        <v>1.0115980927354642</v>
      </c>
      <c r="W19" s="31">
        <f t="shared" si="9"/>
        <v>0.71530787120862471</v>
      </c>
      <c r="X19" s="31">
        <f t="shared" si="9"/>
        <v>0.5057990463677321</v>
      </c>
      <c r="Y19" s="31">
        <f t="shared" si="9"/>
        <v>0.35765393560431236</v>
      </c>
      <c r="Z19" s="31">
        <f t="shared" si="9"/>
        <v>0.25289952318386605</v>
      </c>
      <c r="AA19" s="31">
        <f t="shared" si="9"/>
        <v>2.1459236136258739</v>
      </c>
      <c r="AB19" s="31">
        <f t="shared" si="9"/>
        <v>1.5173971391031962</v>
      </c>
      <c r="AC19" s="31">
        <f>(EXP(-$C$36))*AB18</f>
        <v>1.072961806812937</v>
      </c>
      <c r="AD19" s="31">
        <f>(EXP(-$C$36))*AC18</f>
        <v>0.75869856955159809</v>
      </c>
      <c r="AE19" s="31">
        <f t="shared" si="9"/>
        <v>12.884057251650585</v>
      </c>
      <c r="AF19" s="160">
        <f t="shared" si="9"/>
        <v>9.1104042518378421</v>
      </c>
      <c r="AG19" s="162"/>
    </row>
    <row r="20" spans="1:33" ht="43.5" x14ac:dyDescent="0.35">
      <c r="A20" s="152" t="s">
        <v>207</v>
      </c>
      <c r="B20" s="12">
        <f>((1-EXP(-$C$36))/$C$36)*(B25*0.36*$B$28)</f>
        <v>0</v>
      </c>
      <c r="C20" s="12">
        <f t="shared" ref="C20:P20" si="10">((1-EXP(-$C$36))/$C$36)*(C25*0.36*$B$28)</f>
        <v>0</v>
      </c>
      <c r="D20" s="12">
        <f t="shared" si="10"/>
        <v>0</v>
      </c>
      <c r="E20" s="12">
        <f t="shared" si="10"/>
        <v>0</v>
      </c>
      <c r="F20" s="12">
        <f t="shared" si="10"/>
        <v>0</v>
      </c>
      <c r="G20" s="12">
        <f t="shared" si="10"/>
        <v>0</v>
      </c>
      <c r="H20" s="12">
        <f t="shared" si="10"/>
        <v>0</v>
      </c>
      <c r="I20" s="12">
        <f t="shared" si="10"/>
        <v>0</v>
      </c>
      <c r="J20" s="12">
        <f t="shared" si="10"/>
        <v>0</v>
      </c>
      <c r="K20" s="12">
        <f t="shared" si="10"/>
        <v>0</v>
      </c>
      <c r="L20" s="12">
        <f t="shared" si="10"/>
        <v>0</v>
      </c>
      <c r="M20" s="12">
        <f t="shared" si="10"/>
        <v>0</v>
      </c>
      <c r="N20" s="12">
        <f t="shared" si="10"/>
        <v>0</v>
      </c>
      <c r="O20" s="12">
        <f t="shared" si="10"/>
        <v>0</v>
      </c>
      <c r="P20" s="12">
        <f t="shared" si="10"/>
        <v>0</v>
      </c>
      <c r="Q20" s="12">
        <f>((1-EXP(-$C$36))/$C$36)*(Q25*0.36*$B$28)</f>
        <v>4.0463923709418568</v>
      </c>
      <c r="R20" s="12">
        <f t="shared" ref="R20:AB20" si="11">((1-EXP(-$C$36))/$C$36)*(R25*0.36*$B$28)</f>
        <v>0</v>
      </c>
      <c r="S20" s="12">
        <f t="shared" si="11"/>
        <v>0</v>
      </c>
      <c r="T20" s="12">
        <f t="shared" si="11"/>
        <v>0</v>
      </c>
      <c r="U20" s="12">
        <f t="shared" si="11"/>
        <v>0</v>
      </c>
      <c r="V20" s="12">
        <f t="shared" si="11"/>
        <v>0</v>
      </c>
      <c r="W20" s="12">
        <f t="shared" si="11"/>
        <v>0</v>
      </c>
      <c r="X20" s="12">
        <f t="shared" si="11"/>
        <v>0</v>
      </c>
      <c r="Y20" s="12">
        <f t="shared" si="11"/>
        <v>2.7818947550225261</v>
      </c>
      <c r="Z20" s="12">
        <f t="shared" si="11"/>
        <v>0</v>
      </c>
      <c r="AA20" s="12">
        <f t="shared" si="11"/>
        <v>0</v>
      </c>
      <c r="AB20" s="12">
        <f t="shared" si="11"/>
        <v>0</v>
      </c>
      <c r="AC20" s="12">
        <f>((1-EXP(-$C$36))/$C$36)*(AC25*0.58*$B$28)</f>
        <v>17.462109934124083</v>
      </c>
      <c r="AD20" s="12">
        <f t="shared" ref="AD20:AE20" si="12">((1-EXP(-$C$36))/$C$36)*(AD25*0.58*$B$28)</f>
        <v>0</v>
      </c>
      <c r="AE20" s="12">
        <f t="shared" si="12"/>
        <v>0</v>
      </c>
      <c r="AF20" s="12">
        <f>((1-EXP(-$C$36))/$C$36)*(AF25*0.58*$B$28)</f>
        <v>0</v>
      </c>
      <c r="AG20" s="162"/>
    </row>
    <row r="21" spans="1:33" x14ac:dyDescent="0.35">
      <c r="A21" s="92" t="s">
        <v>183</v>
      </c>
      <c r="B21" s="12">
        <v>0</v>
      </c>
      <c r="C21" s="31">
        <f>C22+B23</f>
        <v>0</v>
      </c>
      <c r="D21" s="31">
        <f>D22+C23</f>
        <v>0</v>
      </c>
      <c r="E21" s="31">
        <f t="shared" ref="E21:AF21" si="13">E22+D23</f>
        <v>0</v>
      </c>
      <c r="F21" s="31">
        <f>F22+E23</f>
        <v>0</v>
      </c>
      <c r="G21" s="31">
        <f t="shared" si="13"/>
        <v>0</v>
      </c>
      <c r="H21" s="31">
        <f t="shared" si="13"/>
        <v>0</v>
      </c>
      <c r="I21" s="31">
        <f t="shared" si="13"/>
        <v>0</v>
      </c>
      <c r="J21" s="31">
        <f t="shared" si="13"/>
        <v>0</v>
      </c>
      <c r="K21" s="31">
        <f>K22+J23</f>
        <v>0</v>
      </c>
      <c r="L21" s="31">
        <f t="shared" si="13"/>
        <v>0</v>
      </c>
      <c r="M21" s="31">
        <f t="shared" si="13"/>
        <v>0</v>
      </c>
      <c r="N21" s="31">
        <f t="shared" si="13"/>
        <v>0</v>
      </c>
      <c r="O21" s="31">
        <f t="shared" si="13"/>
        <v>0</v>
      </c>
      <c r="P21" s="31">
        <f t="shared" si="13"/>
        <v>0</v>
      </c>
      <c r="Q21" s="31">
        <f t="shared" si="13"/>
        <v>0</v>
      </c>
      <c r="R21" s="31">
        <f t="shared" si="13"/>
        <v>0</v>
      </c>
      <c r="S21" s="31">
        <f t="shared" si="13"/>
        <v>0</v>
      </c>
      <c r="T21" s="31">
        <f t="shared" si="13"/>
        <v>0</v>
      </c>
      <c r="U21" s="31">
        <f t="shared" si="13"/>
        <v>0</v>
      </c>
      <c r="V21" s="31">
        <f>V22+U23</f>
        <v>0</v>
      </c>
      <c r="W21" s="31">
        <f t="shared" si="13"/>
        <v>0</v>
      </c>
      <c r="X21" s="31">
        <f t="shared" si="13"/>
        <v>0</v>
      </c>
      <c r="Y21" s="31">
        <f t="shared" si="13"/>
        <v>0</v>
      </c>
      <c r="Z21" s="31">
        <f t="shared" si="13"/>
        <v>0</v>
      </c>
      <c r="AA21" s="31">
        <f t="shared" si="13"/>
        <v>0</v>
      </c>
      <c r="AB21" s="31">
        <f t="shared" si="13"/>
        <v>0</v>
      </c>
      <c r="AC21" s="31">
        <f t="shared" si="13"/>
        <v>0</v>
      </c>
      <c r="AD21" s="31">
        <f t="shared" si="13"/>
        <v>57.882706463577307</v>
      </c>
      <c r="AE21" s="31">
        <f t="shared" si="13"/>
        <v>50.38982271697143</v>
      </c>
      <c r="AF21" s="160">
        <f t="shared" si="13"/>
        <v>43.866888550651311</v>
      </c>
      <c r="AG21" s="162"/>
    </row>
    <row r="22" spans="1:33" ht="29" x14ac:dyDescent="0.35">
      <c r="A22" s="92" t="s">
        <v>184</v>
      </c>
      <c r="B22" s="12">
        <v>0</v>
      </c>
      <c r="C22" s="31">
        <f t="shared" ref="C22:AF22" si="14">(EXP(-$C$37))*B21</f>
        <v>0</v>
      </c>
      <c r="D22" s="31">
        <f>(EXP(-$C$37))*C21</f>
        <v>0</v>
      </c>
      <c r="E22" s="31">
        <f t="shared" si="14"/>
        <v>0</v>
      </c>
      <c r="F22" s="31">
        <f t="shared" si="14"/>
        <v>0</v>
      </c>
      <c r="G22" s="31">
        <f t="shared" si="14"/>
        <v>0</v>
      </c>
      <c r="H22" s="31">
        <f t="shared" si="14"/>
        <v>0</v>
      </c>
      <c r="I22" s="31">
        <f t="shared" si="14"/>
        <v>0</v>
      </c>
      <c r="J22" s="31">
        <f t="shared" si="14"/>
        <v>0</v>
      </c>
      <c r="K22" s="31">
        <f t="shared" si="14"/>
        <v>0</v>
      </c>
      <c r="L22" s="31">
        <f t="shared" si="14"/>
        <v>0</v>
      </c>
      <c r="M22" s="31">
        <f t="shared" si="14"/>
        <v>0</v>
      </c>
      <c r="N22" s="31">
        <f t="shared" si="14"/>
        <v>0</v>
      </c>
      <c r="O22" s="31">
        <f t="shared" si="14"/>
        <v>0</v>
      </c>
      <c r="P22" s="31">
        <f t="shared" si="14"/>
        <v>0</v>
      </c>
      <c r="Q22" s="31">
        <f t="shared" si="14"/>
        <v>0</v>
      </c>
      <c r="R22" s="31">
        <f t="shared" si="14"/>
        <v>0</v>
      </c>
      <c r="S22" s="31">
        <f t="shared" si="14"/>
        <v>0</v>
      </c>
      <c r="T22" s="31">
        <f t="shared" si="14"/>
        <v>0</v>
      </c>
      <c r="U22" s="31">
        <f t="shared" si="14"/>
        <v>0</v>
      </c>
      <c r="V22" s="31">
        <f t="shared" si="14"/>
        <v>0</v>
      </c>
      <c r="W22" s="31">
        <f t="shared" si="14"/>
        <v>0</v>
      </c>
      <c r="X22" s="31">
        <f t="shared" si="14"/>
        <v>0</v>
      </c>
      <c r="Y22" s="31">
        <f t="shared" si="14"/>
        <v>0</v>
      </c>
      <c r="Z22" s="31">
        <f t="shared" si="14"/>
        <v>0</v>
      </c>
      <c r="AA22" s="31">
        <f t="shared" si="14"/>
        <v>0</v>
      </c>
      <c r="AB22" s="31">
        <f t="shared" si="14"/>
        <v>0</v>
      </c>
      <c r="AC22" s="31">
        <f t="shared" si="14"/>
        <v>0</v>
      </c>
      <c r="AD22" s="31">
        <f t="shared" si="14"/>
        <v>0</v>
      </c>
      <c r="AE22" s="31">
        <f t="shared" si="14"/>
        <v>50.38982271697143</v>
      </c>
      <c r="AF22" s="160">
        <f t="shared" si="14"/>
        <v>43.866888550651311</v>
      </c>
      <c r="AG22" s="162"/>
    </row>
    <row r="23" spans="1:33" ht="43.5" x14ac:dyDescent="0.35">
      <c r="A23" s="92" t="s">
        <v>185</v>
      </c>
      <c r="B23" s="12">
        <f>((1-EXP(-$C$37))/$C$37)*(B26*0.58*$B$28)</f>
        <v>0</v>
      </c>
      <c r="C23" s="12">
        <f>((1-EXP(-$C$37))/$C$37)*(C26*0.58*$B$28)</f>
        <v>0</v>
      </c>
      <c r="D23" s="12">
        <f t="shared" ref="D23:AF23" si="15">((1-EXP(-$C$37))/$C$37)*(D26*0.58*$B$28)</f>
        <v>0</v>
      </c>
      <c r="E23" s="12">
        <f t="shared" si="15"/>
        <v>0</v>
      </c>
      <c r="F23" s="12">
        <f t="shared" si="15"/>
        <v>0</v>
      </c>
      <c r="G23" s="12">
        <f t="shared" si="15"/>
        <v>0</v>
      </c>
      <c r="H23" s="12">
        <f t="shared" si="15"/>
        <v>0</v>
      </c>
      <c r="I23" s="12">
        <f t="shared" si="15"/>
        <v>0</v>
      </c>
      <c r="J23" s="12">
        <f t="shared" si="15"/>
        <v>0</v>
      </c>
      <c r="K23" s="12">
        <f t="shared" si="15"/>
        <v>0</v>
      </c>
      <c r="L23" s="12">
        <f t="shared" si="15"/>
        <v>0</v>
      </c>
      <c r="M23" s="12">
        <f t="shared" si="15"/>
        <v>0</v>
      </c>
      <c r="N23" s="12">
        <f t="shared" si="15"/>
        <v>0</v>
      </c>
      <c r="O23" s="12">
        <f t="shared" si="15"/>
        <v>0</v>
      </c>
      <c r="P23" s="12">
        <f t="shared" si="15"/>
        <v>0</v>
      </c>
      <c r="Q23" s="12">
        <f>((1-EXP(-$C$37))/$C$37)*(Q26*0.58*$B$28)</f>
        <v>0</v>
      </c>
      <c r="R23" s="12">
        <f t="shared" si="15"/>
        <v>0</v>
      </c>
      <c r="S23" s="12">
        <f t="shared" si="15"/>
        <v>0</v>
      </c>
      <c r="T23" s="12">
        <f t="shared" si="15"/>
        <v>0</v>
      </c>
      <c r="U23" s="12">
        <f t="shared" si="15"/>
        <v>0</v>
      </c>
      <c r="V23" s="12">
        <f>((1-EXP(-$C$37))/$C$37)*(V26*0.58*$B$28)</f>
        <v>0</v>
      </c>
      <c r="W23" s="12">
        <f t="shared" si="15"/>
        <v>0</v>
      </c>
      <c r="X23" s="12">
        <f t="shared" si="15"/>
        <v>0</v>
      </c>
      <c r="Y23" s="12">
        <f t="shared" si="15"/>
        <v>0</v>
      </c>
      <c r="Z23" s="12">
        <f t="shared" si="15"/>
        <v>0</v>
      </c>
      <c r="AA23" s="12">
        <f t="shared" si="15"/>
        <v>0</v>
      </c>
      <c r="AB23" s="12">
        <f t="shared" si="15"/>
        <v>0</v>
      </c>
      <c r="AC23" s="12">
        <f>((1-EXP(-$C$37))/$C$37)*(AC26*0.58*$B$28)</f>
        <v>57.882706463577307</v>
      </c>
      <c r="AD23" s="12">
        <f t="shared" si="15"/>
        <v>0</v>
      </c>
      <c r="AE23" s="12">
        <f t="shared" si="15"/>
        <v>0</v>
      </c>
      <c r="AF23" s="13">
        <f t="shared" si="15"/>
        <v>0</v>
      </c>
      <c r="AG23" s="162"/>
    </row>
    <row r="24" spans="1:33" ht="29" x14ac:dyDescent="0.35">
      <c r="A24" s="18" t="s">
        <v>238</v>
      </c>
      <c r="B24" s="17"/>
      <c r="C24" s="17"/>
      <c r="D24" s="17"/>
      <c r="E24" s="17"/>
      <c r="F24" s="17"/>
      <c r="G24" s="17"/>
      <c r="H24" s="17"/>
      <c r="I24" s="17"/>
      <c r="J24" s="17"/>
      <c r="K24" s="17"/>
      <c r="L24" s="17"/>
      <c r="M24" s="17"/>
      <c r="N24" s="17"/>
      <c r="O24" s="17"/>
      <c r="P24" s="17"/>
      <c r="Q24" s="17">
        <f>(0.2*35)/2</f>
        <v>3.5</v>
      </c>
      <c r="R24" s="17"/>
      <c r="S24" s="17"/>
      <c r="T24" s="17"/>
      <c r="U24" s="17"/>
      <c r="V24" s="17"/>
      <c r="W24" s="17"/>
      <c r="X24" s="17"/>
      <c r="Y24" s="17">
        <f>(0.45*35)/2</f>
        <v>7.875</v>
      </c>
      <c r="Z24" s="17"/>
      <c r="AA24" s="17"/>
      <c r="AB24" s="17"/>
      <c r="AC24" s="17"/>
      <c r="AD24" s="17"/>
      <c r="AE24" s="17"/>
      <c r="AF24" s="158"/>
      <c r="AG24" s="162"/>
    </row>
    <row r="25" spans="1:33" x14ac:dyDescent="0.35">
      <c r="A25" s="18" t="s">
        <v>208</v>
      </c>
      <c r="B25" s="17"/>
      <c r="C25" s="17"/>
      <c r="D25" s="17"/>
      <c r="E25" s="17"/>
      <c r="F25" s="17"/>
      <c r="G25" s="17"/>
      <c r="H25" s="17"/>
      <c r="I25" s="17"/>
      <c r="J25" s="17"/>
      <c r="K25" s="17"/>
      <c r="L25" s="17"/>
      <c r="M25" s="17"/>
      <c r="N25" s="17"/>
      <c r="O25" s="17"/>
      <c r="P25" s="17"/>
      <c r="Q25" s="23">
        <f>(0.8*35)</f>
        <v>28</v>
      </c>
      <c r="R25" s="17"/>
      <c r="S25" s="17"/>
      <c r="T25" s="17"/>
      <c r="U25" s="17"/>
      <c r="V25" s="17"/>
      <c r="W25" s="17"/>
      <c r="X25" s="17"/>
      <c r="Y25" s="23">
        <f>0.55*35</f>
        <v>19.25</v>
      </c>
      <c r="Z25" s="17"/>
      <c r="AA25" s="17"/>
      <c r="AB25" s="17"/>
      <c r="AC25" s="17">
        <f>0.25*300</f>
        <v>75</v>
      </c>
      <c r="AD25" s="17"/>
      <c r="AE25" s="17"/>
      <c r="AF25" s="158"/>
      <c r="AG25" s="162"/>
    </row>
    <row r="26" spans="1:33" ht="15" thickBot="1" x14ac:dyDescent="0.4">
      <c r="A26" s="18" t="s">
        <v>209</v>
      </c>
      <c r="B26" s="17"/>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f>0.75*300</f>
        <v>225</v>
      </c>
      <c r="AD26" s="23"/>
      <c r="AE26" s="23"/>
      <c r="AF26" s="161"/>
      <c r="AG26" s="162"/>
    </row>
    <row r="27" spans="1:33" x14ac:dyDescent="0.35">
      <c r="A27" s="214" t="s">
        <v>9</v>
      </c>
      <c r="B27" s="215"/>
      <c r="C27" s="56"/>
      <c r="D27" s="159"/>
      <c r="E27" s="159"/>
      <c r="F27" s="159"/>
      <c r="G27" s="159"/>
      <c r="H27" s="159"/>
      <c r="I27" s="159"/>
      <c r="J27" s="159"/>
      <c r="K27" s="159"/>
      <c r="L27" s="159"/>
      <c r="M27" s="159"/>
      <c r="N27" s="159"/>
      <c r="O27" s="159"/>
      <c r="P27" s="159"/>
      <c r="Q27" s="159"/>
      <c r="R27" s="159"/>
      <c r="S27" s="159"/>
      <c r="T27" s="159"/>
      <c r="U27" s="159"/>
      <c r="V27" s="159"/>
      <c r="W27" s="159"/>
      <c r="X27" s="159"/>
      <c r="Y27" s="159"/>
      <c r="Z27" s="159"/>
      <c r="AA27" s="159"/>
      <c r="AB27" s="159"/>
      <c r="AC27" s="159"/>
      <c r="AD27" s="159"/>
      <c r="AE27" s="159"/>
      <c r="AF27" s="159"/>
    </row>
    <row r="28" spans="1:33" ht="29.5" thickBot="1" x14ac:dyDescent="0.4">
      <c r="A28" s="3" t="s">
        <v>3</v>
      </c>
      <c r="B28" s="157">
        <v>0.47499999999999998</v>
      </c>
      <c r="C28" s="125"/>
      <c r="D28" s="126"/>
      <c r="E28" s="126"/>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1:33" ht="29.5" thickBot="1" x14ac:dyDescent="0.4">
      <c r="A29" s="11" t="s">
        <v>5</v>
      </c>
      <c r="B29" s="158" t="s">
        <v>210</v>
      </c>
      <c r="C29" s="192">
        <v>0.36</v>
      </c>
      <c r="D29" s="193" t="s">
        <v>211</v>
      </c>
      <c r="E29" s="194">
        <v>0.57999999999999996</v>
      </c>
      <c r="F29" s="15"/>
      <c r="G29" s="15"/>
      <c r="H29" s="7"/>
      <c r="I29" s="7"/>
      <c r="J29" s="7"/>
      <c r="K29" s="7"/>
      <c r="L29" s="7"/>
      <c r="M29" s="7"/>
      <c r="N29" s="7"/>
      <c r="O29" s="7"/>
      <c r="P29" s="7"/>
      <c r="Q29" s="7"/>
      <c r="R29" s="7"/>
      <c r="S29" s="7"/>
      <c r="T29" s="7"/>
      <c r="U29" s="7"/>
      <c r="V29" s="7"/>
      <c r="W29" s="7"/>
      <c r="X29" s="7"/>
      <c r="Y29" s="7"/>
      <c r="Z29" s="7"/>
      <c r="AA29" s="7"/>
      <c r="AB29" s="7"/>
      <c r="AC29" s="7"/>
      <c r="AD29" s="7"/>
      <c r="AE29" s="7"/>
      <c r="AF29" s="7"/>
    </row>
    <row r="30" spans="1:33" x14ac:dyDescent="0.35">
      <c r="A30" s="207" t="s">
        <v>85</v>
      </c>
      <c r="B30" s="28" t="s">
        <v>88</v>
      </c>
      <c r="C30" s="60">
        <v>35</v>
      </c>
      <c r="D30" s="123"/>
      <c r="E30" s="124"/>
      <c r="F30" s="7"/>
      <c r="G30" s="7"/>
      <c r="H30" s="7"/>
      <c r="I30" s="7"/>
      <c r="J30" s="7"/>
      <c r="K30" s="7"/>
      <c r="L30" s="7"/>
      <c r="M30" s="7"/>
      <c r="N30" s="7"/>
      <c r="O30" s="7"/>
      <c r="P30" s="7"/>
      <c r="Q30" s="7"/>
      <c r="R30" s="7"/>
      <c r="S30" s="7"/>
      <c r="T30" s="7"/>
      <c r="U30" s="7"/>
      <c r="V30" s="7"/>
      <c r="W30" s="7"/>
      <c r="X30" s="7"/>
      <c r="Y30" s="7"/>
      <c r="Z30" s="7"/>
      <c r="AA30" s="7"/>
      <c r="AB30" s="7"/>
      <c r="AC30" s="7"/>
      <c r="AD30" s="7"/>
      <c r="AE30" s="7"/>
      <c r="AF30" s="7"/>
    </row>
    <row r="31" spans="1:33" x14ac:dyDescent="0.35">
      <c r="A31" s="208"/>
      <c r="B31" s="12" t="s">
        <v>89</v>
      </c>
      <c r="C31" s="27">
        <v>25</v>
      </c>
      <c r="D31" s="57"/>
      <c r="E31" s="15"/>
      <c r="F31" s="7"/>
      <c r="G31" s="7"/>
      <c r="H31" s="7"/>
      <c r="I31" s="7"/>
      <c r="J31" s="7"/>
      <c r="K31" s="7"/>
      <c r="L31" s="7"/>
      <c r="M31" s="7"/>
      <c r="N31" s="7"/>
      <c r="O31" s="7"/>
      <c r="P31" s="7"/>
      <c r="Q31" s="7"/>
      <c r="R31" s="7"/>
      <c r="S31" s="7"/>
      <c r="T31" s="7"/>
      <c r="U31" s="7"/>
      <c r="V31" s="7"/>
      <c r="W31" s="7"/>
      <c r="X31" s="7"/>
      <c r="Y31" s="7"/>
      <c r="Z31" s="7"/>
      <c r="AA31" s="7"/>
      <c r="AB31" s="7"/>
      <c r="AC31" s="7"/>
      <c r="AD31" s="7"/>
      <c r="AE31" s="7"/>
      <c r="AF31" s="7"/>
    </row>
    <row r="32" spans="1:33" x14ac:dyDescent="0.35">
      <c r="A32" s="208"/>
      <c r="B32" s="12" t="s">
        <v>90</v>
      </c>
      <c r="C32" s="27">
        <v>2</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row>
    <row r="33" spans="1:32" x14ac:dyDescent="0.35">
      <c r="A33" s="216"/>
      <c r="B33" s="28" t="s">
        <v>148</v>
      </c>
      <c r="C33" s="60">
        <v>5</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row>
    <row r="34" spans="1:32" x14ac:dyDescent="0.35">
      <c r="A34" s="207" t="s">
        <v>91</v>
      </c>
      <c r="B34" s="28" t="s">
        <v>88</v>
      </c>
      <c r="C34" s="29">
        <f>LN(2)/C30</f>
        <v>1.980420515885558E-2</v>
      </c>
      <c r="D34" s="98"/>
      <c r="E34" s="98"/>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row>
    <row r="35" spans="1:32" x14ac:dyDescent="0.35">
      <c r="A35" s="208"/>
      <c r="B35" s="12" t="s">
        <v>89</v>
      </c>
      <c r="C35" s="29">
        <f>LN(2)/C31</f>
        <v>2.7725887222397813E-2</v>
      </c>
      <c r="D35" s="98"/>
      <c r="E35" s="98"/>
      <c r="F35" s="98"/>
      <c r="G35" s="98"/>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row>
    <row r="36" spans="1:32" x14ac:dyDescent="0.35">
      <c r="A36" s="208"/>
      <c r="B36" s="61" t="s">
        <v>90</v>
      </c>
      <c r="C36" s="62">
        <f>LN(2)/C32</f>
        <v>0.34657359027997264</v>
      </c>
      <c r="D36" s="98"/>
      <c r="E36" s="98"/>
      <c r="F36" s="98"/>
      <c r="G36" s="98"/>
      <c r="H36" s="98"/>
      <c r="I36" s="98"/>
      <c r="J36" s="98"/>
      <c r="K36" s="98"/>
      <c r="L36" s="98"/>
      <c r="M36" s="98"/>
      <c r="N36" s="98"/>
      <c r="O36" s="98"/>
      <c r="P36" s="98"/>
      <c r="Q36" s="98"/>
      <c r="R36" s="98"/>
      <c r="S36" s="98"/>
      <c r="T36" s="98"/>
      <c r="U36" s="98"/>
      <c r="V36" s="98"/>
      <c r="W36" s="98"/>
      <c r="X36" s="98"/>
      <c r="Y36" s="98"/>
      <c r="Z36" s="98"/>
      <c r="AA36" s="98"/>
      <c r="AB36" s="98"/>
      <c r="AC36" s="98"/>
      <c r="AD36" s="98"/>
      <c r="AE36" s="98"/>
      <c r="AF36" s="98"/>
    </row>
    <row r="37" spans="1:32" ht="15" thickBot="1" x14ac:dyDescent="0.4">
      <c r="A37" s="209"/>
      <c r="B37" s="24" t="s">
        <v>148</v>
      </c>
      <c r="C37" s="30">
        <f>LN(2)/C33</f>
        <v>0.13862943611198905</v>
      </c>
      <c r="D37" s="98"/>
      <c r="E37" s="98"/>
      <c r="F37" s="98"/>
      <c r="G37" s="98"/>
      <c r="H37" s="98"/>
      <c r="I37" s="98"/>
      <c r="J37" s="98"/>
      <c r="K37" s="98"/>
      <c r="L37" s="98"/>
      <c r="M37" s="98"/>
      <c r="N37" s="98"/>
      <c r="O37" s="98"/>
      <c r="P37" s="98"/>
      <c r="Q37" s="98"/>
      <c r="R37" s="98"/>
      <c r="S37" s="98"/>
      <c r="T37" s="98"/>
      <c r="U37" s="98"/>
      <c r="V37" s="98"/>
      <c r="W37" s="98"/>
      <c r="X37" s="98"/>
      <c r="Y37" s="98"/>
      <c r="Z37" s="98"/>
      <c r="AA37" s="98"/>
      <c r="AB37" s="98"/>
      <c r="AC37" s="98"/>
      <c r="AD37" s="98"/>
      <c r="AE37" s="98"/>
      <c r="AF37" s="98"/>
    </row>
    <row r="38" spans="1:32" x14ac:dyDescent="0.35">
      <c r="A38" s="8"/>
      <c r="B38" s="103"/>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row>
  </sheetData>
  <sheetProtection algorithmName="SHA-512" hashValue="RDiQbBvaFp3imTmVrKZ4Gfw9EfHJPKvQLwkvOlHZwExlgvOhdAhWJ9yalcMANi/GKxGMMSbWHXfiyisaNyNpPQ==" saltValue="XzskF6ztsMnCeg1ruzJRzg==" spinCount="100000" sheet="1" objects="1" scenarios="1"/>
  <mergeCells count="6">
    <mergeCell ref="A34:A37"/>
    <mergeCell ref="A8:B8"/>
    <mergeCell ref="A11:AF11"/>
    <mergeCell ref="A13:AF13"/>
    <mergeCell ref="A27:B27"/>
    <mergeCell ref="A30:A33"/>
  </mergeCells>
  <conditionalFormatting sqref="B14:AF26">
    <cfRule type="cellIs" dxfId="0" priority="2" operator="greaterThan">
      <formula>0</formula>
    </cfRule>
  </conditionalFormatting>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FU26"/>
  <sheetViews>
    <sheetView zoomScale="121" zoomScaleNormal="60" workbookViewId="0">
      <selection activeCell="D8" sqref="D8"/>
    </sheetView>
  </sheetViews>
  <sheetFormatPr baseColWidth="10" defaultRowHeight="14.5" x14ac:dyDescent="0.35"/>
  <cols>
    <col min="1" max="1" width="38.08984375" style="1" customWidth="1"/>
    <col min="2" max="2" width="27.08984375" customWidth="1"/>
    <col min="4" max="4" width="13.1796875" customWidth="1"/>
    <col min="21" max="21" width="14.1796875" bestFit="1" customWidth="1"/>
    <col min="22" max="25" width="13.08984375" bestFit="1" customWidth="1"/>
    <col min="26" max="26" width="13.6328125" bestFit="1" customWidth="1"/>
    <col min="27" max="30" width="13.08984375" bestFit="1" customWidth="1"/>
    <col min="31" max="31" width="14.1796875" bestFit="1" customWidth="1"/>
  </cols>
  <sheetData>
    <row r="4" spans="1:177" ht="16" thickBot="1" x14ac:dyDescent="0.4">
      <c r="A4" s="19"/>
      <c r="B4" s="7"/>
    </row>
    <row r="5" spans="1:177" ht="16" thickBot="1" x14ac:dyDescent="0.4">
      <c r="A5" s="20" t="s">
        <v>92</v>
      </c>
      <c r="B5" s="100">
        <f>SUM(B16:AE16)</f>
        <v>277.79539999999997</v>
      </c>
    </row>
    <row r="7" spans="1:177" ht="15" thickBot="1" x14ac:dyDescent="0.4"/>
    <row r="8" spans="1:177" x14ac:dyDescent="0.35">
      <c r="A8" s="219" t="s">
        <v>11</v>
      </c>
      <c r="B8" s="220"/>
    </row>
    <row r="9" spans="1:177" x14ac:dyDescent="0.35">
      <c r="A9" s="97" t="s">
        <v>13</v>
      </c>
      <c r="B9" s="99">
        <v>30</v>
      </c>
    </row>
    <row r="10" spans="1:177" x14ac:dyDescent="0.35">
      <c r="A10" s="3" t="s">
        <v>105</v>
      </c>
      <c r="B10" s="36"/>
      <c r="C10" s="142" t="s">
        <v>200</v>
      </c>
    </row>
    <row r="11" spans="1:177" ht="36" customHeight="1" thickBot="1" x14ac:dyDescent="0.4">
      <c r="A11" s="4" t="s">
        <v>160</v>
      </c>
      <c r="B11" s="40">
        <f>(0.25+0.43)/2</f>
        <v>0.33999999999999997</v>
      </c>
    </row>
    <row r="12" spans="1:177" ht="15" thickBot="1" x14ac:dyDescent="0.4">
      <c r="AF12" s="7"/>
    </row>
    <row r="13" spans="1:177" s="5" customFormat="1" ht="15.5" x14ac:dyDescent="0.35">
      <c r="A13" s="210" t="s">
        <v>93</v>
      </c>
      <c r="B13" s="211"/>
      <c r="C13" s="211"/>
      <c r="D13" s="211"/>
      <c r="E13" s="211"/>
      <c r="F13" s="211"/>
      <c r="G13" s="211"/>
      <c r="H13" s="211"/>
      <c r="I13" s="211"/>
      <c r="J13" s="211"/>
      <c r="K13" s="211"/>
      <c r="L13" s="211"/>
      <c r="M13" s="211"/>
      <c r="N13" s="211"/>
      <c r="O13" s="211"/>
      <c r="P13" s="211"/>
      <c r="Q13" s="211"/>
      <c r="R13" s="211"/>
      <c r="S13" s="211"/>
      <c r="T13" s="211"/>
      <c r="U13" s="211"/>
      <c r="V13" s="211"/>
      <c r="W13" s="211"/>
      <c r="X13" s="211"/>
      <c r="Y13" s="211"/>
      <c r="Z13" s="211"/>
      <c r="AA13" s="211"/>
      <c r="AB13" s="211"/>
      <c r="AC13" s="211"/>
      <c r="AD13" s="211"/>
      <c r="AE13" s="221"/>
      <c r="AF13" s="19"/>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row>
    <row r="14" spans="1:177" x14ac:dyDescent="0.35">
      <c r="A14" s="3" t="s">
        <v>14</v>
      </c>
      <c r="B14" s="12">
        <v>1</v>
      </c>
      <c r="C14" s="12">
        <v>2</v>
      </c>
      <c r="D14" s="12">
        <v>3</v>
      </c>
      <c r="E14" s="12">
        <v>4</v>
      </c>
      <c r="F14" s="12">
        <v>5</v>
      </c>
      <c r="G14" s="12">
        <v>6</v>
      </c>
      <c r="H14" s="12">
        <v>7</v>
      </c>
      <c r="I14" s="12">
        <v>8</v>
      </c>
      <c r="J14" s="12">
        <v>9</v>
      </c>
      <c r="K14" s="12">
        <v>10</v>
      </c>
      <c r="L14" s="12">
        <v>11</v>
      </c>
      <c r="M14" s="12">
        <v>12</v>
      </c>
      <c r="N14" s="12">
        <v>13</v>
      </c>
      <c r="O14" s="12">
        <v>14</v>
      </c>
      <c r="P14" s="195">
        <v>15</v>
      </c>
      <c r="Q14" s="12">
        <v>16</v>
      </c>
      <c r="R14" s="12">
        <v>17</v>
      </c>
      <c r="S14" s="12">
        <v>18</v>
      </c>
      <c r="T14" s="12">
        <v>19</v>
      </c>
      <c r="U14" s="12">
        <v>20</v>
      </c>
      <c r="V14" s="12">
        <v>21</v>
      </c>
      <c r="W14" s="12">
        <v>22</v>
      </c>
      <c r="X14" s="195">
        <v>23</v>
      </c>
      <c r="Y14" s="12">
        <v>24</v>
      </c>
      <c r="Z14" s="172">
        <v>25</v>
      </c>
      <c r="AA14" s="12">
        <v>26</v>
      </c>
      <c r="AB14" s="122">
        <v>27</v>
      </c>
      <c r="AC14" s="12">
        <v>28</v>
      </c>
      <c r="AD14" s="12">
        <v>29</v>
      </c>
      <c r="AE14" s="196">
        <v>30</v>
      </c>
      <c r="AF14" s="15"/>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row>
    <row r="15" spans="1:177" s="5" customFormat="1" x14ac:dyDescent="0.35">
      <c r="A15" s="222" t="s">
        <v>2</v>
      </c>
      <c r="B15" s="223"/>
      <c r="C15" s="223"/>
      <c r="D15" s="223"/>
      <c r="E15" s="223"/>
      <c r="F15" s="223"/>
      <c r="G15" s="223"/>
      <c r="H15" s="223"/>
      <c r="I15" s="223"/>
      <c r="J15" s="223"/>
      <c r="K15" s="223"/>
      <c r="L15" s="223"/>
      <c r="M15" s="223"/>
      <c r="N15" s="223"/>
      <c r="O15" s="223"/>
      <c r="P15" s="223"/>
      <c r="Q15" s="223"/>
      <c r="R15" s="223"/>
      <c r="S15" s="223"/>
      <c r="T15" s="223"/>
      <c r="U15" s="223"/>
      <c r="V15" s="223"/>
      <c r="W15" s="223"/>
      <c r="X15" s="223"/>
      <c r="Y15" s="223"/>
      <c r="Z15" s="223"/>
      <c r="AA15" s="223"/>
      <c r="AB15" s="223"/>
      <c r="AC15" s="223"/>
      <c r="AD15" s="223"/>
      <c r="AE15" s="224"/>
      <c r="AF15" s="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row>
    <row r="16" spans="1:177" s="5" customFormat="1" x14ac:dyDescent="0.35">
      <c r="A16" s="66" t="s">
        <v>196</v>
      </c>
      <c r="B16" s="65">
        <f>$B$11*B17</f>
        <v>0</v>
      </c>
      <c r="C16" s="65">
        <f t="shared" ref="C16:AD16" si="0">$B$11*C17</f>
        <v>0</v>
      </c>
      <c r="D16" s="65">
        <f t="shared" si="0"/>
        <v>0</v>
      </c>
      <c r="E16" s="65">
        <f t="shared" si="0"/>
        <v>0</v>
      </c>
      <c r="F16" s="65">
        <f t="shared" si="0"/>
        <v>0</v>
      </c>
      <c r="G16" s="65">
        <f t="shared" si="0"/>
        <v>0</v>
      </c>
      <c r="H16" s="65">
        <f t="shared" si="0"/>
        <v>0</v>
      </c>
      <c r="I16" s="65">
        <f t="shared" si="0"/>
        <v>0</v>
      </c>
      <c r="J16" s="65">
        <f t="shared" si="0"/>
        <v>0</v>
      </c>
      <c r="K16" s="65">
        <f t="shared" si="0"/>
        <v>0</v>
      </c>
      <c r="L16" s="65">
        <f t="shared" si="0"/>
        <v>0</v>
      </c>
      <c r="M16" s="65">
        <f t="shared" si="0"/>
        <v>0</v>
      </c>
      <c r="N16" s="65">
        <f t="shared" si="0"/>
        <v>0</v>
      </c>
      <c r="O16" s="65">
        <f>$B$11*O17</f>
        <v>0</v>
      </c>
      <c r="P16" s="65">
        <f>P17*C26</f>
        <v>85.333500000000001</v>
      </c>
      <c r="Q16" s="65">
        <f t="shared" si="0"/>
        <v>0</v>
      </c>
      <c r="R16" s="132">
        <f>$B$11*R17</f>
        <v>0</v>
      </c>
      <c r="S16" s="65">
        <f t="shared" si="0"/>
        <v>0</v>
      </c>
      <c r="T16" s="65">
        <f t="shared" si="0"/>
        <v>0</v>
      </c>
      <c r="U16" s="132">
        <f t="shared" si="0"/>
        <v>0</v>
      </c>
      <c r="V16" s="132">
        <f t="shared" si="0"/>
        <v>0</v>
      </c>
      <c r="W16" s="132">
        <f t="shared" si="0"/>
        <v>0</v>
      </c>
      <c r="X16" s="132">
        <f>X17*C26</f>
        <v>85.333500000000001</v>
      </c>
      <c r="Y16" s="132">
        <f t="shared" si="0"/>
        <v>0</v>
      </c>
      <c r="Z16" s="132">
        <f>$C$23*Z17</f>
        <v>4.9400000000000004</v>
      </c>
      <c r="AA16" s="132">
        <f t="shared" si="0"/>
        <v>0</v>
      </c>
      <c r="AB16" s="132">
        <f>AB17*C23</f>
        <v>95.538399999999996</v>
      </c>
      <c r="AC16" s="132">
        <f t="shared" si="0"/>
        <v>0</v>
      </c>
      <c r="AD16" s="132">
        <f t="shared" si="0"/>
        <v>0</v>
      </c>
      <c r="AE16" s="163">
        <f>AE17*C23</f>
        <v>6.65</v>
      </c>
      <c r="AF16" s="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row>
    <row r="17" spans="1:177" ht="15" thickBot="1" x14ac:dyDescent="0.4">
      <c r="A17" s="3" t="s">
        <v>197</v>
      </c>
      <c r="B17" s="17"/>
      <c r="C17" s="59"/>
      <c r="D17" s="129"/>
      <c r="E17" s="129"/>
      <c r="F17" s="129"/>
      <c r="G17" s="129"/>
      <c r="H17" s="129"/>
      <c r="I17" s="129"/>
      <c r="J17" s="129"/>
      <c r="K17" s="129"/>
      <c r="L17" s="129"/>
      <c r="M17" s="129"/>
      <c r="N17" s="129"/>
      <c r="O17" s="129"/>
      <c r="P17" s="130">
        <f>35*5.67</f>
        <v>198.45</v>
      </c>
      <c r="Q17" s="129"/>
      <c r="R17" s="133"/>
      <c r="S17" s="129"/>
      <c r="T17" s="129"/>
      <c r="U17" s="130"/>
      <c r="V17" s="130"/>
      <c r="W17" s="130"/>
      <c r="X17" s="130">
        <f>35*5.67</f>
        <v>198.45</v>
      </c>
      <c r="Y17" s="130"/>
      <c r="Z17" s="130">
        <f>26*0.76</f>
        <v>19.760000000000002</v>
      </c>
      <c r="AA17" s="130"/>
      <c r="AB17" s="130">
        <f>307*1.2448</f>
        <v>382.15359999999998</v>
      </c>
      <c r="AC17" s="130"/>
      <c r="AD17" s="130"/>
      <c r="AE17" s="131">
        <f>35*0.76</f>
        <v>26.6</v>
      </c>
      <c r="AF17" s="39"/>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row>
    <row r="18" spans="1:177" ht="15" thickBot="1" x14ac:dyDescent="0.4">
      <c r="A18" s="214" t="s">
        <v>9</v>
      </c>
      <c r="B18" s="215"/>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row>
    <row r="19" spans="1:177" x14ac:dyDescent="0.35">
      <c r="A19" s="207" t="s">
        <v>95</v>
      </c>
      <c r="B19" s="12" t="s">
        <v>96</v>
      </c>
      <c r="C19" s="34">
        <v>1.52</v>
      </c>
      <c r="D19" s="15"/>
      <c r="E19" s="15"/>
      <c r="F19" s="7"/>
      <c r="G19" s="7"/>
      <c r="H19" s="7"/>
      <c r="I19" s="7"/>
      <c r="J19" s="7"/>
      <c r="K19" s="7"/>
      <c r="L19" s="7"/>
      <c r="M19" s="7"/>
      <c r="N19" s="7"/>
      <c r="O19" s="7"/>
      <c r="P19" s="7"/>
      <c r="Q19" s="7"/>
      <c r="R19" s="7"/>
      <c r="S19" s="7"/>
      <c r="T19" s="7"/>
      <c r="U19" s="7"/>
      <c r="V19" s="7"/>
      <c r="W19" s="7"/>
      <c r="X19" s="7"/>
      <c r="Y19" s="7"/>
      <c r="Z19" s="7"/>
      <c r="AA19" s="7"/>
      <c r="AB19" s="7"/>
      <c r="AC19" s="7"/>
      <c r="AD19" s="7"/>
      <c r="AE19" s="7"/>
      <c r="AF19" s="7"/>
    </row>
    <row r="20" spans="1:177" x14ac:dyDescent="0.35">
      <c r="A20" s="208"/>
      <c r="B20" s="12" t="s">
        <v>98</v>
      </c>
      <c r="C20" s="27">
        <v>0</v>
      </c>
      <c r="D20" s="15"/>
      <c r="E20" s="15"/>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1:177" x14ac:dyDescent="0.35">
      <c r="A21" s="208"/>
      <c r="B21" s="12" t="s">
        <v>99</v>
      </c>
      <c r="C21" s="27">
        <v>0.77</v>
      </c>
      <c r="D21" s="15"/>
      <c r="E21" s="15"/>
      <c r="F21" s="7"/>
      <c r="G21" s="7"/>
      <c r="H21" s="7"/>
      <c r="I21" s="7"/>
      <c r="J21" s="7"/>
      <c r="K21" s="7"/>
      <c r="L21" s="7"/>
      <c r="M21" s="7"/>
      <c r="N21" s="7"/>
      <c r="O21" s="7"/>
      <c r="P21" s="7"/>
      <c r="Q21" s="7"/>
      <c r="R21" s="7"/>
      <c r="S21" s="7"/>
      <c r="T21" s="7"/>
      <c r="U21" s="7"/>
      <c r="V21" s="7"/>
      <c r="W21" s="7"/>
      <c r="X21" s="7"/>
      <c r="Y21" s="7"/>
      <c r="Z21" s="7"/>
      <c r="AA21" s="7"/>
      <c r="AB21" s="7"/>
      <c r="AC21" s="7"/>
      <c r="AD21" s="7"/>
      <c r="AE21" s="7"/>
      <c r="AF21" s="7"/>
    </row>
    <row r="22" spans="1:177" x14ac:dyDescent="0.35">
      <c r="A22" s="208"/>
      <c r="B22" s="12" t="s">
        <v>97</v>
      </c>
      <c r="C22" s="27">
        <v>0.25</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row>
    <row r="23" spans="1:177" x14ac:dyDescent="0.35">
      <c r="A23" s="217" t="s">
        <v>100</v>
      </c>
      <c r="B23" s="28" t="s">
        <v>101</v>
      </c>
      <c r="C23" s="37">
        <v>0.25</v>
      </c>
      <c r="D23" s="98"/>
      <c r="E23" s="98"/>
      <c r="F23" s="98"/>
      <c r="G23" s="98"/>
      <c r="H23" s="98"/>
      <c r="I23" s="98"/>
      <c r="J23" s="98"/>
      <c r="K23" s="98"/>
      <c r="L23" s="98"/>
      <c r="M23" s="98"/>
      <c r="N23" s="98"/>
      <c r="O23" s="98"/>
      <c r="P23" s="98"/>
      <c r="Q23" s="98"/>
      <c r="R23" s="98"/>
      <c r="S23" s="98"/>
      <c r="T23" s="98"/>
      <c r="U23" s="98"/>
      <c r="V23" s="98"/>
      <c r="W23" s="98"/>
      <c r="X23" s="98"/>
      <c r="Y23" s="98"/>
      <c r="Z23" s="98"/>
      <c r="AA23" s="98"/>
      <c r="AB23" s="98"/>
      <c r="AC23" s="98"/>
      <c r="AD23" s="98"/>
      <c r="AE23" s="98"/>
    </row>
    <row r="24" spans="1:177" x14ac:dyDescent="0.35">
      <c r="A24" s="217"/>
      <c r="B24" s="28" t="s">
        <v>102</v>
      </c>
      <c r="C24" s="37">
        <v>1.03</v>
      </c>
      <c r="D24" s="98"/>
      <c r="E24" s="98"/>
      <c r="F24" s="98"/>
      <c r="G24" s="98"/>
      <c r="H24" s="98"/>
      <c r="I24" s="98"/>
      <c r="J24" s="98"/>
      <c r="K24" s="98"/>
      <c r="L24" s="98"/>
      <c r="M24" s="98"/>
      <c r="N24" s="98"/>
      <c r="O24" s="98"/>
      <c r="P24" s="98"/>
      <c r="Q24" s="98"/>
      <c r="R24" s="98"/>
      <c r="S24" s="98"/>
      <c r="T24" s="98"/>
      <c r="U24" s="98"/>
      <c r="V24" s="98"/>
      <c r="W24" s="98"/>
      <c r="X24" s="98"/>
      <c r="Y24" s="98"/>
      <c r="Z24" s="98"/>
      <c r="AA24" s="98"/>
      <c r="AB24" s="98"/>
      <c r="AC24" s="98"/>
      <c r="AD24" s="98"/>
      <c r="AE24" s="98"/>
    </row>
    <row r="25" spans="1:177" ht="29" x14ac:dyDescent="0.35">
      <c r="A25" s="217"/>
      <c r="B25" s="35" t="s">
        <v>103</v>
      </c>
      <c r="C25" s="37">
        <v>0.59</v>
      </c>
      <c r="D25" s="98"/>
      <c r="E25" s="98"/>
      <c r="F25" s="98"/>
      <c r="G25" s="98"/>
      <c r="H25" s="98"/>
      <c r="I25" s="98"/>
      <c r="J25" s="98"/>
      <c r="K25" s="98"/>
      <c r="L25" s="98"/>
      <c r="M25" s="98"/>
      <c r="N25" s="98"/>
      <c r="O25" s="98"/>
      <c r="P25" s="98"/>
      <c r="Q25" s="98"/>
      <c r="R25" s="98"/>
      <c r="S25" s="98"/>
      <c r="T25" s="98"/>
      <c r="U25" s="98"/>
      <c r="V25" s="98"/>
      <c r="W25" s="98"/>
      <c r="X25" s="98"/>
      <c r="Y25" s="98"/>
      <c r="Z25" s="98"/>
      <c r="AA25" s="98"/>
      <c r="AB25" s="98"/>
      <c r="AC25" s="98"/>
      <c r="AD25" s="98"/>
      <c r="AE25" s="98"/>
    </row>
    <row r="26" spans="1:177" ht="15" thickBot="1" x14ac:dyDescent="0.4">
      <c r="A26" s="218"/>
      <c r="B26" s="24" t="s">
        <v>104</v>
      </c>
      <c r="C26" s="38">
        <v>0.43</v>
      </c>
      <c r="D26" s="98"/>
      <c r="E26" s="98"/>
      <c r="F26" s="98"/>
      <c r="G26" s="98"/>
      <c r="H26" s="98"/>
      <c r="I26" s="98"/>
      <c r="J26" s="98"/>
      <c r="K26" s="98"/>
      <c r="L26" s="98"/>
      <c r="M26" s="98"/>
      <c r="N26" s="98"/>
      <c r="O26" s="98"/>
      <c r="P26" s="98"/>
      <c r="Q26" s="98"/>
      <c r="R26" s="98"/>
      <c r="S26" s="98"/>
      <c r="T26" s="98"/>
      <c r="U26" s="98"/>
      <c r="V26" s="98"/>
      <c r="W26" s="98"/>
      <c r="X26" s="98"/>
      <c r="Y26" s="98"/>
      <c r="Z26" s="98"/>
      <c r="AA26" s="98"/>
      <c r="AB26" s="98"/>
      <c r="AC26" s="98"/>
      <c r="AD26" s="98"/>
      <c r="AE26" s="98"/>
    </row>
  </sheetData>
  <sheetProtection algorithmName="SHA-512" hashValue="TKUP8ao7MIcStrMUDUnG8+0RuMWr6ANOcgYGUlsfiQU7XCemre4+aZ6LKAgzNj3PwrhHZY6WV5T0Dh396Rd7MQ==" saltValue="lY0TX6C2QPtpezres376sg==" spinCount="100000" sheet="1" objects="1" scenarios="1"/>
  <mergeCells count="6">
    <mergeCell ref="A23:A26"/>
    <mergeCell ref="A8:B8"/>
    <mergeCell ref="A18:B18"/>
    <mergeCell ref="A19:A22"/>
    <mergeCell ref="A13:AE13"/>
    <mergeCell ref="A15:AE15"/>
  </mergeCell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prompt="Choisir l'essence pour avoir la di pour le scénario de référence">
          <x14:formula1>
            <xm:f>'Listes choix'!$C$2:$C$66</xm:f>
          </x14:formula1>
          <xm:sqref>D19:D21</xm:sqref>
        </x14:dataValidation>
        <x14:dataValidation type="list" showInputMessage="1" showErrorMessage="1" prompt="Choisir un type de reboisement pour le calcul du CS projet">
          <x14:formula1>
            <xm:f>'Listes choix'!$G$2:$G$5</xm:f>
          </x14:formula1>
          <xm:sqref>B10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tabSelected="1" zoomScale="131" workbookViewId="0">
      <selection activeCell="D11" sqref="D11"/>
    </sheetView>
  </sheetViews>
  <sheetFormatPr baseColWidth="10" defaultRowHeight="14.5" x14ac:dyDescent="0.35"/>
  <cols>
    <col min="1" max="1" width="55.90625" customWidth="1"/>
    <col min="2" max="2" width="29.7265625" customWidth="1"/>
    <col min="3" max="3" width="22.54296875" customWidth="1"/>
  </cols>
  <sheetData>
    <row r="1" spans="1:4" ht="15" thickBot="1" x14ac:dyDescent="0.4"/>
    <row r="2" spans="1:4" ht="16" thickBot="1" x14ac:dyDescent="0.4">
      <c r="A2" s="41" t="s">
        <v>111</v>
      </c>
      <c r="B2" s="134" t="s">
        <v>110</v>
      </c>
      <c r="C2" s="136"/>
      <c r="D2" s="135"/>
    </row>
    <row r="3" spans="1:4" ht="15.5" x14ac:dyDescent="0.35">
      <c r="A3" s="32" t="s">
        <v>112</v>
      </c>
      <c r="B3" s="137">
        <f>SUM(B4,B6)</f>
        <v>1242.985480297705</v>
      </c>
      <c r="C3" s="136"/>
      <c r="D3" s="135"/>
    </row>
    <row r="4" spans="1:4" ht="15.5" x14ac:dyDescent="0.35">
      <c r="A4" s="42" t="s">
        <v>113</v>
      </c>
      <c r="B4" s="138">
        <f>REAforêtMBoisement!B6</f>
        <v>1159.8445123979031</v>
      </c>
      <c r="C4" s="136"/>
      <c r="D4" s="135"/>
    </row>
    <row r="5" spans="1:4" ht="15.5" x14ac:dyDescent="0.35">
      <c r="A5" s="101" t="s">
        <v>117</v>
      </c>
      <c r="B5" s="138">
        <f>B4*(1-C15)*(1-C16)*(1-C17)*(1-C18)</f>
        <v>887.28105198439584</v>
      </c>
      <c r="C5" s="136"/>
      <c r="D5" s="135"/>
    </row>
    <row r="6" spans="1:4" ht="15.5" x14ac:dyDescent="0.35">
      <c r="A6" s="42" t="s">
        <v>114</v>
      </c>
      <c r="B6" s="138">
        <f>REAproduitsMBoisement!B5</f>
        <v>83.140967899801765</v>
      </c>
      <c r="C6" s="136"/>
      <c r="D6" s="135"/>
    </row>
    <row r="7" spans="1:4" ht="15.5" x14ac:dyDescent="0.35">
      <c r="A7" s="101" t="s">
        <v>118</v>
      </c>
      <c r="B7" s="138">
        <f>B6*(1-C15)*(1-C16)*(1-C17)*(1-C18)</f>
        <v>63.602840443348356</v>
      </c>
      <c r="C7" s="136"/>
      <c r="D7" s="135"/>
    </row>
    <row r="8" spans="1:4" ht="15.5" x14ac:dyDescent="0.35">
      <c r="A8" s="42" t="s">
        <v>115</v>
      </c>
      <c r="B8" s="138">
        <f>REEsubsMBoisement!B5</f>
        <v>277.79539999999997</v>
      </c>
      <c r="C8" s="136"/>
      <c r="D8" s="135"/>
    </row>
    <row r="9" spans="1:4" ht="16" thickBot="1" x14ac:dyDescent="0.4">
      <c r="A9" s="102" t="s">
        <v>119</v>
      </c>
      <c r="B9" s="139">
        <f>B8*(1-C15)*(1-C16)*(1-C17)*(1-C18)</f>
        <v>212.51348099999998</v>
      </c>
      <c r="C9" s="136"/>
      <c r="D9" s="135"/>
    </row>
    <row r="10" spans="1:4" ht="15.5" x14ac:dyDescent="0.35">
      <c r="A10" s="43" t="s">
        <v>116</v>
      </c>
      <c r="B10" s="140">
        <f>SUM(B3,B8)</f>
        <v>1520.7808802977049</v>
      </c>
      <c r="C10" s="57"/>
      <c r="D10" s="15"/>
    </row>
    <row r="11" spans="1:4" ht="16" thickBot="1" x14ac:dyDescent="0.4">
      <c r="A11" s="44" t="s">
        <v>120</v>
      </c>
      <c r="B11" s="141">
        <f>SUM(B5,B7,B9)</f>
        <v>1163.3973734277442</v>
      </c>
      <c r="C11" s="57"/>
      <c r="D11" s="15"/>
    </row>
    <row r="13" spans="1:4" ht="15" thickBot="1" x14ac:dyDescent="0.4"/>
    <row r="14" spans="1:4" ht="16" thickBot="1" x14ac:dyDescent="0.4">
      <c r="A14" s="46" t="s">
        <v>121</v>
      </c>
      <c r="B14" s="67" t="s">
        <v>122</v>
      </c>
      <c r="C14" s="91" t="s">
        <v>129</v>
      </c>
    </row>
    <row r="15" spans="1:4" x14ac:dyDescent="0.35">
      <c r="A15" s="108" t="s">
        <v>198</v>
      </c>
      <c r="B15" s="49" t="s">
        <v>130</v>
      </c>
      <c r="C15" s="51">
        <f>IF(B15="Réalisée",0,IF(B15="Pas réalisée",0.2,""))</f>
        <v>0</v>
      </c>
    </row>
    <row r="16" spans="1:4" x14ac:dyDescent="0.35">
      <c r="A16" s="22" t="s">
        <v>199</v>
      </c>
      <c r="B16" s="48" t="s">
        <v>126</v>
      </c>
      <c r="C16" s="52">
        <v>0.1</v>
      </c>
      <c r="D16" s="45"/>
    </row>
    <row r="17" spans="1:5" ht="29" x14ac:dyDescent="0.35">
      <c r="A17" s="164" t="s">
        <v>152</v>
      </c>
      <c r="B17" s="50" t="s">
        <v>133</v>
      </c>
      <c r="C17" s="52">
        <f>IF(B17="Départements sans risque ou risque négligeable",0,IF(B17="Départements avec risque très faible ou faible",0.05,IF(B17="Départements avec risque moyen",0.1,IF(B17="Départements avec risque fort ou très fort", 0.15,""))))</f>
        <v>0.15</v>
      </c>
      <c r="D17" s="45"/>
    </row>
    <row r="18" spans="1:5" ht="15" thickBot="1" x14ac:dyDescent="0.4">
      <c r="A18" s="165" t="s">
        <v>128</v>
      </c>
      <c r="B18" s="168" t="s">
        <v>135</v>
      </c>
      <c r="C18" s="169">
        <f>IF(B18="Démontrée",0,IF(B18="Non démontrée",0.1,""))</f>
        <v>0</v>
      </c>
    </row>
    <row r="19" spans="1:5" x14ac:dyDescent="0.35">
      <c r="A19" s="53"/>
      <c r="B19" s="15"/>
      <c r="C19" s="15"/>
      <c r="D19" s="53"/>
      <c r="E19" s="89"/>
    </row>
    <row r="20" spans="1:5" x14ac:dyDescent="0.35">
      <c r="A20" s="53"/>
      <c r="B20" s="15"/>
      <c r="C20" s="15"/>
      <c r="D20" s="53"/>
      <c r="E20" s="89"/>
    </row>
    <row r="21" spans="1:5" x14ac:dyDescent="0.35">
      <c r="A21" s="53"/>
      <c r="B21" s="15"/>
      <c r="C21" s="15"/>
      <c r="D21" s="53"/>
      <c r="E21" s="89"/>
    </row>
    <row r="22" spans="1:5" x14ac:dyDescent="0.35">
      <c r="A22" s="53"/>
      <c r="B22" s="15"/>
      <c r="C22" s="54"/>
      <c r="D22" s="53"/>
    </row>
    <row r="23" spans="1:5" x14ac:dyDescent="0.35">
      <c r="A23" s="53"/>
      <c r="B23" s="53"/>
      <c r="C23" s="53"/>
      <c r="D23" s="53"/>
    </row>
    <row r="24" spans="1:5" x14ac:dyDescent="0.35">
      <c r="A24" s="53"/>
      <c r="B24" s="53"/>
      <c r="C24" s="53"/>
      <c r="D24" s="53"/>
    </row>
    <row r="25" spans="1:5" x14ac:dyDescent="0.35">
      <c r="A25" s="53"/>
      <c r="B25" s="53"/>
      <c r="C25" s="53"/>
      <c r="D25" s="53"/>
    </row>
    <row r="26" spans="1:5" x14ac:dyDescent="0.35">
      <c r="A26" s="53"/>
      <c r="B26" s="53"/>
      <c r="C26" s="53"/>
      <c r="D26" s="53"/>
    </row>
  </sheetData>
  <sheetProtection algorithmName="SHA-512" hashValue="4+LF1z1dJiIRwUQqRLBrDCFb07MM9rFmGYLI28HhAMOeHZDNEnoABF7gQjvlfT7+ah1hEwZL2e5HwRPJ+q1Luw==" saltValue="pJjH/3sVoDXLco40ulVJIg==" spinCount="100000" sheet="1" objects="1" scenarios="1"/>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3">
        <x14:dataValidation type="list" showInputMessage="1" showErrorMessage="1" prompt="Choisir une des deux options (Méthode Reboisement et Boisement)">
          <x14:formula1>
            <xm:f>'Listes choix'!$J$2:$K$2</xm:f>
          </x14:formula1>
          <xm:sqref>B15</xm:sqref>
        </x14:dataValidation>
        <x14:dataValidation type="list" showInputMessage="1" showErrorMessage="1" prompt="Choisir une des deux options">
          <x14:formula1>
            <xm:f>'Listes choix'!$J$9:$K$9</xm:f>
          </x14:formula1>
          <xm:sqref>B18</xm:sqref>
        </x14:dataValidation>
        <x14:dataValidation type="list" showInputMessage="1" showErrorMessage="1" prompt="Choisir une des quatre options (Méthodes Reboisement et Boisement)">
          <x14:formula1>
            <xm:f>'Listes choix'!$K$5:$K$8</xm:f>
          </x14:formula1>
          <xm:sqref>B17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60"/>
  <sheetViews>
    <sheetView topLeftCell="H1" zoomScale="66" workbookViewId="0">
      <selection activeCell="W2" sqref="W2"/>
    </sheetView>
  </sheetViews>
  <sheetFormatPr baseColWidth="10" defaultRowHeight="14.5" x14ac:dyDescent="0.35"/>
  <cols>
    <col min="1" max="1" width="23.1796875" style="45" customWidth="1"/>
    <col min="2" max="2" width="10.90625" style="45"/>
    <col min="3" max="3" width="22.08984375" style="45" customWidth="1"/>
    <col min="4" max="6" width="10.90625" style="45"/>
    <col min="7" max="7" width="14.90625" style="45" customWidth="1"/>
    <col min="8" max="8" width="16.7265625" style="45" customWidth="1"/>
    <col min="9" max="9" width="22.26953125" style="45" customWidth="1"/>
    <col min="10" max="10" width="25" style="45" customWidth="1"/>
    <col min="11" max="11" width="26.90625" style="45" customWidth="1"/>
    <col min="12" max="15" width="10.90625" style="45"/>
    <col min="16" max="16" width="13.6328125" style="45" customWidth="1"/>
    <col min="17" max="16384" width="10.90625" style="45"/>
  </cols>
  <sheetData>
    <row r="1" spans="1:20" ht="44" thickBot="1" x14ac:dyDescent="0.4">
      <c r="A1" s="71" t="s">
        <v>8</v>
      </c>
      <c r="B1" s="71" t="s">
        <v>15</v>
      </c>
      <c r="C1" s="75" t="s">
        <v>53</v>
      </c>
      <c r="D1" s="76" t="s">
        <v>18</v>
      </c>
      <c r="E1" s="75" t="s">
        <v>86</v>
      </c>
      <c r="F1" s="75" t="s">
        <v>87</v>
      </c>
      <c r="G1" s="75" t="s">
        <v>106</v>
      </c>
      <c r="H1" s="75" t="s">
        <v>108</v>
      </c>
      <c r="I1" s="84" t="s">
        <v>121</v>
      </c>
      <c r="J1" s="225" t="s">
        <v>122</v>
      </c>
      <c r="K1" s="226"/>
      <c r="L1" s="10"/>
      <c r="M1" s="10"/>
      <c r="N1" s="75" t="s">
        <v>53</v>
      </c>
      <c r="O1" s="75" t="s">
        <v>149</v>
      </c>
      <c r="P1" s="76" t="s">
        <v>152</v>
      </c>
      <c r="Q1" s="227" t="s">
        <v>162</v>
      </c>
      <c r="R1" s="228"/>
      <c r="S1" s="229"/>
      <c r="T1" s="75" t="s">
        <v>189</v>
      </c>
    </row>
    <row r="2" spans="1:20" ht="87.5" thickBot="1" x14ac:dyDescent="0.4">
      <c r="A2" s="68" t="s">
        <v>155</v>
      </c>
      <c r="B2" s="73" t="s">
        <v>17</v>
      </c>
      <c r="C2" s="77" t="s">
        <v>19</v>
      </c>
      <c r="D2" s="80">
        <v>0.62</v>
      </c>
      <c r="E2" s="77" t="s">
        <v>88</v>
      </c>
      <c r="F2" s="80">
        <v>35</v>
      </c>
      <c r="G2" s="73" t="s">
        <v>16</v>
      </c>
      <c r="H2" s="73" t="s">
        <v>16</v>
      </c>
      <c r="I2" s="77" t="s">
        <v>123</v>
      </c>
      <c r="J2" s="85" t="s">
        <v>130</v>
      </c>
      <c r="K2" s="85" t="s">
        <v>176</v>
      </c>
      <c r="L2" s="88" t="s">
        <v>130</v>
      </c>
      <c r="M2" s="87" t="s">
        <v>176</v>
      </c>
      <c r="N2" s="73" t="s">
        <v>19</v>
      </c>
      <c r="O2" s="73" t="s">
        <v>150</v>
      </c>
      <c r="P2" s="72" t="s">
        <v>153</v>
      </c>
      <c r="Q2" s="75" t="s">
        <v>161</v>
      </c>
      <c r="R2" s="75" t="s">
        <v>163</v>
      </c>
      <c r="S2" s="107" t="s">
        <v>164</v>
      </c>
      <c r="T2" s="47" t="s">
        <v>190</v>
      </c>
    </row>
    <row r="3" spans="1:20" ht="102" thickBot="1" x14ac:dyDescent="0.4">
      <c r="A3" s="69" t="s">
        <v>156</v>
      </c>
      <c r="B3" s="74" t="s">
        <v>16</v>
      </c>
      <c r="C3" s="63" t="s">
        <v>75</v>
      </c>
      <c r="D3" s="81">
        <v>0.64</v>
      </c>
      <c r="E3" s="63" t="s">
        <v>89</v>
      </c>
      <c r="F3" s="81">
        <v>25</v>
      </c>
      <c r="G3" s="83" t="s">
        <v>102</v>
      </c>
      <c r="H3" s="74" t="s">
        <v>109</v>
      </c>
      <c r="I3" s="63" t="s">
        <v>124</v>
      </c>
      <c r="J3" s="47" t="s">
        <v>136</v>
      </c>
      <c r="K3" s="78" t="s">
        <v>138</v>
      </c>
      <c r="L3" s="10"/>
      <c r="M3" s="10"/>
      <c r="N3" s="83" t="s">
        <v>20</v>
      </c>
      <c r="O3" s="83" t="s">
        <v>24</v>
      </c>
      <c r="P3" s="74" t="s">
        <v>133</v>
      </c>
      <c r="Q3" s="73" t="s">
        <v>165</v>
      </c>
      <c r="R3" s="73" t="s">
        <v>174</v>
      </c>
      <c r="S3" s="73" t="s">
        <v>168</v>
      </c>
      <c r="T3" s="47" t="s">
        <v>191</v>
      </c>
    </row>
    <row r="4" spans="1:20" ht="87.5" thickBot="1" x14ac:dyDescent="0.4">
      <c r="A4" s="69" t="s">
        <v>157</v>
      </c>
      <c r="B4" s="10"/>
      <c r="C4" s="63" t="s">
        <v>20</v>
      </c>
      <c r="D4" s="81">
        <v>0.42</v>
      </c>
      <c r="E4" s="64" t="s">
        <v>90</v>
      </c>
      <c r="F4" s="82">
        <v>2</v>
      </c>
      <c r="G4" s="69" t="s">
        <v>104</v>
      </c>
      <c r="H4" s="10"/>
      <c r="I4" s="63" t="s">
        <v>125</v>
      </c>
      <c r="J4" s="47" t="s">
        <v>126</v>
      </c>
      <c r="K4" s="78" t="s">
        <v>126</v>
      </c>
      <c r="L4" s="10"/>
      <c r="M4" s="10"/>
      <c r="N4" s="83" t="s">
        <v>76</v>
      </c>
      <c r="O4" s="70" t="s">
        <v>151</v>
      </c>
      <c r="P4" s="10"/>
      <c r="Q4" s="83" t="s">
        <v>166</v>
      </c>
      <c r="R4" s="74" t="s">
        <v>167</v>
      </c>
      <c r="S4" s="69" t="s">
        <v>169</v>
      </c>
    </row>
    <row r="5" spans="1:20" ht="87.5" thickBot="1" x14ac:dyDescent="0.4">
      <c r="A5" s="70" t="s">
        <v>158</v>
      </c>
      <c r="B5" s="10"/>
      <c r="C5" s="63" t="s">
        <v>76</v>
      </c>
      <c r="D5" s="78">
        <v>0.42</v>
      </c>
      <c r="E5" s="10"/>
      <c r="F5" s="10"/>
      <c r="G5" s="70" t="s">
        <v>107</v>
      </c>
      <c r="H5" s="10"/>
      <c r="I5" s="207" t="s">
        <v>127</v>
      </c>
      <c r="J5" s="47"/>
      <c r="K5" s="78" t="s">
        <v>137</v>
      </c>
      <c r="L5" s="10"/>
      <c r="M5" s="10"/>
      <c r="N5" s="69" t="s">
        <v>22</v>
      </c>
      <c r="O5" s="10"/>
      <c r="P5" s="10"/>
      <c r="Q5" s="70" t="s">
        <v>173</v>
      </c>
      <c r="S5" s="69" t="s">
        <v>170</v>
      </c>
    </row>
    <row r="6" spans="1:20" ht="72.5" x14ac:dyDescent="0.35">
      <c r="A6" s="10"/>
      <c r="B6" s="10"/>
      <c r="C6" s="63" t="s">
        <v>77</v>
      </c>
      <c r="D6" s="78">
        <v>0.52</v>
      </c>
      <c r="E6" s="10"/>
      <c r="F6" s="10"/>
      <c r="G6" s="10"/>
      <c r="H6" s="10"/>
      <c r="I6" s="208"/>
      <c r="J6" s="47"/>
      <c r="K6" s="78" t="s">
        <v>131</v>
      </c>
      <c r="L6" s="10"/>
      <c r="M6" s="10"/>
      <c r="N6" s="69" t="s">
        <v>23</v>
      </c>
      <c r="O6" s="10"/>
      <c r="P6" s="10"/>
      <c r="S6" s="69" t="s">
        <v>171</v>
      </c>
    </row>
    <row r="7" spans="1:20" ht="101.5" x14ac:dyDescent="0.35">
      <c r="A7" s="10"/>
      <c r="B7" s="10"/>
      <c r="C7" s="63" t="s">
        <v>21</v>
      </c>
      <c r="D7" s="78">
        <v>0.36</v>
      </c>
      <c r="E7" s="10"/>
      <c r="F7" s="10"/>
      <c r="G7" s="10"/>
      <c r="H7" s="10"/>
      <c r="I7" s="208"/>
      <c r="J7" s="47"/>
      <c r="K7" s="78" t="s">
        <v>132</v>
      </c>
      <c r="L7" s="10"/>
      <c r="M7" s="10"/>
      <c r="N7" s="69" t="s">
        <v>24</v>
      </c>
      <c r="O7" s="10"/>
      <c r="P7" s="10"/>
      <c r="S7" s="90" t="s">
        <v>172</v>
      </c>
    </row>
    <row r="8" spans="1:20" ht="29.5" thickBot="1" x14ac:dyDescent="0.4">
      <c r="A8" s="10"/>
      <c r="B8" s="10"/>
      <c r="C8" s="63" t="s">
        <v>22</v>
      </c>
      <c r="D8" s="78">
        <v>0.61</v>
      </c>
      <c r="E8" s="10"/>
      <c r="F8" s="10"/>
      <c r="G8" s="10"/>
      <c r="H8" s="10"/>
      <c r="I8" s="216"/>
      <c r="J8" s="47"/>
      <c r="K8" s="78" t="s">
        <v>133</v>
      </c>
      <c r="L8" s="10"/>
      <c r="M8" s="10"/>
      <c r="N8" s="69" t="s">
        <v>25</v>
      </c>
      <c r="O8" s="10"/>
      <c r="P8" s="10"/>
      <c r="S8" s="70" t="s">
        <v>175</v>
      </c>
    </row>
    <row r="9" spans="1:20" ht="29.5" thickBot="1" x14ac:dyDescent="0.4">
      <c r="A9" s="10"/>
      <c r="B9" s="10"/>
      <c r="C9" s="63" t="s">
        <v>23</v>
      </c>
      <c r="D9" s="78">
        <v>0.66</v>
      </c>
      <c r="E9" s="10"/>
      <c r="F9" s="10"/>
      <c r="G9" s="10"/>
      <c r="H9" s="10"/>
      <c r="I9" s="64" t="s">
        <v>128</v>
      </c>
      <c r="J9" s="86" t="s">
        <v>135</v>
      </c>
      <c r="K9" s="79" t="s">
        <v>134</v>
      </c>
      <c r="L9" s="10"/>
      <c r="M9" s="10"/>
      <c r="N9" s="69" t="s">
        <v>26</v>
      </c>
      <c r="O9" s="10"/>
      <c r="P9" s="10"/>
    </row>
    <row r="10" spans="1:20" ht="29" x14ac:dyDescent="0.35">
      <c r="A10" s="10"/>
      <c r="B10" s="10"/>
      <c r="C10" s="63" t="s">
        <v>24</v>
      </c>
      <c r="D10" s="78">
        <v>0.47</v>
      </c>
      <c r="E10" s="10"/>
      <c r="F10" s="10"/>
      <c r="G10" s="10"/>
      <c r="H10" s="10"/>
      <c r="I10" s="10"/>
      <c r="J10" s="10"/>
      <c r="K10" s="10"/>
      <c r="L10" s="10"/>
      <c r="M10" s="10"/>
      <c r="N10" s="69" t="s">
        <v>27</v>
      </c>
      <c r="O10" s="10"/>
      <c r="P10" s="10"/>
    </row>
    <row r="11" spans="1:20" ht="29" x14ac:dyDescent="0.35">
      <c r="A11" s="10"/>
      <c r="B11" s="10"/>
      <c r="C11" s="63" t="s">
        <v>25</v>
      </c>
      <c r="D11" s="78">
        <v>0.67</v>
      </c>
      <c r="E11" s="10"/>
      <c r="F11" s="10"/>
      <c r="G11" s="10"/>
      <c r="H11" s="10"/>
      <c r="I11" s="10"/>
      <c r="J11" s="10"/>
      <c r="K11" s="10"/>
      <c r="L11" s="10"/>
      <c r="M11" s="10"/>
      <c r="N11" s="69" t="s">
        <v>28</v>
      </c>
      <c r="O11" s="10"/>
      <c r="P11" s="10"/>
    </row>
    <row r="12" spans="1:20" ht="43.5" x14ac:dyDescent="0.35">
      <c r="A12" s="10"/>
      <c r="B12" s="10"/>
      <c r="C12" s="63" t="s">
        <v>26</v>
      </c>
      <c r="D12" s="78">
        <v>0.7</v>
      </c>
      <c r="E12" s="10"/>
      <c r="F12" s="10"/>
      <c r="G12" s="10"/>
      <c r="H12" s="10"/>
      <c r="I12" s="10"/>
      <c r="J12" s="10"/>
      <c r="K12" s="10"/>
      <c r="L12" s="10"/>
      <c r="M12" s="10"/>
      <c r="N12" s="69" t="s">
        <v>29</v>
      </c>
      <c r="O12" s="10"/>
      <c r="P12" s="10"/>
    </row>
    <row r="13" spans="1:20" ht="29" x14ac:dyDescent="0.35">
      <c r="A13" s="10"/>
      <c r="B13" s="10"/>
      <c r="C13" s="63" t="s">
        <v>27</v>
      </c>
      <c r="D13" s="78">
        <v>0.54</v>
      </c>
      <c r="E13" s="10"/>
      <c r="F13" s="10"/>
      <c r="G13" s="10"/>
      <c r="H13" s="10"/>
      <c r="I13" s="10"/>
      <c r="J13" s="10"/>
      <c r="K13" s="10"/>
      <c r="L13" s="10"/>
      <c r="M13" s="10"/>
      <c r="N13" s="69" t="s">
        <v>30</v>
      </c>
      <c r="O13" s="10"/>
      <c r="P13" s="10"/>
    </row>
    <row r="14" spans="1:20" x14ac:dyDescent="0.35">
      <c r="A14" s="10"/>
      <c r="B14" s="10"/>
      <c r="C14" s="63" t="s">
        <v>28</v>
      </c>
      <c r="D14" s="78">
        <v>0.65</v>
      </c>
      <c r="E14" s="10"/>
      <c r="F14" s="10"/>
      <c r="G14" s="10"/>
      <c r="H14" s="10"/>
      <c r="I14" s="10"/>
      <c r="J14" s="10"/>
      <c r="K14" s="10"/>
      <c r="L14" s="10"/>
      <c r="M14" s="10"/>
      <c r="N14" s="69" t="s">
        <v>31</v>
      </c>
      <c r="O14" s="10"/>
      <c r="P14" s="10"/>
    </row>
    <row r="15" spans="1:20" ht="43.5" x14ac:dyDescent="0.35">
      <c r="A15" s="10"/>
      <c r="B15" s="10"/>
      <c r="C15" s="63" t="s">
        <v>78</v>
      </c>
      <c r="D15" s="78">
        <v>0.56000000000000005</v>
      </c>
      <c r="E15" s="10"/>
      <c r="F15" s="10"/>
      <c r="G15" s="10"/>
      <c r="H15" s="10"/>
      <c r="I15" s="10"/>
      <c r="J15" s="10"/>
      <c r="K15" s="10"/>
      <c r="L15" s="10"/>
      <c r="M15" s="10"/>
      <c r="N15" s="69" t="s">
        <v>32</v>
      </c>
      <c r="O15" s="10"/>
      <c r="P15" s="10"/>
    </row>
    <row r="16" spans="1:20" ht="29" x14ac:dyDescent="0.35">
      <c r="A16" s="10"/>
      <c r="B16" s="10"/>
      <c r="C16" s="63" t="s">
        <v>29</v>
      </c>
      <c r="D16" s="78">
        <v>0.57999999999999996</v>
      </c>
      <c r="E16" s="10"/>
      <c r="F16" s="10"/>
      <c r="G16" s="10"/>
      <c r="H16" s="10"/>
      <c r="I16" s="10"/>
      <c r="J16" s="10"/>
      <c r="K16" s="10"/>
      <c r="L16" s="10"/>
      <c r="M16" s="10"/>
      <c r="N16" s="69" t="s">
        <v>39</v>
      </c>
      <c r="O16" s="10"/>
      <c r="P16" s="10"/>
    </row>
    <row r="17" spans="1:16" ht="29" x14ac:dyDescent="0.35">
      <c r="A17" s="10"/>
      <c r="B17" s="10"/>
      <c r="C17" s="63" t="s">
        <v>30</v>
      </c>
      <c r="D17" s="78">
        <v>0.64</v>
      </c>
      <c r="E17" s="10"/>
      <c r="F17" s="10"/>
      <c r="G17" s="10"/>
      <c r="H17" s="10"/>
      <c r="I17" s="10"/>
      <c r="J17" s="10"/>
      <c r="K17" s="10"/>
      <c r="L17" s="10"/>
      <c r="M17" s="10"/>
      <c r="N17" s="69" t="s">
        <v>40</v>
      </c>
      <c r="O17" s="10"/>
      <c r="P17" s="10"/>
    </row>
    <row r="18" spans="1:16" x14ac:dyDescent="0.35">
      <c r="A18" s="10"/>
      <c r="B18" s="10"/>
      <c r="C18" s="63" t="s">
        <v>31</v>
      </c>
      <c r="D18" s="78">
        <v>0.73</v>
      </c>
      <c r="E18" s="10"/>
      <c r="F18" s="10"/>
      <c r="G18" s="10"/>
      <c r="H18" s="10"/>
      <c r="I18" s="10"/>
      <c r="J18" s="10"/>
      <c r="K18" s="10"/>
      <c r="L18" s="10"/>
      <c r="M18" s="10"/>
      <c r="N18" s="69" t="s">
        <v>42</v>
      </c>
      <c r="O18" s="10"/>
      <c r="P18" s="10"/>
    </row>
    <row r="19" spans="1:16" x14ac:dyDescent="0.35">
      <c r="A19" s="10"/>
      <c r="B19" s="10"/>
      <c r="C19" s="63" t="s">
        <v>32</v>
      </c>
      <c r="D19" s="78">
        <v>0.56000000000000005</v>
      </c>
      <c r="E19" s="10"/>
      <c r="F19" s="10"/>
      <c r="G19" s="10"/>
      <c r="H19" s="10"/>
      <c r="I19" s="10"/>
      <c r="J19" s="10"/>
      <c r="K19" s="10"/>
      <c r="L19" s="10"/>
      <c r="M19" s="10"/>
      <c r="N19" s="69" t="s">
        <v>80</v>
      </c>
      <c r="O19" s="10"/>
      <c r="P19" s="10"/>
    </row>
    <row r="20" spans="1:16" x14ac:dyDescent="0.35">
      <c r="A20" s="10"/>
      <c r="B20" s="10"/>
      <c r="C20" s="63" t="s">
        <v>33</v>
      </c>
      <c r="D20" s="78">
        <v>0.74</v>
      </c>
      <c r="E20" s="10"/>
      <c r="F20" s="10"/>
      <c r="G20" s="10"/>
      <c r="H20" s="10"/>
      <c r="I20" s="10"/>
      <c r="J20" s="10"/>
      <c r="K20" s="10"/>
      <c r="L20" s="10"/>
      <c r="M20" s="10"/>
      <c r="N20" s="69" t="s">
        <v>83</v>
      </c>
      <c r="O20" s="10"/>
      <c r="P20" s="10"/>
    </row>
    <row r="21" spans="1:16" x14ac:dyDescent="0.35">
      <c r="A21" s="10"/>
      <c r="B21" s="10"/>
      <c r="C21" s="63" t="s">
        <v>34</v>
      </c>
      <c r="D21" s="78">
        <v>0.4</v>
      </c>
      <c r="E21" s="10"/>
      <c r="F21" s="10"/>
      <c r="G21" s="10"/>
      <c r="H21" s="10"/>
      <c r="I21" s="10"/>
      <c r="J21" s="10"/>
      <c r="K21" s="10"/>
      <c r="L21" s="10"/>
      <c r="M21" s="10"/>
      <c r="N21" s="69" t="s">
        <v>50</v>
      </c>
      <c r="O21" s="10"/>
      <c r="P21" s="10"/>
    </row>
    <row r="22" spans="1:16" x14ac:dyDescent="0.35">
      <c r="A22" s="10"/>
      <c r="B22" s="10"/>
      <c r="C22" s="63" t="s">
        <v>35</v>
      </c>
      <c r="D22" s="78">
        <v>0.6</v>
      </c>
      <c r="E22" s="10"/>
      <c r="F22" s="10"/>
      <c r="G22" s="10"/>
      <c r="H22" s="10"/>
      <c r="I22" s="10"/>
      <c r="J22" s="10"/>
      <c r="K22" s="10"/>
      <c r="L22" s="10"/>
      <c r="M22" s="10"/>
      <c r="N22" s="69" t="s">
        <v>63</v>
      </c>
      <c r="O22" s="10"/>
      <c r="P22" s="10"/>
    </row>
    <row r="23" spans="1:16" ht="29" x14ac:dyDescent="0.35">
      <c r="A23" s="10"/>
      <c r="B23" s="10"/>
      <c r="C23" s="63" t="s">
        <v>36</v>
      </c>
      <c r="D23" s="78">
        <v>0.43</v>
      </c>
      <c r="E23" s="10"/>
      <c r="F23" s="10"/>
      <c r="G23" s="10"/>
      <c r="H23" s="10"/>
      <c r="I23" s="10"/>
      <c r="J23" s="10"/>
      <c r="K23" s="10"/>
      <c r="L23" s="10"/>
      <c r="M23" s="10"/>
      <c r="N23" s="69" t="s">
        <v>84</v>
      </c>
      <c r="O23" s="10"/>
      <c r="P23" s="10"/>
    </row>
    <row r="24" spans="1:16" x14ac:dyDescent="0.35">
      <c r="A24" s="10"/>
      <c r="B24" s="10"/>
      <c r="C24" s="63" t="s">
        <v>37</v>
      </c>
      <c r="D24" s="78">
        <v>0.37</v>
      </c>
      <c r="E24" s="10"/>
      <c r="F24" s="10"/>
      <c r="G24" s="10"/>
      <c r="H24" s="10"/>
      <c r="I24" s="10"/>
      <c r="J24" s="10"/>
      <c r="K24" s="10"/>
      <c r="L24" s="10"/>
      <c r="M24" s="10"/>
      <c r="N24" s="69" t="s">
        <v>70</v>
      </c>
      <c r="O24" s="10"/>
      <c r="P24" s="10"/>
    </row>
    <row r="25" spans="1:16" ht="29.5" thickBot="1" x14ac:dyDescent="0.4">
      <c r="A25" s="10"/>
      <c r="B25" s="10"/>
      <c r="C25" s="63" t="s">
        <v>38</v>
      </c>
      <c r="D25" s="78">
        <v>0.36</v>
      </c>
      <c r="E25" s="10"/>
      <c r="F25" s="10"/>
      <c r="G25" s="10"/>
      <c r="H25" s="10"/>
      <c r="I25" s="10"/>
      <c r="J25" s="10"/>
      <c r="K25" s="10"/>
      <c r="L25" s="10"/>
      <c r="M25" s="10"/>
      <c r="N25" s="70" t="s">
        <v>73</v>
      </c>
      <c r="O25" s="10"/>
      <c r="P25" s="10"/>
    </row>
    <row r="26" spans="1:16" x14ac:dyDescent="0.35">
      <c r="A26" s="10"/>
      <c r="B26" s="10"/>
      <c r="C26" s="63" t="s">
        <v>39</v>
      </c>
      <c r="D26" s="78">
        <v>0.51</v>
      </c>
      <c r="E26" s="10"/>
      <c r="F26" s="10"/>
      <c r="G26" s="10"/>
      <c r="H26" s="10"/>
      <c r="I26" s="10"/>
      <c r="J26" s="10"/>
      <c r="K26" s="10"/>
      <c r="L26" s="10"/>
      <c r="M26" s="10"/>
      <c r="N26" s="10"/>
      <c r="O26" s="10"/>
      <c r="P26" s="10"/>
    </row>
    <row r="27" spans="1:16" x14ac:dyDescent="0.35">
      <c r="A27" s="10"/>
      <c r="B27" s="10"/>
      <c r="C27" s="63" t="s">
        <v>40</v>
      </c>
      <c r="D27" s="78">
        <v>0.56000000000000005</v>
      </c>
      <c r="E27" s="10"/>
      <c r="F27" s="10"/>
      <c r="G27" s="10"/>
      <c r="H27" s="10"/>
      <c r="I27" s="10"/>
      <c r="J27" s="10"/>
      <c r="K27" s="10"/>
      <c r="L27" s="10"/>
      <c r="M27" s="10"/>
      <c r="N27" s="10"/>
      <c r="O27" s="10"/>
      <c r="P27" s="10"/>
    </row>
    <row r="28" spans="1:16" x14ac:dyDescent="0.35">
      <c r="A28" s="10"/>
      <c r="B28" s="10"/>
      <c r="C28" s="63" t="s">
        <v>41</v>
      </c>
      <c r="D28" s="78">
        <v>0.56000000000000005</v>
      </c>
      <c r="E28" s="10"/>
      <c r="F28" s="10"/>
      <c r="G28" s="10"/>
      <c r="H28" s="10"/>
      <c r="I28" s="10"/>
      <c r="J28" s="10"/>
      <c r="K28" s="10"/>
      <c r="L28" s="10"/>
      <c r="M28" s="10"/>
      <c r="N28" s="10"/>
      <c r="O28" s="10"/>
      <c r="P28" s="10"/>
    </row>
    <row r="29" spans="1:16" x14ac:dyDescent="0.35">
      <c r="A29" s="10"/>
      <c r="B29" s="10"/>
      <c r="C29" s="63" t="s">
        <v>79</v>
      </c>
      <c r="D29" s="78">
        <v>0.48</v>
      </c>
      <c r="E29" s="10"/>
      <c r="F29" s="10"/>
      <c r="G29" s="10"/>
      <c r="H29" s="10"/>
      <c r="I29" s="10"/>
      <c r="J29" s="10"/>
      <c r="K29" s="10"/>
      <c r="L29" s="10"/>
      <c r="M29" s="10"/>
      <c r="N29" s="10"/>
      <c r="O29" s="10"/>
      <c r="P29" s="10"/>
    </row>
    <row r="30" spans="1:16" x14ac:dyDescent="0.35">
      <c r="A30" s="10"/>
      <c r="B30" s="10"/>
      <c r="C30" s="63" t="s">
        <v>42</v>
      </c>
      <c r="D30" s="78">
        <v>0.55000000000000004</v>
      </c>
      <c r="E30" s="10"/>
      <c r="F30" s="10"/>
      <c r="G30" s="10"/>
      <c r="H30" s="10"/>
      <c r="I30" s="10"/>
      <c r="J30" s="10"/>
      <c r="K30" s="10"/>
      <c r="L30" s="10"/>
      <c r="M30" s="10"/>
      <c r="N30" s="10"/>
      <c r="O30" s="10"/>
      <c r="P30" s="10"/>
    </row>
    <row r="31" spans="1:16" x14ac:dyDescent="0.35">
      <c r="A31" s="10"/>
      <c r="B31" s="10"/>
      <c r="C31" s="63" t="s">
        <v>80</v>
      </c>
      <c r="D31" s="78">
        <v>0.56000000000000005</v>
      </c>
      <c r="E31" s="10"/>
      <c r="F31" s="10"/>
      <c r="G31" s="10"/>
      <c r="H31" s="10"/>
      <c r="I31" s="10"/>
      <c r="J31" s="10"/>
      <c r="K31" s="10"/>
      <c r="L31" s="10"/>
      <c r="M31" s="10"/>
      <c r="N31" s="10"/>
      <c r="O31" s="10"/>
      <c r="P31" s="10"/>
    </row>
    <row r="32" spans="1:16" x14ac:dyDescent="0.35">
      <c r="A32" s="10"/>
      <c r="B32" s="10"/>
      <c r="C32" s="63" t="s">
        <v>43</v>
      </c>
      <c r="D32" s="78">
        <v>0.57999999999999996</v>
      </c>
      <c r="E32" s="10"/>
      <c r="F32" s="10"/>
      <c r="G32" s="10"/>
      <c r="H32" s="10"/>
      <c r="I32" s="10"/>
      <c r="J32" s="10"/>
      <c r="K32" s="10"/>
      <c r="L32" s="10"/>
      <c r="M32" s="10"/>
      <c r="N32" s="10"/>
      <c r="O32" s="10"/>
      <c r="P32" s="10"/>
    </row>
    <row r="33" spans="1:16" x14ac:dyDescent="0.35">
      <c r="A33" s="10"/>
      <c r="B33" s="10"/>
      <c r="C33" s="63" t="s">
        <v>44</v>
      </c>
      <c r="D33" s="78">
        <v>0.57999999999999996</v>
      </c>
      <c r="E33" s="10"/>
      <c r="F33" s="10"/>
      <c r="G33" s="10"/>
      <c r="H33" s="10"/>
      <c r="I33" s="10"/>
      <c r="J33" s="10"/>
      <c r="K33" s="10"/>
      <c r="L33" s="10"/>
      <c r="M33" s="10"/>
      <c r="N33" s="10"/>
      <c r="O33" s="10"/>
      <c r="P33" s="10"/>
    </row>
    <row r="34" spans="1:16" x14ac:dyDescent="0.35">
      <c r="A34" s="10"/>
      <c r="B34" s="10"/>
      <c r="C34" s="63" t="s">
        <v>45</v>
      </c>
      <c r="D34" s="78">
        <v>0.48</v>
      </c>
      <c r="E34" s="10"/>
      <c r="F34" s="10"/>
      <c r="G34" s="10"/>
      <c r="H34" s="10"/>
      <c r="I34" s="10"/>
      <c r="J34" s="10"/>
      <c r="K34" s="10"/>
      <c r="L34" s="10"/>
      <c r="M34" s="10"/>
      <c r="N34" s="10"/>
      <c r="O34" s="10"/>
      <c r="P34" s="10"/>
    </row>
    <row r="35" spans="1:16" x14ac:dyDescent="0.35">
      <c r="A35" s="10"/>
      <c r="B35" s="10"/>
      <c r="C35" s="63" t="s">
        <v>46</v>
      </c>
      <c r="D35" s="78">
        <v>0.42</v>
      </c>
      <c r="E35" s="10"/>
      <c r="F35" s="10"/>
      <c r="G35" s="10"/>
      <c r="H35" s="10"/>
      <c r="I35" s="10"/>
      <c r="J35" s="10"/>
      <c r="K35" s="10"/>
      <c r="L35" s="10"/>
      <c r="M35" s="10"/>
      <c r="N35" s="10"/>
      <c r="O35" s="10"/>
      <c r="P35" s="10"/>
    </row>
    <row r="36" spans="1:16" x14ac:dyDescent="0.35">
      <c r="A36" s="10"/>
      <c r="B36" s="10"/>
      <c r="C36" s="63" t="s">
        <v>81</v>
      </c>
      <c r="D36" s="78">
        <v>0.5</v>
      </c>
      <c r="E36" s="10"/>
      <c r="F36" s="10"/>
      <c r="G36" s="10"/>
      <c r="H36" s="10"/>
      <c r="I36" s="10"/>
      <c r="J36" s="10"/>
      <c r="K36" s="10"/>
      <c r="L36" s="10"/>
      <c r="M36" s="10"/>
      <c r="N36" s="10"/>
      <c r="O36" s="10"/>
      <c r="P36" s="10"/>
    </row>
    <row r="37" spans="1:16" x14ac:dyDescent="0.35">
      <c r="A37" s="10"/>
      <c r="B37" s="10"/>
      <c r="C37" s="63" t="s">
        <v>47</v>
      </c>
      <c r="D37" s="78">
        <v>0.55000000000000004</v>
      </c>
      <c r="E37" s="10"/>
      <c r="F37" s="10"/>
      <c r="G37" s="10"/>
      <c r="H37" s="10"/>
      <c r="I37" s="10"/>
      <c r="J37" s="10"/>
      <c r="K37" s="10"/>
      <c r="L37" s="10"/>
      <c r="M37" s="10"/>
      <c r="N37" s="10"/>
      <c r="O37" s="10"/>
      <c r="P37" s="10"/>
    </row>
    <row r="38" spans="1:16" x14ac:dyDescent="0.35">
      <c r="A38" s="10"/>
      <c r="B38" s="10"/>
      <c r="C38" s="63" t="s">
        <v>82</v>
      </c>
      <c r="D38" s="78">
        <v>0.53</v>
      </c>
      <c r="E38" s="10"/>
      <c r="F38" s="10"/>
      <c r="G38" s="10"/>
      <c r="H38" s="10"/>
      <c r="I38" s="10"/>
      <c r="J38" s="10"/>
      <c r="K38" s="10"/>
      <c r="L38" s="10"/>
      <c r="M38" s="10"/>
      <c r="N38" s="10"/>
      <c r="O38" s="10"/>
      <c r="P38" s="10"/>
    </row>
    <row r="39" spans="1:16" x14ac:dyDescent="0.35">
      <c r="A39" s="10"/>
      <c r="B39" s="10"/>
      <c r="C39" s="63" t="s">
        <v>83</v>
      </c>
      <c r="D39" s="78">
        <v>0.52</v>
      </c>
      <c r="E39" s="10"/>
      <c r="F39" s="10"/>
      <c r="G39" s="10"/>
      <c r="H39" s="10"/>
      <c r="I39" s="10"/>
      <c r="J39" s="10"/>
      <c r="K39" s="10"/>
      <c r="L39" s="10"/>
      <c r="M39" s="10"/>
      <c r="N39" s="10"/>
      <c r="O39" s="10"/>
      <c r="P39" s="10"/>
    </row>
    <row r="40" spans="1:16" x14ac:dyDescent="0.35">
      <c r="A40" s="10"/>
      <c r="B40" s="10"/>
      <c r="C40" s="63" t="s">
        <v>48</v>
      </c>
      <c r="D40" s="78">
        <v>0.52</v>
      </c>
      <c r="E40" s="10"/>
      <c r="F40" s="10"/>
      <c r="G40" s="10"/>
      <c r="H40" s="10"/>
      <c r="I40" s="10"/>
      <c r="J40" s="10"/>
      <c r="K40" s="10"/>
      <c r="L40" s="10"/>
      <c r="M40" s="10"/>
      <c r="N40" s="10"/>
      <c r="O40" s="10"/>
      <c r="P40" s="10"/>
    </row>
    <row r="41" spans="1:16" x14ac:dyDescent="0.35">
      <c r="A41" s="10"/>
      <c r="B41" s="10"/>
      <c r="C41" s="63" t="s">
        <v>49</v>
      </c>
      <c r="D41" s="78">
        <v>0.75</v>
      </c>
      <c r="E41" s="10"/>
      <c r="F41" s="10"/>
      <c r="G41" s="10"/>
      <c r="H41" s="10"/>
      <c r="I41" s="10"/>
      <c r="J41" s="10"/>
      <c r="K41" s="10"/>
      <c r="L41" s="10"/>
      <c r="M41" s="10"/>
      <c r="N41" s="10"/>
      <c r="O41" s="10"/>
      <c r="P41" s="10"/>
    </row>
    <row r="42" spans="1:16" x14ac:dyDescent="0.35">
      <c r="A42" s="10"/>
      <c r="B42" s="10"/>
      <c r="C42" s="63" t="s">
        <v>50</v>
      </c>
      <c r="D42" s="78">
        <v>0.52</v>
      </c>
      <c r="E42" s="10"/>
      <c r="F42" s="10"/>
      <c r="G42" s="10"/>
      <c r="H42" s="10"/>
      <c r="I42" s="10"/>
      <c r="J42" s="10"/>
      <c r="K42" s="10"/>
      <c r="L42" s="10"/>
      <c r="M42" s="10"/>
      <c r="N42" s="10"/>
      <c r="O42" s="10"/>
      <c r="P42" s="10"/>
    </row>
    <row r="43" spans="1:16" x14ac:dyDescent="0.35">
      <c r="A43" s="10"/>
      <c r="B43" s="10"/>
      <c r="C43" s="63" t="s">
        <v>51</v>
      </c>
      <c r="D43" s="78">
        <v>0.35</v>
      </c>
      <c r="E43" s="10"/>
      <c r="F43" s="10"/>
      <c r="G43" s="10"/>
      <c r="H43" s="10"/>
      <c r="I43" s="10"/>
      <c r="J43" s="10"/>
      <c r="K43" s="10"/>
      <c r="L43" s="10"/>
      <c r="M43" s="10"/>
      <c r="N43" s="10"/>
      <c r="O43" s="10"/>
      <c r="P43" s="10"/>
    </row>
    <row r="44" spans="1:16" x14ac:dyDescent="0.35">
      <c r="A44" s="10"/>
      <c r="B44" s="10"/>
      <c r="C44" s="63" t="s">
        <v>52</v>
      </c>
      <c r="D44" s="78">
        <v>0.37</v>
      </c>
      <c r="E44" s="10"/>
      <c r="F44" s="10"/>
      <c r="G44" s="10"/>
      <c r="H44" s="10"/>
      <c r="I44" s="10"/>
      <c r="J44" s="10"/>
      <c r="K44" s="10"/>
      <c r="L44" s="10"/>
      <c r="M44" s="10"/>
      <c r="N44" s="10"/>
      <c r="O44" s="10"/>
      <c r="P44" s="10"/>
    </row>
    <row r="45" spans="1:16" x14ac:dyDescent="0.35">
      <c r="A45" s="10"/>
      <c r="B45" s="10"/>
      <c r="C45" s="63" t="s">
        <v>54</v>
      </c>
      <c r="D45" s="78">
        <v>0.45</v>
      </c>
      <c r="E45" s="10"/>
      <c r="F45" s="10"/>
      <c r="G45" s="10"/>
      <c r="H45" s="10"/>
      <c r="I45" s="10"/>
      <c r="J45" s="10"/>
      <c r="K45" s="10"/>
      <c r="L45" s="10"/>
      <c r="M45" s="10"/>
      <c r="N45" s="10"/>
      <c r="O45" s="10"/>
      <c r="P45" s="10"/>
    </row>
    <row r="46" spans="1:16" x14ac:dyDescent="0.35">
      <c r="A46" s="10"/>
      <c r="B46" s="10"/>
      <c r="C46" s="63" t="s">
        <v>55</v>
      </c>
      <c r="D46" s="78">
        <v>0.39</v>
      </c>
      <c r="E46" s="10"/>
      <c r="F46" s="10"/>
      <c r="G46" s="10"/>
      <c r="H46" s="10"/>
      <c r="I46" s="10"/>
      <c r="J46" s="10"/>
      <c r="K46" s="10"/>
      <c r="L46" s="10"/>
      <c r="M46" s="10"/>
      <c r="N46" s="10"/>
      <c r="O46" s="10"/>
      <c r="P46" s="10"/>
    </row>
    <row r="47" spans="1:16" x14ac:dyDescent="0.35">
      <c r="A47" s="10"/>
      <c r="B47" s="10"/>
      <c r="C47" s="63" t="s">
        <v>56</v>
      </c>
      <c r="D47" s="78">
        <v>0.44</v>
      </c>
      <c r="E47" s="10"/>
      <c r="F47" s="10"/>
      <c r="G47" s="10"/>
      <c r="H47" s="10"/>
      <c r="I47" s="10"/>
      <c r="J47" s="10"/>
      <c r="K47" s="10"/>
      <c r="L47" s="10"/>
      <c r="M47" s="10"/>
      <c r="N47" s="10"/>
      <c r="O47" s="10"/>
      <c r="P47" s="10"/>
    </row>
    <row r="48" spans="1:16" x14ac:dyDescent="0.35">
      <c r="A48" s="10"/>
      <c r="B48" s="10"/>
      <c r="C48" s="63" t="s">
        <v>57</v>
      </c>
      <c r="D48" s="78">
        <v>0.46</v>
      </c>
      <c r="E48" s="10"/>
      <c r="F48" s="10"/>
      <c r="G48" s="10"/>
      <c r="H48" s="10"/>
      <c r="I48" s="10"/>
      <c r="J48" s="10"/>
      <c r="K48" s="10"/>
      <c r="L48" s="10"/>
      <c r="M48" s="10"/>
      <c r="N48" s="10"/>
      <c r="O48" s="10"/>
      <c r="P48" s="10"/>
    </row>
    <row r="49" spans="1:16" x14ac:dyDescent="0.35">
      <c r="A49" s="10"/>
      <c r="B49" s="10"/>
      <c r="C49" s="63" t="s">
        <v>58</v>
      </c>
      <c r="D49" s="78">
        <v>0.46</v>
      </c>
      <c r="E49" s="10"/>
      <c r="F49" s="10"/>
      <c r="G49" s="10"/>
      <c r="H49" s="10"/>
      <c r="I49" s="10"/>
      <c r="J49" s="10"/>
      <c r="K49" s="10"/>
      <c r="L49" s="10"/>
      <c r="M49" s="10"/>
      <c r="N49" s="10"/>
      <c r="O49" s="10"/>
      <c r="P49" s="10"/>
    </row>
    <row r="50" spans="1:16" x14ac:dyDescent="0.35">
      <c r="A50" s="10"/>
      <c r="B50" s="10"/>
      <c r="C50" s="63" t="s">
        <v>59</v>
      </c>
      <c r="D50" s="78">
        <v>0.44</v>
      </c>
      <c r="E50" s="10"/>
      <c r="F50" s="10"/>
      <c r="G50" s="10"/>
      <c r="H50" s="10"/>
      <c r="I50" s="10"/>
      <c r="J50" s="10"/>
      <c r="K50" s="10"/>
      <c r="L50" s="10"/>
      <c r="M50" s="10"/>
      <c r="N50" s="10"/>
      <c r="O50" s="10"/>
      <c r="P50" s="10"/>
    </row>
    <row r="51" spans="1:16" x14ac:dyDescent="0.35">
      <c r="A51" s="10"/>
      <c r="B51" s="10"/>
      <c r="C51" s="63" t="s">
        <v>60</v>
      </c>
      <c r="D51" s="78">
        <v>0.46</v>
      </c>
      <c r="E51" s="10"/>
      <c r="F51" s="10"/>
      <c r="G51" s="10"/>
      <c r="H51" s="10"/>
      <c r="I51" s="10"/>
      <c r="J51" s="10"/>
      <c r="K51" s="10"/>
      <c r="L51" s="10"/>
      <c r="M51" s="10"/>
      <c r="N51" s="10"/>
      <c r="O51" s="10"/>
      <c r="P51" s="10"/>
    </row>
    <row r="52" spans="1:16" x14ac:dyDescent="0.35">
      <c r="A52" s="10"/>
      <c r="B52" s="10"/>
      <c r="C52" s="63" t="s">
        <v>74</v>
      </c>
      <c r="D52" s="78">
        <v>0.48</v>
      </c>
      <c r="E52" s="10"/>
      <c r="F52" s="10"/>
      <c r="G52" s="10"/>
      <c r="H52" s="10"/>
      <c r="I52" s="10"/>
      <c r="J52" s="10"/>
      <c r="K52" s="10"/>
      <c r="L52" s="10"/>
      <c r="M52" s="10"/>
      <c r="N52" s="10"/>
      <c r="O52" s="10"/>
      <c r="P52" s="10"/>
    </row>
    <row r="53" spans="1:16" x14ac:dyDescent="0.35">
      <c r="A53" s="10"/>
      <c r="B53" s="10"/>
      <c r="C53" s="63" t="s">
        <v>61</v>
      </c>
      <c r="D53" s="78">
        <v>0.44</v>
      </c>
      <c r="E53" s="10"/>
      <c r="F53" s="10"/>
      <c r="G53" s="10"/>
      <c r="H53" s="10"/>
      <c r="I53" s="10"/>
      <c r="J53" s="10"/>
      <c r="K53" s="10"/>
      <c r="L53" s="10"/>
      <c r="M53" s="10"/>
      <c r="N53" s="10"/>
      <c r="O53" s="10"/>
      <c r="P53" s="10"/>
    </row>
    <row r="54" spans="1:16" x14ac:dyDescent="0.35">
      <c r="A54" s="10"/>
      <c r="B54" s="10"/>
      <c r="C54" s="63" t="s">
        <v>62</v>
      </c>
      <c r="D54" s="78">
        <v>0.34</v>
      </c>
      <c r="E54" s="10"/>
      <c r="F54" s="10"/>
      <c r="G54" s="10"/>
      <c r="H54" s="10"/>
      <c r="I54" s="10"/>
      <c r="J54" s="10"/>
      <c r="K54" s="10"/>
      <c r="L54" s="10"/>
      <c r="M54" s="10"/>
      <c r="N54" s="10"/>
      <c r="O54" s="10"/>
      <c r="P54" s="10"/>
    </row>
    <row r="55" spans="1:16" x14ac:dyDescent="0.35">
      <c r="A55" s="10"/>
      <c r="B55" s="10"/>
      <c r="C55" s="63" t="s">
        <v>63</v>
      </c>
      <c r="D55" s="78">
        <v>0.5</v>
      </c>
      <c r="E55" s="10"/>
      <c r="F55" s="10"/>
      <c r="G55" s="10"/>
      <c r="H55" s="10"/>
      <c r="I55" s="10"/>
      <c r="J55" s="10"/>
      <c r="K55" s="10"/>
      <c r="L55" s="10"/>
      <c r="M55" s="10"/>
      <c r="N55" s="10"/>
      <c r="O55" s="10"/>
      <c r="P55" s="10"/>
    </row>
    <row r="56" spans="1:16" x14ac:dyDescent="0.35">
      <c r="A56" s="10"/>
      <c r="B56" s="10"/>
      <c r="C56" s="63" t="s">
        <v>84</v>
      </c>
      <c r="D56" s="78">
        <v>0.57999999999999996</v>
      </c>
      <c r="E56" s="10"/>
      <c r="F56" s="10"/>
      <c r="G56" s="10"/>
      <c r="H56" s="10"/>
      <c r="I56" s="10"/>
      <c r="J56" s="10"/>
      <c r="K56" s="10"/>
      <c r="L56" s="10"/>
      <c r="M56" s="10"/>
      <c r="N56" s="10"/>
      <c r="O56" s="10"/>
      <c r="P56" s="10"/>
    </row>
    <row r="57" spans="1:16" x14ac:dyDescent="0.35">
      <c r="A57" s="10"/>
      <c r="B57" s="10"/>
      <c r="C57" s="63" t="s">
        <v>64</v>
      </c>
      <c r="D57" s="78">
        <v>0.37</v>
      </c>
      <c r="E57" s="10"/>
      <c r="F57" s="10"/>
      <c r="G57" s="10"/>
      <c r="H57" s="10"/>
      <c r="I57" s="10"/>
      <c r="J57" s="10"/>
      <c r="K57" s="10"/>
      <c r="L57" s="10"/>
      <c r="M57" s="10"/>
      <c r="N57" s="10"/>
      <c r="O57" s="10"/>
      <c r="P57" s="10"/>
    </row>
    <row r="58" spans="1:16" x14ac:dyDescent="0.35">
      <c r="A58" s="10"/>
      <c r="B58" s="10"/>
      <c r="C58" s="63" t="s">
        <v>65</v>
      </c>
      <c r="D58" s="78">
        <v>0.37</v>
      </c>
      <c r="E58" s="10"/>
      <c r="F58" s="10"/>
      <c r="G58" s="10"/>
      <c r="H58" s="10"/>
      <c r="I58" s="10"/>
      <c r="J58" s="10"/>
      <c r="K58" s="10"/>
      <c r="L58" s="10"/>
      <c r="M58" s="10"/>
      <c r="N58" s="10"/>
      <c r="O58" s="10"/>
      <c r="P58" s="10"/>
    </row>
    <row r="59" spans="1:16" x14ac:dyDescent="0.35">
      <c r="A59" s="10"/>
      <c r="B59" s="10"/>
      <c r="C59" s="63" t="s">
        <v>66</v>
      </c>
      <c r="D59" s="78">
        <v>0.38</v>
      </c>
      <c r="E59" s="10"/>
      <c r="F59" s="10"/>
      <c r="G59" s="10"/>
      <c r="H59" s="10"/>
      <c r="I59" s="10"/>
      <c r="J59" s="10"/>
      <c r="K59" s="10"/>
      <c r="L59" s="10"/>
      <c r="M59" s="10"/>
      <c r="N59" s="10"/>
      <c r="O59" s="10"/>
      <c r="P59" s="10"/>
    </row>
    <row r="60" spans="1:16" x14ac:dyDescent="0.35">
      <c r="A60" s="10"/>
      <c r="B60" s="10"/>
      <c r="C60" s="63" t="s">
        <v>67</v>
      </c>
      <c r="D60" s="78">
        <v>0.36</v>
      </c>
      <c r="E60" s="10"/>
      <c r="F60" s="10"/>
      <c r="G60" s="10"/>
      <c r="H60" s="10"/>
      <c r="I60" s="10"/>
      <c r="J60" s="10"/>
      <c r="K60" s="10"/>
      <c r="L60" s="10"/>
      <c r="M60" s="10"/>
      <c r="N60" s="10"/>
      <c r="O60" s="10"/>
      <c r="P60" s="10"/>
    </row>
    <row r="61" spans="1:16" x14ac:dyDescent="0.35">
      <c r="A61" s="10"/>
      <c r="B61" s="10"/>
      <c r="C61" s="63" t="s">
        <v>68</v>
      </c>
      <c r="D61" s="78">
        <v>0.37</v>
      </c>
      <c r="E61" s="10"/>
      <c r="F61" s="10"/>
      <c r="G61" s="10"/>
      <c r="H61" s="10"/>
      <c r="I61" s="10"/>
      <c r="J61" s="10"/>
      <c r="K61" s="10"/>
      <c r="L61" s="10"/>
      <c r="M61" s="10"/>
      <c r="N61" s="10"/>
      <c r="O61" s="10"/>
      <c r="P61" s="10"/>
    </row>
    <row r="62" spans="1:16" x14ac:dyDescent="0.35">
      <c r="A62" s="10"/>
      <c r="B62" s="10"/>
      <c r="C62" s="63" t="s">
        <v>69</v>
      </c>
      <c r="D62" s="78">
        <v>0.53</v>
      </c>
      <c r="E62" s="10"/>
      <c r="F62" s="10"/>
      <c r="G62" s="10"/>
      <c r="H62" s="10"/>
      <c r="I62" s="10"/>
      <c r="J62" s="10"/>
      <c r="K62" s="10"/>
      <c r="L62" s="10"/>
      <c r="M62" s="10"/>
      <c r="N62" s="10"/>
      <c r="O62" s="10"/>
      <c r="P62" s="10"/>
    </row>
    <row r="63" spans="1:16" x14ac:dyDescent="0.35">
      <c r="A63" s="10"/>
      <c r="B63" s="10"/>
      <c r="C63" s="63" t="s">
        <v>70</v>
      </c>
      <c r="D63" s="78">
        <v>0.43</v>
      </c>
      <c r="E63" s="10"/>
      <c r="F63" s="10"/>
      <c r="G63" s="10"/>
      <c r="H63" s="10"/>
      <c r="I63" s="10"/>
      <c r="J63" s="10"/>
      <c r="K63" s="10"/>
      <c r="L63" s="10"/>
      <c r="M63" s="10"/>
      <c r="N63" s="10"/>
      <c r="O63" s="10"/>
      <c r="P63" s="10"/>
    </row>
    <row r="64" spans="1:16" x14ac:dyDescent="0.35">
      <c r="A64" s="10"/>
      <c r="B64" s="10"/>
      <c r="C64" s="63" t="s">
        <v>71</v>
      </c>
      <c r="D64" s="78">
        <v>0.38</v>
      </c>
      <c r="E64" s="10"/>
      <c r="F64" s="10"/>
      <c r="G64" s="10"/>
      <c r="H64" s="10"/>
      <c r="I64" s="10"/>
      <c r="J64" s="10"/>
      <c r="K64" s="10"/>
      <c r="L64" s="10"/>
      <c r="M64" s="10"/>
      <c r="N64" s="10"/>
      <c r="O64" s="10"/>
      <c r="P64" s="10"/>
    </row>
    <row r="65" spans="1:16" x14ac:dyDescent="0.35">
      <c r="A65" s="10"/>
      <c r="B65" s="10"/>
      <c r="C65" s="63" t="s">
        <v>72</v>
      </c>
      <c r="D65" s="78">
        <v>0.42</v>
      </c>
      <c r="E65" s="10"/>
      <c r="F65" s="10"/>
      <c r="G65" s="10"/>
      <c r="H65" s="10"/>
      <c r="I65" s="10"/>
      <c r="J65" s="10"/>
      <c r="K65" s="10"/>
      <c r="L65" s="10"/>
      <c r="M65" s="10"/>
      <c r="N65" s="10"/>
      <c r="O65" s="10"/>
      <c r="P65" s="10"/>
    </row>
    <row r="66" spans="1:16" ht="15" thickBot="1" x14ac:dyDescent="0.4">
      <c r="A66" s="10"/>
      <c r="B66" s="10"/>
      <c r="C66" s="64" t="s">
        <v>73</v>
      </c>
      <c r="D66" s="79">
        <v>0.56999999999999995</v>
      </c>
      <c r="E66" s="10"/>
      <c r="F66" s="10"/>
      <c r="G66" s="10"/>
      <c r="H66" s="10"/>
      <c r="I66" s="10"/>
      <c r="J66" s="10"/>
      <c r="K66" s="10"/>
      <c r="L66" s="10"/>
      <c r="M66" s="10"/>
      <c r="N66" s="10"/>
      <c r="O66" s="10"/>
      <c r="P66" s="10"/>
    </row>
    <row r="67" spans="1:16" ht="15" thickBot="1" x14ac:dyDescent="0.4">
      <c r="A67" s="10"/>
      <c r="B67" s="10"/>
      <c r="C67" s="105" t="s">
        <v>187</v>
      </c>
      <c r="D67" s="79">
        <v>0.54</v>
      </c>
      <c r="E67" s="10"/>
      <c r="F67" s="10"/>
      <c r="G67" s="10"/>
      <c r="H67" s="10"/>
      <c r="I67" s="10"/>
      <c r="J67" s="10"/>
      <c r="K67" s="10"/>
      <c r="L67" s="10"/>
      <c r="M67" s="10"/>
      <c r="N67" s="10"/>
      <c r="O67" s="10"/>
      <c r="P67" s="10"/>
    </row>
    <row r="68" spans="1:16" x14ac:dyDescent="0.35">
      <c r="A68" s="10"/>
      <c r="B68" s="10"/>
      <c r="C68" s="10"/>
      <c r="D68" s="10"/>
      <c r="E68" s="10"/>
      <c r="F68" s="10"/>
      <c r="G68" s="10"/>
      <c r="H68" s="10"/>
      <c r="I68" s="10"/>
      <c r="J68" s="10"/>
      <c r="K68" s="10"/>
      <c r="L68" s="10"/>
      <c r="M68" s="10"/>
      <c r="N68" s="10"/>
      <c r="O68" s="10"/>
      <c r="P68" s="10"/>
    </row>
    <row r="69" spans="1:16" ht="15" thickBot="1" x14ac:dyDescent="0.4">
      <c r="A69" s="10"/>
      <c r="B69" s="10"/>
      <c r="C69" s="10"/>
      <c r="D69" s="10"/>
      <c r="E69" s="10"/>
      <c r="F69" s="10"/>
      <c r="G69" s="10"/>
      <c r="H69" s="10"/>
      <c r="I69" s="10"/>
      <c r="J69" s="10"/>
      <c r="K69" s="10"/>
      <c r="L69" s="10"/>
      <c r="M69" s="10"/>
      <c r="N69" s="10"/>
      <c r="O69" s="10"/>
      <c r="P69" s="10"/>
    </row>
    <row r="70" spans="1:16" ht="15" thickBot="1" x14ac:dyDescent="0.4">
      <c r="A70" s="75" t="s">
        <v>140</v>
      </c>
      <c r="B70" s="10"/>
      <c r="C70" s="10"/>
      <c r="D70" s="10"/>
      <c r="E70" s="10"/>
      <c r="F70" s="10"/>
      <c r="G70" s="10"/>
      <c r="H70" s="10"/>
      <c r="I70" s="10"/>
      <c r="J70" s="10"/>
      <c r="K70" s="10"/>
      <c r="L70" s="10"/>
      <c r="M70" s="10"/>
      <c r="N70" s="10"/>
      <c r="O70" s="10"/>
      <c r="P70" s="10"/>
    </row>
    <row r="71" spans="1:16" x14ac:dyDescent="0.35">
      <c r="A71" s="72" t="s">
        <v>141</v>
      </c>
      <c r="B71" s="10"/>
      <c r="C71" s="10"/>
      <c r="D71" s="10"/>
      <c r="E71" s="10"/>
      <c r="F71" s="10"/>
      <c r="G71" s="10"/>
      <c r="H71" s="10"/>
      <c r="I71" s="10"/>
      <c r="J71" s="10"/>
      <c r="K71" s="10"/>
      <c r="L71" s="10"/>
      <c r="M71" s="10"/>
      <c r="N71" s="10"/>
      <c r="O71" s="10"/>
      <c r="P71" s="10"/>
    </row>
    <row r="72" spans="1:16" x14ac:dyDescent="0.35">
      <c r="A72" s="69" t="s">
        <v>142</v>
      </c>
      <c r="B72" s="10"/>
      <c r="C72" s="10"/>
      <c r="D72" s="10"/>
      <c r="E72" s="10"/>
      <c r="F72" s="10"/>
      <c r="G72" s="10"/>
      <c r="H72" s="10"/>
      <c r="I72" s="10"/>
      <c r="J72" s="10"/>
      <c r="K72" s="10"/>
      <c r="L72" s="10"/>
      <c r="M72" s="10"/>
      <c r="N72" s="10"/>
      <c r="O72" s="10"/>
      <c r="P72" s="10"/>
    </row>
    <row r="73" spans="1:16" ht="29.5" thickBot="1" x14ac:dyDescent="0.4">
      <c r="A73" s="70" t="s">
        <v>143</v>
      </c>
      <c r="B73" s="10"/>
      <c r="C73" s="10"/>
      <c r="D73" s="10"/>
      <c r="E73" s="10"/>
      <c r="F73" s="10"/>
      <c r="G73" s="10"/>
      <c r="H73" s="10"/>
      <c r="I73" s="10"/>
      <c r="J73" s="10"/>
      <c r="K73" s="10"/>
      <c r="L73" s="10"/>
      <c r="M73" s="10"/>
      <c r="N73" s="10"/>
      <c r="O73" s="10"/>
      <c r="P73" s="10"/>
    </row>
    <row r="74" spans="1:16" x14ac:dyDescent="0.35">
      <c r="A74" s="10"/>
      <c r="B74" s="10"/>
      <c r="C74" s="10"/>
      <c r="D74" s="10"/>
      <c r="E74" s="10"/>
      <c r="F74" s="10"/>
      <c r="G74" s="10"/>
      <c r="H74" s="10"/>
      <c r="I74" s="10"/>
      <c r="J74" s="10"/>
      <c r="K74" s="10"/>
      <c r="L74" s="10"/>
      <c r="M74" s="10"/>
      <c r="N74" s="10"/>
      <c r="O74" s="10"/>
      <c r="P74" s="10"/>
    </row>
    <row r="75" spans="1:16" x14ac:dyDescent="0.35">
      <c r="A75" s="10"/>
      <c r="B75" s="10"/>
      <c r="C75" s="10"/>
      <c r="D75" s="10"/>
      <c r="E75" s="10"/>
      <c r="F75" s="10"/>
      <c r="G75" s="10"/>
      <c r="H75" s="10"/>
      <c r="I75" s="10"/>
      <c r="J75" s="10"/>
      <c r="K75" s="10"/>
      <c r="L75" s="10"/>
      <c r="M75" s="10"/>
      <c r="N75" s="10"/>
      <c r="O75" s="10"/>
      <c r="P75" s="10"/>
    </row>
    <row r="76" spans="1:16" x14ac:dyDescent="0.35">
      <c r="A76" s="10"/>
      <c r="B76" s="10"/>
      <c r="C76" s="10"/>
      <c r="D76" s="10"/>
      <c r="E76" s="10"/>
      <c r="F76" s="10"/>
      <c r="G76" s="10"/>
      <c r="H76" s="10"/>
      <c r="I76" s="10"/>
      <c r="J76" s="10"/>
      <c r="K76" s="10"/>
      <c r="L76" s="10"/>
      <c r="M76" s="10"/>
      <c r="N76" s="10"/>
      <c r="O76" s="10"/>
      <c r="P76" s="10"/>
    </row>
    <row r="77" spans="1:16" x14ac:dyDescent="0.35">
      <c r="A77" s="10"/>
      <c r="B77" s="10"/>
      <c r="C77" s="10"/>
      <c r="D77" s="10"/>
      <c r="E77" s="10"/>
      <c r="F77" s="10"/>
      <c r="G77" s="10"/>
      <c r="H77" s="10"/>
      <c r="I77" s="10"/>
      <c r="J77" s="10"/>
      <c r="K77" s="10"/>
      <c r="L77" s="10"/>
      <c r="M77" s="10"/>
      <c r="N77" s="10"/>
      <c r="O77" s="10"/>
      <c r="P77" s="10"/>
    </row>
    <row r="78" spans="1:16" x14ac:dyDescent="0.35">
      <c r="A78" s="10"/>
      <c r="B78" s="10"/>
      <c r="C78" s="10"/>
      <c r="D78" s="10"/>
      <c r="E78" s="10"/>
      <c r="F78" s="10"/>
      <c r="G78" s="10"/>
      <c r="H78" s="10"/>
      <c r="I78" s="10"/>
      <c r="J78" s="10"/>
      <c r="K78" s="10"/>
      <c r="L78" s="10"/>
      <c r="M78" s="10"/>
      <c r="N78" s="10"/>
      <c r="O78" s="10"/>
      <c r="P78" s="10"/>
    </row>
    <row r="79" spans="1:16" x14ac:dyDescent="0.35">
      <c r="A79" s="10"/>
      <c r="B79" s="10"/>
      <c r="C79" s="10"/>
      <c r="D79" s="10"/>
      <c r="E79" s="10"/>
      <c r="F79" s="10"/>
      <c r="G79" s="10"/>
      <c r="H79" s="10"/>
      <c r="I79" s="10"/>
      <c r="J79" s="10"/>
      <c r="K79" s="10"/>
      <c r="L79" s="10"/>
      <c r="M79" s="10"/>
      <c r="N79" s="10"/>
      <c r="O79" s="10"/>
      <c r="P79" s="10"/>
    </row>
    <row r="80" spans="1:16" x14ac:dyDescent="0.35">
      <c r="A80" s="10"/>
      <c r="B80" s="10"/>
      <c r="C80" s="10"/>
      <c r="D80" s="10"/>
      <c r="E80" s="10"/>
      <c r="F80" s="10"/>
      <c r="G80" s="10"/>
      <c r="H80" s="10"/>
      <c r="I80" s="10"/>
      <c r="J80" s="10"/>
      <c r="K80" s="10"/>
      <c r="L80" s="10"/>
      <c r="M80" s="10"/>
      <c r="N80" s="10"/>
      <c r="O80" s="10"/>
      <c r="P80" s="10"/>
    </row>
    <row r="81" spans="1:16" x14ac:dyDescent="0.35">
      <c r="A81" s="10"/>
      <c r="B81" s="10"/>
      <c r="C81" s="10"/>
      <c r="D81" s="10"/>
      <c r="E81" s="10"/>
      <c r="F81" s="10"/>
      <c r="G81" s="10"/>
      <c r="H81" s="10"/>
      <c r="I81" s="10"/>
      <c r="J81" s="10"/>
      <c r="K81" s="10"/>
      <c r="L81" s="10"/>
      <c r="M81" s="10"/>
      <c r="N81" s="10"/>
      <c r="O81" s="10"/>
      <c r="P81" s="10"/>
    </row>
    <row r="82" spans="1:16" x14ac:dyDescent="0.35">
      <c r="A82" s="10"/>
      <c r="B82" s="10"/>
      <c r="C82" s="10"/>
      <c r="D82" s="10"/>
      <c r="E82" s="10"/>
      <c r="F82" s="10"/>
      <c r="G82" s="10"/>
      <c r="H82" s="10"/>
      <c r="I82" s="10"/>
      <c r="J82" s="10"/>
      <c r="K82" s="10"/>
      <c r="L82" s="10"/>
      <c r="M82" s="10"/>
      <c r="N82" s="10"/>
      <c r="O82" s="10"/>
      <c r="P82" s="10"/>
    </row>
    <row r="83" spans="1:16" x14ac:dyDescent="0.35">
      <c r="A83" s="10"/>
      <c r="B83" s="10"/>
      <c r="C83" s="10"/>
      <c r="D83" s="10"/>
      <c r="E83" s="10"/>
      <c r="F83" s="10"/>
      <c r="G83" s="10"/>
      <c r="H83" s="10"/>
      <c r="I83" s="10"/>
      <c r="J83" s="10"/>
      <c r="K83" s="10"/>
      <c r="L83" s="10"/>
      <c r="M83" s="10"/>
      <c r="N83" s="10"/>
      <c r="O83" s="10"/>
      <c r="P83" s="10"/>
    </row>
    <row r="84" spans="1:16" x14ac:dyDescent="0.35">
      <c r="A84" s="10"/>
      <c r="B84" s="10"/>
      <c r="C84" s="10"/>
      <c r="D84" s="10"/>
      <c r="E84" s="10"/>
      <c r="F84" s="10"/>
      <c r="G84" s="10"/>
      <c r="H84" s="10"/>
      <c r="I84" s="10"/>
      <c r="J84" s="10"/>
      <c r="K84" s="10"/>
      <c r="L84" s="10"/>
      <c r="M84" s="10"/>
      <c r="N84" s="10"/>
      <c r="O84" s="10"/>
      <c r="P84" s="10"/>
    </row>
    <row r="85" spans="1:16" x14ac:dyDescent="0.35">
      <c r="A85" s="10"/>
      <c r="B85" s="10"/>
      <c r="C85" s="10"/>
      <c r="D85" s="10"/>
      <c r="E85" s="10"/>
      <c r="F85" s="10"/>
      <c r="G85" s="10"/>
      <c r="H85" s="10"/>
      <c r="I85" s="10"/>
      <c r="J85" s="10"/>
      <c r="K85" s="10"/>
      <c r="L85" s="10"/>
      <c r="M85" s="10"/>
      <c r="N85" s="10"/>
      <c r="O85" s="10"/>
      <c r="P85" s="10"/>
    </row>
    <row r="86" spans="1:16" x14ac:dyDescent="0.35">
      <c r="A86" s="10"/>
      <c r="B86" s="10"/>
      <c r="C86" s="10"/>
      <c r="D86" s="10"/>
      <c r="E86" s="10"/>
      <c r="F86" s="10"/>
      <c r="G86" s="10"/>
      <c r="H86" s="10"/>
      <c r="I86" s="10"/>
      <c r="J86" s="10"/>
      <c r="K86" s="10"/>
      <c r="L86" s="10"/>
      <c r="M86" s="10"/>
      <c r="N86" s="10"/>
      <c r="O86" s="10"/>
      <c r="P86" s="10"/>
    </row>
    <row r="87" spans="1:16" x14ac:dyDescent="0.35">
      <c r="A87" s="10"/>
      <c r="B87" s="10"/>
      <c r="C87" s="10"/>
      <c r="D87" s="10"/>
      <c r="E87" s="10"/>
      <c r="F87" s="10"/>
      <c r="G87" s="10"/>
      <c r="H87" s="10"/>
      <c r="I87" s="10"/>
      <c r="J87" s="10"/>
      <c r="K87" s="10"/>
      <c r="L87" s="10"/>
      <c r="M87" s="10"/>
      <c r="N87" s="10"/>
      <c r="O87" s="10"/>
      <c r="P87" s="10"/>
    </row>
    <row r="88" spans="1:16" x14ac:dyDescent="0.35">
      <c r="A88" s="10"/>
      <c r="B88" s="10"/>
      <c r="C88" s="10"/>
      <c r="D88" s="10"/>
      <c r="E88" s="10"/>
      <c r="F88" s="10"/>
      <c r="G88" s="10"/>
      <c r="H88" s="10"/>
      <c r="I88" s="10"/>
      <c r="J88" s="10"/>
      <c r="K88" s="10"/>
      <c r="L88" s="10"/>
      <c r="M88" s="10"/>
      <c r="N88" s="10"/>
      <c r="O88" s="10"/>
      <c r="P88" s="10"/>
    </row>
    <row r="89" spans="1:16" x14ac:dyDescent="0.35">
      <c r="A89" s="10"/>
      <c r="B89" s="10"/>
      <c r="C89" s="10"/>
      <c r="D89" s="10"/>
      <c r="E89" s="10"/>
      <c r="F89" s="10"/>
      <c r="G89" s="10"/>
      <c r="H89" s="10"/>
      <c r="I89" s="10"/>
      <c r="J89" s="10"/>
      <c r="K89" s="10"/>
      <c r="L89" s="10"/>
      <c r="M89" s="10"/>
      <c r="N89" s="10"/>
      <c r="O89" s="10"/>
      <c r="P89" s="10"/>
    </row>
    <row r="90" spans="1:16" x14ac:dyDescent="0.35">
      <c r="A90" s="10"/>
      <c r="B90" s="10"/>
      <c r="C90" s="10"/>
      <c r="D90" s="10"/>
      <c r="E90" s="10"/>
      <c r="F90" s="10"/>
      <c r="G90" s="10"/>
      <c r="H90" s="10"/>
      <c r="I90" s="10"/>
      <c r="J90" s="10"/>
      <c r="K90" s="10"/>
      <c r="L90" s="10"/>
      <c r="M90" s="10"/>
      <c r="N90" s="10"/>
      <c r="O90" s="10"/>
      <c r="P90" s="10"/>
    </row>
    <row r="91" spans="1:16" x14ac:dyDescent="0.35">
      <c r="A91" s="10"/>
      <c r="B91" s="10"/>
      <c r="C91" s="10"/>
      <c r="D91" s="10"/>
      <c r="E91" s="10"/>
      <c r="F91" s="10"/>
      <c r="G91" s="10"/>
      <c r="H91" s="10"/>
      <c r="I91" s="10"/>
      <c r="J91" s="10"/>
      <c r="K91" s="10"/>
      <c r="L91" s="10"/>
      <c r="M91" s="10"/>
      <c r="N91" s="10"/>
      <c r="O91" s="10"/>
      <c r="P91" s="10"/>
    </row>
    <row r="92" spans="1:16" x14ac:dyDescent="0.35">
      <c r="A92" s="10"/>
      <c r="B92" s="10"/>
      <c r="C92" s="10"/>
      <c r="D92" s="10"/>
      <c r="E92" s="10"/>
      <c r="F92" s="10"/>
      <c r="G92" s="10"/>
      <c r="H92" s="10"/>
      <c r="I92" s="10"/>
      <c r="J92" s="10"/>
      <c r="K92" s="10"/>
      <c r="L92" s="10"/>
      <c r="M92" s="10"/>
      <c r="N92" s="10"/>
      <c r="O92" s="10"/>
      <c r="P92" s="10"/>
    </row>
    <row r="93" spans="1:16" x14ac:dyDescent="0.35">
      <c r="A93" s="10"/>
      <c r="B93" s="10"/>
      <c r="C93" s="10"/>
      <c r="D93" s="10"/>
      <c r="E93" s="10"/>
      <c r="F93" s="10"/>
      <c r="G93" s="10"/>
      <c r="H93" s="10"/>
      <c r="I93" s="10"/>
      <c r="J93" s="10"/>
      <c r="K93" s="10"/>
      <c r="L93" s="10"/>
      <c r="M93" s="10"/>
      <c r="N93" s="10"/>
      <c r="O93" s="10"/>
      <c r="P93" s="10"/>
    </row>
    <row r="94" spans="1:16" x14ac:dyDescent="0.35">
      <c r="A94" s="10"/>
      <c r="B94" s="10"/>
      <c r="C94" s="10"/>
      <c r="D94" s="10"/>
      <c r="E94" s="10"/>
      <c r="F94" s="10"/>
      <c r="G94" s="10"/>
      <c r="H94" s="10"/>
      <c r="I94" s="10"/>
      <c r="J94" s="10"/>
      <c r="K94" s="10"/>
      <c r="L94" s="10"/>
      <c r="M94" s="10"/>
      <c r="N94" s="10"/>
      <c r="O94" s="10"/>
      <c r="P94" s="10"/>
    </row>
    <row r="95" spans="1:16" x14ac:dyDescent="0.35">
      <c r="A95" s="10"/>
      <c r="B95" s="10"/>
      <c r="C95" s="10"/>
      <c r="D95" s="10"/>
      <c r="E95" s="10"/>
      <c r="F95" s="10"/>
      <c r="G95" s="10"/>
      <c r="H95" s="10"/>
      <c r="I95" s="10"/>
      <c r="J95" s="10"/>
      <c r="K95" s="10"/>
      <c r="L95" s="10"/>
      <c r="M95" s="10"/>
      <c r="N95" s="10"/>
      <c r="O95" s="10"/>
      <c r="P95" s="10"/>
    </row>
    <row r="96" spans="1:16" x14ac:dyDescent="0.35">
      <c r="A96" s="10"/>
      <c r="B96" s="10"/>
      <c r="C96" s="10"/>
      <c r="D96" s="10"/>
      <c r="E96" s="10"/>
      <c r="F96" s="10"/>
      <c r="G96" s="10"/>
      <c r="H96" s="10"/>
      <c r="I96" s="10"/>
      <c r="J96" s="10"/>
      <c r="K96" s="10"/>
      <c r="L96" s="10"/>
      <c r="M96" s="10"/>
      <c r="N96" s="10"/>
      <c r="O96" s="10"/>
      <c r="P96" s="10"/>
    </row>
    <row r="97" spans="1:16" x14ac:dyDescent="0.35">
      <c r="A97" s="10"/>
      <c r="B97" s="10"/>
      <c r="C97" s="10"/>
      <c r="D97" s="10"/>
      <c r="E97" s="10"/>
      <c r="F97" s="10"/>
      <c r="G97" s="10"/>
      <c r="H97" s="10"/>
      <c r="I97" s="10"/>
      <c r="J97" s="10"/>
      <c r="K97" s="10"/>
      <c r="L97" s="10"/>
      <c r="M97" s="10"/>
      <c r="N97" s="10"/>
      <c r="O97" s="10"/>
      <c r="P97" s="10"/>
    </row>
    <row r="98" spans="1:16" x14ac:dyDescent="0.35">
      <c r="A98" s="10"/>
      <c r="B98" s="10"/>
      <c r="C98" s="10"/>
      <c r="D98" s="10"/>
      <c r="E98" s="10"/>
      <c r="F98" s="10"/>
      <c r="G98" s="10"/>
      <c r="H98" s="10"/>
      <c r="I98" s="10"/>
      <c r="J98" s="10"/>
      <c r="K98" s="10"/>
      <c r="L98" s="10"/>
      <c r="M98" s="10"/>
      <c r="N98" s="10"/>
      <c r="O98" s="10"/>
      <c r="P98" s="10"/>
    </row>
    <row r="99" spans="1:16" x14ac:dyDescent="0.35">
      <c r="A99" s="10"/>
      <c r="B99" s="10"/>
      <c r="C99" s="10"/>
      <c r="D99" s="10"/>
      <c r="E99" s="10"/>
      <c r="F99" s="10"/>
      <c r="G99" s="10"/>
      <c r="H99" s="10"/>
      <c r="I99" s="10"/>
      <c r="J99" s="10"/>
      <c r="K99" s="10"/>
      <c r="L99" s="10"/>
      <c r="M99" s="10"/>
      <c r="N99" s="10"/>
      <c r="O99" s="10"/>
      <c r="P99" s="10"/>
    </row>
    <row r="100" spans="1:16" x14ac:dyDescent="0.35">
      <c r="A100" s="10"/>
      <c r="B100" s="10"/>
      <c r="C100" s="10"/>
      <c r="D100" s="10"/>
      <c r="E100" s="10"/>
      <c r="F100" s="10"/>
      <c r="G100" s="10"/>
      <c r="H100" s="10"/>
      <c r="I100" s="10"/>
      <c r="J100" s="10"/>
      <c r="K100" s="10"/>
      <c r="L100" s="10"/>
      <c r="M100" s="10"/>
      <c r="N100" s="10"/>
      <c r="O100" s="10"/>
      <c r="P100" s="10"/>
    </row>
    <row r="101" spans="1:16" x14ac:dyDescent="0.35">
      <c r="A101" s="10"/>
      <c r="B101" s="10"/>
      <c r="C101" s="10"/>
      <c r="D101" s="10"/>
      <c r="E101" s="10"/>
      <c r="F101" s="10"/>
      <c r="G101" s="10"/>
      <c r="H101" s="10"/>
      <c r="I101" s="10"/>
      <c r="J101" s="10"/>
      <c r="K101" s="10"/>
      <c r="L101" s="10"/>
      <c r="M101" s="10"/>
      <c r="N101" s="10"/>
      <c r="O101" s="10"/>
      <c r="P101" s="10"/>
    </row>
    <row r="102" spans="1:16" x14ac:dyDescent="0.35">
      <c r="A102" s="10"/>
      <c r="B102" s="10"/>
      <c r="C102" s="10"/>
      <c r="D102" s="10"/>
      <c r="E102" s="10"/>
      <c r="F102" s="10"/>
      <c r="G102" s="10"/>
      <c r="H102" s="10"/>
      <c r="I102" s="10"/>
      <c r="J102" s="10"/>
      <c r="K102" s="10"/>
      <c r="L102" s="10"/>
      <c r="M102" s="10"/>
      <c r="N102" s="10"/>
      <c r="O102" s="10"/>
      <c r="P102" s="10"/>
    </row>
    <row r="103" spans="1:16" x14ac:dyDescent="0.35">
      <c r="A103" s="10"/>
      <c r="B103" s="10"/>
      <c r="C103" s="10"/>
      <c r="D103" s="10"/>
      <c r="E103" s="10"/>
      <c r="F103" s="10"/>
      <c r="G103" s="10"/>
      <c r="H103" s="10"/>
      <c r="I103" s="10"/>
      <c r="J103" s="10"/>
      <c r="K103" s="10"/>
      <c r="L103" s="10"/>
      <c r="M103" s="10"/>
      <c r="N103" s="10"/>
      <c r="O103" s="10"/>
      <c r="P103" s="10"/>
    </row>
    <row r="104" spans="1:16" x14ac:dyDescent="0.35">
      <c r="A104" s="10"/>
      <c r="B104" s="10"/>
      <c r="C104" s="10"/>
      <c r="D104" s="10"/>
      <c r="E104" s="10"/>
      <c r="F104" s="10"/>
      <c r="G104" s="10"/>
      <c r="H104" s="10"/>
      <c r="I104" s="10"/>
      <c r="J104" s="10"/>
      <c r="K104" s="10"/>
      <c r="L104" s="10"/>
      <c r="M104" s="10"/>
      <c r="N104" s="10"/>
      <c r="O104" s="10"/>
      <c r="P104" s="10"/>
    </row>
    <row r="105" spans="1:16" x14ac:dyDescent="0.35">
      <c r="A105" s="10"/>
      <c r="B105" s="10"/>
      <c r="C105" s="10"/>
      <c r="D105" s="10"/>
      <c r="E105" s="10"/>
      <c r="F105" s="10"/>
      <c r="G105" s="10"/>
      <c r="H105" s="10"/>
      <c r="I105" s="10"/>
      <c r="J105" s="10"/>
      <c r="K105" s="10"/>
      <c r="L105" s="10"/>
      <c r="M105" s="10"/>
      <c r="N105" s="10"/>
      <c r="O105" s="10"/>
      <c r="P105" s="10"/>
    </row>
    <row r="106" spans="1:16" x14ac:dyDescent="0.35">
      <c r="A106" s="10"/>
      <c r="B106" s="10"/>
      <c r="C106" s="10"/>
      <c r="D106" s="10"/>
      <c r="E106" s="10"/>
      <c r="F106" s="10"/>
      <c r="G106" s="10"/>
      <c r="H106" s="10"/>
      <c r="I106" s="10"/>
      <c r="J106" s="10"/>
      <c r="K106" s="10"/>
      <c r="L106" s="10"/>
      <c r="M106" s="10"/>
      <c r="N106" s="10"/>
      <c r="O106" s="10"/>
      <c r="P106" s="10"/>
    </row>
    <row r="107" spans="1:16" x14ac:dyDescent="0.35">
      <c r="A107" s="10"/>
      <c r="B107" s="10"/>
      <c r="C107" s="10"/>
      <c r="D107" s="10"/>
      <c r="E107" s="10"/>
      <c r="F107" s="10"/>
      <c r="G107" s="10"/>
      <c r="H107" s="10"/>
      <c r="I107" s="10"/>
      <c r="J107" s="10"/>
      <c r="K107" s="10"/>
      <c r="L107" s="10"/>
      <c r="M107" s="10"/>
      <c r="N107" s="10"/>
      <c r="O107" s="10"/>
      <c r="P107" s="10"/>
    </row>
    <row r="108" spans="1:16" x14ac:dyDescent="0.35">
      <c r="A108" s="10"/>
      <c r="B108" s="10"/>
      <c r="C108" s="10"/>
      <c r="D108" s="10"/>
      <c r="E108" s="10"/>
      <c r="F108" s="10"/>
      <c r="G108" s="10"/>
      <c r="H108" s="10"/>
      <c r="I108" s="10"/>
      <c r="J108" s="10"/>
      <c r="K108" s="10"/>
      <c r="L108" s="10"/>
      <c r="M108" s="10"/>
      <c r="N108" s="10"/>
      <c r="O108" s="10"/>
      <c r="P108" s="10"/>
    </row>
    <row r="109" spans="1:16" x14ac:dyDescent="0.35">
      <c r="A109" s="10"/>
      <c r="B109" s="10"/>
      <c r="C109" s="10"/>
      <c r="D109" s="10"/>
      <c r="E109" s="10"/>
      <c r="F109" s="10"/>
      <c r="G109" s="10"/>
      <c r="H109" s="10"/>
      <c r="I109" s="10"/>
      <c r="J109" s="10"/>
      <c r="K109" s="10"/>
      <c r="L109" s="10"/>
      <c r="M109" s="10"/>
      <c r="N109" s="10"/>
      <c r="O109" s="10"/>
      <c r="P109" s="10"/>
    </row>
    <row r="110" spans="1:16" x14ac:dyDescent="0.35">
      <c r="A110" s="10"/>
      <c r="B110" s="10"/>
      <c r="C110" s="10"/>
      <c r="D110" s="10"/>
      <c r="E110" s="10"/>
      <c r="F110" s="10"/>
      <c r="G110" s="10"/>
      <c r="H110" s="10"/>
      <c r="I110" s="10"/>
      <c r="J110" s="10"/>
      <c r="K110" s="10"/>
      <c r="L110" s="10"/>
      <c r="M110" s="10"/>
      <c r="N110" s="10"/>
      <c r="O110" s="10"/>
      <c r="P110" s="10"/>
    </row>
    <row r="111" spans="1:16" x14ac:dyDescent="0.35">
      <c r="A111" s="10"/>
      <c r="B111" s="10"/>
      <c r="C111" s="10"/>
      <c r="D111" s="10"/>
      <c r="E111" s="10"/>
      <c r="F111" s="10"/>
      <c r="G111" s="10"/>
      <c r="H111" s="10"/>
      <c r="I111" s="10"/>
      <c r="J111" s="10"/>
      <c r="K111" s="10"/>
      <c r="L111" s="10"/>
      <c r="M111" s="10"/>
      <c r="N111" s="10"/>
      <c r="O111" s="10"/>
      <c r="P111" s="10"/>
    </row>
    <row r="112" spans="1:16" x14ac:dyDescent="0.35">
      <c r="A112" s="10"/>
      <c r="B112" s="10"/>
      <c r="C112" s="10"/>
      <c r="D112" s="10"/>
      <c r="E112" s="10"/>
      <c r="F112" s="10"/>
      <c r="G112" s="10"/>
      <c r="H112" s="10"/>
      <c r="I112" s="10"/>
      <c r="J112" s="10"/>
      <c r="K112" s="10"/>
      <c r="L112" s="10"/>
      <c r="M112" s="10"/>
      <c r="N112" s="10"/>
      <c r="O112" s="10"/>
      <c r="P112" s="10"/>
    </row>
    <row r="113" spans="1:16" x14ac:dyDescent="0.35">
      <c r="A113" s="10"/>
      <c r="B113" s="10"/>
      <c r="C113" s="10"/>
      <c r="D113" s="10"/>
      <c r="E113" s="10"/>
      <c r="F113" s="10"/>
      <c r="G113" s="10"/>
      <c r="H113" s="10"/>
      <c r="I113" s="10"/>
      <c r="J113" s="10"/>
      <c r="K113" s="10"/>
      <c r="L113" s="10"/>
      <c r="M113" s="10"/>
      <c r="N113" s="10"/>
      <c r="O113" s="10"/>
      <c r="P113" s="10"/>
    </row>
    <row r="114" spans="1:16" x14ac:dyDescent="0.35">
      <c r="A114" s="10"/>
      <c r="B114" s="10"/>
      <c r="C114" s="10"/>
      <c r="D114" s="10"/>
      <c r="E114" s="10"/>
      <c r="F114" s="10"/>
      <c r="G114" s="10"/>
      <c r="H114" s="10"/>
      <c r="I114" s="10"/>
      <c r="J114" s="10"/>
      <c r="K114" s="10"/>
      <c r="L114" s="10"/>
      <c r="M114" s="10"/>
      <c r="N114" s="10"/>
      <c r="O114" s="10"/>
      <c r="P114" s="10"/>
    </row>
    <row r="115" spans="1:16" x14ac:dyDescent="0.35">
      <c r="A115" s="10"/>
      <c r="B115" s="10"/>
      <c r="C115" s="10"/>
      <c r="D115" s="10"/>
      <c r="E115" s="10"/>
      <c r="F115" s="10"/>
      <c r="G115" s="10"/>
      <c r="H115" s="10"/>
      <c r="I115" s="10"/>
      <c r="J115" s="10"/>
      <c r="K115" s="10"/>
      <c r="L115" s="10"/>
      <c r="M115" s="10"/>
      <c r="N115" s="10"/>
      <c r="O115" s="10"/>
      <c r="P115" s="10"/>
    </row>
    <row r="116" spans="1:16" x14ac:dyDescent="0.35">
      <c r="A116" s="10"/>
      <c r="B116" s="10"/>
      <c r="C116" s="10"/>
      <c r="D116" s="10"/>
      <c r="E116" s="10"/>
      <c r="F116" s="10"/>
      <c r="G116" s="10"/>
      <c r="H116" s="10"/>
      <c r="I116" s="10"/>
      <c r="J116" s="10"/>
      <c r="K116" s="10"/>
      <c r="L116" s="10"/>
      <c r="M116" s="10"/>
      <c r="N116" s="10"/>
      <c r="O116" s="10"/>
      <c r="P116" s="10"/>
    </row>
    <row r="117" spans="1:16" x14ac:dyDescent="0.35">
      <c r="A117" s="10"/>
      <c r="B117" s="10"/>
      <c r="C117" s="10"/>
      <c r="D117" s="10"/>
      <c r="E117" s="10"/>
      <c r="F117" s="10"/>
      <c r="G117" s="10"/>
      <c r="H117" s="10"/>
      <c r="I117" s="10"/>
      <c r="J117" s="10"/>
      <c r="K117" s="10"/>
      <c r="L117" s="10"/>
      <c r="M117" s="10"/>
      <c r="N117" s="10"/>
      <c r="O117" s="10"/>
      <c r="P117" s="10"/>
    </row>
    <row r="118" spans="1:16" x14ac:dyDescent="0.35">
      <c r="A118" s="10"/>
      <c r="B118" s="10"/>
      <c r="C118" s="10"/>
      <c r="D118" s="10"/>
      <c r="E118" s="10"/>
      <c r="F118" s="10"/>
      <c r="G118" s="10"/>
      <c r="H118" s="10"/>
      <c r="I118" s="10"/>
      <c r="J118" s="10"/>
      <c r="K118" s="10"/>
      <c r="L118" s="10"/>
      <c r="M118" s="10"/>
      <c r="N118" s="10"/>
      <c r="O118" s="10"/>
      <c r="P118" s="10"/>
    </row>
    <row r="119" spans="1:16" x14ac:dyDescent="0.35">
      <c r="A119" s="10"/>
      <c r="B119" s="10"/>
      <c r="C119" s="10"/>
      <c r="D119" s="10"/>
      <c r="E119" s="10"/>
      <c r="F119" s="10"/>
      <c r="G119" s="10"/>
      <c r="H119" s="10"/>
      <c r="I119" s="10"/>
      <c r="J119" s="10"/>
      <c r="K119" s="10"/>
      <c r="L119" s="10"/>
      <c r="M119" s="10"/>
      <c r="N119" s="10"/>
      <c r="O119" s="10"/>
      <c r="P119" s="10"/>
    </row>
    <row r="120" spans="1:16" x14ac:dyDescent="0.35">
      <c r="A120" s="10"/>
      <c r="B120" s="10"/>
      <c r="C120" s="10"/>
      <c r="D120" s="10"/>
      <c r="E120" s="10"/>
      <c r="F120" s="10"/>
      <c r="G120" s="10"/>
      <c r="H120" s="10"/>
      <c r="I120" s="10"/>
      <c r="J120" s="10"/>
      <c r="K120" s="10"/>
      <c r="L120" s="10"/>
      <c r="M120" s="10"/>
      <c r="N120" s="10"/>
      <c r="O120" s="10"/>
      <c r="P120" s="10"/>
    </row>
    <row r="121" spans="1:16" x14ac:dyDescent="0.35">
      <c r="A121" s="10"/>
      <c r="B121" s="10"/>
      <c r="C121" s="10"/>
      <c r="D121" s="10"/>
      <c r="E121" s="10"/>
      <c r="F121" s="10"/>
      <c r="G121" s="10"/>
      <c r="H121" s="10"/>
      <c r="I121" s="10"/>
      <c r="J121" s="10"/>
      <c r="K121" s="10"/>
      <c r="L121" s="10"/>
      <c r="M121" s="10"/>
      <c r="N121" s="10"/>
      <c r="O121" s="10"/>
      <c r="P121" s="10"/>
    </row>
    <row r="122" spans="1:16" x14ac:dyDescent="0.35">
      <c r="A122" s="10"/>
      <c r="B122" s="10"/>
      <c r="C122" s="10"/>
      <c r="D122" s="10"/>
      <c r="E122" s="10"/>
      <c r="F122" s="10"/>
      <c r="G122" s="10"/>
      <c r="H122" s="10"/>
      <c r="I122" s="10"/>
      <c r="J122" s="10"/>
      <c r="K122" s="10"/>
      <c r="L122" s="10"/>
      <c r="M122" s="10"/>
      <c r="N122" s="10"/>
      <c r="O122" s="10"/>
      <c r="P122" s="10"/>
    </row>
    <row r="123" spans="1:16" x14ac:dyDescent="0.35">
      <c r="A123" s="10"/>
      <c r="B123" s="10"/>
      <c r="C123" s="10"/>
      <c r="D123" s="10"/>
      <c r="E123" s="10"/>
      <c r="F123" s="10"/>
      <c r="G123" s="10"/>
      <c r="H123" s="10"/>
      <c r="I123" s="10"/>
      <c r="J123" s="10"/>
      <c r="K123" s="10"/>
      <c r="L123" s="10"/>
      <c r="M123" s="10"/>
      <c r="N123" s="10"/>
      <c r="O123" s="10"/>
      <c r="P123" s="10"/>
    </row>
    <row r="124" spans="1:16" x14ac:dyDescent="0.35">
      <c r="A124" s="10"/>
      <c r="B124" s="10"/>
      <c r="C124" s="10"/>
      <c r="D124" s="10"/>
      <c r="E124" s="10"/>
      <c r="F124" s="10"/>
      <c r="G124" s="10"/>
      <c r="H124" s="10"/>
      <c r="I124" s="10"/>
      <c r="J124" s="10"/>
      <c r="K124" s="10"/>
      <c r="L124" s="10"/>
      <c r="M124" s="10"/>
      <c r="N124" s="10"/>
      <c r="O124" s="10"/>
      <c r="P124" s="10"/>
    </row>
    <row r="125" spans="1:16" x14ac:dyDescent="0.35">
      <c r="A125" s="10"/>
      <c r="B125" s="10"/>
      <c r="C125" s="10"/>
      <c r="D125" s="10"/>
      <c r="E125" s="10"/>
      <c r="F125" s="10"/>
      <c r="G125" s="10"/>
      <c r="H125" s="10"/>
      <c r="I125" s="10"/>
      <c r="J125" s="10"/>
      <c r="K125" s="10"/>
      <c r="L125" s="10"/>
      <c r="M125" s="10"/>
      <c r="N125" s="10"/>
      <c r="O125" s="10"/>
      <c r="P125" s="10"/>
    </row>
    <row r="126" spans="1:16" x14ac:dyDescent="0.35">
      <c r="A126" s="10"/>
      <c r="B126" s="10"/>
      <c r="C126" s="10"/>
      <c r="D126" s="10"/>
      <c r="E126" s="10"/>
      <c r="F126" s="10"/>
      <c r="G126" s="10"/>
      <c r="H126" s="10"/>
      <c r="I126" s="10"/>
      <c r="J126" s="10"/>
      <c r="K126" s="10"/>
      <c r="L126" s="10"/>
      <c r="M126" s="10"/>
      <c r="N126" s="10"/>
      <c r="O126" s="10"/>
      <c r="P126" s="10"/>
    </row>
    <row r="127" spans="1:16" x14ac:dyDescent="0.35">
      <c r="A127" s="10"/>
      <c r="B127" s="10"/>
      <c r="C127" s="10"/>
      <c r="D127" s="10"/>
      <c r="E127" s="10"/>
      <c r="F127" s="10"/>
      <c r="G127" s="10"/>
      <c r="H127" s="10"/>
      <c r="I127" s="10"/>
      <c r="J127" s="10"/>
      <c r="K127" s="10"/>
      <c r="L127" s="10"/>
      <c r="M127" s="10"/>
      <c r="N127" s="10"/>
      <c r="O127" s="10"/>
      <c r="P127" s="10"/>
    </row>
    <row r="128" spans="1:16" x14ac:dyDescent="0.35">
      <c r="A128" s="10"/>
      <c r="B128" s="10"/>
      <c r="C128" s="10"/>
      <c r="D128" s="10"/>
      <c r="E128" s="10"/>
      <c r="F128" s="10"/>
      <c r="G128" s="10"/>
      <c r="H128" s="10"/>
      <c r="I128" s="10"/>
      <c r="J128" s="10"/>
      <c r="K128" s="10"/>
      <c r="L128" s="10"/>
      <c r="M128" s="10"/>
      <c r="N128" s="10"/>
      <c r="O128" s="10"/>
      <c r="P128" s="10"/>
    </row>
    <row r="129" spans="1:16" x14ac:dyDescent="0.35">
      <c r="A129" s="10"/>
      <c r="B129" s="10"/>
      <c r="C129" s="10"/>
      <c r="D129" s="10"/>
      <c r="E129" s="10"/>
      <c r="F129" s="10"/>
      <c r="G129" s="10"/>
      <c r="H129" s="10"/>
      <c r="I129" s="10"/>
      <c r="J129" s="10"/>
      <c r="K129" s="10"/>
      <c r="L129" s="10"/>
      <c r="M129" s="10"/>
      <c r="N129" s="10"/>
      <c r="O129" s="10"/>
      <c r="P129" s="10"/>
    </row>
    <row r="130" spans="1:16" x14ac:dyDescent="0.35">
      <c r="A130" s="10"/>
      <c r="B130" s="10"/>
      <c r="C130" s="10"/>
      <c r="D130" s="10"/>
      <c r="E130" s="10"/>
      <c r="F130" s="10"/>
      <c r="G130" s="10"/>
      <c r="H130" s="10"/>
      <c r="I130" s="10"/>
      <c r="J130" s="10"/>
      <c r="K130" s="10"/>
      <c r="L130" s="10"/>
      <c r="M130" s="10"/>
      <c r="N130" s="10"/>
      <c r="O130" s="10"/>
      <c r="P130" s="10"/>
    </row>
    <row r="131" spans="1:16" x14ac:dyDescent="0.35">
      <c r="A131" s="10"/>
      <c r="B131" s="10"/>
      <c r="C131" s="10"/>
      <c r="D131" s="10"/>
      <c r="E131" s="10"/>
      <c r="F131" s="10"/>
      <c r="G131" s="10"/>
      <c r="H131" s="10"/>
      <c r="I131" s="10"/>
      <c r="J131" s="10"/>
      <c r="K131" s="10"/>
      <c r="L131" s="10"/>
      <c r="M131" s="10"/>
      <c r="N131" s="10"/>
      <c r="O131" s="10"/>
      <c r="P131" s="10"/>
    </row>
    <row r="132" spans="1:16" x14ac:dyDescent="0.35">
      <c r="A132" s="10"/>
      <c r="B132" s="10"/>
      <c r="C132" s="10"/>
      <c r="D132" s="10"/>
      <c r="E132" s="10"/>
      <c r="F132" s="10"/>
      <c r="G132" s="10"/>
      <c r="H132" s="10"/>
      <c r="I132" s="10"/>
      <c r="J132" s="10"/>
      <c r="K132" s="10"/>
      <c r="L132" s="10"/>
      <c r="M132" s="10"/>
      <c r="N132" s="10"/>
      <c r="O132" s="10"/>
      <c r="P132" s="10"/>
    </row>
    <row r="133" spans="1:16" x14ac:dyDescent="0.35">
      <c r="A133" s="10"/>
      <c r="B133" s="10"/>
      <c r="C133" s="10"/>
      <c r="D133" s="10"/>
      <c r="E133" s="10"/>
      <c r="F133" s="10"/>
      <c r="G133" s="10"/>
      <c r="H133" s="10"/>
      <c r="I133" s="10"/>
      <c r="J133" s="10"/>
      <c r="K133" s="10"/>
      <c r="L133" s="10"/>
      <c r="M133" s="10"/>
      <c r="N133" s="10"/>
      <c r="O133" s="10"/>
      <c r="P133" s="10"/>
    </row>
    <row r="134" spans="1:16" x14ac:dyDescent="0.35">
      <c r="A134" s="10"/>
      <c r="B134" s="10"/>
      <c r="C134" s="10"/>
      <c r="D134" s="10"/>
      <c r="E134" s="10"/>
      <c r="F134" s="10"/>
      <c r="G134" s="10"/>
      <c r="H134" s="10"/>
      <c r="I134" s="10"/>
      <c r="J134" s="10"/>
      <c r="K134" s="10"/>
      <c r="L134" s="10"/>
      <c r="M134" s="10"/>
      <c r="N134" s="10"/>
      <c r="O134" s="10"/>
      <c r="P134" s="10"/>
    </row>
    <row r="135" spans="1:16" x14ac:dyDescent="0.35">
      <c r="A135" s="10"/>
      <c r="B135" s="10"/>
      <c r="C135" s="10"/>
      <c r="D135" s="10"/>
      <c r="E135" s="10"/>
      <c r="F135" s="10"/>
      <c r="G135" s="10"/>
      <c r="H135" s="10"/>
      <c r="I135" s="10"/>
      <c r="J135" s="10"/>
      <c r="K135" s="10"/>
      <c r="L135" s="10"/>
      <c r="M135" s="10"/>
      <c r="N135" s="10"/>
      <c r="O135" s="10"/>
      <c r="P135" s="10"/>
    </row>
    <row r="136" spans="1:16" x14ac:dyDescent="0.35">
      <c r="A136" s="10"/>
      <c r="B136" s="10"/>
      <c r="C136" s="10"/>
      <c r="D136" s="10"/>
      <c r="E136" s="10"/>
      <c r="F136" s="10"/>
      <c r="G136" s="10"/>
      <c r="H136" s="10"/>
      <c r="I136" s="10"/>
      <c r="J136" s="10"/>
      <c r="K136" s="10"/>
      <c r="L136" s="10"/>
      <c r="M136" s="10"/>
      <c r="N136" s="10"/>
      <c r="O136" s="10"/>
      <c r="P136" s="10"/>
    </row>
    <row r="137" spans="1:16" x14ac:dyDescent="0.35">
      <c r="A137" s="10"/>
      <c r="B137" s="10"/>
      <c r="C137" s="10"/>
      <c r="D137" s="10"/>
      <c r="E137" s="10"/>
      <c r="F137" s="10"/>
      <c r="G137" s="10"/>
      <c r="H137" s="10"/>
      <c r="I137" s="10"/>
      <c r="J137" s="10"/>
      <c r="K137" s="10"/>
      <c r="L137" s="10"/>
      <c r="M137" s="10"/>
      <c r="N137" s="10"/>
      <c r="O137" s="10"/>
      <c r="P137" s="10"/>
    </row>
    <row r="138" spans="1:16" x14ac:dyDescent="0.35">
      <c r="A138" s="10"/>
      <c r="B138" s="10"/>
      <c r="C138" s="10"/>
      <c r="D138" s="10"/>
      <c r="E138" s="10"/>
      <c r="F138" s="10"/>
      <c r="G138" s="10"/>
      <c r="H138" s="10"/>
      <c r="I138" s="10"/>
      <c r="J138" s="10"/>
      <c r="K138" s="10"/>
      <c r="L138" s="10"/>
      <c r="M138" s="10"/>
      <c r="N138" s="10"/>
      <c r="O138" s="10"/>
      <c r="P138" s="10"/>
    </row>
    <row r="139" spans="1:16" x14ac:dyDescent="0.35">
      <c r="A139" s="10"/>
      <c r="B139" s="10"/>
      <c r="C139" s="10"/>
      <c r="D139" s="10"/>
      <c r="E139" s="10"/>
      <c r="F139" s="10"/>
      <c r="G139" s="10"/>
      <c r="H139" s="10"/>
      <c r="I139" s="10"/>
      <c r="J139" s="10"/>
      <c r="K139" s="10"/>
      <c r="L139" s="10"/>
      <c r="M139" s="10"/>
      <c r="N139" s="10"/>
      <c r="O139" s="10"/>
      <c r="P139" s="10"/>
    </row>
    <row r="140" spans="1:16" x14ac:dyDescent="0.35">
      <c r="A140" s="10"/>
      <c r="B140" s="10"/>
      <c r="C140" s="10"/>
      <c r="D140" s="10"/>
      <c r="E140" s="10"/>
      <c r="F140" s="10"/>
      <c r="G140" s="10"/>
      <c r="H140" s="10"/>
      <c r="I140" s="10"/>
      <c r="J140" s="10"/>
      <c r="K140" s="10"/>
      <c r="L140" s="10"/>
      <c r="M140" s="10"/>
      <c r="N140" s="10"/>
      <c r="O140" s="10"/>
      <c r="P140" s="10"/>
    </row>
    <row r="141" spans="1:16" x14ac:dyDescent="0.35">
      <c r="A141" s="10"/>
      <c r="B141" s="10"/>
      <c r="C141" s="10"/>
      <c r="D141" s="10"/>
      <c r="E141" s="10"/>
      <c r="F141" s="10"/>
      <c r="G141" s="10"/>
      <c r="H141" s="10"/>
      <c r="I141" s="10"/>
      <c r="J141" s="10"/>
      <c r="K141" s="10"/>
      <c r="L141" s="10"/>
      <c r="M141" s="10"/>
      <c r="N141" s="10"/>
      <c r="O141" s="10"/>
      <c r="P141" s="10"/>
    </row>
    <row r="142" spans="1:16" x14ac:dyDescent="0.35">
      <c r="A142" s="10"/>
      <c r="B142" s="10"/>
      <c r="C142" s="10"/>
      <c r="D142" s="10"/>
      <c r="E142" s="10"/>
      <c r="F142" s="10"/>
      <c r="G142" s="10"/>
      <c r="H142" s="10"/>
      <c r="I142" s="10"/>
      <c r="J142" s="10"/>
      <c r="K142" s="10"/>
      <c r="L142" s="10"/>
      <c r="M142" s="10"/>
      <c r="N142" s="10"/>
      <c r="O142" s="10"/>
      <c r="P142" s="10"/>
    </row>
    <row r="143" spans="1:16" x14ac:dyDescent="0.35">
      <c r="A143" s="10"/>
      <c r="B143" s="10"/>
      <c r="C143" s="10"/>
      <c r="D143" s="10"/>
      <c r="E143" s="10"/>
      <c r="F143" s="10"/>
      <c r="G143" s="10"/>
      <c r="H143" s="10"/>
      <c r="I143" s="10"/>
      <c r="J143" s="10"/>
      <c r="K143" s="10"/>
      <c r="L143" s="10"/>
      <c r="M143" s="10"/>
      <c r="N143" s="10"/>
      <c r="O143" s="10"/>
      <c r="P143" s="10"/>
    </row>
    <row r="144" spans="1:16" x14ac:dyDescent="0.35">
      <c r="A144" s="10"/>
      <c r="B144" s="10"/>
      <c r="C144" s="10"/>
      <c r="D144" s="10"/>
      <c r="E144" s="10"/>
      <c r="F144" s="10"/>
      <c r="G144" s="10"/>
      <c r="H144" s="10"/>
      <c r="I144" s="10"/>
      <c r="J144" s="10"/>
      <c r="K144" s="10"/>
      <c r="L144" s="10"/>
      <c r="M144" s="10"/>
      <c r="N144" s="10"/>
      <c r="O144" s="10"/>
      <c r="P144" s="10"/>
    </row>
    <row r="145" spans="1:16" x14ac:dyDescent="0.35">
      <c r="A145" s="10"/>
      <c r="B145" s="10"/>
      <c r="C145" s="10"/>
      <c r="D145" s="10"/>
      <c r="E145" s="10"/>
      <c r="F145" s="10"/>
      <c r="G145" s="10"/>
      <c r="H145" s="10"/>
      <c r="I145" s="10"/>
      <c r="J145" s="10"/>
      <c r="K145" s="10"/>
      <c r="L145" s="10"/>
      <c r="M145" s="10"/>
      <c r="N145" s="10"/>
      <c r="O145" s="10"/>
      <c r="P145" s="10"/>
    </row>
    <row r="146" spans="1:16" x14ac:dyDescent="0.35">
      <c r="A146" s="10"/>
      <c r="B146" s="10"/>
      <c r="C146" s="10"/>
      <c r="D146" s="10"/>
      <c r="E146" s="10"/>
      <c r="F146" s="10"/>
      <c r="G146" s="10"/>
      <c r="H146" s="10"/>
      <c r="I146" s="10"/>
      <c r="J146" s="10"/>
      <c r="K146" s="10"/>
      <c r="L146" s="10"/>
      <c r="M146" s="10"/>
      <c r="N146" s="10"/>
      <c r="O146" s="10"/>
      <c r="P146" s="10"/>
    </row>
    <row r="147" spans="1:16" x14ac:dyDescent="0.35">
      <c r="A147" s="10"/>
      <c r="B147" s="10"/>
      <c r="C147" s="10"/>
      <c r="D147" s="10"/>
      <c r="E147" s="10"/>
      <c r="F147" s="10"/>
      <c r="G147" s="10"/>
      <c r="H147" s="10"/>
      <c r="I147" s="10"/>
      <c r="J147" s="10"/>
      <c r="K147" s="10"/>
      <c r="L147" s="10"/>
      <c r="M147" s="10"/>
      <c r="N147" s="10"/>
      <c r="O147" s="10"/>
      <c r="P147" s="10"/>
    </row>
    <row r="148" spans="1:16" x14ac:dyDescent="0.35">
      <c r="A148" s="10"/>
      <c r="B148" s="10"/>
      <c r="C148" s="10"/>
      <c r="D148" s="10"/>
      <c r="E148" s="10"/>
      <c r="F148" s="10"/>
      <c r="G148" s="10"/>
      <c r="H148" s="10"/>
      <c r="I148" s="10"/>
      <c r="J148" s="10"/>
      <c r="K148" s="10"/>
      <c r="L148" s="10"/>
      <c r="M148" s="10"/>
      <c r="N148" s="10"/>
      <c r="O148" s="10"/>
      <c r="P148" s="10"/>
    </row>
    <row r="149" spans="1:16" x14ac:dyDescent="0.35">
      <c r="A149" s="10"/>
      <c r="B149" s="10"/>
      <c r="C149" s="10"/>
      <c r="D149" s="10"/>
      <c r="E149" s="10"/>
      <c r="F149" s="10"/>
      <c r="G149" s="10"/>
      <c r="H149" s="10"/>
      <c r="I149" s="10"/>
      <c r="J149" s="10"/>
      <c r="K149" s="10"/>
      <c r="L149" s="10"/>
      <c r="M149" s="10"/>
      <c r="N149" s="10"/>
      <c r="O149" s="10"/>
      <c r="P149" s="10"/>
    </row>
    <row r="150" spans="1:16" x14ac:dyDescent="0.35">
      <c r="A150" s="10"/>
      <c r="B150" s="10"/>
      <c r="C150" s="10"/>
      <c r="D150" s="10"/>
      <c r="E150" s="10"/>
      <c r="F150" s="10"/>
      <c r="G150" s="10"/>
      <c r="H150" s="10"/>
      <c r="I150" s="10"/>
      <c r="J150" s="10"/>
      <c r="K150" s="10"/>
      <c r="L150" s="10"/>
      <c r="M150" s="10"/>
      <c r="N150" s="10"/>
      <c r="O150" s="10"/>
      <c r="P150" s="10"/>
    </row>
    <row r="151" spans="1:16" x14ac:dyDescent="0.35">
      <c r="A151" s="10"/>
      <c r="B151" s="10"/>
      <c r="C151" s="10"/>
      <c r="D151" s="10"/>
      <c r="E151" s="10"/>
      <c r="F151" s="10"/>
      <c r="G151" s="10"/>
      <c r="H151" s="10"/>
      <c r="I151" s="10"/>
      <c r="J151" s="10"/>
      <c r="K151" s="10"/>
      <c r="L151" s="10"/>
      <c r="M151" s="10"/>
      <c r="N151" s="10"/>
      <c r="O151" s="10"/>
      <c r="P151" s="10"/>
    </row>
    <row r="152" spans="1:16" x14ac:dyDescent="0.35">
      <c r="A152" s="10"/>
      <c r="B152" s="10"/>
      <c r="C152" s="10"/>
      <c r="D152" s="10"/>
      <c r="E152" s="10"/>
      <c r="F152" s="10"/>
      <c r="G152" s="10"/>
      <c r="H152" s="10"/>
      <c r="I152" s="10"/>
      <c r="J152" s="10"/>
      <c r="K152" s="10"/>
      <c r="L152" s="10"/>
      <c r="M152" s="10"/>
      <c r="N152" s="10"/>
      <c r="O152" s="10"/>
      <c r="P152" s="10"/>
    </row>
    <row r="153" spans="1:16" x14ac:dyDescent="0.35">
      <c r="A153" s="10"/>
      <c r="B153" s="10"/>
      <c r="C153" s="10"/>
      <c r="D153" s="10"/>
      <c r="E153" s="10"/>
      <c r="F153" s="10"/>
      <c r="G153" s="10"/>
      <c r="H153" s="10"/>
      <c r="I153" s="10"/>
      <c r="J153" s="10"/>
      <c r="K153" s="10"/>
      <c r="L153" s="10"/>
      <c r="M153" s="10"/>
      <c r="N153" s="10"/>
      <c r="O153" s="10"/>
      <c r="P153" s="10"/>
    </row>
    <row r="154" spans="1:16" x14ac:dyDescent="0.35">
      <c r="A154" s="10"/>
      <c r="B154" s="10"/>
      <c r="C154" s="10"/>
      <c r="D154" s="10"/>
      <c r="E154" s="10"/>
      <c r="F154" s="10"/>
      <c r="G154" s="10"/>
      <c r="H154" s="10"/>
      <c r="I154" s="10"/>
      <c r="J154" s="10"/>
      <c r="K154" s="10"/>
      <c r="L154" s="10"/>
      <c r="M154" s="10"/>
      <c r="N154" s="10"/>
      <c r="O154" s="10"/>
      <c r="P154" s="10"/>
    </row>
    <row r="155" spans="1:16" x14ac:dyDescent="0.35">
      <c r="A155" s="10"/>
      <c r="B155" s="10"/>
      <c r="C155" s="10"/>
      <c r="D155" s="10"/>
      <c r="E155" s="10"/>
      <c r="F155" s="10"/>
      <c r="G155" s="10"/>
      <c r="H155" s="10"/>
      <c r="I155" s="10"/>
      <c r="J155" s="10"/>
      <c r="K155" s="10"/>
      <c r="L155" s="10"/>
      <c r="M155" s="10"/>
      <c r="N155" s="10"/>
      <c r="O155" s="10"/>
      <c r="P155" s="10"/>
    </row>
    <row r="156" spans="1:16" x14ac:dyDescent="0.35">
      <c r="A156" s="10"/>
      <c r="B156" s="10"/>
      <c r="C156" s="10"/>
      <c r="D156" s="10"/>
      <c r="E156" s="10"/>
      <c r="F156" s="10"/>
      <c r="G156" s="10"/>
      <c r="H156" s="10"/>
      <c r="I156" s="10"/>
      <c r="J156" s="10"/>
      <c r="K156" s="10"/>
      <c r="L156" s="10"/>
      <c r="M156" s="10"/>
      <c r="N156" s="10"/>
      <c r="O156" s="10"/>
      <c r="P156" s="10"/>
    </row>
    <row r="157" spans="1:16" x14ac:dyDescent="0.35">
      <c r="A157" s="10"/>
      <c r="B157" s="10"/>
      <c r="C157" s="10"/>
      <c r="D157" s="10"/>
      <c r="E157" s="10"/>
      <c r="F157" s="10"/>
      <c r="G157" s="10"/>
      <c r="H157" s="10"/>
      <c r="I157" s="10"/>
      <c r="J157" s="10"/>
      <c r="K157" s="10"/>
      <c r="L157" s="10"/>
      <c r="M157" s="10"/>
      <c r="N157" s="10"/>
      <c r="O157" s="10"/>
      <c r="P157" s="10"/>
    </row>
    <row r="158" spans="1:16" x14ac:dyDescent="0.35">
      <c r="A158" s="10"/>
      <c r="B158" s="10"/>
      <c r="C158" s="10"/>
      <c r="D158" s="10"/>
      <c r="E158" s="10"/>
      <c r="F158" s="10"/>
      <c r="G158" s="10"/>
      <c r="H158" s="10"/>
      <c r="I158" s="10"/>
      <c r="J158" s="10"/>
      <c r="K158" s="10"/>
      <c r="L158" s="10"/>
      <c r="M158" s="10"/>
      <c r="N158" s="10"/>
      <c r="O158" s="10"/>
      <c r="P158" s="10"/>
    </row>
    <row r="159" spans="1:16" x14ac:dyDescent="0.35">
      <c r="A159" s="10"/>
      <c r="B159" s="10"/>
      <c r="C159" s="10"/>
      <c r="D159" s="10"/>
      <c r="E159" s="10"/>
      <c r="F159" s="10"/>
      <c r="G159" s="10"/>
      <c r="H159" s="10"/>
      <c r="I159" s="10"/>
      <c r="J159" s="10"/>
      <c r="K159" s="10"/>
      <c r="L159" s="10"/>
      <c r="M159" s="10"/>
      <c r="N159" s="10"/>
      <c r="O159" s="10"/>
      <c r="P159" s="10"/>
    </row>
    <row r="160" spans="1:16" x14ac:dyDescent="0.35">
      <c r="A160" s="10"/>
      <c r="B160" s="10"/>
      <c r="C160" s="10"/>
      <c r="D160" s="10"/>
      <c r="E160" s="10"/>
      <c r="F160" s="10"/>
      <c r="G160" s="10"/>
      <c r="H160" s="10"/>
      <c r="I160" s="10"/>
      <c r="J160" s="10"/>
      <c r="K160" s="10"/>
      <c r="L160" s="10"/>
      <c r="M160" s="10"/>
      <c r="N160" s="10"/>
      <c r="O160" s="10"/>
      <c r="P160" s="10"/>
    </row>
  </sheetData>
  <mergeCells count="3">
    <mergeCell ref="J1:K1"/>
    <mergeCell ref="I5:I8"/>
    <mergeCell ref="Q1:S1"/>
  </mergeCell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REAforêtMBoisement</vt:lpstr>
      <vt:lpstr>REAproduitsMBoisement</vt:lpstr>
      <vt:lpstr>REEsubsMBoisement</vt:lpstr>
      <vt:lpstr>REG&amp;Rabais</vt:lpstr>
      <vt:lpstr>Listes choix</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Florence HEUSCHMIDT</dc:creator>
  <cp:lastModifiedBy>Florence HEUSCHMIDT</cp:lastModifiedBy>
  <dcterms:created xsi:type="dcterms:W3CDTF">2019-12-30T13:35:15Z</dcterms:created>
  <dcterms:modified xsi:type="dcterms:W3CDTF">2021-06-17T13:45:28Z</dcterms:modified>
</cp:coreProperties>
</file>