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Mazières-de-Touraine_042021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1" i="6" l="1"/>
  <c r="B89" i="6"/>
  <c r="B88" i="6"/>
  <c r="AG81" i="6"/>
  <c r="AE81" i="6"/>
  <c r="H82" i="6"/>
  <c r="H81" i="6"/>
  <c r="G81" i="6"/>
  <c r="Q81" i="6"/>
  <c r="J81" i="6"/>
  <c r="I81" i="6"/>
  <c r="C62" i="6" l="1"/>
  <c r="C61" i="6"/>
  <c r="C60" i="6"/>
  <c r="C59" i="6"/>
  <c r="C58" i="6"/>
  <c r="C57" i="6"/>
  <c r="C56" i="6"/>
  <c r="C55" i="6"/>
  <c r="C54" i="6"/>
  <c r="C53" i="6"/>
  <c r="C52" i="6"/>
  <c r="C51" i="6"/>
  <c r="C39" i="6"/>
  <c r="C38" i="6"/>
  <c r="C37" i="6"/>
  <c r="C36" i="6"/>
  <c r="C35" i="6"/>
  <c r="C34" i="6"/>
  <c r="C28" i="6"/>
  <c r="C27" i="6"/>
  <c r="C26" i="6"/>
  <c r="C25" i="6"/>
  <c r="C24" i="6"/>
  <c r="C23" i="6"/>
  <c r="C22" i="6"/>
  <c r="C21" i="6"/>
  <c r="C50" i="6"/>
  <c r="C49" i="6"/>
  <c r="C48" i="6"/>
  <c r="C47" i="6"/>
  <c r="AC82" i="6" l="1"/>
  <c r="AC81" i="6"/>
  <c r="AD81" i="6"/>
  <c r="AD82" i="6" s="1"/>
  <c r="AF81" i="6"/>
  <c r="AF82" i="6" s="1"/>
  <c r="X81" i="6"/>
  <c r="X82" i="6" s="1"/>
  <c r="R81" i="6"/>
  <c r="R82" i="6" s="1"/>
  <c r="P81" i="6"/>
  <c r="P82" i="6" s="1"/>
  <c r="M81" i="6"/>
  <c r="K81" i="6"/>
  <c r="G82" i="6"/>
  <c r="F81" i="6"/>
  <c r="AA81" i="6"/>
  <c r="Z81" i="6"/>
  <c r="W81" i="6"/>
  <c r="S81" i="6"/>
  <c r="U81" i="6"/>
  <c r="U82" i="6" s="1"/>
  <c r="N81" i="6"/>
  <c r="L81" i="6"/>
  <c r="AA82" i="6" l="1"/>
  <c r="Z82" i="6"/>
  <c r="W82" i="6"/>
  <c r="S82" i="6"/>
  <c r="N82" i="6"/>
  <c r="M82" i="6"/>
  <c r="K82" i="6"/>
  <c r="L82" i="6"/>
  <c r="J82" i="6"/>
  <c r="I82" i="6"/>
  <c r="F82" i="6"/>
  <c r="C19" i="6"/>
  <c r="AJ81" i="6"/>
  <c r="AJ82" i="6" s="1"/>
  <c r="AH81" i="6"/>
  <c r="AH82" i="6" s="1"/>
  <c r="AB81" i="6"/>
  <c r="AB82" i="6" s="1"/>
  <c r="C20" i="6"/>
  <c r="Q82" i="6" s="1"/>
  <c r="AI81" i="6"/>
  <c r="AI82" i="6" s="1"/>
  <c r="AG82" i="6"/>
  <c r="C33" i="6"/>
  <c r="C32" i="6"/>
  <c r="O81" i="6" l="1"/>
  <c r="O82" i="6" s="1"/>
  <c r="B65" i="6"/>
  <c r="V81" i="6"/>
  <c r="V82" i="6" s="1"/>
  <c r="Y81" i="6"/>
  <c r="Y82" i="6" s="1"/>
  <c r="T81" i="6"/>
  <c r="T82" i="6" s="1"/>
  <c r="AE82" i="6"/>
  <c r="AK81" i="6"/>
  <c r="AK82" i="6" s="1"/>
  <c r="E81" i="6"/>
  <c r="E82" i="6" s="1"/>
  <c r="D81" i="6"/>
  <c r="D82" i="6" s="1"/>
  <c r="C81" i="6"/>
  <c r="C82" i="6" s="1"/>
  <c r="B81" i="6"/>
  <c r="B82" i="6" s="1"/>
  <c r="B83" i="6" l="1"/>
  <c r="B93" i="6" s="1"/>
  <c r="B78" i="6"/>
</calcChain>
</file>

<file path=xl/sharedStrings.xml><?xml version="1.0" encoding="utf-8"?>
<sst xmlns="http://schemas.openxmlformats.org/spreadsheetml/2006/main" count="90" uniqueCount="53">
  <si>
    <t>Scénario de référence</t>
  </si>
  <si>
    <t>DeltaVAN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</si>
  <si>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</si>
  <si>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</si>
  <si>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</si>
  <si>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</si>
  <si>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</si>
  <si>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</si>
  <si>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</si>
  <si>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</si>
  <si>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</si>
  <si>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Coupe rase</t>
  </si>
  <si>
    <t>Dépenses Totales (€/ha)</t>
  </si>
  <si>
    <t>4ème éclaircie</t>
  </si>
  <si>
    <t>VAN référence (€)</t>
  </si>
  <si>
    <t>Scénario Boisement</t>
  </si>
  <si>
    <t>1er entretien</t>
  </si>
  <si>
    <t>2ème entretien</t>
  </si>
  <si>
    <t>Revenu €/année</t>
  </si>
  <si>
    <t>Revenu actualisé €/année</t>
  </si>
  <si>
    <t>VAN Boisement (€)</t>
  </si>
  <si>
    <t>Recette Totale (€)</t>
  </si>
  <si>
    <t>Coûts HT (€)</t>
  </si>
  <si>
    <t>3ème entretien</t>
  </si>
  <si>
    <t>Recettes nettes estimées (€/ha)</t>
  </si>
  <si>
    <t>Alliance Forêts Bois/GCF n° 22 - Mazières-de-Touraine (37)</t>
  </si>
  <si>
    <t>Itinéraire</t>
  </si>
  <si>
    <t>Coupe</t>
  </si>
  <si>
    <t>Cèdre de l'Atlas --&gt; ~ 5.67 ha</t>
  </si>
  <si>
    <t>Acacia --&gt; 1.2448 ha</t>
  </si>
  <si>
    <t>Hêtre --&gt; ~ 0.76 ha</t>
  </si>
  <si>
    <t>Boisement chêne sessile, hêtre et diversification</t>
  </si>
  <si>
    <t>Boisement cèdre de l'atlas et chêne chevelu</t>
  </si>
  <si>
    <t>Boisement acacia</t>
  </si>
  <si>
    <t>Maitrise d'oeuvre de terrain</t>
  </si>
  <si>
    <t>Regarnis eventuels</t>
  </si>
  <si>
    <t>Taille</t>
  </si>
  <si>
    <t>Volume commercialisable à l'âge de la coupe des accrus * prix moyen du m3 de bois</t>
  </si>
  <si>
    <t>Les parcelles ont été abandonnées donc des accrus vont coloniser les parcelles, la technicienne estime 50 m3/ha en 40 ans à 4 €/m3 pour les accrus qui vont pousser sans intervention.</t>
  </si>
  <si>
    <t>5ème éclaircie</t>
  </si>
  <si>
    <t>6ème éclaircie</t>
  </si>
  <si>
    <t>7ème éclaircie</t>
  </si>
  <si>
    <t>8ème éclaircie</t>
  </si>
  <si>
    <t>9ème éclaircie</t>
  </si>
  <si>
    <t xml:space="preserve">Chêne sessile --&gt; ~ 3.07 ha </t>
  </si>
  <si>
    <t xml:space="preserve">Chêne chevelu --&gt; ~ 0.63 ha </t>
  </si>
  <si>
    <t>10ème éclaircie</t>
  </si>
  <si>
    <t>11ème éclaircie</t>
  </si>
  <si>
    <t>12ème éclaircie</t>
  </si>
  <si>
    <t>13ème éclaircie</t>
  </si>
  <si>
    <t>14ème éclaircie</t>
  </si>
  <si>
    <t>ESTIMATION</t>
  </si>
  <si>
    <t>15ème éclaircie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</si>
</sst>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0" xfId="0" applyNumberForma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1" fontId="6" fillId="2" borderId="1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0" fillId="0" borderId="25" xfId="0" applyFill="1" applyBorder="1"/>
    <xf numFmtId="0" fontId="2" fillId="7" borderId="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0" fillId="4" borderId="24" xfId="0" applyFill="1" applyBorder="1" applyAlignment="1">
      <alignment wrapText="1"/>
    </xf>
    <xf numFmtId="0" fontId="0" fillId="4" borderId="7" xfId="0" applyFill="1" applyBorder="1" applyAlignment="1">
      <alignment wrapText="1"/>
    </xf>
    <xf numFmtId="1" fontId="0" fillId="0" borderId="4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Fill="1" applyBorder="1"/>
    <xf numFmtId="0" fontId="0" fillId="0" borderId="0" xfId="0" applyAlignment="1">
      <alignment horizontal="center"/>
    </xf>
    <xf numFmtId="0" fontId="1" fillId="5" borderId="19" xfId="0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164" fontId="0" fillId="8" borderId="17" xfId="0" applyNumberFormat="1" applyFill="1" applyBorder="1" applyAlignment="1">
      <alignment horizontal="center" vertical="center"/>
    </xf>
    <xf numFmtId="164" fontId="0" fillId="8" borderId="18" xfId="0" applyNumberForma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3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3"/>
  <sheetViews>
    <sheetView tabSelected="1" topLeftCell="A84" zoomScale="94" workbookViewId="0">
      <selection activeCell="B83" sqref="B83"/>
    </sheetView>
  </sheetViews>
  <sheetFormatPr baseColWidth="10" defaultRowHeight="14.5" x14ac:dyDescent="0.35"/>
  <cols>
    <col min="1" max="1" width="28.26953125" customWidth="1"/>
    <col min="2" max="2" width="20.08984375" customWidth="1"/>
    <col min="3" max="3" width="21" customWidth="1"/>
    <col min="4" max="4" width="12.6328125" customWidth="1"/>
    <col min="5" max="5" width="8.7265625" customWidth="1"/>
    <col min="6" max="6" width="6.81640625" customWidth="1"/>
    <col min="7" max="8" width="7.7265625" customWidth="1"/>
    <col min="9" max="9" width="7.6328125" customWidth="1"/>
    <col min="10" max="10" width="7" customWidth="1"/>
    <col min="11" max="11" width="7.36328125" customWidth="1"/>
    <col min="12" max="12" width="7" customWidth="1"/>
    <col min="13" max="13" width="6.81640625" customWidth="1"/>
    <col min="14" max="14" width="7.453125" customWidth="1"/>
    <col min="15" max="15" width="8.26953125" customWidth="1"/>
    <col min="16" max="16" width="8.81640625" customWidth="1"/>
    <col min="17" max="17" width="9.1796875" customWidth="1"/>
    <col min="18" max="18" width="8.6328125" customWidth="1"/>
    <col min="19" max="19" width="7.08984375" customWidth="1"/>
    <col min="20" max="20" width="10.36328125" customWidth="1"/>
    <col min="21" max="21" width="9.1796875" customWidth="1"/>
    <col min="22" max="22" width="6.36328125" customWidth="1"/>
    <col min="23" max="23" width="6.26953125" customWidth="1"/>
    <col min="24" max="24" width="6.453125" bestFit="1" customWidth="1"/>
    <col min="25" max="25" width="5.90625" customWidth="1"/>
    <col min="26" max="26" width="3.81640625" bestFit="1" customWidth="1"/>
    <col min="27" max="27" width="4.81640625" bestFit="1" customWidth="1"/>
    <col min="28" max="28" width="5.81640625" bestFit="1" customWidth="1"/>
    <col min="29" max="29" width="5.81640625" customWidth="1"/>
    <col min="30" max="30" width="5.453125" bestFit="1" customWidth="1"/>
    <col min="31" max="31" width="6" customWidth="1"/>
    <col min="32" max="32" width="5.81640625" customWidth="1"/>
    <col min="33" max="33" width="6.36328125" bestFit="1" customWidth="1"/>
    <col min="34" max="34" width="5.26953125" customWidth="1"/>
    <col min="35" max="35" width="5.54296875" customWidth="1"/>
    <col min="36" max="36" width="6" customWidth="1"/>
    <col min="37" max="37" width="5.6328125" customWidth="1"/>
    <col min="38" max="40" width="3.36328125" bestFit="1" customWidth="1"/>
    <col min="41" max="41" width="7.36328125" bestFit="1" customWidth="1"/>
  </cols>
  <sheetData>
    <row r="1" spans="1:63" ht="58" x14ac:dyDescent="0.35">
      <c r="A1" s="11" t="s">
        <v>3</v>
      </c>
      <c r="B1" s="38" t="s">
        <v>25</v>
      </c>
      <c r="C1" s="21" t="s">
        <v>51</v>
      </c>
      <c r="D1" s="21"/>
      <c r="E1" s="21"/>
      <c r="F1" s="21"/>
      <c r="G1" s="22"/>
      <c r="H1" s="22"/>
    </row>
    <row r="2" spans="1:63" x14ac:dyDescent="0.35">
      <c r="A2" s="1" t="s">
        <v>4</v>
      </c>
      <c r="B2" s="6">
        <v>4.4999999999999998E-2</v>
      </c>
    </row>
    <row r="3" spans="1:63" x14ac:dyDescent="0.35">
      <c r="A3" s="1" t="s">
        <v>5</v>
      </c>
      <c r="B3" s="10">
        <v>11.793900000000001</v>
      </c>
      <c r="C3" s="3"/>
      <c r="D3" s="3"/>
      <c r="E3" s="2"/>
    </row>
    <row r="4" spans="1:63" x14ac:dyDescent="0.35">
      <c r="A4" s="4"/>
      <c r="B4" s="12"/>
      <c r="C4" s="3"/>
      <c r="D4" s="3"/>
      <c r="E4" s="2"/>
    </row>
    <row r="5" spans="1:63" x14ac:dyDescent="0.35">
      <c r="A5" s="4"/>
      <c r="B5" s="12"/>
      <c r="C5" s="3"/>
      <c r="D5" s="3"/>
      <c r="E5" s="2"/>
    </row>
    <row r="6" spans="1:63" x14ac:dyDescent="0.35">
      <c r="A6" s="24"/>
      <c r="B6" s="18"/>
      <c r="C6" s="2"/>
    </row>
    <row r="7" spans="1:63" ht="15" thickBot="1" x14ac:dyDescent="0.4">
      <c r="A7" s="24"/>
      <c r="B7" s="18"/>
      <c r="C7" s="2"/>
    </row>
    <row r="8" spans="1:63" ht="19" thickBot="1" x14ac:dyDescent="0.4">
      <c r="A8" s="32" t="s">
        <v>15</v>
      </c>
    </row>
    <row r="9" spans="1:63" ht="19" thickBot="1" x14ac:dyDescent="0.4">
      <c r="A9" s="46" t="s">
        <v>28</v>
      </c>
      <c r="C9">
        <v>5.67</v>
      </c>
    </row>
    <row r="10" spans="1:63" ht="31" x14ac:dyDescent="0.35">
      <c r="A10" s="35" t="s">
        <v>26</v>
      </c>
      <c r="B10" s="47" t="s">
        <v>7</v>
      </c>
      <c r="C10" s="54" t="s">
        <v>24</v>
      </c>
      <c r="D10" s="58"/>
      <c r="E10" s="5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</row>
    <row r="11" spans="1:63" x14ac:dyDescent="0.35">
      <c r="A11" s="17" t="s">
        <v>8</v>
      </c>
      <c r="B11" s="5">
        <v>15</v>
      </c>
      <c r="C11" s="55">
        <v>360</v>
      </c>
      <c r="D11" s="60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ht="15.5" x14ac:dyDescent="0.35">
      <c r="A12" s="17" t="s">
        <v>9</v>
      </c>
      <c r="B12" s="5">
        <v>23</v>
      </c>
      <c r="C12" s="55">
        <v>420</v>
      </c>
      <c r="D12" s="6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33"/>
      <c r="S12" s="33"/>
      <c r="T12" s="33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</row>
    <row r="13" spans="1:63" x14ac:dyDescent="0.35">
      <c r="A13" s="17" t="s">
        <v>10</v>
      </c>
      <c r="B13" s="5">
        <v>31</v>
      </c>
      <c r="C13" s="55">
        <v>480</v>
      </c>
      <c r="D13" s="6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</row>
    <row r="14" spans="1:63" x14ac:dyDescent="0.35">
      <c r="A14" s="17" t="s">
        <v>13</v>
      </c>
      <c r="B14" s="23">
        <v>39</v>
      </c>
      <c r="C14" s="56">
        <v>540</v>
      </c>
      <c r="D14" s="6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</row>
    <row r="15" spans="1:63" ht="15" thickBot="1" x14ac:dyDescent="0.4">
      <c r="A15" s="25" t="s">
        <v>11</v>
      </c>
      <c r="B15" s="26">
        <v>84</v>
      </c>
      <c r="C15" s="57">
        <v>3700</v>
      </c>
      <c r="D15" s="6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2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</row>
    <row r="16" spans="1:63" x14ac:dyDescent="0.35">
      <c r="A16" s="62"/>
      <c r="B16" s="45"/>
      <c r="C16" s="45"/>
      <c r="D16" s="45"/>
      <c r="E16" s="45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</row>
    <row r="17" spans="1:63" ht="19" thickBot="1" x14ac:dyDescent="0.4">
      <c r="A17" s="61" t="s">
        <v>44</v>
      </c>
      <c r="C17" s="18">
        <v>3.07</v>
      </c>
      <c r="D17" s="45"/>
      <c r="E17" s="45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</row>
    <row r="18" spans="1:63" ht="31" x14ac:dyDescent="0.35">
      <c r="A18" s="35" t="s">
        <v>26</v>
      </c>
      <c r="B18" s="47" t="s">
        <v>7</v>
      </c>
      <c r="C18" s="63" t="s">
        <v>24</v>
      </c>
      <c r="D18" s="45"/>
      <c r="E18" s="45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</row>
    <row r="19" spans="1:63" x14ac:dyDescent="0.35">
      <c r="A19" s="17" t="s">
        <v>8</v>
      </c>
      <c r="B19" s="5">
        <v>42</v>
      </c>
      <c r="C19" s="15">
        <f>30*10</f>
        <v>300</v>
      </c>
      <c r="D19" s="45"/>
      <c r="E19" s="45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</row>
    <row r="20" spans="1:63" x14ac:dyDescent="0.35">
      <c r="A20" s="17" t="s">
        <v>9</v>
      </c>
      <c r="B20" s="5">
        <v>48</v>
      </c>
      <c r="C20" s="15">
        <f>28*10</f>
        <v>280</v>
      </c>
      <c r="D20" s="45"/>
      <c r="E20" s="45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2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</row>
    <row r="21" spans="1:63" x14ac:dyDescent="0.35">
      <c r="A21" s="17" t="s">
        <v>10</v>
      </c>
      <c r="B21" s="5">
        <v>56</v>
      </c>
      <c r="C21" s="15">
        <f>(14.4*60)+(21.6*10)</f>
        <v>1080</v>
      </c>
      <c r="D21" s="45"/>
      <c r="E21" s="45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2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</row>
    <row r="22" spans="1:63" x14ac:dyDescent="0.35">
      <c r="A22" s="17" t="s">
        <v>13</v>
      </c>
      <c r="B22" s="23">
        <v>64</v>
      </c>
      <c r="C22" s="15">
        <f>(16.4*60)+(24.6*10)</f>
        <v>1230</v>
      </c>
      <c r="D22" s="45"/>
      <c r="E22" s="45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</row>
    <row r="23" spans="1:63" x14ac:dyDescent="0.35">
      <c r="A23" s="17" t="s">
        <v>39</v>
      </c>
      <c r="B23" s="23">
        <v>72</v>
      </c>
      <c r="C23" s="15">
        <f>(16*60)+(16*10)</f>
        <v>1120</v>
      </c>
      <c r="D23" s="45"/>
      <c r="E23" s="45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2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</row>
    <row r="24" spans="1:63" x14ac:dyDescent="0.35">
      <c r="A24" s="17" t="s">
        <v>40</v>
      </c>
      <c r="B24" s="23">
        <v>81</v>
      </c>
      <c r="C24" s="15">
        <f>(15.5*60)+(15.5*10)</f>
        <v>1085</v>
      </c>
      <c r="D24" s="45"/>
      <c r="E24" s="45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2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</row>
    <row r="25" spans="1:63" x14ac:dyDescent="0.35">
      <c r="A25" s="17" t="s">
        <v>41</v>
      </c>
      <c r="B25" s="23">
        <v>90</v>
      </c>
      <c r="C25" s="15">
        <f>(15*60)+(15*10)</f>
        <v>1050</v>
      </c>
      <c r="D25" s="45"/>
      <c r="E25" s="45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2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</row>
    <row r="26" spans="1:63" x14ac:dyDescent="0.35">
      <c r="A26" s="17" t="s">
        <v>42</v>
      </c>
      <c r="B26" s="23">
        <v>102</v>
      </c>
      <c r="C26" s="15">
        <f>(24.6*60)+(16.4*10)</f>
        <v>1640</v>
      </c>
      <c r="D26" s="45"/>
      <c r="E26" s="4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2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</row>
    <row r="27" spans="1:63" x14ac:dyDescent="0.35">
      <c r="A27" s="17" t="s">
        <v>43</v>
      </c>
      <c r="B27" s="23">
        <v>114</v>
      </c>
      <c r="C27" s="15">
        <f>(22.2*60)+(14.8*10)</f>
        <v>1480</v>
      </c>
      <c r="D27" s="45"/>
      <c r="E27" s="45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</row>
    <row r="28" spans="1:63" ht="15" thickBot="1" x14ac:dyDescent="0.4">
      <c r="A28" s="25" t="s">
        <v>27</v>
      </c>
      <c r="B28" s="26">
        <v>120</v>
      </c>
      <c r="C28" s="27">
        <f>(120*60)+(80*10)</f>
        <v>8000</v>
      </c>
      <c r="D28" s="45"/>
      <c r="E28" s="45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2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</row>
    <row r="29" spans="1:63" x14ac:dyDescent="0.35">
      <c r="A29" s="71"/>
      <c r="B29" s="45"/>
      <c r="C29" s="45"/>
      <c r="D29" s="45"/>
      <c r="E29" s="45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</row>
    <row r="30" spans="1:63" ht="19" thickBot="1" x14ac:dyDescent="0.4">
      <c r="A30" s="61" t="s">
        <v>45</v>
      </c>
      <c r="C30" s="72">
        <v>0.63</v>
      </c>
      <c r="D30" s="45"/>
      <c r="E30" s="45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2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</row>
    <row r="31" spans="1:63" ht="31" x14ac:dyDescent="0.35">
      <c r="A31" s="35" t="s">
        <v>26</v>
      </c>
      <c r="B31" s="47" t="s">
        <v>7</v>
      </c>
      <c r="C31" s="63" t="s">
        <v>24</v>
      </c>
      <c r="D31" s="45"/>
      <c r="E31" s="45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</row>
    <row r="32" spans="1:63" x14ac:dyDescent="0.35">
      <c r="A32" s="17" t="s">
        <v>8</v>
      </c>
      <c r="B32" s="5">
        <v>56</v>
      </c>
      <c r="C32" s="15">
        <f>33*10</f>
        <v>330</v>
      </c>
      <c r="D32" s="45"/>
      <c r="E32" s="45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</row>
    <row r="33" spans="1:63" x14ac:dyDescent="0.35">
      <c r="A33" s="17" t="s">
        <v>9</v>
      </c>
      <c r="B33" s="5">
        <v>64</v>
      </c>
      <c r="C33" s="15">
        <f>34*10</f>
        <v>340</v>
      </c>
      <c r="D33" s="45"/>
      <c r="E33" s="4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</row>
    <row r="34" spans="1:63" x14ac:dyDescent="0.35">
      <c r="A34" s="17" t="s">
        <v>10</v>
      </c>
      <c r="B34" s="5">
        <v>72</v>
      </c>
      <c r="C34" s="15">
        <f>(11.2*60)+(16.8*10)</f>
        <v>840</v>
      </c>
      <c r="D34" s="45"/>
      <c r="E34" s="45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2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</row>
    <row r="35" spans="1:63" x14ac:dyDescent="0.35">
      <c r="A35" s="17" t="s">
        <v>13</v>
      </c>
      <c r="B35" s="23">
        <v>81</v>
      </c>
      <c r="C35" s="34">
        <f>(13*60)+(13*10)</f>
        <v>910</v>
      </c>
      <c r="D35" s="45"/>
      <c r="E35" s="45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</row>
    <row r="36" spans="1:63" x14ac:dyDescent="0.35">
      <c r="A36" s="17" t="s">
        <v>39</v>
      </c>
      <c r="B36" s="23">
        <v>90</v>
      </c>
      <c r="C36" s="34">
        <f>(11*60)+(11*10)</f>
        <v>770</v>
      </c>
      <c r="D36" s="45"/>
      <c r="E36" s="45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2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</row>
    <row r="37" spans="1:63" x14ac:dyDescent="0.35">
      <c r="A37" s="17" t="s">
        <v>40</v>
      </c>
      <c r="B37" s="23">
        <v>100</v>
      </c>
      <c r="C37" s="34">
        <f>(11*60)+(11*10)</f>
        <v>770</v>
      </c>
      <c r="D37" s="45"/>
      <c r="E37" s="45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</row>
    <row r="38" spans="1:63" x14ac:dyDescent="0.35">
      <c r="A38" s="17" t="s">
        <v>41</v>
      </c>
      <c r="B38" s="23">
        <v>110</v>
      </c>
      <c r="C38" s="34">
        <f>(14.4*60)+(9.6*10)</f>
        <v>960</v>
      </c>
      <c r="D38" s="45"/>
      <c r="E38" s="45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2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</row>
    <row r="39" spans="1:63" ht="15" thickBot="1" x14ac:dyDescent="0.4">
      <c r="A39" s="25" t="s">
        <v>27</v>
      </c>
      <c r="B39" s="26">
        <v>120</v>
      </c>
      <c r="C39" s="27">
        <f>(90*60)+(60*10)</f>
        <v>6000</v>
      </c>
      <c r="D39" s="45"/>
      <c r="E39" s="45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2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</row>
    <row r="40" spans="1:63" x14ac:dyDescent="0.35">
      <c r="A40" s="2"/>
      <c r="B40" s="45"/>
      <c r="C40" s="45"/>
      <c r="D40" s="45"/>
      <c r="E40" s="45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2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</row>
    <row r="41" spans="1:63" ht="19" thickBot="1" x14ac:dyDescent="0.4">
      <c r="A41" s="61" t="s">
        <v>29</v>
      </c>
      <c r="C41" s="18">
        <v>1.2447999999999999</v>
      </c>
      <c r="D41" s="45"/>
      <c r="E41" s="45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2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</row>
    <row r="42" spans="1:63" ht="31" x14ac:dyDescent="0.35">
      <c r="A42" s="35" t="s">
        <v>26</v>
      </c>
      <c r="B42" s="47" t="s">
        <v>7</v>
      </c>
      <c r="C42" s="63" t="s">
        <v>24</v>
      </c>
      <c r="D42" s="45"/>
      <c r="E42" s="45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2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</row>
    <row r="43" spans="1:63" x14ac:dyDescent="0.35">
      <c r="A43" s="17" t="s">
        <v>27</v>
      </c>
      <c r="B43" s="5">
        <v>27</v>
      </c>
      <c r="C43" s="15">
        <v>4200</v>
      </c>
      <c r="D43" s="45"/>
      <c r="E43" s="45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</row>
    <row r="44" spans="1:63" x14ac:dyDescent="0.35">
      <c r="A44" s="2"/>
      <c r="B44" s="45"/>
      <c r="C44" s="45"/>
      <c r="D44" s="45"/>
      <c r="E44" s="45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2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</row>
    <row r="45" spans="1:63" ht="19" thickBot="1" x14ac:dyDescent="0.4">
      <c r="A45" s="61" t="s">
        <v>30</v>
      </c>
      <c r="C45">
        <v>0.76</v>
      </c>
      <c r="D45" s="45"/>
      <c r="E45" s="45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2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</row>
    <row r="46" spans="1:63" ht="31" x14ac:dyDescent="0.35">
      <c r="A46" s="35" t="s">
        <v>26</v>
      </c>
      <c r="B46" s="47" t="s">
        <v>7</v>
      </c>
      <c r="C46" s="63" t="s">
        <v>24</v>
      </c>
      <c r="D46" s="45"/>
      <c r="E46" s="45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2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</row>
    <row r="47" spans="1:63" ht="15.5" x14ac:dyDescent="0.35">
      <c r="A47" s="17" t="s">
        <v>8</v>
      </c>
      <c r="B47" s="77">
        <v>25</v>
      </c>
      <c r="C47" s="15">
        <f>26*10</f>
        <v>260</v>
      </c>
      <c r="D47" s="45"/>
      <c r="E47" s="45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2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</row>
    <row r="48" spans="1:63" x14ac:dyDescent="0.35">
      <c r="A48" s="17" t="s">
        <v>9</v>
      </c>
      <c r="B48" s="5">
        <v>30</v>
      </c>
      <c r="C48" s="15">
        <f>35*10</f>
        <v>350</v>
      </c>
      <c r="D48" s="45"/>
      <c r="E48" s="45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2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</row>
    <row r="49" spans="1:63" x14ac:dyDescent="0.35">
      <c r="A49" s="17" t="s">
        <v>10</v>
      </c>
      <c r="B49" s="5">
        <v>35</v>
      </c>
      <c r="C49" s="15">
        <f>35*10</f>
        <v>350</v>
      </c>
      <c r="D49" s="45"/>
      <c r="E49" s="45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2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</row>
    <row r="50" spans="1:63" x14ac:dyDescent="0.35">
      <c r="A50" s="17" t="s">
        <v>13</v>
      </c>
      <c r="B50" s="5">
        <v>40</v>
      </c>
      <c r="C50" s="15">
        <f>35*10</f>
        <v>350</v>
      </c>
      <c r="D50" s="45"/>
      <c r="E50" s="4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2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</row>
    <row r="51" spans="1:63" x14ac:dyDescent="0.35">
      <c r="A51" s="17" t="s">
        <v>39</v>
      </c>
      <c r="B51" s="23">
        <v>45</v>
      </c>
      <c r="C51" s="34">
        <f>(0.4*35*60)+(0.6*35*10)</f>
        <v>1050</v>
      </c>
      <c r="D51" s="45"/>
      <c r="E51" s="45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2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</row>
    <row r="52" spans="1:63" x14ac:dyDescent="0.35">
      <c r="A52" s="17" t="s">
        <v>40</v>
      </c>
      <c r="B52" s="23">
        <v>50</v>
      </c>
      <c r="C52" s="34">
        <f>(0.4*35*60)+(0.6*35*10)</f>
        <v>1050</v>
      </c>
      <c r="D52" s="45"/>
      <c r="E52" s="45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2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</row>
    <row r="53" spans="1:63" x14ac:dyDescent="0.35">
      <c r="A53" s="17" t="s">
        <v>41</v>
      </c>
      <c r="B53" s="23">
        <v>55</v>
      </c>
      <c r="C53" s="34">
        <f>(0.4*35*60)+(0.6*35*10)</f>
        <v>1050</v>
      </c>
      <c r="D53" s="45"/>
      <c r="E53" s="45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2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</row>
    <row r="54" spans="1:63" x14ac:dyDescent="0.35">
      <c r="A54" s="17" t="s">
        <v>42</v>
      </c>
      <c r="B54" s="23">
        <v>60</v>
      </c>
      <c r="C54" s="34">
        <f>(0.4*35*60)+(0.6*35*10)</f>
        <v>1050</v>
      </c>
      <c r="D54" s="45"/>
      <c r="E54" s="45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2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</row>
    <row r="55" spans="1:63" x14ac:dyDescent="0.35">
      <c r="A55" s="17" t="s">
        <v>43</v>
      </c>
      <c r="B55" s="23">
        <v>65</v>
      </c>
      <c r="C55" s="34">
        <f>(0.5*35*60)+(0.5*35*10)</f>
        <v>1225</v>
      </c>
      <c r="D55" s="45"/>
      <c r="E55" s="45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2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</row>
    <row r="56" spans="1:63" x14ac:dyDescent="0.35">
      <c r="A56" s="17" t="s">
        <v>46</v>
      </c>
      <c r="B56" s="23">
        <v>70</v>
      </c>
      <c r="C56" s="34">
        <f>(0.5*35*60)+(0.5*35*10)</f>
        <v>1225</v>
      </c>
      <c r="D56" s="45"/>
      <c r="E56" s="45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2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</row>
    <row r="57" spans="1:63" x14ac:dyDescent="0.35">
      <c r="A57" s="17" t="s">
        <v>47</v>
      </c>
      <c r="B57" s="23">
        <v>75</v>
      </c>
      <c r="C57" s="34">
        <f>(0.5*35*60)+(0.5*35*10)</f>
        <v>1225</v>
      </c>
      <c r="D57" s="45"/>
      <c r="E57" s="45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2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</row>
    <row r="58" spans="1:63" x14ac:dyDescent="0.35">
      <c r="A58" s="17" t="s">
        <v>48</v>
      </c>
      <c r="B58" s="23">
        <v>80</v>
      </c>
      <c r="C58" s="34">
        <f>(0.6*34*60)+(0.4*34*10)</f>
        <v>1360</v>
      </c>
      <c r="D58" s="45"/>
      <c r="E58" s="45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2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</row>
    <row r="59" spans="1:63" x14ac:dyDescent="0.35">
      <c r="A59" s="17" t="s">
        <v>49</v>
      </c>
      <c r="B59" s="23">
        <v>85</v>
      </c>
      <c r="C59" s="34">
        <f>(0.6*33*60)+(0.4*33*10)</f>
        <v>1320</v>
      </c>
      <c r="D59" s="45"/>
      <c r="E59" s="45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2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</row>
    <row r="60" spans="1:63" x14ac:dyDescent="0.35">
      <c r="A60" s="17" t="s">
        <v>50</v>
      </c>
      <c r="B60" s="23">
        <v>90</v>
      </c>
      <c r="C60" s="34">
        <f>(0.6*31*60)+(0.4*31*10)</f>
        <v>1239.9999999999998</v>
      </c>
      <c r="D60" s="45"/>
      <c r="E60" s="45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2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</row>
    <row r="61" spans="1:63" x14ac:dyDescent="0.35">
      <c r="A61" s="17" t="s">
        <v>52</v>
      </c>
      <c r="B61" s="23">
        <v>95</v>
      </c>
      <c r="C61" s="34">
        <f>(0.6*30*60)+(0.4*30*10)</f>
        <v>1200</v>
      </c>
      <c r="D61" s="45"/>
      <c r="E61" s="45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2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</row>
    <row r="62" spans="1:63" ht="15" thickBot="1" x14ac:dyDescent="0.4">
      <c r="A62" s="25" t="s">
        <v>11</v>
      </c>
      <c r="B62" s="26">
        <v>100</v>
      </c>
      <c r="C62" s="27">
        <f>(0.6*460*60)+(0.4*460*10)</f>
        <v>18400</v>
      </c>
      <c r="D62" s="18"/>
      <c r="E62" s="45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2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</row>
    <row r="63" spans="1:63" x14ac:dyDescent="0.35">
      <c r="A63" s="2"/>
      <c r="B63" s="45"/>
      <c r="C63" s="45"/>
      <c r="D63" s="20"/>
      <c r="E63" s="45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2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</row>
    <row r="64" spans="1:63" ht="15" thickBot="1" x14ac:dyDescent="0.4">
      <c r="A64" s="2"/>
      <c r="B64" s="45"/>
      <c r="C64" s="45"/>
      <c r="D64" s="45"/>
      <c r="E64" s="45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2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</row>
    <row r="65" spans="1:65" ht="16" thickBot="1" x14ac:dyDescent="0.4">
      <c r="A65" s="64" t="s">
        <v>21</v>
      </c>
      <c r="B65" s="75">
        <f>(SUM(C11:C15)*5.67)+(SUM(C19:C28)*3.07)+(SUM(C32:C39)*0.63)+(SUM(C43)*1.2448)+(SUM(C48:C62)*0.76)</f>
        <v>120954.51</v>
      </c>
      <c r="C65" s="76"/>
      <c r="D65" s="33"/>
      <c r="E65" s="33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</row>
    <row r="66" spans="1:65" x14ac:dyDescent="0.35">
      <c r="A66" s="2"/>
      <c r="B66" s="45"/>
      <c r="C66" s="45"/>
      <c r="D66" s="18"/>
      <c r="E66" s="18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</row>
    <row r="67" spans="1:65" ht="16" thickBot="1" x14ac:dyDescent="0.4">
      <c r="A67" s="28"/>
      <c r="B67" s="20"/>
      <c r="C67" s="20"/>
      <c r="D67" s="18"/>
      <c r="E67" s="18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</row>
    <row r="68" spans="1:65" ht="15.5" x14ac:dyDescent="0.35">
      <c r="A68" s="29" t="s">
        <v>6</v>
      </c>
      <c r="B68" s="30" t="s">
        <v>7</v>
      </c>
      <c r="C68" s="31" t="s">
        <v>22</v>
      </c>
      <c r="D68" s="18"/>
      <c r="E68" s="18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</row>
    <row r="69" spans="1:65" ht="29" x14ac:dyDescent="0.35">
      <c r="A69" s="50" t="s">
        <v>31</v>
      </c>
      <c r="B69" s="5">
        <v>0</v>
      </c>
      <c r="C69" s="15">
        <v>28400.93</v>
      </c>
      <c r="D69" s="18"/>
      <c r="E69" s="18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</row>
    <row r="70" spans="1:65" ht="29" x14ac:dyDescent="0.35">
      <c r="A70" s="50" t="s">
        <v>32</v>
      </c>
      <c r="B70" s="5">
        <v>0</v>
      </c>
      <c r="C70" s="15">
        <v>13650</v>
      </c>
      <c r="D70" s="18"/>
      <c r="E70" s="18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</row>
    <row r="71" spans="1:65" x14ac:dyDescent="0.35">
      <c r="A71" s="50" t="s">
        <v>33</v>
      </c>
      <c r="B71" s="5">
        <v>0</v>
      </c>
      <c r="C71" s="15">
        <v>3090</v>
      </c>
      <c r="D71" s="18"/>
      <c r="E71" s="18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</row>
    <row r="72" spans="1:65" x14ac:dyDescent="0.35">
      <c r="A72" s="50" t="s">
        <v>34</v>
      </c>
      <c r="B72" s="5">
        <v>0</v>
      </c>
      <c r="C72" s="15">
        <v>5000</v>
      </c>
      <c r="D72" s="18"/>
      <c r="E72" s="18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</row>
    <row r="73" spans="1:65" x14ac:dyDescent="0.35">
      <c r="A73" s="50" t="s">
        <v>35</v>
      </c>
      <c r="B73" s="5">
        <v>1</v>
      </c>
      <c r="C73" s="15">
        <v>5000</v>
      </c>
      <c r="D73" s="18"/>
      <c r="E73" s="18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</row>
    <row r="74" spans="1:65" x14ac:dyDescent="0.35">
      <c r="A74" s="50" t="s">
        <v>36</v>
      </c>
      <c r="B74" s="5">
        <v>3</v>
      </c>
      <c r="C74" s="15">
        <v>5896.95</v>
      </c>
      <c r="D74" s="18"/>
      <c r="E74" s="18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</row>
    <row r="75" spans="1:65" x14ac:dyDescent="0.35">
      <c r="A75" s="50" t="s">
        <v>16</v>
      </c>
      <c r="B75" s="5">
        <v>1</v>
      </c>
      <c r="C75" s="15">
        <v>2358.7800000000002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"/>
      <c r="BM75" s="2"/>
    </row>
    <row r="76" spans="1:65" x14ac:dyDescent="0.35">
      <c r="A76" s="65" t="s">
        <v>17</v>
      </c>
      <c r="B76" s="23">
        <v>2</v>
      </c>
      <c r="C76" s="34">
        <v>2358.7800000000002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"/>
      <c r="BM76" s="2"/>
    </row>
    <row r="77" spans="1:65" s="2" customFormat="1" ht="15" thickBot="1" x14ac:dyDescent="0.4">
      <c r="A77" s="66" t="s">
        <v>23</v>
      </c>
      <c r="B77" s="26">
        <v>3</v>
      </c>
      <c r="C77" s="27">
        <v>2358.7800000000002</v>
      </c>
      <c r="L77" s="51"/>
      <c r="M77" s="51"/>
      <c r="N77" s="51"/>
      <c r="O77" s="51"/>
      <c r="P77" s="51"/>
      <c r="Q77" s="51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</row>
    <row r="78" spans="1:65" ht="16" thickBot="1" x14ac:dyDescent="0.4">
      <c r="A78" s="48" t="s">
        <v>12</v>
      </c>
      <c r="B78" s="49">
        <f>SUM(C69:C77)</f>
        <v>68114.22</v>
      </c>
      <c r="C78" s="20"/>
      <c r="L78" s="51"/>
      <c r="M78" s="51"/>
      <c r="N78" s="51"/>
      <c r="O78" s="51"/>
      <c r="P78" s="51"/>
      <c r="Q78" s="51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"/>
      <c r="BM78" s="2"/>
    </row>
    <row r="79" spans="1:65" ht="16" thickBot="1" x14ac:dyDescent="0.4">
      <c r="A79" s="28"/>
      <c r="B79" s="20"/>
      <c r="C79" s="20"/>
      <c r="L79" s="51"/>
      <c r="M79" s="51"/>
      <c r="N79" s="51"/>
      <c r="O79" s="51"/>
      <c r="P79" s="51"/>
      <c r="Q79" s="51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"/>
      <c r="BM79" s="2"/>
    </row>
    <row r="80" spans="1:65" ht="15.5" x14ac:dyDescent="0.35">
      <c r="A80" s="35" t="s">
        <v>7</v>
      </c>
      <c r="B80" s="36">
        <v>0</v>
      </c>
      <c r="C80" s="36">
        <v>1</v>
      </c>
      <c r="D80" s="36">
        <v>2</v>
      </c>
      <c r="E80" s="36">
        <v>3</v>
      </c>
      <c r="F80" s="36">
        <v>15</v>
      </c>
      <c r="G80" s="36">
        <v>23</v>
      </c>
      <c r="H80" s="36">
        <v>25</v>
      </c>
      <c r="I80" s="36">
        <v>27</v>
      </c>
      <c r="J80" s="36">
        <v>30</v>
      </c>
      <c r="K80" s="36">
        <v>31</v>
      </c>
      <c r="L80" s="36">
        <v>35</v>
      </c>
      <c r="M80" s="36">
        <v>39</v>
      </c>
      <c r="N80" s="36">
        <v>40</v>
      </c>
      <c r="O80" s="36">
        <v>42</v>
      </c>
      <c r="P80" s="36">
        <v>45</v>
      </c>
      <c r="Q80" s="36">
        <v>48</v>
      </c>
      <c r="R80" s="36">
        <v>50</v>
      </c>
      <c r="S80" s="36">
        <v>55</v>
      </c>
      <c r="T80" s="36">
        <v>56</v>
      </c>
      <c r="U80" s="36">
        <v>60</v>
      </c>
      <c r="V80" s="36">
        <v>64</v>
      </c>
      <c r="W80" s="36">
        <v>65</v>
      </c>
      <c r="X80" s="36">
        <v>70</v>
      </c>
      <c r="Y80" s="36">
        <v>72</v>
      </c>
      <c r="Z80" s="36">
        <v>75</v>
      </c>
      <c r="AA80" s="36">
        <v>80</v>
      </c>
      <c r="AB80" s="36">
        <v>81</v>
      </c>
      <c r="AC80" s="36">
        <v>84</v>
      </c>
      <c r="AD80" s="36">
        <v>85</v>
      </c>
      <c r="AE80" s="36">
        <v>90</v>
      </c>
      <c r="AF80" s="36">
        <v>95</v>
      </c>
      <c r="AG80" s="36">
        <v>100</v>
      </c>
      <c r="AH80" s="36">
        <v>102</v>
      </c>
      <c r="AI80" s="36">
        <v>110</v>
      </c>
      <c r="AJ80" s="36">
        <v>114</v>
      </c>
      <c r="AK80" s="67">
        <v>120</v>
      </c>
      <c r="AL80" s="51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spans="1:38" x14ac:dyDescent="0.35">
      <c r="A81" s="41" t="s">
        <v>18</v>
      </c>
      <c r="B81" s="39">
        <f>0-(C69+C70+C71+C72)</f>
        <v>-50140.93</v>
      </c>
      <c r="C81" s="39">
        <f>0-(C75+C73)</f>
        <v>-7358.7800000000007</v>
      </c>
      <c r="D81" s="39">
        <f>0-C76</f>
        <v>-2358.7800000000002</v>
      </c>
      <c r="E81" s="39">
        <f>0-(C77+C74)</f>
        <v>-8255.73</v>
      </c>
      <c r="F81" s="39">
        <f>C11*C9</f>
        <v>2041.2</v>
      </c>
      <c r="G81" s="39">
        <f>C12*C9</f>
        <v>2381.4</v>
      </c>
      <c r="H81" s="39">
        <f>C47*C45</f>
        <v>197.6</v>
      </c>
      <c r="I81" s="39">
        <f>C43*C41</f>
        <v>5228.16</v>
      </c>
      <c r="J81" s="39">
        <f>C48*C45</f>
        <v>266</v>
      </c>
      <c r="K81" s="39">
        <f>C13*C9</f>
        <v>2721.6</v>
      </c>
      <c r="L81" s="39">
        <f>C49*C45</f>
        <v>266</v>
      </c>
      <c r="M81" s="39">
        <f>C14*C9</f>
        <v>3061.8</v>
      </c>
      <c r="N81" s="39">
        <f>C50*C45</f>
        <v>266</v>
      </c>
      <c r="O81" s="39">
        <f>C19*C17</f>
        <v>921</v>
      </c>
      <c r="P81" s="39">
        <f>C51*C45</f>
        <v>798</v>
      </c>
      <c r="Q81" s="39">
        <f>C20*C17</f>
        <v>859.59999999999991</v>
      </c>
      <c r="R81" s="39">
        <f>C52*C45</f>
        <v>798</v>
      </c>
      <c r="S81" s="39">
        <f>C53*C45</f>
        <v>798</v>
      </c>
      <c r="T81" s="39">
        <f>(C21*C17)+(C32*C30)</f>
        <v>3523.5</v>
      </c>
      <c r="U81" s="39">
        <f>C54*C45</f>
        <v>798</v>
      </c>
      <c r="V81" s="39">
        <f>(C22*C17)+(C33*C30)</f>
        <v>3990.2999999999997</v>
      </c>
      <c r="W81" s="39">
        <f>C55*C45</f>
        <v>931</v>
      </c>
      <c r="X81" s="39">
        <f>C56*C45</f>
        <v>931</v>
      </c>
      <c r="Y81" s="39">
        <f>(C23*C17)+(C34*C30)</f>
        <v>3967.5999999999995</v>
      </c>
      <c r="Z81" s="39">
        <f>C57*C45</f>
        <v>931</v>
      </c>
      <c r="AA81" s="39">
        <f>C58*C45</f>
        <v>1033.5999999999999</v>
      </c>
      <c r="AB81" s="39">
        <f>(C24*C17)+(C35*C30)</f>
        <v>3904.25</v>
      </c>
      <c r="AC81" s="39">
        <f>C15*C9</f>
        <v>20979</v>
      </c>
      <c r="AD81" s="39">
        <f>C59*C45</f>
        <v>1003.2</v>
      </c>
      <c r="AE81" s="39">
        <f>(C25*C17)+(C36*C30)+(C60*C45)</f>
        <v>4651</v>
      </c>
      <c r="AF81" s="39">
        <f>C61*C45</f>
        <v>912</v>
      </c>
      <c r="AG81" s="39">
        <f>(C37*C30)+(C62*C45)</f>
        <v>14469.1</v>
      </c>
      <c r="AH81" s="39">
        <f>C26*C17</f>
        <v>5034.8</v>
      </c>
      <c r="AI81" s="39">
        <f>C38*C30</f>
        <v>604.79999999999995</v>
      </c>
      <c r="AJ81" s="39">
        <f>C27*C17</f>
        <v>4543.5999999999995</v>
      </c>
      <c r="AK81" s="68">
        <f>(C28*C17)+(C39*C30)</f>
        <v>28340</v>
      </c>
      <c r="AL81" s="51"/>
    </row>
    <row r="82" spans="1:38" ht="15" thickBot="1" x14ac:dyDescent="0.4">
      <c r="A82" s="42" t="s">
        <v>19</v>
      </c>
      <c r="B82" s="40">
        <f t="shared" ref="B82:E82" si="0">B81/((1+$B$2)^B80)</f>
        <v>-50140.93</v>
      </c>
      <c r="C82" s="40">
        <f t="shared" si="0"/>
        <v>-7041.8947368421068</v>
      </c>
      <c r="D82" s="40">
        <f t="shared" si="0"/>
        <v>-2160.0054943797081</v>
      </c>
      <c r="E82" s="40">
        <f t="shared" si="0"/>
        <v>-7234.4681629942361</v>
      </c>
      <c r="F82" s="40">
        <f t="shared" ref="F82:AB82" si="1">F81/((1+$B$2)^F80)</f>
        <v>1054.7297668549454</v>
      </c>
      <c r="G82" s="40">
        <f>G81/((1+$B$2)^G80)</f>
        <v>865.28199919435031</v>
      </c>
      <c r="H82" s="40">
        <f>H81/((1+$B$2)^H80)</f>
        <v>65.747565903559206</v>
      </c>
      <c r="I82" s="40">
        <f t="shared" si="1"/>
        <v>1592.9752490352264</v>
      </c>
      <c r="J82" s="40">
        <f t="shared" si="1"/>
        <v>71.022004124862804</v>
      </c>
      <c r="K82" s="40">
        <f t="shared" si="1"/>
        <v>695.37535139125282</v>
      </c>
      <c r="L82" s="40">
        <f t="shared" si="1"/>
        <v>56.991681534572066</v>
      </c>
      <c r="M82" s="40">
        <f t="shared" si="1"/>
        <v>550.09980535395653</v>
      </c>
      <c r="N82" s="40">
        <f t="shared" si="1"/>
        <v>45.733034489251082</v>
      </c>
      <c r="O82" s="40">
        <f t="shared" si="1"/>
        <v>145.00248043909684</v>
      </c>
      <c r="P82" s="40">
        <f>P81/((1+$B$2)^P80)</f>
        <v>110.09556415665422</v>
      </c>
      <c r="Q82" s="40">
        <f t="shared" si="1"/>
        <v>103.92366765101598</v>
      </c>
      <c r="R82" s="40">
        <f>R81/((1+$B$2)^R80)</f>
        <v>88.346300672590417</v>
      </c>
      <c r="S82" s="40">
        <f t="shared" si="1"/>
        <v>70.893581429184266</v>
      </c>
      <c r="T82" s="40">
        <f t="shared" si="1"/>
        <v>299.54495588940154</v>
      </c>
      <c r="U82" s="40">
        <f>U81/((1+$B$2)^U80)</f>
        <v>56.888628608030402</v>
      </c>
      <c r="V82" s="40">
        <f t="shared" si="1"/>
        <v>238.54095826559711</v>
      </c>
      <c r="W82" s="40">
        <f t="shared" si="1"/>
        <v>53.25872948725322</v>
      </c>
      <c r="X82" s="40">
        <f>X81/((1+$B$2)^X80)</f>
        <v>42.737523212343199</v>
      </c>
      <c r="Y82" s="40">
        <f>Y81/((1+$B$2)^Y80)</f>
        <v>166.7842242915693</v>
      </c>
      <c r="Z82" s="40">
        <f t="shared" si="1"/>
        <v>34.294770226592078</v>
      </c>
      <c r="AA82" s="40">
        <f t="shared" si="1"/>
        <v>30.552676727059495</v>
      </c>
      <c r="AB82" s="40">
        <f t="shared" si="1"/>
        <v>110.43788802607698</v>
      </c>
      <c r="AC82" s="40">
        <f>AC81/((1+$B$2)^AC80)</f>
        <v>520.01561572395178</v>
      </c>
      <c r="AD82" s="40">
        <f t="shared" ref="AD82" si="2">AD81/((1+$B$2)^AD80)</f>
        <v>23.795938371466406</v>
      </c>
      <c r="AE82" s="40">
        <f t="shared" ref="AE82" si="3">AE81/((1+$B$2)^AE80)</f>
        <v>88.527907537745747</v>
      </c>
      <c r="AF82" s="40">
        <f t="shared" ref="AF82" si="4">AF81/((1+$B$2)^AF80)</f>
        <v>13.929875852061928</v>
      </c>
      <c r="AG82" s="40">
        <f>AG81/((1+$B$2)^AG80)</f>
        <v>177.3423558731983</v>
      </c>
      <c r="AH82" s="40">
        <f>AH81/((1+$B$2)^AH80)</f>
        <v>56.509387223836583</v>
      </c>
      <c r="AI82" s="40">
        <f t="shared" ref="AI82" si="5">AI81/((1+$B$2)^AI80)</f>
        <v>4.773312121430676</v>
      </c>
      <c r="AJ82" s="40">
        <f>AJ81/((1+$B$2)^AJ80)</f>
        <v>30.07066136217912</v>
      </c>
      <c r="AK82" s="69">
        <f>AK81/((1+$B$2)^AK80)</f>
        <v>144.02735736480057</v>
      </c>
      <c r="AL82" s="51"/>
    </row>
    <row r="83" spans="1:38" ht="15" thickBot="1" x14ac:dyDescent="0.4">
      <c r="A83" s="73" t="s">
        <v>20</v>
      </c>
      <c r="B83" s="74">
        <f>SUM(B82:AK82)</f>
        <v>-58969.047575820921</v>
      </c>
    </row>
    <row r="84" spans="1:38" x14ac:dyDescent="0.35">
      <c r="A84" s="52"/>
    </row>
    <row r="86" spans="1:38" ht="15" thickBot="1" x14ac:dyDescent="0.4"/>
    <row r="87" spans="1:38" ht="131" thickBot="1" x14ac:dyDescent="0.4">
      <c r="A87" s="13" t="s">
        <v>0</v>
      </c>
      <c r="B87" s="70" t="s">
        <v>38</v>
      </c>
    </row>
    <row r="88" spans="1:38" ht="39.5" x14ac:dyDescent="0.35">
      <c r="A88" s="43" t="s">
        <v>37</v>
      </c>
      <c r="B88" s="14">
        <f>(50*B3)*4</f>
        <v>2358.7800000000002</v>
      </c>
    </row>
    <row r="89" spans="1:38" ht="16" thickBot="1" x14ac:dyDescent="0.4">
      <c r="A89" s="16" t="s">
        <v>14</v>
      </c>
      <c r="B89" s="37">
        <f>(B88/(((1+B2)^((50*B3)/1))))*1.3</f>
        <v>1.6362508828160459E-8</v>
      </c>
    </row>
    <row r="91" spans="1:38" ht="21" x14ac:dyDescent="0.35">
      <c r="A91" s="7" t="s">
        <v>1</v>
      </c>
      <c r="B91" s="53">
        <f>B83-B89</f>
        <v>-58969.047575837285</v>
      </c>
    </row>
    <row r="92" spans="1:38" x14ac:dyDescent="0.35">
      <c r="A92" s="8"/>
    </row>
    <row r="93" spans="1:38" ht="15.5" x14ac:dyDescent="0.35">
      <c r="A93" s="44" t="s">
        <v>2</v>
      </c>
      <c r="B93" s="9" t="str">
        <f>IF(B91&lt;0,"OUI","NON")</f>
        <v>OUI</v>
      </c>
    </row>
  </sheetData>
  <sheetProtection algorithmName="SHA-512" hashValue="FaRPnlRgAvJiIJu0XT+BFcMmOK6F9h9Jg6M3mxZrkJv92vXjKVOreQgYgT8AZzUAl56+vreJklGfXvIr0gdmBg==" saltValue="r5ZK2wt8333HrZG5+cO/Dg==" spinCount="100000" sheet="1" objects="1" scenarios="1"/>
  <mergeCells count="1">
    <mergeCell ref="B65:C65"/>
  </mergeCells>
  <conditionalFormatting sqref="B91">
    <cfRule type="cellIs" dxfId="30" priority="41" operator="equal">
      <formula>0</formula>
    </cfRule>
    <cfRule type="cellIs" dxfId="29" priority="42" operator="greaterThan">
      <formula>0</formula>
    </cfRule>
    <cfRule type="cellIs" dxfId="28" priority="43" operator="lessThan">
      <formula>0</formula>
    </cfRule>
  </conditionalFormatting>
  <conditionalFormatting sqref="B93">
    <cfRule type="containsText" dxfId="27" priority="40" operator="containsText" text="NON">
      <formula>NOT(ISERROR(SEARCH("NON",B93)))</formula>
    </cfRule>
  </conditionalFormatting>
  <conditionalFormatting sqref="R77:AO79 F65:AO74 D75:AO76 B78:C79 B67:C67">
    <cfRule type="cellIs" dxfId="26" priority="39" operator="greaterThan">
      <formula>0</formula>
    </cfRule>
  </conditionalFormatting>
  <conditionalFormatting sqref="R77:AO79 D75:AO76 B78:C79">
    <cfRule type="cellIs" dxfId="25" priority="36" operator="lessThan">
      <formula>0</formula>
    </cfRule>
  </conditionalFormatting>
  <conditionalFormatting sqref="B89 L78:Q79 B81:K82">
    <cfRule type="cellIs" dxfId="24" priority="34" operator="lessThan">
      <formula>0</formula>
    </cfRule>
    <cfRule type="cellIs" dxfId="23" priority="35" operator="greaterThan">
      <formula>0</formula>
    </cfRule>
  </conditionalFormatting>
  <conditionalFormatting sqref="B83"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B65">
    <cfRule type="cellIs" dxfId="20" priority="29" operator="greaterThan">
      <formula>0</formula>
    </cfRule>
  </conditionalFormatting>
  <conditionalFormatting sqref="L81:N82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O81:Q82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R81:T82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U81:U82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V81:X82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Y81:Y82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Z81:AC82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AJ81:AL82">
    <cfRule type="cellIs" dxfId="5" priority="1" operator="lessThan">
      <formula>0</formula>
    </cfRule>
    <cfRule type="cellIs" dxfId="4" priority="2" operator="greaterThan">
      <formula>0</formula>
    </cfRule>
  </conditionalFormatting>
  <conditionalFormatting sqref="AD81:AF82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AG81:AI82"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2021-06-17T13:49:14Z</dcterms:modified>
</cp:coreProperties>
</file>