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ssier Personnel\Projet\Start-up\Forêt\Atmosylva\Projets forestiers\Arbre et compagnie\Chars\Dépôt dossier\Documents finaux\"/>
    </mc:Choice>
  </mc:AlternateContent>
  <xr:revisionPtr revIDLastSave="0" documentId="13_ncr:1_{6C77DE6F-5C56-4857-9B9D-4C74BC4C40BD}" xr6:coauthVersionLast="46" xr6:coauthVersionMax="46" xr10:uidLastSave="{00000000-0000-0000-0000-000000000000}"/>
  <bookViews>
    <workbookView xWindow="2796" yWindow="708" windowWidth="20388" windowHeight="10728" tabRatio="743" activeTab="1" xr2:uid="{328783DF-3633-4C71-A807-584CDEB47C28}"/>
  </bookViews>
  <sheets>
    <sheet name="Calcul RE 30 ans" sheetId="4" r:id="rId1"/>
    <sheet name="Calcul RE durée révolution" sheetId="13" r:id="rId2"/>
    <sheet name="Production Chêne" sheetId="7" r:id="rId3"/>
    <sheet name="Production Noyer" sheetId="14" r:id="rId4"/>
    <sheet name="Production Cormier" sheetId="17" r:id="rId5"/>
    <sheet name="Production Alisier" sheetId="1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3" l="1"/>
  <c r="C16" i="13"/>
  <c r="C15" i="13"/>
  <c r="C4" i="17"/>
  <c r="C5" i="17" s="1"/>
  <c r="C6" i="17" s="1"/>
  <c r="C7" i="17" s="1"/>
  <c r="C8" i="17" s="1"/>
  <c r="B4" i="17"/>
  <c r="B5" i="17" s="1"/>
  <c r="B6" i="17" s="1"/>
  <c r="B7" i="17" s="1"/>
  <c r="B8" i="17" s="1"/>
  <c r="B9" i="17" s="1"/>
  <c r="B10" i="17" s="1"/>
  <c r="B11" i="17" s="1"/>
  <c r="B12" i="17" s="1"/>
  <c r="B13" i="17" s="1"/>
  <c r="B14" i="17" s="1"/>
  <c r="B15" i="17" s="1"/>
  <c r="B16" i="17" s="1"/>
  <c r="B17" i="17" s="1"/>
  <c r="B18" i="17" s="1"/>
  <c r="B19" i="17" s="1"/>
  <c r="B20" i="17" s="1"/>
  <c r="B21" i="17" s="1"/>
  <c r="B22" i="17" s="1"/>
  <c r="B23" i="17" s="1"/>
  <c r="B24" i="17" s="1"/>
  <c r="B25" i="17" s="1"/>
  <c r="B26" i="17" s="1"/>
  <c r="B27" i="17" s="1"/>
  <c r="B28" i="17" s="1"/>
  <c r="B29" i="17" s="1"/>
  <c r="B30" i="17" s="1"/>
  <c r="B31" i="17" s="1"/>
  <c r="B32" i="17" s="1"/>
  <c r="B33" i="17" s="1"/>
  <c r="B34" i="17" s="1"/>
  <c r="B35" i="17" s="1"/>
  <c r="B36" i="17" s="1"/>
  <c r="B37" i="17" s="1"/>
  <c r="B38" i="17" s="1"/>
  <c r="B39" i="17" s="1"/>
  <c r="B40" i="17" s="1"/>
  <c r="B41" i="17" s="1"/>
  <c r="B42" i="17" s="1"/>
  <c r="B43" i="17" s="1"/>
  <c r="B44" i="17" s="1"/>
  <c r="B45" i="17" s="1"/>
  <c r="B46" i="17" s="1"/>
  <c r="B47" i="17" s="1"/>
  <c r="B48" i="17" s="1"/>
  <c r="B49" i="17" s="1"/>
  <c r="B50" i="17" s="1"/>
  <c r="B51" i="17" s="1"/>
  <c r="B52" i="17" s="1"/>
  <c r="B53" i="17" s="1"/>
  <c r="B54" i="17" s="1"/>
  <c r="D3" i="17"/>
  <c r="F3" i="17" s="1"/>
  <c r="C139" i="7"/>
  <c r="C140" i="7" s="1"/>
  <c r="C141" i="7" s="1"/>
  <c r="C142" i="7" s="1"/>
  <c r="C143" i="7" s="1"/>
  <c r="C129" i="7"/>
  <c r="C130" i="7" s="1"/>
  <c r="C131" i="7" s="1"/>
  <c r="C132" i="7" s="1"/>
  <c r="C133" i="7" s="1"/>
  <c r="C134" i="7" s="1"/>
  <c r="C135" i="7" s="1"/>
  <c r="C136" i="7" s="1"/>
  <c r="C137" i="7" s="1"/>
  <c r="C119" i="7"/>
  <c r="C120" i="7" s="1"/>
  <c r="C121" i="7" s="1"/>
  <c r="C122" i="7" s="1"/>
  <c r="C123" i="7" s="1"/>
  <c r="C124" i="7" s="1"/>
  <c r="C125" i="7" s="1"/>
  <c r="C126" i="7" s="1"/>
  <c r="C127" i="7" s="1"/>
  <c r="C109" i="7"/>
  <c r="C110" i="7" s="1"/>
  <c r="C111" i="7" s="1"/>
  <c r="C112" i="7" s="1"/>
  <c r="C113" i="7" s="1"/>
  <c r="C114" i="7" s="1"/>
  <c r="C115" i="7" s="1"/>
  <c r="C116" i="7" s="1"/>
  <c r="C117" i="7" s="1"/>
  <c r="C100" i="7"/>
  <c r="C101" i="7" s="1"/>
  <c r="C102" i="7" s="1"/>
  <c r="C103" i="7" s="1"/>
  <c r="C104" i="7" s="1"/>
  <c r="C105" i="7" s="1"/>
  <c r="C106" i="7" s="1"/>
  <c r="C107" i="7" s="1"/>
  <c r="C99" i="7"/>
  <c r="C89" i="7"/>
  <c r="C90" i="7" s="1"/>
  <c r="C91" i="7" s="1"/>
  <c r="C92" i="7" s="1"/>
  <c r="C93" i="7" s="1"/>
  <c r="C94" i="7" s="1"/>
  <c r="C95" i="7" s="1"/>
  <c r="C96" i="7" s="1"/>
  <c r="C97" i="7" s="1"/>
  <c r="C81" i="7"/>
  <c r="C73" i="7"/>
  <c r="C66" i="7"/>
  <c r="C67" i="7" s="1"/>
  <c r="C68" i="7" s="1"/>
  <c r="C69" i="7" s="1"/>
  <c r="C70" i="7" s="1"/>
  <c r="C71" i="7" s="1"/>
  <c r="C65" i="7"/>
  <c r="C57" i="7"/>
  <c r="C58" i="7" s="1"/>
  <c r="C59" i="7" s="1"/>
  <c r="C60" i="7" s="1"/>
  <c r="C61" i="7" s="1"/>
  <c r="C62" i="7" s="1"/>
  <c r="C63" i="7" s="1"/>
  <c r="C49" i="7"/>
  <c r="C50" i="7" s="1"/>
  <c r="C51" i="7" s="1"/>
  <c r="C52" i="7" s="1"/>
  <c r="C53" i="7" s="1"/>
  <c r="C54" i="7" s="1"/>
  <c r="C55" i="7" s="1"/>
  <c r="C41" i="7"/>
  <c r="C42" i="7" s="1"/>
  <c r="C43" i="7" s="1"/>
  <c r="C44" i="7" s="1"/>
  <c r="C45" i="7" s="1"/>
  <c r="C46" i="7" s="1"/>
  <c r="C47" i="7" s="1"/>
  <c r="C30" i="7"/>
  <c r="C31" i="7" s="1"/>
  <c r="C32" i="7" s="1"/>
  <c r="C33" i="7" s="1"/>
  <c r="C34" i="7" s="1"/>
  <c r="C35" i="7" s="1"/>
  <c r="C36" i="7" s="1"/>
  <c r="C37" i="7" s="1"/>
  <c r="C38" i="7" s="1"/>
  <c r="C39" i="7" s="1"/>
  <c r="C29" i="7"/>
  <c r="C18" i="7"/>
  <c r="C19" i="7" s="1"/>
  <c r="C20" i="7" s="1"/>
  <c r="C21" i="7" s="1"/>
  <c r="C22" i="7" s="1"/>
  <c r="C23" i="7" s="1"/>
  <c r="C24" i="7" s="1"/>
  <c r="C25" i="7" s="1"/>
  <c r="C26" i="7" s="1"/>
  <c r="C27" i="7" s="1"/>
  <c r="C4" i="7"/>
  <c r="C5" i="7" s="1"/>
  <c r="C6" i="7" s="1"/>
  <c r="C7" i="7" s="1"/>
  <c r="C8" i="7" s="1"/>
  <c r="C9" i="7" s="1"/>
  <c r="C10" i="7" s="1"/>
  <c r="C11" i="7" s="1"/>
  <c r="C12" i="7" s="1"/>
  <c r="C13" i="7" s="1"/>
  <c r="C14" i="7" s="1"/>
  <c r="C15" i="7" s="1"/>
  <c r="C16" i="7" s="1"/>
  <c r="B4" i="7"/>
  <c r="B5" i="7" s="1"/>
  <c r="B6" i="7" s="1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39" i="7"/>
  <c r="B140" i="7" s="1"/>
  <c r="B141" i="7" s="1"/>
  <c r="B142" i="7" s="1"/>
  <c r="B143" i="7" s="1"/>
  <c r="B130" i="7"/>
  <c r="B131" i="7" s="1"/>
  <c r="B132" i="7" s="1"/>
  <c r="B133" i="7" s="1"/>
  <c r="B134" i="7" s="1"/>
  <c r="B135" i="7" s="1"/>
  <c r="B136" i="7" s="1"/>
  <c r="B137" i="7" s="1"/>
  <c r="B129" i="7"/>
  <c r="B119" i="7"/>
  <c r="B120" i="7" s="1"/>
  <c r="B121" i="7" s="1"/>
  <c r="B122" i="7" s="1"/>
  <c r="B123" i="7" s="1"/>
  <c r="B124" i="7" s="1"/>
  <c r="B125" i="7" s="1"/>
  <c r="B126" i="7" s="1"/>
  <c r="B127" i="7" s="1"/>
  <c r="B109" i="7"/>
  <c r="B110" i="7" s="1"/>
  <c r="B111" i="7" s="1"/>
  <c r="B112" i="7" s="1"/>
  <c r="B113" i="7" s="1"/>
  <c r="B114" i="7" s="1"/>
  <c r="B115" i="7" s="1"/>
  <c r="B116" i="7" s="1"/>
  <c r="B117" i="7" s="1"/>
  <c r="B99" i="7"/>
  <c r="B100" i="7" s="1"/>
  <c r="B101" i="7" s="1"/>
  <c r="B102" i="7" s="1"/>
  <c r="B103" i="7" s="1"/>
  <c r="B104" i="7" s="1"/>
  <c r="B105" i="7" s="1"/>
  <c r="B106" i="7" s="1"/>
  <c r="B107" i="7" s="1"/>
  <c r="B89" i="7"/>
  <c r="B90" i="7" s="1"/>
  <c r="B91" i="7" s="1"/>
  <c r="B92" i="7" s="1"/>
  <c r="B93" i="7" s="1"/>
  <c r="B94" i="7" s="1"/>
  <c r="B95" i="7" s="1"/>
  <c r="B96" i="7" s="1"/>
  <c r="B97" i="7" s="1"/>
  <c r="B82" i="7"/>
  <c r="B83" i="7" s="1"/>
  <c r="B84" i="7" s="1"/>
  <c r="B85" i="7" s="1"/>
  <c r="B86" i="7" s="1"/>
  <c r="B87" i="7" s="1"/>
  <c r="B81" i="7"/>
  <c r="B73" i="7"/>
  <c r="B74" i="7" s="1"/>
  <c r="B65" i="7"/>
  <c r="B66" i="7" s="1"/>
  <c r="B67" i="7" s="1"/>
  <c r="B68" i="7" s="1"/>
  <c r="B69" i="7" s="1"/>
  <c r="B70" i="7" s="1"/>
  <c r="B71" i="7" s="1"/>
  <c r="B57" i="7"/>
  <c r="B58" i="7" s="1"/>
  <c r="B59" i="7" s="1"/>
  <c r="B60" i="7" s="1"/>
  <c r="B61" i="7" s="1"/>
  <c r="B62" i="7" s="1"/>
  <c r="B63" i="7" s="1"/>
  <c r="B49" i="7"/>
  <c r="B50" i="7" s="1"/>
  <c r="B51" i="7" s="1"/>
  <c r="B52" i="7" s="1"/>
  <c r="B53" i="7" s="1"/>
  <c r="B54" i="7" s="1"/>
  <c r="B55" i="7" s="1"/>
  <c r="B41" i="7"/>
  <c r="B42" i="7" s="1"/>
  <c r="B43" i="7" s="1"/>
  <c r="B44" i="7" s="1"/>
  <c r="B45" i="7" s="1"/>
  <c r="B46" i="7" s="1"/>
  <c r="B47" i="7" s="1"/>
  <c r="B29" i="7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18" i="7"/>
  <c r="B19" i="7" s="1"/>
  <c r="B20" i="7" s="1"/>
  <c r="B21" i="7" s="1"/>
  <c r="B22" i="7" s="1"/>
  <c r="B23" i="7" s="1"/>
  <c r="B24" i="7" s="1"/>
  <c r="B25" i="7" s="1"/>
  <c r="B26" i="7" s="1"/>
  <c r="B27" i="7" s="1"/>
  <c r="D15" i="13" l="1"/>
  <c r="C74" i="7"/>
  <c r="B55" i="17"/>
  <c r="L3" i="17"/>
  <c r="P3" i="17" s="1"/>
  <c r="J3" i="17"/>
  <c r="D7" i="17"/>
  <c r="F7" i="17" s="1"/>
  <c r="D5" i="17"/>
  <c r="F5" i="17" s="1"/>
  <c r="D8" i="17"/>
  <c r="F8" i="17" s="1"/>
  <c r="D4" i="17"/>
  <c r="F4" i="17" s="1"/>
  <c r="D6" i="17"/>
  <c r="F6" i="17" s="1"/>
  <c r="C9" i="17"/>
  <c r="C82" i="7"/>
  <c r="C83" i="7" s="1"/>
  <c r="C84" i="7" s="1"/>
  <c r="C85" i="7" s="1"/>
  <c r="C86" i="7" s="1"/>
  <c r="C87" i="7" s="1"/>
  <c r="C75" i="7"/>
  <c r="C76" i="7" s="1"/>
  <c r="C77" i="7" s="1"/>
  <c r="B75" i="7"/>
  <c r="B76" i="7"/>
  <c r="C78" i="7" l="1"/>
  <c r="C79" i="7" s="1"/>
  <c r="L4" i="17"/>
  <c r="P4" i="17" s="1"/>
  <c r="J4" i="17"/>
  <c r="L8" i="17"/>
  <c r="P8" i="17" s="1"/>
  <c r="J8" i="17"/>
  <c r="D9" i="17"/>
  <c r="F9" i="17" s="1"/>
  <c r="C10" i="17"/>
  <c r="L5" i="17"/>
  <c r="P5" i="17" s="1"/>
  <c r="J5" i="17"/>
  <c r="J6" i="17"/>
  <c r="L6" i="17"/>
  <c r="P6" i="17" s="1"/>
  <c r="L7" i="17"/>
  <c r="P7" i="17" s="1"/>
  <c r="J7" i="17"/>
  <c r="B56" i="17"/>
  <c r="B77" i="7"/>
  <c r="B78" i="7" s="1"/>
  <c r="B79" i="7" s="1"/>
  <c r="C4" i="16"/>
  <c r="C5" i="16" s="1"/>
  <c r="B4" i="16"/>
  <c r="B5" i="16" s="1"/>
  <c r="B6" i="16" s="1"/>
  <c r="B7" i="16" s="1"/>
  <c r="B8" i="16" s="1"/>
  <c r="B9" i="16" s="1"/>
  <c r="B10" i="16" s="1"/>
  <c r="B11" i="16" s="1"/>
  <c r="B12" i="16" s="1"/>
  <c r="B13" i="16" s="1"/>
  <c r="B14" i="16" s="1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D3" i="16"/>
  <c r="F3" i="16" s="1"/>
  <c r="J3" i="16" s="1"/>
  <c r="AB52" i="14"/>
  <c r="AB51" i="14"/>
  <c r="AB50" i="14"/>
  <c r="AB49" i="14"/>
  <c r="AB48" i="14"/>
  <c r="AB47" i="14"/>
  <c r="AB46" i="14"/>
  <c r="AB45" i="14"/>
  <c r="AB43" i="14"/>
  <c r="AB42" i="14"/>
  <c r="AB41" i="14"/>
  <c r="AB40" i="14"/>
  <c r="AB39" i="14"/>
  <c r="AB38" i="14"/>
  <c r="AB37" i="14"/>
  <c r="AB35" i="14"/>
  <c r="AB34" i="14"/>
  <c r="AB33" i="14"/>
  <c r="AB32" i="14"/>
  <c r="AB31" i="14"/>
  <c r="AB30" i="14"/>
  <c r="AB29" i="14"/>
  <c r="AB28" i="14"/>
  <c r="AB27" i="14"/>
  <c r="AB26" i="14"/>
  <c r="AB25" i="14"/>
  <c r="AB24" i="14"/>
  <c r="AB23" i="14"/>
  <c r="AB22" i="14"/>
  <c r="AB21" i="14"/>
  <c r="AB20" i="14"/>
  <c r="AB19" i="14"/>
  <c r="AB18" i="14"/>
  <c r="AB17" i="14"/>
  <c r="AB16" i="14"/>
  <c r="AB15" i="14"/>
  <c r="AB14" i="14"/>
  <c r="AB13" i="14"/>
  <c r="AB12" i="14"/>
  <c r="AB11" i="14"/>
  <c r="AB10" i="14"/>
  <c r="AB9" i="14"/>
  <c r="AB8" i="14"/>
  <c r="AB7" i="14"/>
  <c r="AB6" i="14"/>
  <c r="AB5" i="14"/>
  <c r="AB4" i="14"/>
  <c r="C4" i="14"/>
  <c r="C5" i="14" s="1"/>
  <c r="B4" i="14"/>
  <c r="B5" i="14" s="1"/>
  <c r="B6" i="14" s="1"/>
  <c r="B7" i="14" s="1"/>
  <c r="B8" i="14" s="1"/>
  <c r="B9" i="14" s="1"/>
  <c r="B10" i="14" s="1"/>
  <c r="B11" i="14" s="1"/>
  <c r="B12" i="14" s="1"/>
  <c r="B13" i="14" s="1"/>
  <c r="B14" i="14" s="1"/>
  <c r="B15" i="14" s="1"/>
  <c r="B16" i="14" s="1"/>
  <c r="B17" i="14" s="1"/>
  <c r="B18" i="14" s="1"/>
  <c r="B19" i="14" s="1"/>
  <c r="B20" i="14" s="1"/>
  <c r="B21" i="14" s="1"/>
  <c r="B22" i="14" s="1"/>
  <c r="B23" i="14" s="1"/>
  <c r="B24" i="14" s="1"/>
  <c r="B25" i="14" s="1"/>
  <c r="B26" i="14" s="1"/>
  <c r="B27" i="14" s="1"/>
  <c r="B28" i="14" s="1"/>
  <c r="B29" i="14" s="1"/>
  <c r="B30" i="14" s="1"/>
  <c r="B31" i="14" s="1"/>
  <c r="B32" i="14" s="1"/>
  <c r="B33" i="14" s="1"/>
  <c r="B34" i="14" s="1"/>
  <c r="B35" i="14" s="1"/>
  <c r="B36" i="14" s="1"/>
  <c r="B37" i="14" s="1"/>
  <c r="B38" i="14" s="1"/>
  <c r="B39" i="14" s="1"/>
  <c r="B40" i="14" s="1"/>
  <c r="B41" i="14" s="1"/>
  <c r="B42" i="14" s="1"/>
  <c r="B43" i="14" s="1"/>
  <c r="B44" i="14" s="1"/>
  <c r="B45" i="14" s="1"/>
  <c r="B46" i="14" s="1"/>
  <c r="B47" i="14" s="1"/>
  <c r="B48" i="14" s="1"/>
  <c r="B49" i="14" s="1"/>
  <c r="B50" i="14" s="1"/>
  <c r="B51" i="14" s="1"/>
  <c r="B52" i="14" s="1"/>
  <c r="B53" i="14" s="1"/>
  <c r="AB3" i="14"/>
  <c r="D3" i="14"/>
  <c r="F3" i="14" s="1"/>
  <c r="D143" i="7"/>
  <c r="E143" i="7" s="1"/>
  <c r="F143" i="7" s="1"/>
  <c r="D142" i="7"/>
  <c r="E142" i="7" s="1"/>
  <c r="F142" i="7" s="1"/>
  <c r="D141" i="7"/>
  <c r="E141" i="7" s="1"/>
  <c r="F141" i="7" s="1"/>
  <c r="D140" i="7"/>
  <c r="E140" i="7" s="1"/>
  <c r="F140" i="7" s="1"/>
  <c r="D139" i="7"/>
  <c r="E139" i="7" s="1"/>
  <c r="F139" i="7" s="1"/>
  <c r="D138" i="7"/>
  <c r="E138" i="7" s="1"/>
  <c r="F138" i="7" s="1"/>
  <c r="D137" i="7"/>
  <c r="E137" i="7" s="1"/>
  <c r="F137" i="7" s="1"/>
  <c r="D136" i="7"/>
  <c r="E136" i="7" s="1"/>
  <c r="F136" i="7" s="1"/>
  <c r="D135" i="7"/>
  <c r="E135" i="7" s="1"/>
  <c r="F135" i="7" s="1"/>
  <c r="D134" i="7"/>
  <c r="E134" i="7" s="1"/>
  <c r="F134" i="7" s="1"/>
  <c r="D133" i="7"/>
  <c r="E133" i="7" s="1"/>
  <c r="F133" i="7" s="1"/>
  <c r="D132" i="7"/>
  <c r="E132" i="7" s="1"/>
  <c r="F132" i="7" s="1"/>
  <c r="D131" i="7"/>
  <c r="E131" i="7" s="1"/>
  <c r="F131" i="7" s="1"/>
  <c r="D130" i="7"/>
  <c r="E130" i="7" s="1"/>
  <c r="F130" i="7" s="1"/>
  <c r="D129" i="7"/>
  <c r="E129" i="7" s="1"/>
  <c r="F129" i="7" s="1"/>
  <c r="D128" i="7"/>
  <c r="E128" i="7" s="1"/>
  <c r="F128" i="7" s="1"/>
  <c r="D127" i="7"/>
  <c r="E127" i="7" s="1"/>
  <c r="F127" i="7" s="1"/>
  <c r="D126" i="7"/>
  <c r="E126" i="7" s="1"/>
  <c r="F126" i="7" s="1"/>
  <c r="D125" i="7"/>
  <c r="E125" i="7" s="1"/>
  <c r="F125" i="7" s="1"/>
  <c r="D124" i="7"/>
  <c r="E124" i="7" s="1"/>
  <c r="F124" i="7" s="1"/>
  <c r="D123" i="7"/>
  <c r="E123" i="7" s="1"/>
  <c r="F123" i="7" s="1"/>
  <c r="D122" i="7"/>
  <c r="E122" i="7" s="1"/>
  <c r="F122" i="7" s="1"/>
  <c r="D121" i="7"/>
  <c r="E121" i="7" s="1"/>
  <c r="F121" i="7" s="1"/>
  <c r="D120" i="7"/>
  <c r="E120" i="7" s="1"/>
  <c r="F120" i="7" s="1"/>
  <c r="D119" i="7"/>
  <c r="E119" i="7" s="1"/>
  <c r="F119" i="7" s="1"/>
  <c r="D118" i="7"/>
  <c r="E118" i="7" s="1"/>
  <c r="F118" i="7" s="1"/>
  <c r="D117" i="7"/>
  <c r="E117" i="7" s="1"/>
  <c r="F117" i="7" s="1"/>
  <c r="D116" i="7"/>
  <c r="E116" i="7" s="1"/>
  <c r="F116" i="7" s="1"/>
  <c r="D115" i="7"/>
  <c r="E115" i="7" s="1"/>
  <c r="F115" i="7" s="1"/>
  <c r="D114" i="7"/>
  <c r="E114" i="7" s="1"/>
  <c r="F114" i="7" s="1"/>
  <c r="D113" i="7"/>
  <c r="E113" i="7" s="1"/>
  <c r="F113" i="7" s="1"/>
  <c r="D112" i="7"/>
  <c r="E112" i="7" s="1"/>
  <c r="F112" i="7" s="1"/>
  <c r="D111" i="7"/>
  <c r="E111" i="7" s="1"/>
  <c r="F111" i="7" s="1"/>
  <c r="D110" i="7"/>
  <c r="E110" i="7" s="1"/>
  <c r="F110" i="7" s="1"/>
  <c r="D109" i="7"/>
  <c r="E109" i="7" s="1"/>
  <c r="F109" i="7" s="1"/>
  <c r="D108" i="7"/>
  <c r="E108" i="7" s="1"/>
  <c r="F108" i="7" s="1"/>
  <c r="D107" i="7"/>
  <c r="E107" i="7" s="1"/>
  <c r="F107" i="7" s="1"/>
  <c r="D106" i="7"/>
  <c r="E106" i="7" s="1"/>
  <c r="F106" i="7" s="1"/>
  <c r="D105" i="7"/>
  <c r="E105" i="7" s="1"/>
  <c r="F105" i="7" s="1"/>
  <c r="D104" i="7"/>
  <c r="E104" i="7" s="1"/>
  <c r="F104" i="7" s="1"/>
  <c r="D103" i="7"/>
  <c r="E103" i="7" s="1"/>
  <c r="F103" i="7" s="1"/>
  <c r="D102" i="7"/>
  <c r="E102" i="7" s="1"/>
  <c r="F102" i="7" s="1"/>
  <c r="D101" i="7"/>
  <c r="E101" i="7" s="1"/>
  <c r="F101" i="7" s="1"/>
  <c r="D100" i="7"/>
  <c r="E100" i="7" s="1"/>
  <c r="F100" i="7" s="1"/>
  <c r="D99" i="7"/>
  <c r="E99" i="7" s="1"/>
  <c r="F99" i="7" s="1"/>
  <c r="D98" i="7"/>
  <c r="E98" i="7" s="1"/>
  <c r="F98" i="7" s="1"/>
  <c r="D97" i="7"/>
  <c r="E97" i="7" s="1"/>
  <c r="F97" i="7" s="1"/>
  <c r="D96" i="7"/>
  <c r="E96" i="7" s="1"/>
  <c r="F96" i="7" s="1"/>
  <c r="D95" i="7"/>
  <c r="E95" i="7" s="1"/>
  <c r="F95" i="7" s="1"/>
  <c r="D94" i="7"/>
  <c r="E94" i="7" s="1"/>
  <c r="F94" i="7" s="1"/>
  <c r="D93" i="7"/>
  <c r="E93" i="7" s="1"/>
  <c r="F93" i="7" s="1"/>
  <c r="D92" i="7"/>
  <c r="E92" i="7" s="1"/>
  <c r="F92" i="7" s="1"/>
  <c r="D91" i="7"/>
  <c r="E91" i="7" s="1"/>
  <c r="F91" i="7" s="1"/>
  <c r="D90" i="7"/>
  <c r="E90" i="7" s="1"/>
  <c r="F90" i="7" s="1"/>
  <c r="D89" i="7"/>
  <c r="E89" i="7" s="1"/>
  <c r="F89" i="7" s="1"/>
  <c r="D88" i="7"/>
  <c r="E88" i="7" s="1"/>
  <c r="F88" i="7" s="1"/>
  <c r="D87" i="7"/>
  <c r="E87" i="7" s="1"/>
  <c r="F87" i="7" s="1"/>
  <c r="D86" i="7"/>
  <c r="E86" i="7" s="1"/>
  <c r="F86" i="7" s="1"/>
  <c r="D85" i="7"/>
  <c r="E85" i="7" s="1"/>
  <c r="F85" i="7" s="1"/>
  <c r="D84" i="7"/>
  <c r="E84" i="7" s="1"/>
  <c r="F84" i="7" s="1"/>
  <c r="D83" i="7"/>
  <c r="E83" i="7" s="1"/>
  <c r="F83" i="7" s="1"/>
  <c r="D82" i="7"/>
  <c r="E82" i="7" s="1"/>
  <c r="F82" i="7" s="1"/>
  <c r="D81" i="7"/>
  <c r="E81" i="7" s="1"/>
  <c r="F81" i="7" s="1"/>
  <c r="D80" i="7"/>
  <c r="E80" i="7" s="1"/>
  <c r="F80" i="7" s="1"/>
  <c r="D79" i="7"/>
  <c r="E79" i="7" s="1"/>
  <c r="F79" i="7" s="1"/>
  <c r="D78" i="7"/>
  <c r="D77" i="7"/>
  <c r="D76" i="7"/>
  <c r="E76" i="7" s="1"/>
  <c r="F76" i="7" s="1"/>
  <c r="D75" i="7"/>
  <c r="E75" i="7" s="1"/>
  <c r="F75" i="7" s="1"/>
  <c r="D74" i="7"/>
  <c r="E74" i="7" s="1"/>
  <c r="F74" i="7" s="1"/>
  <c r="D73" i="7"/>
  <c r="E73" i="7" s="1"/>
  <c r="F73" i="7" s="1"/>
  <c r="D72" i="7"/>
  <c r="E72" i="7" s="1"/>
  <c r="F72" i="7" s="1"/>
  <c r="D71" i="7"/>
  <c r="E71" i="7" s="1"/>
  <c r="F71" i="7" s="1"/>
  <c r="D70" i="7"/>
  <c r="E70" i="7" s="1"/>
  <c r="F70" i="7" s="1"/>
  <c r="D69" i="7"/>
  <c r="E69" i="7" s="1"/>
  <c r="F69" i="7" s="1"/>
  <c r="D68" i="7"/>
  <c r="E68" i="7" s="1"/>
  <c r="F68" i="7" s="1"/>
  <c r="D67" i="7"/>
  <c r="E67" i="7" s="1"/>
  <c r="F67" i="7" s="1"/>
  <c r="D66" i="7"/>
  <c r="E66" i="7" s="1"/>
  <c r="F66" i="7" s="1"/>
  <c r="D65" i="7"/>
  <c r="E65" i="7" s="1"/>
  <c r="F65" i="7" s="1"/>
  <c r="D64" i="7"/>
  <c r="E64" i="7" s="1"/>
  <c r="F64" i="7" s="1"/>
  <c r="D63" i="7"/>
  <c r="E63" i="7" s="1"/>
  <c r="F63" i="7" s="1"/>
  <c r="D62" i="7"/>
  <c r="E62" i="7" s="1"/>
  <c r="F62" i="7" s="1"/>
  <c r="D61" i="7"/>
  <c r="E61" i="7" s="1"/>
  <c r="F61" i="7" s="1"/>
  <c r="D60" i="7"/>
  <c r="E60" i="7" s="1"/>
  <c r="F60" i="7" s="1"/>
  <c r="D59" i="7"/>
  <c r="E59" i="7" s="1"/>
  <c r="F59" i="7" s="1"/>
  <c r="D58" i="7"/>
  <c r="E58" i="7" s="1"/>
  <c r="F58" i="7" s="1"/>
  <c r="D57" i="7"/>
  <c r="E57" i="7" s="1"/>
  <c r="F57" i="7" s="1"/>
  <c r="D56" i="7"/>
  <c r="E56" i="7" s="1"/>
  <c r="F56" i="7" s="1"/>
  <c r="D55" i="7"/>
  <c r="E55" i="7" s="1"/>
  <c r="F55" i="7" s="1"/>
  <c r="D54" i="7"/>
  <c r="E54" i="7" s="1"/>
  <c r="F54" i="7" s="1"/>
  <c r="D53" i="7"/>
  <c r="E53" i="7" s="1"/>
  <c r="F53" i="7" s="1"/>
  <c r="D52" i="7"/>
  <c r="E52" i="7" s="1"/>
  <c r="F52" i="7" s="1"/>
  <c r="D51" i="7"/>
  <c r="E51" i="7" s="1"/>
  <c r="F51" i="7" s="1"/>
  <c r="D50" i="7"/>
  <c r="E50" i="7" s="1"/>
  <c r="F50" i="7" s="1"/>
  <c r="D49" i="7"/>
  <c r="E49" i="7" s="1"/>
  <c r="F49" i="7" s="1"/>
  <c r="D48" i="7"/>
  <c r="E48" i="7" s="1"/>
  <c r="F48" i="7" s="1"/>
  <c r="D47" i="7"/>
  <c r="E47" i="7" s="1"/>
  <c r="F47" i="7" s="1"/>
  <c r="D46" i="7"/>
  <c r="E46" i="7" s="1"/>
  <c r="F46" i="7" s="1"/>
  <c r="D45" i="7"/>
  <c r="E45" i="7" s="1"/>
  <c r="F45" i="7" s="1"/>
  <c r="D44" i="7"/>
  <c r="E44" i="7" s="1"/>
  <c r="F44" i="7" s="1"/>
  <c r="D43" i="7"/>
  <c r="E43" i="7" s="1"/>
  <c r="F43" i="7" s="1"/>
  <c r="D42" i="7"/>
  <c r="E42" i="7" s="1"/>
  <c r="F42" i="7" s="1"/>
  <c r="D41" i="7"/>
  <c r="E41" i="7" s="1"/>
  <c r="F41" i="7" s="1"/>
  <c r="D40" i="7"/>
  <c r="E40" i="7" s="1"/>
  <c r="F40" i="7" s="1"/>
  <c r="D39" i="7"/>
  <c r="E39" i="7" s="1"/>
  <c r="F39" i="7" s="1"/>
  <c r="D38" i="7"/>
  <c r="E38" i="7" s="1"/>
  <c r="F38" i="7" s="1"/>
  <c r="D37" i="7"/>
  <c r="E37" i="7" s="1"/>
  <c r="F37" i="7" s="1"/>
  <c r="D36" i="7"/>
  <c r="E36" i="7" s="1"/>
  <c r="F36" i="7" s="1"/>
  <c r="D35" i="7"/>
  <c r="E35" i="7" s="1"/>
  <c r="D34" i="7"/>
  <c r="E34" i="7" s="1"/>
  <c r="D33" i="7"/>
  <c r="E33" i="7" s="1"/>
  <c r="D32" i="7"/>
  <c r="E32" i="7" s="1"/>
  <c r="D31" i="7"/>
  <c r="E31" i="7" s="1"/>
  <c r="D30" i="7"/>
  <c r="E30" i="7" s="1"/>
  <c r="D29" i="7"/>
  <c r="E29" i="7" s="1"/>
  <c r="D28" i="7"/>
  <c r="E28" i="7" s="1"/>
  <c r="D27" i="7"/>
  <c r="E27" i="7" s="1"/>
  <c r="D26" i="7"/>
  <c r="E26" i="7" s="1"/>
  <c r="D25" i="7"/>
  <c r="E25" i="7" s="1"/>
  <c r="D24" i="7"/>
  <c r="E24" i="7" s="1"/>
  <c r="D23" i="7"/>
  <c r="E23" i="7" s="1"/>
  <c r="D22" i="7"/>
  <c r="E22" i="7" s="1"/>
  <c r="D21" i="7"/>
  <c r="E21" i="7" s="1"/>
  <c r="D20" i="7"/>
  <c r="E20" i="7" s="1"/>
  <c r="D19" i="7"/>
  <c r="E19" i="7" s="1"/>
  <c r="D18" i="7"/>
  <c r="E18" i="7" s="1"/>
  <c r="D17" i="7"/>
  <c r="E17" i="7" s="1"/>
  <c r="D16" i="7"/>
  <c r="E16" i="7" s="1"/>
  <c r="D15" i="7"/>
  <c r="E15" i="7" s="1"/>
  <c r="D14" i="7"/>
  <c r="E14" i="7" s="1"/>
  <c r="D13" i="7"/>
  <c r="E13" i="7" s="1"/>
  <c r="D12" i="7"/>
  <c r="E12" i="7" s="1"/>
  <c r="D11" i="7"/>
  <c r="E11" i="7" s="1"/>
  <c r="D10" i="7"/>
  <c r="E10" i="7" s="1"/>
  <c r="D9" i="7"/>
  <c r="E9" i="7" s="1"/>
  <c r="D8" i="7"/>
  <c r="E8" i="7" s="1"/>
  <c r="D7" i="7"/>
  <c r="E7" i="7" s="1"/>
  <c r="D6" i="7"/>
  <c r="E6" i="7" s="1"/>
  <c r="D5" i="7"/>
  <c r="E5" i="7" s="1"/>
  <c r="D4" i="7"/>
  <c r="E4" i="7" s="1"/>
  <c r="D3" i="7"/>
  <c r="E3" i="7" s="1"/>
  <c r="F6" i="7" l="1"/>
  <c r="K6" i="7" s="1"/>
  <c r="F14" i="7"/>
  <c r="K14" i="7" s="1"/>
  <c r="F22" i="7"/>
  <c r="K22" i="7" s="1"/>
  <c r="F30" i="7"/>
  <c r="N30" i="7" s="1"/>
  <c r="R30" i="7" s="1"/>
  <c r="F3" i="7"/>
  <c r="K3" i="7" s="1"/>
  <c r="F11" i="7"/>
  <c r="K11" i="7" s="1"/>
  <c r="F19" i="7"/>
  <c r="K19" i="7" s="1"/>
  <c r="F27" i="7"/>
  <c r="N27" i="7" s="1"/>
  <c r="R27" i="7" s="1"/>
  <c r="F35" i="7"/>
  <c r="K35" i="7" s="1"/>
  <c r="F4" i="7"/>
  <c r="N4" i="7" s="1"/>
  <c r="R4" i="7" s="1"/>
  <c r="F8" i="7"/>
  <c r="K8" i="7" s="1"/>
  <c r="F12" i="7"/>
  <c r="K12" i="7" s="1"/>
  <c r="F16" i="7"/>
  <c r="K16" i="7" s="1"/>
  <c r="F20" i="7"/>
  <c r="N20" i="7" s="1"/>
  <c r="R20" i="7" s="1"/>
  <c r="F24" i="7"/>
  <c r="K24" i="7" s="1"/>
  <c r="F28" i="7"/>
  <c r="K28" i="7" s="1"/>
  <c r="F32" i="7"/>
  <c r="K32" i="7" s="1"/>
  <c r="F10" i="7"/>
  <c r="N10" i="7" s="1"/>
  <c r="R10" i="7" s="1"/>
  <c r="F18" i="7"/>
  <c r="K18" i="7" s="1"/>
  <c r="F26" i="7"/>
  <c r="N26" i="7" s="1"/>
  <c r="R26" i="7" s="1"/>
  <c r="F34" i="7"/>
  <c r="K34" i="7" s="1"/>
  <c r="F7" i="7"/>
  <c r="N7" i="7" s="1"/>
  <c r="R7" i="7" s="1"/>
  <c r="F15" i="7"/>
  <c r="K15" i="7" s="1"/>
  <c r="F23" i="7"/>
  <c r="K23" i="7" s="1"/>
  <c r="F31" i="7"/>
  <c r="K31" i="7" s="1"/>
  <c r="F5" i="7"/>
  <c r="N5" i="7" s="1"/>
  <c r="R5" i="7" s="1"/>
  <c r="F9" i="7"/>
  <c r="K9" i="7" s="1"/>
  <c r="F13" i="7"/>
  <c r="N13" i="7" s="1"/>
  <c r="R13" i="7" s="1"/>
  <c r="F17" i="7"/>
  <c r="K17" i="7" s="1"/>
  <c r="F21" i="7"/>
  <c r="K21" i="7" s="1"/>
  <c r="F25" i="7"/>
  <c r="K25" i="7" s="1"/>
  <c r="F29" i="7"/>
  <c r="N29" i="7" s="1"/>
  <c r="R29" i="7" s="1"/>
  <c r="F33" i="7"/>
  <c r="K33" i="7" s="1"/>
  <c r="L3" i="14"/>
  <c r="P3" i="14" s="1"/>
  <c r="J3" i="14"/>
  <c r="L9" i="17"/>
  <c r="P9" i="17" s="1"/>
  <c r="J9" i="17"/>
  <c r="B57" i="17"/>
  <c r="C11" i="17"/>
  <c r="D10" i="17"/>
  <c r="F10" i="17" s="1"/>
  <c r="E77" i="7"/>
  <c r="F77" i="7" s="1"/>
  <c r="E78" i="7"/>
  <c r="F78" i="7" s="1"/>
  <c r="N78" i="7" s="1"/>
  <c r="I36" i="7"/>
  <c r="N3" i="7"/>
  <c r="R3" i="7" s="1"/>
  <c r="N41" i="7"/>
  <c r="N25" i="7"/>
  <c r="R25" i="7" s="1"/>
  <c r="N6" i="7"/>
  <c r="R6" i="7" s="1"/>
  <c r="N83" i="7"/>
  <c r="N34" i="7"/>
  <c r="R34" i="7" s="1"/>
  <c r="N24" i="7"/>
  <c r="R24" i="7" s="1"/>
  <c r="N16" i="7"/>
  <c r="R16" i="7" s="1"/>
  <c r="N9" i="7"/>
  <c r="R9" i="7" s="1"/>
  <c r="N8" i="7"/>
  <c r="R8" i="7" s="1"/>
  <c r="N15" i="7"/>
  <c r="R15" i="7" s="1"/>
  <c r="N14" i="7"/>
  <c r="R14" i="7" s="1"/>
  <c r="N142" i="7"/>
  <c r="N141" i="7"/>
  <c r="N140" i="7"/>
  <c r="N143" i="7"/>
  <c r="N139" i="7"/>
  <c r="N138" i="7"/>
  <c r="N135" i="7"/>
  <c r="N136" i="7"/>
  <c r="N134" i="7"/>
  <c r="N137" i="7"/>
  <c r="N133" i="7"/>
  <c r="N132" i="7"/>
  <c r="N131" i="7"/>
  <c r="N130" i="7"/>
  <c r="N129" i="7"/>
  <c r="N128" i="7"/>
  <c r="N126" i="7"/>
  <c r="N122" i="7"/>
  <c r="N125" i="7"/>
  <c r="N121" i="7"/>
  <c r="N124" i="7"/>
  <c r="N120" i="7"/>
  <c r="N127" i="7"/>
  <c r="N123" i="7"/>
  <c r="N119" i="7"/>
  <c r="N118" i="7"/>
  <c r="N116" i="7"/>
  <c r="N115" i="7"/>
  <c r="N111" i="7"/>
  <c r="N114" i="7"/>
  <c r="N110" i="7"/>
  <c r="N112" i="7"/>
  <c r="N117" i="7"/>
  <c r="N113" i="7"/>
  <c r="N109" i="7"/>
  <c r="N108" i="7"/>
  <c r="N106" i="7"/>
  <c r="N102" i="7"/>
  <c r="N105" i="7"/>
  <c r="N101" i="7"/>
  <c r="N104" i="7"/>
  <c r="N100" i="7"/>
  <c r="N107" i="7"/>
  <c r="N103" i="7"/>
  <c r="N99" i="7"/>
  <c r="N98" i="7"/>
  <c r="N96" i="7"/>
  <c r="N92" i="7"/>
  <c r="N95" i="7"/>
  <c r="N91" i="7"/>
  <c r="N94" i="7"/>
  <c r="N90" i="7"/>
  <c r="N97" i="7"/>
  <c r="N93" i="7"/>
  <c r="N89" i="7"/>
  <c r="N88" i="7"/>
  <c r="N84" i="7"/>
  <c r="N87" i="7"/>
  <c r="N86" i="7"/>
  <c r="N82" i="7"/>
  <c r="N85" i="7"/>
  <c r="N81" i="7"/>
  <c r="N80" i="7"/>
  <c r="N76" i="7"/>
  <c r="N79" i="7"/>
  <c r="N75" i="7"/>
  <c r="N74" i="7"/>
  <c r="N77" i="7"/>
  <c r="N73" i="7"/>
  <c r="N72" i="7"/>
  <c r="N71" i="7"/>
  <c r="N67" i="7"/>
  <c r="N68" i="7"/>
  <c r="N70" i="7"/>
  <c r="N66" i="7"/>
  <c r="N69" i="7"/>
  <c r="N65" i="7"/>
  <c r="N64" i="7"/>
  <c r="N60" i="7"/>
  <c r="N57" i="7"/>
  <c r="N63" i="7"/>
  <c r="N59" i="7"/>
  <c r="N62" i="7"/>
  <c r="N58" i="7"/>
  <c r="N61" i="7"/>
  <c r="N56" i="7"/>
  <c r="N55" i="7"/>
  <c r="N52" i="7"/>
  <c r="N51" i="7"/>
  <c r="N54" i="7"/>
  <c r="N50" i="7"/>
  <c r="N53" i="7"/>
  <c r="N49" i="7"/>
  <c r="N48" i="7"/>
  <c r="N45" i="7"/>
  <c r="N44" i="7"/>
  <c r="N47" i="7"/>
  <c r="N43" i="7"/>
  <c r="N46" i="7"/>
  <c r="N42" i="7"/>
  <c r="N40" i="7"/>
  <c r="N38" i="7"/>
  <c r="N37" i="7"/>
  <c r="N33" i="7"/>
  <c r="R33" i="7" s="1"/>
  <c r="N36" i="7"/>
  <c r="N32" i="7"/>
  <c r="R32" i="7" s="1"/>
  <c r="N39" i="7"/>
  <c r="N35" i="7"/>
  <c r="R35" i="7" s="1"/>
  <c r="N31" i="7"/>
  <c r="R31" i="7" s="1"/>
  <c r="N19" i="7"/>
  <c r="R19" i="7" s="1"/>
  <c r="N22" i="7"/>
  <c r="R22" i="7" s="1"/>
  <c r="N18" i="7"/>
  <c r="R18" i="7" s="1"/>
  <c r="N21" i="7"/>
  <c r="R21" i="7" s="1"/>
  <c r="N17" i="7"/>
  <c r="R17" i="7" s="1"/>
  <c r="L3" i="16"/>
  <c r="P3" i="16" s="1"/>
  <c r="B55" i="16"/>
  <c r="C6" i="16"/>
  <c r="D5" i="16"/>
  <c r="F5" i="16" s="1"/>
  <c r="J5" i="16" s="1"/>
  <c r="D4" i="16"/>
  <c r="F4" i="16" s="1"/>
  <c r="J4" i="16" s="1"/>
  <c r="D4" i="14"/>
  <c r="F4" i="14" s="1"/>
  <c r="C6" i="14"/>
  <c r="D5" i="14"/>
  <c r="F5" i="14" s="1"/>
  <c r="N28" i="7" l="1"/>
  <c r="R28" i="7" s="1"/>
  <c r="N12" i="7"/>
  <c r="R12" i="7" s="1"/>
  <c r="K5" i="7"/>
  <c r="K7" i="7"/>
  <c r="K10" i="7"/>
  <c r="K20" i="7"/>
  <c r="K4" i="7"/>
  <c r="K27" i="7"/>
  <c r="K30" i="7"/>
  <c r="N23" i="7"/>
  <c r="R23" i="7" s="1"/>
  <c r="N11" i="7"/>
  <c r="R11" i="7" s="1"/>
  <c r="K29" i="7"/>
  <c r="K13" i="7"/>
  <c r="K26" i="7"/>
  <c r="L5" i="14"/>
  <c r="P5" i="14" s="1"/>
  <c r="J5" i="14"/>
  <c r="L4" i="14"/>
  <c r="P4" i="14" s="1"/>
  <c r="J4" i="14"/>
  <c r="J10" i="17"/>
  <c r="L10" i="17"/>
  <c r="P10" i="17" s="1"/>
  <c r="C12" i="17"/>
  <c r="D11" i="17"/>
  <c r="F11" i="17" s="1"/>
  <c r="B58" i="17"/>
  <c r="P36" i="7"/>
  <c r="Q36" i="7" s="1"/>
  <c r="R37" i="7" s="1"/>
  <c r="L4" i="16"/>
  <c r="P4" i="16" s="1"/>
  <c r="C7" i="16"/>
  <c r="D6" i="16"/>
  <c r="F6" i="16" s="1"/>
  <c r="J6" i="16" s="1"/>
  <c r="L5" i="16"/>
  <c r="P5" i="16" s="1"/>
  <c r="B56" i="16"/>
  <c r="C7" i="14"/>
  <c r="D6" i="14"/>
  <c r="F6" i="14" s="1"/>
  <c r="R38" i="7" l="1"/>
  <c r="L6" i="14"/>
  <c r="P6" i="14" s="1"/>
  <c r="J6" i="14"/>
  <c r="R42" i="7"/>
  <c r="L11" i="17"/>
  <c r="P11" i="17" s="1"/>
  <c r="J11" i="17"/>
  <c r="D12" i="17"/>
  <c r="F12" i="17" s="1"/>
  <c r="C13" i="17"/>
  <c r="B59" i="17"/>
  <c r="R36" i="7"/>
  <c r="R41" i="7"/>
  <c r="P44" i="7"/>
  <c r="Q44" i="7" s="1"/>
  <c r="R39" i="7"/>
  <c r="R40" i="7"/>
  <c r="R43" i="7"/>
  <c r="B57" i="16"/>
  <c r="C8" i="16"/>
  <c r="D7" i="16"/>
  <c r="F7" i="16" s="1"/>
  <c r="J7" i="16" s="1"/>
  <c r="L6" i="16"/>
  <c r="P6" i="16" s="1"/>
  <c r="C8" i="14"/>
  <c r="D7" i="14"/>
  <c r="F7" i="14" s="1"/>
  <c r="L7" i="14" l="1"/>
  <c r="P7" i="14" s="1"/>
  <c r="J7" i="14"/>
  <c r="D13" i="17"/>
  <c r="F13" i="17" s="1"/>
  <c r="C14" i="17"/>
  <c r="L12" i="17"/>
  <c r="P12" i="17" s="1"/>
  <c r="J12" i="17"/>
  <c r="B60" i="17"/>
  <c r="R49" i="7"/>
  <c r="R52" i="7"/>
  <c r="R57" i="7"/>
  <c r="R54" i="7"/>
  <c r="R50" i="7"/>
  <c r="R44" i="7"/>
  <c r="R56" i="7"/>
  <c r="R47" i="7"/>
  <c r="R55" i="7"/>
  <c r="R53" i="7"/>
  <c r="R46" i="7"/>
  <c r="R51" i="7"/>
  <c r="P58" i="7"/>
  <c r="Q58" i="7" s="1"/>
  <c r="R48" i="7"/>
  <c r="R45" i="7"/>
  <c r="L7" i="16"/>
  <c r="P7" i="16" s="1"/>
  <c r="C9" i="16"/>
  <c r="D8" i="16"/>
  <c r="F8" i="16" s="1"/>
  <c r="J8" i="16" s="1"/>
  <c r="B58" i="16"/>
  <c r="C9" i="14"/>
  <c r="D8" i="14"/>
  <c r="F8" i="14" s="1"/>
  <c r="L8" i="14" l="1"/>
  <c r="P8" i="14" s="1"/>
  <c r="J8" i="14"/>
  <c r="B61" i="17"/>
  <c r="C15" i="17"/>
  <c r="D14" i="17"/>
  <c r="F14" i="17" s="1"/>
  <c r="L13" i="17"/>
  <c r="P13" i="17" s="1"/>
  <c r="J13" i="17"/>
  <c r="R70" i="7"/>
  <c r="R66" i="7"/>
  <c r="R60" i="7"/>
  <c r="R58" i="7"/>
  <c r="R69" i="7"/>
  <c r="P73" i="7"/>
  <c r="R68" i="7"/>
  <c r="R72" i="7"/>
  <c r="R63" i="7"/>
  <c r="R61" i="7"/>
  <c r="R67" i="7"/>
  <c r="R71" i="7"/>
  <c r="R59" i="7"/>
  <c r="R62" i="7"/>
  <c r="R64" i="7"/>
  <c r="R65" i="7"/>
  <c r="L8" i="16"/>
  <c r="P8" i="16" s="1"/>
  <c r="C10" i="16"/>
  <c r="D9" i="16"/>
  <c r="F9" i="16" s="1"/>
  <c r="J9" i="16" s="1"/>
  <c r="B59" i="16"/>
  <c r="C10" i="14"/>
  <c r="D9" i="14"/>
  <c r="F9" i="14" s="1"/>
  <c r="L9" i="14" l="1"/>
  <c r="P9" i="14" s="1"/>
  <c r="J9" i="14"/>
  <c r="J14" i="17"/>
  <c r="L14" i="17"/>
  <c r="P14" i="17" s="1"/>
  <c r="C16" i="17"/>
  <c r="D15" i="17"/>
  <c r="F15" i="17" s="1"/>
  <c r="B62" i="17"/>
  <c r="Q73" i="7"/>
  <c r="C11" i="16"/>
  <c r="D10" i="16"/>
  <c r="F10" i="16" s="1"/>
  <c r="J10" i="16" s="1"/>
  <c r="B60" i="16"/>
  <c r="L9" i="16"/>
  <c r="P9" i="16" s="1"/>
  <c r="C11" i="14"/>
  <c r="D10" i="14"/>
  <c r="F10" i="14" s="1"/>
  <c r="L10" i="14" l="1"/>
  <c r="P10" i="14" s="1"/>
  <c r="J10" i="14"/>
  <c r="L15" i="17"/>
  <c r="P15" i="17" s="1"/>
  <c r="J15" i="17"/>
  <c r="D16" i="17"/>
  <c r="F16" i="17" s="1"/>
  <c r="C17" i="17"/>
  <c r="B63" i="17"/>
  <c r="R83" i="7"/>
  <c r="R76" i="7"/>
  <c r="R77" i="7"/>
  <c r="R79" i="7"/>
  <c r="R82" i="7"/>
  <c r="R73" i="7"/>
  <c r="R78" i="7"/>
  <c r="R85" i="7"/>
  <c r="P86" i="7"/>
  <c r="R81" i="7"/>
  <c r="R80" i="7"/>
  <c r="R75" i="7"/>
  <c r="R84" i="7"/>
  <c r="R74" i="7"/>
  <c r="L10" i="16"/>
  <c r="P10" i="16" s="1"/>
  <c r="D11" i="16"/>
  <c r="F11" i="16" s="1"/>
  <c r="J11" i="16" s="1"/>
  <c r="C12" i="16"/>
  <c r="B61" i="16"/>
  <c r="C12" i="14"/>
  <c r="D11" i="14"/>
  <c r="F11" i="14" s="1"/>
  <c r="L11" i="14" l="1"/>
  <c r="P11" i="14" s="1"/>
  <c r="J11" i="14"/>
  <c r="D17" i="17"/>
  <c r="F17" i="17" s="1"/>
  <c r="C18" i="17"/>
  <c r="J16" i="17"/>
  <c r="L16" i="17"/>
  <c r="P16" i="17" s="1"/>
  <c r="B64" i="17"/>
  <c r="Q86" i="7"/>
  <c r="B62" i="16"/>
  <c r="C13" i="16"/>
  <c r="D12" i="16"/>
  <c r="F12" i="16" s="1"/>
  <c r="J12" i="16" s="1"/>
  <c r="L11" i="16"/>
  <c r="P11" i="16" s="1"/>
  <c r="C13" i="14"/>
  <c r="D12" i="14"/>
  <c r="F12" i="14" s="1"/>
  <c r="L12" i="14" l="1"/>
  <c r="P12" i="14" s="1"/>
  <c r="J12" i="14"/>
  <c r="C19" i="17"/>
  <c r="D18" i="17"/>
  <c r="F18" i="17" s="1"/>
  <c r="B65" i="17"/>
  <c r="L17" i="17"/>
  <c r="P17" i="17" s="1"/>
  <c r="J17" i="17"/>
  <c r="P100" i="7"/>
  <c r="R87" i="7"/>
  <c r="R86" i="7"/>
  <c r="R93" i="7"/>
  <c r="R98" i="7"/>
  <c r="R89" i="7"/>
  <c r="R94" i="7"/>
  <c r="R96" i="7"/>
  <c r="R90" i="7"/>
  <c r="R91" i="7"/>
  <c r="R88" i="7"/>
  <c r="R92" i="7"/>
  <c r="R95" i="7"/>
  <c r="R99" i="7"/>
  <c r="R97" i="7"/>
  <c r="L12" i="16"/>
  <c r="P12" i="16" s="1"/>
  <c r="C14" i="16"/>
  <c r="D13" i="16"/>
  <c r="F13" i="16" s="1"/>
  <c r="J13" i="16" s="1"/>
  <c r="B63" i="16"/>
  <c r="C14" i="14"/>
  <c r="D13" i="14"/>
  <c r="F13" i="14" s="1"/>
  <c r="L13" i="14" l="1"/>
  <c r="P13" i="14" s="1"/>
  <c r="J13" i="14"/>
  <c r="Q100" i="7"/>
  <c r="J18" i="17"/>
  <c r="L18" i="17"/>
  <c r="P18" i="17" s="1"/>
  <c r="B66" i="17"/>
  <c r="C20" i="17"/>
  <c r="D19" i="17"/>
  <c r="F19" i="17" s="1"/>
  <c r="P114" i="7"/>
  <c r="Q114" i="7" s="1"/>
  <c r="R111" i="7"/>
  <c r="R106" i="7"/>
  <c r="R113" i="7"/>
  <c r="R112" i="7"/>
  <c r="R109" i="7"/>
  <c r="R103" i="7"/>
  <c r="R105" i="7"/>
  <c r="R100" i="7"/>
  <c r="R107" i="7"/>
  <c r="R102" i="7"/>
  <c r="R104" i="7"/>
  <c r="R108" i="7"/>
  <c r="R110" i="7"/>
  <c r="R101" i="7"/>
  <c r="L13" i="16"/>
  <c r="P13" i="16" s="1"/>
  <c r="C15" i="16"/>
  <c r="D14" i="16"/>
  <c r="F14" i="16" s="1"/>
  <c r="J14" i="16" s="1"/>
  <c r="B64" i="16"/>
  <c r="C15" i="14"/>
  <c r="D14" i="14"/>
  <c r="F14" i="14" s="1"/>
  <c r="L14" i="14" l="1"/>
  <c r="P14" i="14" s="1"/>
  <c r="J14" i="14"/>
  <c r="B67" i="17"/>
  <c r="L19" i="17"/>
  <c r="P19" i="17" s="1"/>
  <c r="J19" i="17"/>
  <c r="D20" i="17"/>
  <c r="F20" i="17" s="1"/>
  <c r="C21" i="17"/>
  <c r="P128" i="7"/>
  <c r="Q128" i="7" s="1"/>
  <c r="R115" i="7"/>
  <c r="R114" i="7"/>
  <c r="R121" i="7"/>
  <c r="R123" i="7"/>
  <c r="R116" i="7"/>
  <c r="R119" i="7"/>
  <c r="R125" i="7"/>
  <c r="R127" i="7"/>
  <c r="R126" i="7"/>
  <c r="R124" i="7"/>
  <c r="R117" i="7"/>
  <c r="R122" i="7"/>
  <c r="R120" i="7"/>
  <c r="R118" i="7"/>
  <c r="L14" i="16"/>
  <c r="P14" i="16" s="1"/>
  <c r="D15" i="16"/>
  <c r="F15" i="16" s="1"/>
  <c r="J15" i="16" s="1"/>
  <c r="C16" i="16"/>
  <c r="B65" i="16"/>
  <c r="C16" i="14"/>
  <c r="D15" i="14"/>
  <c r="F15" i="14" s="1"/>
  <c r="L15" i="14" l="1"/>
  <c r="P15" i="14" s="1"/>
  <c r="J15" i="14"/>
  <c r="D21" i="17"/>
  <c r="F21" i="17" s="1"/>
  <c r="C22" i="17"/>
  <c r="B68" i="17"/>
  <c r="L20" i="17"/>
  <c r="P20" i="17" s="1"/>
  <c r="J20" i="17"/>
  <c r="P143" i="7"/>
  <c r="Q143" i="7" s="1"/>
  <c r="R143" i="7" s="1"/>
  <c r="R142" i="7"/>
  <c r="R136" i="7"/>
  <c r="R133" i="7"/>
  <c r="R129" i="7"/>
  <c r="R135" i="7"/>
  <c r="R141" i="7"/>
  <c r="R131" i="7"/>
  <c r="R130" i="7"/>
  <c r="R137" i="7"/>
  <c r="R128" i="7"/>
  <c r="R139" i="7"/>
  <c r="R138" i="7"/>
  <c r="R132" i="7"/>
  <c r="R134" i="7"/>
  <c r="R140" i="7"/>
  <c r="C17" i="16"/>
  <c r="D16" i="16"/>
  <c r="F16" i="16" s="1"/>
  <c r="J16" i="16" s="1"/>
  <c r="L15" i="16"/>
  <c r="P15" i="16" s="1"/>
  <c r="B66" i="16"/>
  <c r="C17" i="14"/>
  <c r="D16" i="14"/>
  <c r="F16" i="14" s="1"/>
  <c r="L16" i="14" l="1"/>
  <c r="P16" i="14" s="1"/>
  <c r="J16" i="14"/>
  <c r="B69" i="17"/>
  <c r="C23" i="17"/>
  <c r="D22" i="17"/>
  <c r="F22" i="17" s="1"/>
  <c r="L21" i="17"/>
  <c r="P21" i="17" s="1"/>
  <c r="J21" i="17"/>
  <c r="L16" i="16"/>
  <c r="P16" i="16" s="1"/>
  <c r="B67" i="16"/>
  <c r="C18" i="16"/>
  <c r="D17" i="16"/>
  <c r="F17" i="16" s="1"/>
  <c r="J17" i="16" s="1"/>
  <c r="C18" i="14"/>
  <c r="D17" i="14"/>
  <c r="F17" i="14" s="1"/>
  <c r="L17" i="14" l="1"/>
  <c r="P17" i="14" s="1"/>
  <c r="J17" i="14"/>
  <c r="B70" i="17"/>
  <c r="J22" i="17"/>
  <c r="L22" i="17"/>
  <c r="P22" i="17" s="1"/>
  <c r="C24" i="17"/>
  <c r="D23" i="17"/>
  <c r="F23" i="17" s="1"/>
  <c r="B68" i="16"/>
  <c r="L17" i="16"/>
  <c r="P17" i="16" s="1"/>
  <c r="C19" i="16"/>
  <c r="D18" i="16"/>
  <c r="F18" i="16" s="1"/>
  <c r="J18" i="16" s="1"/>
  <c r="C19" i="14"/>
  <c r="D18" i="14"/>
  <c r="F18" i="14" s="1"/>
  <c r="L18" i="14" l="1"/>
  <c r="P18" i="14" s="1"/>
  <c r="J18" i="14"/>
  <c r="L23" i="17"/>
  <c r="P23" i="17" s="1"/>
  <c r="J23" i="17"/>
  <c r="D24" i="17"/>
  <c r="F24" i="17" s="1"/>
  <c r="C25" i="17"/>
  <c r="B71" i="17"/>
  <c r="L18" i="16"/>
  <c r="P18" i="16" s="1"/>
  <c r="B69" i="16"/>
  <c r="C20" i="16"/>
  <c r="D19" i="16"/>
  <c r="F19" i="16" s="1"/>
  <c r="J19" i="16" s="1"/>
  <c r="C20" i="14"/>
  <c r="D19" i="14"/>
  <c r="F19" i="14" s="1"/>
  <c r="L19" i="14" l="1"/>
  <c r="P19" i="14" s="1"/>
  <c r="J19" i="14"/>
  <c r="D25" i="17"/>
  <c r="F25" i="17" s="1"/>
  <c r="C26" i="17"/>
  <c r="B72" i="17"/>
  <c r="L24" i="17"/>
  <c r="P24" i="17" s="1"/>
  <c r="J24" i="17"/>
  <c r="B70" i="16"/>
  <c r="L19" i="16"/>
  <c r="P19" i="16" s="1"/>
  <c r="C21" i="16"/>
  <c r="D20" i="16"/>
  <c r="F20" i="16" s="1"/>
  <c r="J20" i="16" s="1"/>
  <c r="C21" i="14"/>
  <c r="D20" i="14"/>
  <c r="F20" i="14" s="1"/>
  <c r="L20" i="14" l="1"/>
  <c r="P20" i="14" s="1"/>
  <c r="J20" i="14"/>
  <c r="L25" i="17"/>
  <c r="P25" i="17" s="1"/>
  <c r="J25" i="17"/>
  <c r="B73" i="17"/>
  <c r="C27" i="17"/>
  <c r="D26" i="17"/>
  <c r="F26" i="17" s="1"/>
  <c r="L20" i="16"/>
  <c r="P20" i="16" s="1"/>
  <c r="C22" i="16"/>
  <c r="D21" i="16"/>
  <c r="F21" i="16" s="1"/>
  <c r="J21" i="16" s="1"/>
  <c r="B71" i="16"/>
  <c r="C22" i="14"/>
  <c r="D21" i="14"/>
  <c r="F21" i="14" s="1"/>
  <c r="L21" i="14" l="1"/>
  <c r="P21" i="14" s="1"/>
  <c r="J21" i="14"/>
  <c r="J26" i="17"/>
  <c r="L26" i="17"/>
  <c r="P26" i="17" s="1"/>
  <c r="C28" i="17"/>
  <c r="D27" i="17"/>
  <c r="F27" i="17" s="1"/>
  <c r="L21" i="16"/>
  <c r="P21" i="16" s="1"/>
  <c r="C23" i="16"/>
  <c r="D22" i="16"/>
  <c r="F22" i="16" s="1"/>
  <c r="J22" i="16" s="1"/>
  <c r="B72" i="16"/>
  <c r="C23" i="14"/>
  <c r="D22" i="14"/>
  <c r="F22" i="14" s="1"/>
  <c r="L22" i="14" l="1"/>
  <c r="P22" i="14" s="1"/>
  <c r="J22" i="14"/>
  <c r="L27" i="17"/>
  <c r="P27" i="17" s="1"/>
  <c r="J27" i="17"/>
  <c r="D28" i="17"/>
  <c r="F28" i="17" s="1"/>
  <c r="C29" i="17"/>
  <c r="L22" i="16"/>
  <c r="P22" i="16" s="1"/>
  <c r="C24" i="16"/>
  <c r="D23" i="16"/>
  <c r="F23" i="16" s="1"/>
  <c r="J23" i="16" s="1"/>
  <c r="B73" i="16"/>
  <c r="C24" i="14"/>
  <c r="D23" i="14"/>
  <c r="F23" i="14" s="1"/>
  <c r="L23" i="14" l="1"/>
  <c r="P23" i="14" s="1"/>
  <c r="J23" i="14"/>
  <c r="D29" i="17"/>
  <c r="F29" i="17" s="1"/>
  <c r="C30" i="17"/>
  <c r="H28" i="17"/>
  <c r="L28" i="17"/>
  <c r="L23" i="16"/>
  <c r="P23" i="16" s="1"/>
  <c r="C25" i="16"/>
  <c r="D24" i="16"/>
  <c r="F24" i="16" s="1"/>
  <c r="J24" i="16" s="1"/>
  <c r="C25" i="14"/>
  <c r="D24" i="14"/>
  <c r="F24" i="14" s="1"/>
  <c r="L24" i="14" l="1"/>
  <c r="P24" i="14" s="1"/>
  <c r="J24" i="14"/>
  <c r="D30" i="17"/>
  <c r="F30" i="17" s="1"/>
  <c r="C31" i="17"/>
  <c r="I28" i="17"/>
  <c r="J28" i="17" s="1"/>
  <c r="N28" i="17"/>
  <c r="S28" i="17" s="1"/>
  <c r="L29" i="17"/>
  <c r="J29" i="17"/>
  <c r="C26" i="16"/>
  <c r="D25" i="16"/>
  <c r="F25" i="16" s="1"/>
  <c r="J25" i="16" s="1"/>
  <c r="L24" i="16"/>
  <c r="P24" i="16" s="1"/>
  <c r="C26" i="14"/>
  <c r="D25" i="14"/>
  <c r="F25" i="14" s="1"/>
  <c r="L25" i="14" l="1"/>
  <c r="P25" i="14" s="1"/>
  <c r="J25" i="14"/>
  <c r="L30" i="17"/>
  <c r="J30" i="17"/>
  <c r="O28" i="17"/>
  <c r="P28" i="17" s="1"/>
  <c r="R28" i="17"/>
  <c r="T28" i="17" s="1"/>
  <c r="V28" i="17" s="1"/>
  <c r="AB28" i="17" s="1"/>
  <c r="C32" i="17"/>
  <c r="D31" i="17"/>
  <c r="F31" i="17" s="1"/>
  <c r="L25" i="16"/>
  <c r="P25" i="16" s="1"/>
  <c r="C27" i="16"/>
  <c r="D26" i="16"/>
  <c r="F26" i="16" s="1"/>
  <c r="J26" i="16" s="1"/>
  <c r="D26" i="14"/>
  <c r="F26" i="14" s="1"/>
  <c r="C27" i="14"/>
  <c r="L26" i="14" l="1"/>
  <c r="P26" i="14" s="1"/>
  <c r="J26" i="14"/>
  <c r="J31" i="17"/>
  <c r="L31" i="17"/>
  <c r="P31" i="17" s="1"/>
  <c r="P29" i="17"/>
  <c r="C33" i="17"/>
  <c r="D32" i="17"/>
  <c r="F32" i="17" s="1"/>
  <c r="P30" i="17"/>
  <c r="D27" i="16"/>
  <c r="F27" i="16" s="1"/>
  <c r="J27" i="16" s="1"/>
  <c r="C28" i="16"/>
  <c r="L26" i="16"/>
  <c r="P26" i="16" s="1"/>
  <c r="D27" i="14"/>
  <c r="F27" i="14" s="1"/>
  <c r="C28" i="14"/>
  <c r="L27" i="14" l="1"/>
  <c r="P27" i="14" s="1"/>
  <c r="J27" i="14"/>
  <c r="L32" i="17"/>
  <c r="P32" i="17" s="1"/>
  <c r="J32" i="17"/>
  <c r="D33" i="17"/>
  <c r="F33" i="17" s="1"/>
  <c r="C34" i="17"/>
  <c r="D28" i="16"/>
  <c r="F28" i="16" s="1"/>
  <c r="C29" i="16"/>
  <c r="L27" i="16"/>
  <c r="P27" i="16" s="1"/>
  <c r="D28" i="14"/>
  <c r="F28" i="14" s="1"/>
  <c r="C29" i="14"/>
  <c r="L28" i="14" l="1"/>
  <c r="P28" i="14" s="1"/>
  <c r="J28" i="14"/>
  <c r="D34" i="17"/>
  <c r="F34" i="17" s="1"/>
  <c r="C35" i="17"/>
  <c r="J33" i="17"/>
  <c r="L33" i="17"/>
  <c r="P33" i="17" s="1"/>
  <c r="H28" i="16"/>
  <c r="I28" i="16" s="1"/>
  <c r="J28" i="16" s="1"/>
  <c r="C30" i="16"/>
  <c r="D29" i="16"/>
  <c r="F29" i="16" s="1"/>
  <c r="J29" i="16" s="1"/>
  <c r="L28" i="16"/>
  <c r="D29" i="14"/>
  <c r="F29" i="14" s="1"/>
  <c r="C30" i="14"/>
  <c r="L29" i="14" l="1"/>
  <c r="P29" i="14" s="1"/>
  <c r="J29" i="14"/>
  <c r="N28" i="16"/>
  <c r="O28" i="16" s="1"/>
  <c r="P28" i="16"/>
  <c r="C36" i="17"/>
  <c r="D35" i="17"/>
  <c r="F35" i="17" s="1"/>
  <c r="L34" i="17"/>
  <c r="P34" i="17" s="1"/>
  <c r="J34" i="17"/>
  <c r="L29" i="16"/>
  <c r="P29" i="16" s="1"/>
  <c r="C31" i="16"/>
  <c r="D30" i="16"/>
  <c r="F30" i="16" s="1"/>
  <c r="J30" i="16" s="1"/>
  <c r="D30" i="14"/>
  <c r="F30" i="14" s="1"/>
  <c r="C31" i="14"/>
  <c r="L30" i="14" l="1"/>
  <c r="P30" i="14" s="1"/>
  <c r="J30" i="14"/>
  <c r="J35" i="17"/>
  <c r="L35" i="17"/>
  <c r="P35" i="17" s="1"/>
  <c r="C37" i="17"/>
  <c r="D36" i="17"/>
  <c r="F36" i="17" s="1"/>
  <c r="L30" i="16"/>
  <c r="P30" i="16" s="1"/>
  <c r="C32" i="16"/>
  <c r="D31" i="16"/>
  <c r="F31" i="16" s="1"/>
  <c r="J31" i="16" s="1"/>
  <c r="R28" i="16"/>
  <c r="T28" i="16" s="1"/>
  <c r="V28" i="16" s="1"/>
  <c r="AB28" i="16" s="1"/>
  <c r="S28" i="16"/>
  <c r="D31" i="14"/>
  <c r="F31" i="14" s="1"/>
  <c r="C32" i="14"/>
  <c r="L31" i="14" l="1"/>
  <c r="P31" i="14" s="1"/>
  <c r="J31" i="14"/>
  <c r="D37" i="17"/>
  <c r="F37" i="17" s="1"/>
  <c r="C38" i="17"/>
  <c r="L36" i="17"/>
  <c r="H36" i="17"/>
  <c r="L31" i="16"/>
  <c r="P31" i="16" s="1"/>
  <c r="C33" i="16"/>
  <c r="D32" i="16"/>
  <c r="F32" i="16" s="1"/>
  <c r="J32" i="16" s="1"/>
  <c r="D32" i="14"/>
  <c r="F32" i="14" s="1"/>
  <c r="C33" i="14"/>
  <c r="L32" i="14" l="1"/>
  <c r="P32" i="14" s="1"/>
  <c r="J32" i="14"/>
  <c r="I36" i="17"/>
  <c r="J36" i="17" s="1"/>
  <c r="N36" i="17"/>
  <c r="D38" i="17"/>
  <c r="F38" i="17" s="1"/>
  <c r="C39" i="17"/>
  <c r="L37" i="17"/>
  <c r="J37" i="17"/>
  <c r="L32" i="16"/>
  <c r="P32" i="16" s="1"/>
  <c r="C34" i="16"/>
  <c r="D33" i="16"/>
  <c r="F33" i="16" s="1"/>
  <c r="J33" i="16" s="1"/>
  <c r="D33" i="14"/>
  <c r="F33" i="14" s="1"/>
  <c r="C34" i="14"/>
  <c r="L33" i="14" l="1"/>
  <c r="P33" i="14" s="1"/>
  <c r="J33" i="14"/>
  <c r="O36" i="17"/>
  <c r="P36" i="17" s="1"/>
  <c r="R36" i="17"/>
  <c r="T36" i="17" s="1"/>
  <c r="V36" i="17" s="1"/>
  <c r="AB36" i="17" s="1"/>
  <c r="P37" i="17"/>
  <c r="D39" i="17"/>
  <c r="F39" i="17" s="1"/>
  <c r="C40" i="17"/>
  <c r="S36" i="17"/>
  <c r="J38" i="17"/>
  <c r="L38" i="17"/>
  <c r="P38" i="17" s="1"/>
  <c r="C35" i="16"/>
  <c r="D34" i="16"/>
  <c r="F34" i="16" s="1"/>
  <c r="J34" i="16" s="1"/>
  <c r="L33" i="16"/>
  <c r="P33" i="16" s="1"/>
  <c r="D34" i="14"/>
  <c r="F34" i="14" s="1"/>
  <c r="C35" i="14"/>
  <c r="L34" i="14" l="1"/>
  <c r="P34" i="14" s="1"/>
  <c r="J34" i="14"/>
  <c r="L39" i="17"/>
  <c r="P39" i="17" s="1"/>
  <c r="J39" i="17"/>
  <c r="C41" i="17"/>
  <c r="D40" i="17"/>
  <c r="F40" i="17" s="1"/>
  <c r="L34" i="16"/>
  <c r="P34" i="16" s="1"/>
  <c r="D35" i="16"/>
  <c r="F35" i="16" s="1"/>
  <c r="J35" i="16" s="1"/>
  <c r="C36" i="16"/>
  <c r="D35" i="14"/>
  <c r="F35" i="14" s="1"/>
  <c r="C36" i="14"/>
  <c r="L35" i="14" l="1"/>
  <c r="P35" i="14" s="1"/>
  <c r="J35" i="14"/>
  <c r="J40" i="17"/>
  <c r="L40" i="17"/>
  <c r="P40" i="17" s="1"/>
  <c r="C42" i="17"/>
  <c r="D41" i="17"/>
  <c r="F41" i="17" s="1"/>
  <c r="C37" i="16"/>
  <c r="D36" i="16"/>
  <c r="F36" i="16" s="1"/>
  <c r="H36" i="16" s="1"/>
  <c r="I36" i="16" s="1"/>
  <c r="L35" i="16"/>
  <c r="P35" i="16" s="1"/>
  <c r="D36" i="14"/>
  <c r="F36" i="14" s="1"/>
  <c r="C37" i="14"/>
  <c r="L41" i="17" l="1"/>
  <c r="P41" i="17" s="1"/>
  <c r="J41" i="17"/>
  <c r="D42" i="17"/>
  <c r="F42" i="17" s="1"/>
  <c r="C43" i="17"/>
  <c r="L36" i="14"/>
  <c r="H36" i="14"/>
  <c r="I36" i="14" s="1"/>
  <c r="J36" i="14" s="1"/>
  <c r="L36" i="16"/>
  <c r="D37" i="16"/>
  <c r="F37" i="16" s="1"/>
  <c r="C38" i="16"/>
  <c r="D37" i="14"/>
  <c r="F37" i="14" s="1"/>
  <c r="C38" i="14"/>
  <c r="L37" i="14" l="1"/>
  <c r="J37" i="14"/>
  <c r="N36" i="14"/>
  <c r="O36" i="14" s="1"/>
  <c r="P36" i="14"/>
  <c r="N36" i="16"/>
  <c r="O36" i="16" s="1"/>
  <c r="P36" i="16" s="1"/>
  <c r="D43" i="17"/>
  <c r="F43" i="17" s="1"/>
  <c r="C44" i="17"/>
  <c r="J42" i="17"/>
  <c r="L42" i="17"/>
  <c r="P42" i="17" s="1"/>
  <c r="C39" i="16"/>
  <c r="D38" i="16"/>
  <c r="F38" i="16" s="1"/>
  <c r="L37" i="16"/>
  <c r="P37" i="16" s="1"/>
  <c r="D38" i="14"/>
  <c r="F38" i="14" s="1"/>
  <c r="C39" i="14"/>
  <c r="R36" i="14"/>
  <c r="T36" i="14" s="1"/>
  <c r="V36" i="14" s="1"/>
  <c r="X36" i="14"/>
  <c r="Z36" i="14" s="1"/>
  <c r="L38" i="14" l="1"/>
  <c r="P38" i="14" s="1"/>
  <c r="J38" i="14"/>
  <c r="P37" i="14"/>
  <c r="D44" i="17"/>
  <c r="F44" i="17" s="1"/>
  <c r="C45" i="17"/>
  <c r="L43" i="17"/>
  <c r="P43" i="17" s="1"/>
  <c r="J43" i="17"/>
  <c r="C40" i="16"/>
  <c r="D39" i="16"/>
  <c r="F39" i="16" s="1"/>
  <c r="R36" i="16"/>
  <c r="T36" i="16" s="1"/>
  <c r="V36" i="16" s="1"/>
  <c r="AB36" i="16" s="1"/>
  <c r="L38" i="16"/>
  <c r="P38" i="16" s="1"/>
  <c r="D39" i="14"/>
  <c r="F39" i="14" s="1"/>
  <c r="C40" i="14"/>
  <c r="AB36" i="14"/>
  <c r="S36" i="14"/>
  <c r="L39" i="14" l="1"/>
  <c r="P39" i="14" s="1"/>
  <c r="J39" i="14"/>
  <c r="C46" i="17"/>
  <c r="D45" i="17"/>
  <c r="F45" i="17" s="1"/>
  <c r="H44" i="17"/>
  <c r="L44" i="17"/>
  <c r="L39" i="16"/>
  <c r="P39" i="16" s="1"/>
  <c r="C41" i="16"/>
  <c r="D40" i="16"/>
  <c r="F40" i="16" s="1"/>
  <c r="D40" i="14"/>
  <c r="F40" i="14" s="1"/>
  <c r="C41" i="14"/>
  <c r="L40" i="14" l="1"/>
  <c r="P40" i="14" s="1"/>
  <c r="J40" i="14"/>
  <c r="N44" i="17"/>
  <c r="S44" i="17"/>
  <c r="I44" i="17"/>
  <c r="J44" i="17" s="1"/>
  <c r="L45" i="17"/>
  <c r="C47" i="17"/>
  <c r="D46" i="17"/>
  <c r="F46" i="17" s="1"/>
  <c r="C42" i="16"/>
  <c r="D41" i="16"/>
  <c r="F41" i="16" s="1"/>
  <c r="L40" i="16"/>
  <c r="P40" i="16" s="1"/>
  <c r="D41" i="14"/>
  <c r="F41" i="14" s="1"/>
  <c r="C42" i="14"/>
  <c r="L41" i="14" l="1"/>
  <c r="P41" i="14" s="1"/>
  <c r="J41" i="14"/>
  <c r="L46" i="17"/>
  <c r="J46" i="17"/>
  <c r="D47" i="17"/>
  <c r="F47" i="17" s="1"/>
  <c r="C48" i="17"/>
  <c r="J45" i="17"/>
  <c r="R44" i="17"/>
  <c r="T44" i="17" s="1"/>
  <c r="V44" i="17" s="1"/>
  <c r="AB44" i="17" s="1"/>
  <c r="O44" i="17"/>
  <c r="P44" i="17" s="1"/>
  <c r="L41" i="16"/>
  <c r="P41" i="16" s="1"/>
  <c r="C43" i="16"/>
  <c r="D42" i="16"/>
  <c r="F42" i="16" s="1"/>
  <c r="D42" i="14"/>
  <c r="F42" i="14" s="1"/>
  <c r="C43" i="14"/>
  <c r="L42" i="14" l="1"/>
  <c r="P42" i="14" s="1"/>
  <c r="J42" i="14"/>
  <c r="D48" i="17"/>
  <c r="F48" i="17" s="1"/>
  <c r="C49" i="17"/>
  <c r="L47" i="17"/>
  <c r="P47" i="17" s="1"/>
  <c r="J47" i="17"/>
  <c r="P45" i="17"/>
  <c r="P46" i="17"/>
  <c r="C44" i="16"/>
  <c r="D43" i="16"/>
  <c r="F43" i="16" s="1"/>
  <c r="L42" i="16"/>
  <c r="P42" i="16" s="1"/>
  <c r="D43" i="14"/>
  <c r="F43" i="14" s="1"/>
  <c r="C44" i="14"/>
  <c r="L43" i="14" l="1"/>
  <c r="P43" i="14" s="1"/>
  <c r="J43" i="14"/>
  <c r="C50" i="17"/>
  <c r="D49" i="17"/>
  <c r="F49" i="17" s="1"/>
  <c r="L48" i="17"/>
  <c r="P48" i="17" s="1"/>
  <c r="J48" i="17"/>
  <c r="L43" i="16"/>
  <c r="P43" i="16" s="1"/>
  <c r="D44" i="16"/>
  <c r="F44" i="16" s="1"/>
  <c r="C45" i="16"/>
  <c r="D44" i="14"/>
  <c r="F44" i="14" s="1"/>
  <c r="C45" i="14"/>
  <c r="H44" i="14" l="1"/>
  <c r="I44" i="14" s="1"/>
  <c r="J44" i="14" s="1"/>
  <c r="J49" i="17"/>
  <c r="L49" i="17"/>
  <c r="P49" i="17" s="1"/>
  <c r="C51" i="17"/>
  <c r="D50" i="17"/>
  <c r="F50" i="17" s="1"/>
  <c r="S36" i="16"/>
  <c r="L44" i="14"/>
  <c r="L44" i="16"/>
  <c r="C46" i="16"/>
  <c r="D45" i="16"/>
  <c r="F45" i="16" s="1"/>
  <c r="D45" i="14"/>
  <c r="F45" i="14" s="1"/>
  <c r="C46" i="14"/>
  <c r="N44" i="14" l="1"/>
  <c r="O44" i="14" s="1"/>
  <c r="P44" i="14"/>
  <c r="L45" i="14"/>
  <c r="P45" i="14" s="1"/>
  <c r="J45" i="14"/>
  <c r="N44" i="16"/>
  <c r="O44" i="16" s="1"/>
  <c r="P44" i="16"/>
  <c r="L50" i="17"/>
  <c r="P50" i="17" s="1"/>
  <c r="J50" i="17"/>
  <c r="D51" i="17"/>
  <c r="F51" i="17" s="1"/>
  <c r="C52" i="17"/>
  <c r="J36" i="16"/>
  <c r="J37" i="16"/>
  <c r="J38" i="16"/>
  <c r="J39" i="16"/>
  <c r="J40" i="16"/>
  <c r="J41" i="16"/>
  <c r="J42" i="16"/>
  <c r="J43" i="16"/>
  <c r="H44" i="16"/>
  <c r="I44" i="16" s="1"/>
  <c r="L45" i="16"/>
  <c r="P45" i="16" s="1"/>
  <c r="D46" i="16"/>
  <c r="F46" i="16" s="1"/>
  <c r="C47" i="16"/>
  <c r="D46" i="14"/>
  <c r="F46" i="14" s="1"/>
  <c r="C47" i="14"/>
  <c r="L46" i="14" l="1"/>
  <c r="P46" i="14" s="1"/>
  <c r="J46" i="14"/>
  <c r="D52" i="17"/>
  <c r="F52" i="17" s="1"/>
  <c r="C53" i="17"/>
  <c r="L51" i="17"/>
  <c r="P51" i="17" s="1"/>
  <c r="J51" i="17"/>
  <c r="J44" i="16"/>
  <c r="J46" i="16"/>
  <c r="J45" i="16"/>
  <c r="R44" i="16"/>
  <c r="T44" i="16" s="1"/>
  <c r="V44" i="16" s="1"/>
  <c r="AB44" i="16" s="1"/>
  <c r="C48" i="16"/>
  <c r="D47" i="16"/>
  <c r="F47" i="16" s="1"/>
  <c r="J47" i="16" s="1"/>
  <c r="L46" i="16"/>
  <c r="P46" i="16" s="1"/>
  <c r="R44" i="14"/>
  <c r="T44" i="14" s="1"/>
  <c r="V44" i="14" s="1"/>
  <c r="X44" i="14"/>
  <c r="Z44" i="14" s="1"/>
  <c r="S44" i="14"/>
  <c r="D47" i="14"/>
  <c r="F47" i="14" s="1"/>
  <c r="C48" i="14"/>
  <c r="L47" i="14" l="1"/>
  <c r="P47" i="14" s="1"/>
  <c r="J47" i="14"/>
  <c r="L52" i="17"/>
  <c r="P52" i="17" s="1"/>
  <c r="J52" i="17"/>
  <c r="C54" i="17"/>
  <c r="D53" i="17"/>
  <c r="F53" i="17" s="1"/>
  <c r="L47" i="16"/>
  <c r="P47" i="16" s="1"/>
  <c r="C49" i="16"/>
  <c r="D48" i="16"/>
  <c r="F48" i="16" s="1"/>
  <c r="J48" i="16" s="1"/>
  <c r="S44" i="16"/>
  <c r="AB44" i="14"/>
  <c r="D48" i="14"/>
  <c r="F48" i="14" s="1"/>
  <c r="C49" i="14"/>
  <c r="L48" i="14" l="1"/>
  <c r="P48" i="14" s="1"/>
  <c r="J48" i="14"/>
  <c r="J53" i="17"/>
  <c r="L53" i="17"/>
  <c r="P53" i="17" s="1"/>
  <c r="C55" i="17"/>
  <c r="D54" i="17"/>
  <c r="F54" i="17" s="1"/>
  <c r="L48" i="16"/>
  <c r="P48" i="16" s="1"/>
  <c r="C50" i="16"/>
  <c r="D49" i="16"/>
  <c r="F49" i="16" s="1"/>
  <c r="J49" i="16" s="1"/>
  <c r="D49" i="14"/>
  <c r="F49" i="14" s="1"/>
  <c r="C50" i="14"/>
  <c r="L49" i="14" l="1"/>
  <c r="P49" i="14" s="1"/>
  <c r="J49" i="14"/>
  <c r="L54" i="17"/>
  <c r="P54" i="17" s="1"/>
  <c r="J54" i="17"/>
  <c r="C56" i="17"/>
  <c r="D55" i="17"/>
  <c r="F55" i="17" s="1"/>
  <c r="L49" i="16"/>
  <c r="P49" i="16" s="1"/>
  <c r="C51" i="16"/>
  <c r="D50" i="16"/>
  <c r="F50" i="16" s="1"/>
  <c r="J50" i="16" s="1"/>
  <c r="D50" i="14"/>
  <c r="F50" i="14" s="1"/>
  <c r="C51" i="14"/>
  <c r="L50" i="14" l="1"/>
  <c r="P50" i="14" s="1"/>
  <c r="J50" i="14"/>
  <c r="L55" i="17"/>
  <c r="P55" i="17" s="1"/>
  <c r="J55" i="17"/>
  <c r="C57" i="17"/>
  <c r="D56" i="17"/>
  <c r="F56" i="17" s="1"/>
  <c r="L50" i="16"/>
  <c r="P50" i="16" s="1"/>
  <c r="C52" i="16"/>
  <c r="D51" i="16"/>
  <c r="F51" i="16" s="1"/>
  <c r="J51" i="16" s="1"/>
  <c r="D51" i="14"/>
  <c r="F51" i="14" s="1"/>
  <c r="C52" i="14"/>
  <c r="L51" i="14" l="1"/>
  <c r="P51" i="14" s="1"/>
  <c r="J51" i="14"/>
  <c r="L56" i="17"/>
  <c r="P56" i="17" s="1"/>
  <c r="J56" i="17"/>
  <c r="C58" i="17"/>
  <c r="D57" i="17"/>
  <c r="F57" i="17" s="1"/>
  <c r="L51" i="16"/>
  <c r="P51" i="16" s="1"/>
  <c r="D52" i="16"/>
  <c r="F52" i="16" s="1"/>
  <c r="J52" i="16" s="1"/>
  <c r="C53" i="16"/>
  <c r="D52" i="14"/>
  <c r="F52" i="14" s="1"/>
  <c r="C53" i="14"/>
  <c r="D53" i="14" s="1"/>
  <c r="F53" i="14" s="1"/>
  <c r="H53" i="14" s="1"/>
  <c r="I53" i="14" s="1"/>
  <c r="J53" i="14" s="1"/>
  <c r="L52" i="14" l="1"/>
  <c r="P52" i="14" s="1"/>
  <c r="J52" i="14"/>
  <c r="J57" i="17"/>
  <c r="L57" i="17"/>
  <c r="P57" i="17" s="1"/>
  <c r="C59" i="17"/>
  <c r="D58" i="17"/>
  <c r="F58" i="17" s="1"/>
  <c r="L53" i="14"/>
  <c r="N53" i="14" s="1"/>
  <c r="O53" i="14" s="1"/>
  <c r="P53" i="14" s="1"/>
  <c r="C54" i="16"/>
  <c r="D53" i="16"/>
  <c r="F53" i="16" s="1"/>
  <c r="J53" i="16" s="1"/>
  <c r="L52" i="16"/>
  <c r="P52" i="16" s="1"/>
  <c r="C60" i="17" l="1"/>
  <c r="D59" i="17"/>
  <c r="F59" i="17" s="1"/>
  <c r="H58" i="17"/>
  <c r="L58" i="17"/>
  <c r="L53" i="16"/>
  <c r="P53" i="16" s="1"/>
  <c r="C55" i="16"/>
  <c r="D54" i="16"/>
  <c r="F54" i="16" s="1"/>
  <c r="J54" i="16" s="1"/>
  <c r="L59" i="17" l="1"/>
  <c r="N58" i="17"/>
  <c r="I58" i="17"/>
  <c r="J58" i="17" s="1"/>
  <c r="C61" i="17"/>
  <c r="D60" i="17"/>
  <c r="F60" i="17" s="1"/>
  <c r="L54" i="16"/>
  <c r="P54" i="16" s="1"/>
  <c r="C56" i="16"/>
  <c r="D55" i="16"/>
  <c r="F55" i="16" s="1"/>
  <c r="J55" i="16" s="1"/>
  <c r="J60" i="17" l="1"/>
  <c r="L60" i="17"/>
  <c r="O58" i="17"/>
  <c r="P58" i="17" s="1"/>
  <c r="X58" i="17"/>
  <c r="Z58" i="17" s="1"/>
  <c r="R58" i="17"/>
  <c r="T58" i="17" s="1"/>
  <c r="V58" i="17" s="1"/>
  <c r="C62" i="17"/>
  <c r="D61" i="17"/>
  <c r="F61" i="17" s="1"/>
  <c r="S58" i="17"/>
  <c r="J59" i="17"/>
  <c r="L55" i="16"/>
  <c r="P55" i="16" s="1"/>
  <c r="C57" i="16"/>
  <c r="D56" i="16"/>
  <c r="F56" i="16" s="1"/>
  <c r="J56" i="16" s="1"/>
  <c r="X53" i="14"/>
  <c r="Z53" i="14" s="1"/>
  <c r="R53" i="14"/>
  <c r="T53" i="14" s="1"/>
  <c r="V53" i="14" s="1"/>
  <c r="L61" i="17" l="1"/>
  <c r="P61" i="17" s="1"/>
  <c r="J61" i="17"/>
  <c r="P59" i="17"/>
  <c r="C63" i="17"/>
  <c r="D62" i="17"/>
  <c r="F62" i="17" s="1"/>
  <c r="P60" i="17"/>
  <c r="AB58" i="17"/>
  <c r="L56" i="16"/>
  <c r="P56" i="16" s="1"/>
  <c r="C58" i="16"/>
  <c r="D57" i="16"/>
  <c r="F57" i="16" s="1"/>
  <c r="J57" i="16" s="1"/>
  <c r="S53" i="14"/>
  <c r="AB53" i="14"/>
  <c r="L62" i="17" l="1"/>
  <c r="P62" i="17" s="1"/>
  <c r="J62" i="17"/>
  <c r="C64" i="17"/>
  <c r="D63" i="17"/>
  <c r="F63" i="17" s="1"/>
  <c r="L57" i="16"/>
  <c r="P57" i="16" s="1"/>
  <c r="C59" i="16"/>
  <c r="D58" i="16"/>
  <c r="F58" i="16" s="1"/>
  <c r="H58" i="16" s="1"/>
  <c r="I58" i="16" s="1"/>
  <c r="L63" i="17" l="1"/>
  <c r="P63" i="17" s="1"/>
  <c r="J63" i="17"/>
  <c r="C65" i="17"/>
  <c r="D64" i="17"/>
  <c r="F64" i="17" s="1"/>
  <c r="L58" i="16"/>
  <c r="C60" i="16"/>
  <c r="D59" i="16"/>
  <c r="F59" i="16" s="1"/>
  <c r="J59" i="16" s="1"/>
  <c r="N58" i="16" l="1"/>
  <c r="O58" i="16" s="1"/>
  <c r="P58" i="16"/>
  <c r="J64" i="17"/>
  <c r="L64" i="17"/>
  <c r="P64" i="17" s="1"/>
  <c r="C66" i="17"/>
  <c r="D65" i="17"/>
  <c r="F65" i="17" s="1"/>
  <c r="L59" i="16"/>
  <c r="P59" i="16" s="1"/>
  <c r="C61" i="16"/>
  <c r="D60" i="16"/>
  <c r="F60" i="16" s="1"/>
  <c r="J60" i="16" s="1"/>
  <c r="L65" i="17" l="1"/>
  <c r="P65" i="17" s="1"/>
  <c r="J65" i="17"/>
  <c r="C67" i="17"/>
  <c r="D66" i="17"/>
  <c r="F66" i="17" s="1"/>
  <c r="L60" i="16"/>
  <c r="P60" i="16" s="1"/>
  <c r="C62" i="16"/>
  <c r="D61" i="16"/>
  <c r="F61" i="16" s="1"/>
  <c r="J61" i="16" s="1"/>
  <c r="L66" i="17" l="1"/>
  <c r="P66" i="17" s="1"/>
  <c r="J66" i="17"/>
  <c r="C68" i="17"/>
  <c r="D67" i="17"/>
  <c r="F67" i="17" s="1"/>
  <c r="L61" i="16"/>
  <c r="P61" i="16" s="1"/>
  <c r="C63" i="16"/>
  <c r="D62" i="16"/>
  <c r="F62" i="16" s="1"/>
  <c r="J62" i="16" s="1"/>
  <c r="X58" i="16"/>
  <c r="Z58" i="16" s="1"/>
  <c r="R58" i="16"/>
  <c r="T58" i="16" s="1"/>
  <c r="V58" i="16" s="1"/>
  <c r="L67" i="17" l="1"/>
  <c r="P67" i="17" s="1"/>
  <c r="J67" i="17"/>
  <c r="C69" i="17"/>
  <c r="D68" i="17"/>
  <c r="F68" i="17" s="1"/>
  <c r="AB58" i="16"/>
  <c r="L62" i="16"/>
  <c r="P62" i="16" s="1"/>
  <c r="C64" i="16"/>
  <c r="D63" i="16"/>
  <c r="F63" i="16" s="1"/>
  <c r="J63" i="16" s="1"/>
  <c r="S58" i="16"/>
  <c r="J68" i="17" l="1"/>
  <c r="L68" i="17"/>
  <c r="P68" i="17" s="1"/>
  <c r="C70" i="17"/>
  <c r="D69" i="17"/>
  <c r="F69" i="17" s="1"/>
  <c r="J58" i="16"/>
  <c r="C65" i="16"/>
  <c r="D64" i="16"/>
  <c r="F64" i="16" s="1"/>
  <c r="J64" i="16" s="1"/>
  <c r="L63" i="16"/>
  <c r="P63" i="16" s="1"/>
  <c r="L69" i="17" l="1"/>
  <c r="P69" i="17" s="1"/>
  <c r="J69" i="17"/>
  <c r="C71" i="17"/>
  <c r="D70" i="17"/>
  <c r="F70" i="17" s="1"/>
  <c r="L64" i="16"/>
  <c r="P64" i="16" s="1"/>
  <c r="C66" i="16"/>
  <c r="D65" i="16"/>
  <c r="F65" i="16" s="1"/>
  <c r="J65" i="16" s="1"/>
  <c r="L70" i="17" l="1"/>
  <c r="P70" i="17" s="1"/>
  <c r="J70" i="17"/>
  <c r="C72" i="17"/>
  <c r="D71" i="17"/>
  <c r="F71" i="17" s="1"/>
  <c r="L65" i="16"/>
  <c r="P65" i="16" s="1"/>
  <c r="C67" i="16"/>
  <c r="D66" i="16"/>
  <c r="F66" i="16" s="1"/>
  <c r="J66" i="16" s="1"/>
  <c r="C73" i="17" l="1"/>
  <c r="D73" i="17" s="1"/>
  <c r="F73" i="17" s="1"/>
  <c r="D72" i="17"/>
  <c r="F72" i="17" s="1"/>
  <c r="L71" i="17"/>
  <c r="P71" i="17" s="1"/>
  <c r="J71" i="17"/>
  <c r="L66" i="16"/>
  <c r="P66" i="16" s="1"/>
  <c r="C68" i="16"/>
  <c r="D67" i="16"/>
  <c r="F67" i="16" s="1"/>
  <c r="J67" i="16" s="1"/>
  <c r="J72" i="17" l="1"/>
  <c r="L72" i="17"/>
  <c r="P72" i="17" s="1"/>
  <c r="H73" i="17"/>
  <c r="L73" i="17"/>
  <c r="C69" i="16"/>
  <c r="D68" i="16"/>
  <c r="F68" i="16" s="1"/>
  <c r="J68" i="16" s="1"/>
  <c r="L67" i="16"/>
  <c r="P67" i="16" s="1"/>
  <c r="N73" i="17" l="1"/>
  <c r="I73" i="17"/>
  <c r="J73" i="17" s="1"/>
  <c r="S73" i="17"/>
  <c r="L68" i="16"/>
  <c r="P68" i="16" s="1"/>
  <c r="C70" i="16"/>
  <c r="D69" i="16"/>
  <c r="F69" i="16" s="1"/>
  <c r="J69" i="16" s="1"/>
  <c r="O73" i="17" l="1"/>
  <c r="P73" i="17" s="1"/>
  <c r="X73" i="17"/>
  <c r="Z73" i="17" s="1"/>
  <c r="R73" i="17"/>
  <c r="T73" i="17" s="1"/>
  <c r="V73" i="17" s="1"/>
  <c r="AB73" i="17" s="1"/>
  <c r="C71" i="16"/>
  <c r="D70" i="16"/>
  <c r="F70" i="16" s="1"/>
  <c r="J70" i="16" s="1"/>
  <c r="L69" i="16"/>
  <c r="P69" i="16" s="1"/>
  <c r="L70" i="16" l="1"/>
  <c r="P70" i="16" s="1"/>
  <c r="C72" i="16"/>
  <c r="D71" i="16"/>
  <c r="F71" i="16" s="1"/>
  <c r="J71" i="16" s="1"/>
  <c r="L71" i="16" l="1"/>
  <c r="P71" i="16" s="1"/>
  <c r="C73" i="16"/>
  <c r="D73" i="16" s="1"/>
  <c r="F73" i="16" s="1"/>
  <c r="H73" i="16" s="1"/>
  <c r="I73" i="16" s="1"/>
  <c r="D72" i="16"/>
  <c r="F72" i="16" s="1"/>
  <c r="J72" i="16" s="1"/>
  <c r="L72" i="16" l="1"/>
  <c r="P72" i="16" s="1"/>
  <c r="L73" i="16"/>
  <c r="N73" i="16" s="1"/>
  <c r="O73" i="16" s="1"/>
  <c r="P73" i="16" s="1"/>
  <c r="S73" i="16" l="1"/>
  <c r="X73" i="16"/>
  <c r="Z73" i="16" s="1"/>
  <c r="R73" i="16"/>
  <c r="T73" i="16" s="1"/>
  <c r="V73" i="16" s="1"/>
  <c r="AB73" i="16" s="1"/>
  <c r="J73" i="16"/>
  <c r="AK4" i="7" l="1"/>
  <c r="AK5" i="7"/>
  <c r="AK6" i="7"/>
  <c r="AK7" i="7"/>
  <c r="AK8" i="7"/>
  <c r="AK9" i="7"/>
  <c r="AK10" i="7"/>
  <c r="AK11" i="7"/>
  <c r="AK12" i="7"/>
  <c r="AK13" i="7"/>
  <c r="AK14" i="7"/>
  <c r="AK15" i="7"/>
  <c r="AK16" i="7"/>
  <c r="AK17" i="7"/>
  <c r="AK18" i="7"/>
  <c r="AK19" i="7"/>
  <c r="AK20" i="7"/>
  <c r="AK21" i="7"/>
  <c r="AK22" i="7"/>
  <c r="AK23" i="7"/>
  <c r="AK24" i="7"/>
  <c r="AK25" i="7"/>
  <c r="AK26" i="7"/>
  <c r="AK27" i="7"/>
  <c r="AK28" i="7"/>
  <c r="AK29" i="7"/>
  <c r="AK30" i="7"/>
  <c r="AK31" i="7"/>
  <c r="AK32" i="7"/>
  <c r="AK33" i="7"/>
  <c r="AK34" i="7"/>
  <c r="AK35" i="7"/>
  <c r="AK37" i="7"/>
  <c r="AK38" i="7"/>
  <c r="AK39" i="7"/>
  <c r="AK40" i="7"/>
  <c r="AK41" i="7"/>
  <c r="AK42" i="7"/>
  <c r="AK43" i="7"/>
  <c r="AK45" i="7"/>
  <c r="AK46" i="7"/>
  <c r="AK47" i="7"/>
  <c r="AK48" i="7"/>
  <c r="AK49" i="7"/>
  <c r="AK50" i="7"/>
  <c r="AK51" i="7"/>
  <c r="AK52" i="7"/>
  <c r="AK53" i="7"/>
  <c r="AK54" i="7"/>
  <c r="AK55" i="7"/>
  <c r="AK56" i="7"/>
  <c r="AK57" i="7"/>
  <c r="AK59" i="7"/>
  <c r="AK60" i="7"/>
  <c r="AK61" i="7"/>
  <c r="AK62" i="7"/>
  <c r="AK63" i="7"/>
  <c r="AK64" i="7"/>
  <c r="AK65" i="7"/>
  <c r="AK66" i="7"/>
  <c r="AK67" i="7"/>
  <c r="AK68" i="7"/>
  <c r="AK69" i="7"/>
  <c r="AK70" i="7"/>
  <c r="AK71" i="7"/>
  <c r="AK74" i="7"/>
  <c r="AK75" i="7"/>
  <c r="AK76" i="7"/>
  <c r="AK77" i="7"/>
  <c r="AK78" i="7"/>
  <c r="AK79" i="7"/>
  <c r="AK80" i="7"/>
  <c r="AK81" i="7"/>
  <c r="AK82" i="7"/>
  <c r="AK83" i="7"/>
  <c r="AK84" i="7"/>
  <c r="AK85" i="7"/>
  <c r="AK87" i="7"/>
  <c r="AK88" i="7"/>
  <c r="AK89" i="7"/>
  <c r="AK90" i="7"/>
  <c r="AK91" i="7"/>
  <c r="AK92" i="7"/>
  <c r="AK93" i="7"/>
  <c r="AK94" i="7"/>
  <c r="AK95" i="7"/>
  <c r="AK96" i="7"/>
  <c r="AK97" i="7"/>
  <c r="AK98" i="7"/>
  <c r="AK99" i="7"/>
  <c r="AK101" i="7"/>
  <c r="AK102" i="7"/>
  <c r="AK103" i="7"/>
  <c r="AK104" i="7"/>
  <c r="AK105" i="7"/>
  <c r="AK106" i="7"/>
  <c r="AK107" i="7"/>
  <c r="AK108" i="7"/>
  <c r="AK109" i="7"/>
  <c r="AK110" i="7"/>
  <c r="AK111" i="7"/>
  <c r="AK112" i="7"/>
  <c r="AK113" i="7"/>
  <c r="AK115" i="7"/>
  <c r="AK116" i="7"/>
  <c r="AK117" i="7"/>
  <c r="AK118" i="7"/>
  <c r="AK119" i="7"/>
  <c r="AK120" i="7"/>
  <c r="AK121" i="7"/>
  <c r="AK122" i="7"/>
  <c r="AK123" i="7"/>
  <c r="AK124" i="7"/>
  <c r="AK125" i="7"/>
  <c r="AK126" i="7"/>
  <c r="AK127" i="7"/>
  <c r="AK129" i="7"/>
  <c r="AK130" i="7"/>
  <c r="AK131" i="7"/>
  <c r="AK132" i="7"/>
  <c r="AK133" i="7"/>
  <c r="AK134" i="7"/>
  <c r="AK135" i="7"/>
  <c r="AK136" i="7"/>
  <c r="AK137" i="7"/>
  <c r="AK138" i="7"/>
  <c r="AK139" i="7"/>
  <c r="AK140" i="7"/>
  <c r="AK141" i="7"/>
  <c r="AK142" i="7"/>
  <c r="AK3" i="7"/>
  <c r="D8" i="13"/>
  <c r="E8" i="13" s="1"/>
  <c r="C11" i="13" s="1"/>
  <c r="I3" i="13"/>
  <c r="I4" i="13" s="1"/>
  <c r="H3" i="13"/>
  <c r="H4" i="13" s="1"/>
  <c r="D3" i="13"/>
  <c r="D4" i="13" l="1"/>
  <c r="E3" i="13"/>
  <c r="F3" i="13" s="1"/>
  <c r="F4" i="13" s="1"/>
  <c r="D8" i="4"/>
  <c r="E8" i="4" s="1"/>
  <c r="C11" i="4" s="1"/>
  <c r="I3" i="4"/>
  <c r="I4" i="4" s="1"/>
  <c r="H3" i="4"/>
  <c r="H4" i="4" s="1"/>
  <c r="D3" i="4"/>
  <c r="D4" i="4" s="1"/>
  <c r="G3" i="13" l="1"/>
  <c r="G4" i="13" s="1"/>
  <c r="E4" i="13"/>
  <c r="E3" i="4"/>
  <c r="J3" i="13" l="1"/>
  <c r="J4" i="13" s="1"/>
  <c r="B11" i="13" s="1"/>
  <c r="D11" i="13" s="1"/>
  <c r="E4" i="4"/>
  <c r="F3" i="4"/>
  <c r="F4" i="4" s="1"/>
  <c r="G3" i="4" l="1"/>
  <c r="G4" i="4" s="1"/>
  <c r="J3" i="4" l="1"/>
  <c r="J4" i="4" l="1"/>
  <c r="B11" i="4" s="1"/>
  <c r="D11" i="4" s="1"/>
  <c r="C15" i="4" s="1"/>
  <c r="D15" i="4" l="1"/>
  <c r="D16" i="4" s="1"/>
  <c r="C16" i="4"/>
  <c r="J36" i="7" l="1"/>
  <c r="K36" i="7" l="1"/>
  <c r="I44" i="7"/>
  <c r="K41" i="7"/>
  <c r="K40" i="7"/>
  <c r="K43" i="7"/>
  <c r="K42" i="7"/>
  <c r="K39" i="7"/>
  <c r="K38" i="7"/>
  <c r="K37" i="7"/>
  <c r="AB36" i="7"/>
  <c r="AA36" i="7"/>
  <c r="AC36" i="7" l="1"/>
  <c r="AE36" i="7" s="1"/>
  <c r="AK36" i="7" s="1"/>
  <c r="J44" i="7" l="1"/>
  <c r="I58" i="7" l="1"/>
  <c r="K57" i="7"/>
  <c r="K44" i="7"/>
  <c r="K53" i="7"/>
  <c r="K49" i="7"/>
  <c r="K45" i="7"/>
  <c r="K47" i="7"/>
  <c r="K46" i="7"/>
  <c r="K56" i="7"/>
  <c r="K52" i="7"/>
  <c r="K48" i="7"/>
  <c r="K54" i="7"/>
  <c r="K55" i="7"/>
  <c r="K51" i="7"/>
  <c r="K50" i="7"/>
  <c r="AA44" i="7" l="1"/>
  <c r="AB44" i="7"/>
  <c r="AC44" i="7" l="1"/>
  <c r="AE44" i="7" s="1"/>
  <c r="AK44" i="7" s="1"/>
  <c r="J58" i="7" l="1"/>
  <c r="I73" i="7" s="1"/>
  <c r="K58" i="7" l="1"/>
  <c r="K72" i="7"/>
  <c r="K68" i="7"/>
  <c r="K64" i="7"/>
  <c r="K60" i="7"/>
  <c r="K71" i="7"/>
  <c r="K67" i="7"/>
  <c r="K63" i="7"/>
  <c r="K59" i="7"/>
  <c r="K70" i="7"/>
  <c r="K66" i="7"/>
  <c r="K62" i="7"/>
  <c r="K69" i="7"/>
  <c r="K65" i="7"/>
  <c r="K61" i="7"/>
  <c r="AG58" i="7" l="1"/>
  <c r="AI58" i="7" s="1"/>
  <c r="T58" i="7"/>
  <c r="AA58" i="7"/>
  <c r="AB58" i="7"/>
  <c r="U58" i="7" l="1"/>
  <c r="W58" i="7"/>
  <c r="AC58" i="7"/>
  <c r="AE58" i="7" s="1"/>
  <c r="AK58" i="7" l="1"/>
  <c r="J73" i="7" l="1"/>
  <c r="I86" i="7" s="1"/>
  <c r="K73" i="7" l="1"/>
  <c r="K84" i="7"/>
  <c r="K80" i="7"/>
  <c r="K76" i="7"/>
  <c r="K83" i="7"/>
  <c r="K79" i="7"/>
  <c r="K75" i="7"/>
  <c r="K82" i="7"/>
  <c r="K78" i="7"/>
  <c r="K74" i="7"/>
  <c r="K85" i="7"/>
  <c r="K81" i="7"/>
  <c r="K77" i="7"/>
  <c r="AG73" i="7" l="1"/>
  <c r="AI73" i="7" s="1"/>
  <c r="AA73" i="7"/>
  <c r="T73" i="7"/>
  <c r="AB73" i="7"/>
  <c r="AC73" i="7" l="1"/>
  <c r="AE73" i="7" s="1"/>
  <c r="U73" i="7"/>
  <c r="W73" i="7"/>
  <c r="AK72" i="7"/>
  <c r="AK73" i="7" l="1"/>
  <c r="J86" i="7" l="1"/>
  <c r="I100" i="7" s="1"/>
  <c r="K86" i="7" l="1"/>
  <c r="K96" i="7"/>
  <c r="K92" i="7"/>
  <c r="K88" i="7"/>
  <c r="K99" i="7"/>
  <c r="K95" i="7"/>
  <c r="K91" i="7"/>
  <c r="K87" i="7"/>
  <c r="K98" i="7"/>
  <c r="K94" i="7"/>
  <c r="K90" i="7"/>
  <c r="K89" i="7"/>
  <c r="K97" i="7"/>
  <c r="K93" i="7"/>
  <c r="AA86" i="7" l="1"/>
  <c r="AG86" i="7"/>
  <c r="AI86" i="7" s="1"/>
  <c r="T86" i="7"/>
  <c r="AB86" i="7"/>
  <c r="AC86" i="7" l="1"/>
  <c r="AE86" i="7" s="1"/>
  <c r="W86" i="7"/>
  <c r="U86" i="7"/>
  <c r="AK86" i="7" l="1"/>
  <c r="J100" i="7" l="1"/>
  <c r="I114" i="7" s="1"/>
  <c r="K100" i="7" l="1"/>
  <c r="K112" i="7"/>
  <c r="K108" i="7"/>
  <c r="K104" i="7"/>
  <c r="K111" i="7"/>
  <c r="K107" i="7"/>
  <c r="K103" i="7"/>
  <c r="K110" i="7"/>
  <c r="K106" i="7"/>
  <c r="K102" i="7"/>
  <c r="K105" i="7"/>
  <c r="K101" i="7"/>
  <c r="K113" i="7"/>
  <c r="K109" i="7"/>
  <c r="T100" i="7" l="1"/>
  <c r="AA100" i="7"/>
  <c r="AG100" i="7"/>
  <c r="AI100" i="7" s="1"/>
  <c r="AB100" i="7"/>
  <c r="AC100" i="7" l="1"/>
  <c r="AE100" i="7" s="1"/>
  <c r="W100" i="7"/>
  <c r="U100" i="7"/>
  <c r="AK100" i="7" l="1"/>
  <c r="J114" i="7" l="1"/>
  <c r="I128" i="7" s="1"/>
  <c r="K114" i="7" l="1"/>
  <c r="K124" i="7"/>
  <c r="K120" i="7"/>
  <c r="K116" i="7"/>
  <c r="K127" i="7"/>
  <c r="K123" i="7"/>
  <c r="K119" i="7"/>
  <c r="K115" i="7"/>
  <c r="K126" i="7"/>
  <c r="K122" i="7"/>
  <c r="K118" i="7"/>
  <c r="K121" i="7"/>
  <c r="K125" i="7"/>
  <c r="K117" i="7"/>
  <c r="T114" i="7" l="1"/>
  <c r="AA114" i="7"/>
  <c r="AG114" i="7"/>
  <c r="AI114" i="7" s="1"/>
  <c r="AB114" i="7"/>
  <c r="AC114" i="7" l="1"/>
  <c r="AE114" i="7" s="1"/>
  <c r="W114" i="7"/>
  <c r="U114" i="7"/>
  <c r="AK114" i="7" l="1"/>
  <c r="J128" i="7" l="1"/>
  <c r="I143" i="7" s="1"/>
  <c r="K128" i="7" l="1"/>
  <c r="K140" i="7"/>
  <c r="K136" i="7"/>
  <c r="K132" i="7"/>
  <c r="K139" i="7"/>
  <c r="K135" i="7"/>
  <c r="K131" i="7"/>
  <c r="K142" i="7"/>
  <c r="K138" i="7"/>
  <c r="K134" i="7"/>
  <c r="K130" i="7"/>
  <c r="K137" i="7"/>
  <c r="K133" i="7"/>
  <c r="K129" i="7"/>
  <c r="K141" i="7"/>
  <c r="T128" i="7" l="1"/>
  <c r="AA128" i="7"/>
  <c r="AG128" i="7"/>
  <c r="AI128" i="7" s="1"/>
  <c r="AB128" i="7"/>
  <c r="AC128" i="7" l="1"/>
  <c r="AE128" i="7" s="1"/>
  <c r="U128" i="7"/>
  <c r="W128" i="7"/>
  <c r="AK128" i="7" l="1"/>
  <c r="K144" i="7" l="1"/>
  <c r="J143" i="7"/>
  <c r="K143" i="7" s="1"/>
  <c r="AA143" i="7" l="1"/>
  <c r="T143" i="7"/>
  <c r="AG143" i="7"/>
  <c r="AI143" i="7" s="1"/>
  <c r="AB143" i="7"/>
  <c r="AC143" i="7" l="1"/>
  <c r="AE143" i="7" s="1"/>
  <c r="W143" i="7"/>
  <c r="U143" i="7"/>
  <c r="AK143" i="7" l="1"/>
</calcChain>
</file>

<file path=xl/sharedStrings.xml><?xml version="1.0" encoding="utf-8"?>
<sst xmlns="http://schemas.openxmlformats.org/spreadsheetml/2006/main" count="159" uniqueCount="66">
  <si>
    <t>Total</t>
  </si>
  <si>
    <t>Année</t>
  </si>
  <si>
    <t>% Prélèvement</t>
  </si>
  <si>
    <t>Tonne</t>
  </si>
  <si>
    <t>% Panneau</t>
  </si>
  <si>
    <t>% Pâte à papier</t>
  </si>
  <si>
    <t>Stères</t>
  </si>
  <si>
    <t xml:space="preserve"> </t>
  </si>
  <si>
    <t>Biomasse aérienne - infradensité</t>
  </si>
  <si>
    <t>Biomasse racinaire</t>
  </si>
  <si>
    <t>Stock Total Projet</t>
  </si>
  <si>
    <t>Chêne sessile</t>
  </si>
  <si>
    <t>Total Stock Référence</t>
  </si>
  <si>
    <t>Stock Référence CO2</t>
  </si>
  <si>
    <t>Différence stock moyen à 30 ans / RE générables</t>
  </si>
  <si>
    <t>Stock Projet</t>
  </si>
  <si>
    <t>Stock référence</t>
  </si>
  <si>
    <t>Rabais Risque non maitrisable</t>
  </si>
  <si>
    <t>Total carbone (Ba+ BR) * Tx dans la matière sèche</t>
  </si>
  <si>
    <t>Stock sol (S)</t>
  </si>
  <si>
    <t>Stock Litière (L)</t>
  </si>
  <si>
    <t>Constante carbone agricole (t C/ha)</t>
  </si>
  <si>
    <t>Surface Projet (ha)</t>
  </si>
  <si>
    <t>Surface plantée (ha)</t>
  </si>
  <si>
    <t>Volume Total surface totale projet</t>
  </si>
  <si>
    <t>Volume (m3) / tige</t>
  </si>
  <si>
    <t>Hauteur totale (m) / tige</t>
  </si>
  <si>
    <t>Circonférence (m) / tige</t>
  </si>
  <si>
    <t xml:space="preserve">Total REA Forêt </t>
  </si>
  <si>
    <t>Diamètre (m) / tige</t>
  </si>
  <si>
    <t>Circonférence</t>
  </si>
  <si>
    <t xml:space="preserve">volume Total /ha </t>
  </si>
  <si>
    <t>Différence stock moyen long terme</t>
  </si>
  <si>
    <t>Calculs REA Forêt</t>
  </si>
  <si>
    <t xml:space="preserve">Stock scenario de référence </t>
  </si>
  <si>
    <t>REA</t>
  </si>
  <si>
    <t>Total Projet</t>
  </si>
  <si>
    <t>Total / ha</t>
  </si>
  <si>
    <t>Total  REA générables</t>
  </si>
  <si>
    <t>Total REA forêt générables</t>
  </si>
  <si>
    <t>Stock moyen Long terme</t>
  </si>
  <si>
    <t>Vol BI (m3)</t>
  </si>
  <si>
    <t>Vol BE (m3)</t>
  </si>
  <si>
    <t>Vol grume (m3)</t>
  </si>
  <si>
    <t>Prix unitaire BI (€)</t>
  </si>
  <si>
    <t>Prix vente BI (€)</t>
  </si>
  <si>
    <t>Volume BE Houppiers (m3)</t>
  </si>
  <si>
    <t>Prix unitaire stère (€)</t>
  </si>
  <si>
    <t>Prix vente total stère (€)</t>
  </si>
  <si>
    <t>Prix m3 grume unitaire (€)</t>
  </si>
  <si>
    <t>Prix grume total (€)</t>
  </si>
  <si>
    <t>Revenus totaux (€)</t>
  </si>
  <si>
    <t>Volume Eclaircies (m3) / ha</t>
  </si>
  <si>
    <t>Volume (m3)  1475 tiges / ha</t>
  </si>
  <si>
    <t>Volume bois fort Eclaircies (m3) / ha</t>
  </si>
  <si>
    <t xml:space="preserve"> Cumul volumes bois fort éclaircies (m3) / ha</t>
  </si>
  <si>
    <t>Volume total sur pied (m3)  / ha</t>
  </si>
  <si>
    <t>Cumul volume éclaircies (m3) / ha</t>
  </si>
  <si>
    <t>Volume Bois fort (m3)  /ha</t>
  </si>
  <si>
    <t>Volume bois fort sur pied (m3)/ ha</t>
  </si>
  <si>
    <t>Volume  total (m3) 182 tiges</t>
  </si>
  <si>
    <t>Volume  total (m3) 61 tiges</t>
  </si>
  <si>
    <t>Production Alisier torminal</t>
  </si>
  <si>
    <t>Production Cormier</t>
  </si>
  <si>
    <t>Production Noyer</t>
  </si>
  <si>
    <t>Production Chêne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</si>
</sst>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0.0"/>
    <numFmt numFmtId="166" formatCode="0.000"/>
    <numFmt numFmtId="167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4">
    <xf numFmtId="0" fontId="0" fillId="0" borderId="0" xfId="0"/>
    <xf numFmtId="0" fontId="0" fillId="0" borderId="0" xfId="0" applyAlignment="1">
      <alignment wrapText="1"/>
    </xf>
    <xf numFmtId="0" fontId="2" fillId="0" borderId="21" xfId="0" applyFont="1" applyBorder="1" applyAlignment="1">
      <alignment horizont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7" xfId="0" applyBorder="1" applyAlignment="1">
      <alignment horizontal="center" vertical="center" wrapText="1"/>
    </xf>
    <xf numFmtId="0" fontId="0" fillId="0" borderId="0" xfId="0" applyBorder="1"/>
    <xf numFmtId="0" fontId="2" fillId="0" borderId="0" xfId="0" applyFont="1"/>
    <xf numFmtId="0" fontId="2" fillId="3" borderId="31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164" fontId="0" fillId="0" borderId="20" xfId="0" applyNumberFormat="1" applyBorder="1"/>
    <xf numFmtId="164" fontId="0" fillId="0" borderId="21" xfId="0" applyNumberFormat="1" applyBorder="1"/>
    <xf numFmtId="0" fontId="2" fillId="6" borderId="23" xfId="0" applyFont="1" applyFill="1" applyBorder="1" applyAlignment="1">
      <alignment horizontal="center" vertical="center" wrapText="1"/>
    </xf>
    <xf numFmtId="0" fontId="2" fillId="6" borderId="38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2" fillId="6" borderId="39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8" borderId="19" xfId="0" applyFont="1" applyFill="1" applyBorder="1" applyAlignment="1">
      <alignment horizontal="center" vertical="center" wrapText="1"/>
    </xf>
    <xf numFmtId="0" fontId="2" fillId="8" borderId="39" xfId="0" applyFont="1" applyFill="1" applyBorder="1" applyAlignment="1">
      <alignment horizontal="center" vertical="center" wrapText="1"/>
    </xf>
    <xf numFmtId="0" fontId="2" fillId="8" borderId="21" xfId="0" applyFont="1" applyFill="1" applyBorder="1" applyAlignment="1">
      <alignment horizontal="center" vertical="center" wrapText="1"/>
    </xf>
    <xf numFmtId="2" fontId="0" fillId="9" borderId="11" xfId="0" applyNumberFormat="1" applyFill="1" applyBorder="1" applyAlignment="1">
      <alignment wrapText="1"/>
    </xf>
    <xf numFmtId="2" fontId="0" fillId="9" borderId="11" xfId="0" applyNumberFormat="1" applyFill="1" applyBorder="1"/>
    <xf numFmtId="2" fontId="0" fillId="9" borderId="12" xfId="0" applyNumberFormat="1" applyFill="1" applyBorder="1" applyAlignment="1">
      <alignment wrapText="1"/>
    </xf>
    <xf numFmtId="2" fontId="0" fillId="5" borderId="0" xfId="0" applyNumberFormat="1" applyFill="1" applyAlignment="1">
      <alignment wrapText="1"/>
    </xf>
    <xf numFmtId="2" fontId="4" fillId="0" borderId="40" xfId="0" applyNumberFormat="1" applyFont="1" applyBorder="1" applyAlignment="1">
      <alignment wrapText="1"/>
    </xf>
    <xf numFmtId="9" fontId="0" fillId="0" borderId="15" xfId="1" applyFont="1" applyBorder="1" applyAlignment="1">
      <alignment wrapText="1"/>
    </xf>
    <xf numFmtId="2" fontId="0" fillId="0" borderId="11" xfId="0" applyNumberFormat="1" applyBorder="1" applyAlignment="1">
      <alignment wrapText="1"/>
    </xf>
    <xf numFmtId="2" fontId="0" fillId="0" borderId="11" xfId="0" applyNumberFormat="1" applyBorder="1"/>
    <xf numFmtId="2" fontId="0" fillId="0" borderId="41" xfId="0" applyNumberFormat="1" applyBorder="1" applyAlignment="1">
      <alignment wrapText="1"/>
    </xf>
    <xf numFmtId="2" fontId="0" fillId="5" borderId="17" xfId="0" applyNumberFormat="1" applyFill="1" applyBorder="1" applyAlignment="1">
      <alignment wrapText="1"/>
    </xf>
    <xf numFmtId="0" fontId="0" fillId="4" borderId="9" xfId="0" applyFill="1" applyBorder="1" applyAlignment="1">
      <alignment horizontal="right" vertical="center" wrapText="1"/>
    </xf>
    <xf numFmtId="2" fontId="0" fillId="4" borderId="15" xfId="0" applyNumberFormat="1" applyFill="1" applyBorder="1" applyAlignment="1">
      <alignment horizontal="right" vertical="center" wrapText="1"/>
    </xf>
    <xf numFmtId="164" fontId="0" fillId="4" borderId="11" xfId="0" applyNumberFormat="1" applyFill="1" applyBorder="1" applyAlignment="1">
      <alignment horizontal="right" vertical="center" wrapText="1"/>
    </xf>
    <xf numFmtId="164" fontId="0" fillId="4" borderId="42" xfId="0" applyNumberFormat="1" applyFill="1" applyBorder="1" applyAlignment="1">
      <alignment horizontal="right" vertical="center" wrapText="1"/>
    </xf>
    <xf numFmtId="10" fontId="0" fillId="7" borderId="11" xfId="0" applyNumberFormat="1" applyFill="1" applyBorder="1" applyAlignment="1">
      <alignment horizontal="right" vertical="center" wrapText="1"/>
    </xf>
    <xf numFmtId="10" fontId="0" fillId="7" borderId="12" xfId="0" applyNumberFormat="1" applyFill="1" applyBorder="1" applyAlignment="1">
      <alignment horizontal="right" vertical="center" wrapText="1"/>
    </xf>
    <xf numFmtId="164" fontId="0" fillId="5" borderId="17" xfId="0" applyNumberFormat="1" applyFill="1" applyBorder="1" applyAlignment="1">
      <alignment horizontal="right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0" fillId="3" borderId="15" xfId="0" applyNumberForma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164" fontId="2" fillId="3" borderId="41" xfId="0" applyNumberFormat="1" applyFont="1" applyFill="1" applyBorder="1" applyAlignment="1">
      <alignment horizontal="center" vertical="center" wrapText="1"/>
    </xf>
    <xf numFmtId="164" fontId="2" fillId="5" borderId="17" xfId="0" applyNumberFormat="1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164" fontId="2" fillId="8" borderId="41" xfId="0" applyNumberFormat="1" applyFont="1" applyFill="1" applyBorder="1" applyAlignment="1">
      <alignment horizontal="center" vertical="center" wrapText="1"/>
    </xf>
    <xf numFmtId="164" fontId="2" fillId="8" borderId="2" xfId="0" applyNumberFormat="1" applyFont="1" applyFill="1" applyBorder="1" applyAlignment="1">
      <alignment horizontal="center" vertical="center" wrapText="1"/>
    </xf>
    <xf numFmtId="2" fontId="0" fillId="4" borderId="3" xfId="0" applyNumberFormat="1" applyFill="1" applyBorder="1" applyAlignment="1">
      <alignment horizontal="right" wrapText="1"/>
    </xf>
    <xf numFmtId="164" fontId="0" fillId="4" borderId="1" xfId="0" applyNumberFormat="1" applyFill="1" applyBorder="1" applyAlignment="1">
      <alignment horizontal="right" wrapText="1"/>
    </xf>
    <xf numFmtId="164" fontId="0" fillId="4" borderId="29" xfId="0" applyNumberFormat="1" applyFill="1" applyBorder="1" applyAlignment="1">
      <alignment horizontal="right" wrapText="1"/>
    </xf>
    <xf numFmtId="10" fontId="0" fillId="7" borderId="1" xfId="0" applyNumberFormat="1" applyFill="1" applyBorder="1" applyAlignment="1">
      <alignment horizontal="right" wrapText="1"/>
    </xf>
    <xf numFmtId="10" fontId="0" fillId="7" borderId="4" xfId="0" applyNumberFormat="1" applyFill="1" applyBorder="1" applyAlignment="1">
      <alignment horizontal="right" wrapText="1"/>
    </xf>
    <xf numFmtId="164" fontId="0" fillId="5" borderId="17" xfId="0" applyNumberFormat="1" applyFill="1" applyBorder="1" applyAlignment="1">
      <alignment horizontal="right" wrapText="1"/>
    </xf>
    <xf numFmtId="2" fontId="0" fillId="3" borderId="13" xfId="0" applyNumberFormat="1" applyFill="1" applyBorder="1" applyAlignment="1">
      <alignment wrapText="1"/>
    </xf>
    <xf numFmtId="2" fontId="0" fillId="3" borderId="1" xfId="0" applyNumberFormat="1" applyFill="1" applyBorder="1" applyAlignment="1">
      <alignment wrapText="1"/>
    </xf>
    <xf numFmtId="164" fontId="0" fillId="3" borderId="1" xfId="0" applyNumberFormat="1" applyFill="1" applyBorder="1" applyAlignment="1">
      <alignment wrapText="1"/>
    </xf>
    <xf numFmtId="164" fontId="0" fillId="3" borderId="26" xfId="0" applyNumberFormat="1" applyFill="1" applyBorder="1" applyAlignment="1">
      <alignment wrapText="1"/>
    </xf>
    <xf numFmtId="164" fontId="0" fillId="5" borderId="17" xfId="0" applyNumberFormat="1" applyFill="1" applyBorder="1" applyAlignment="1">
      <alignment wrapText="1"/>
    </xf>
    <xf numFmtId="2" fontId="0" fillId="8" borderId="3" xfId="0" applyNumberFormat="1" applyFill="1" applyBorder="1" applyAlignment="1">
      <alignment wrapText="1"/>
    </xf>
    <xf numFmtId="164" fontId="0" fillId="8" borderId="26" xfId="0" applyNumberFormat="1" applyFill="1" applyBorder="1" applyAlignment="1">
      <alignment wrapText="1"/>
    </xf>
    <xf numFmtId="164" fontId="0" fillId="8" borderId="4" xfId="0" applyNumberFormat="1" applyFill="1" applyBorder="1" applyAlignment="1">
      <alignment wrapText="1"/>
    </xf>
    <xf numFmtId="2" fontId="0" fillId="9" borderId="1" xfId="0" applyNumberFormat="1" applyFill="1" applyBorder="1" applyAlignment="1">
      <alignment wrapText="1"/>
    </xf>
    <xf numFmtId="9" fontId="0" fillId="0" borderId="13" xfId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2" fontId="0" fillId="4" borderId="3" xfId="0" applyNumberFormat="1" applyFill="1" applyBorder="1" applyAlignment="1">
      <alignment horizontal="right"/>
    </xf>
    <xf numFmtId="164" fontId="0" fillId="4" borderId="1" xfId="0" applyNumberFormat="1" applyFill="1" applyBorder="1" applyAlignment="1">
      <alignment horizontal="right"/>
    </xf>
    <xf numFmtId="164" fontId="0" fillId="4" borderId="29" xfId="0" applyNumberFormat="1" applyFill="1" applyBorder="1" applyAlignment="1">
      <alignment horizontal="right"/>
    </xf>
    <xf numFmtId="10" fontId="0" fillId="7" borderId="1" xfId="0" applyNumberFormat="1" applyFill="1" applyBorder="1" applyAlignment="1">
      <alignment horizontal="right"/>
    </xf>
    <xf numFmtId="10" fontId="0" fillId="7" borderId="4" xfId="0" applyNumberFormat="1" applyFill="1" applyBorder="1" applyAlignment="1">
      <alignment horizontal="right"/>
    </xf>
    <xf numFmtId="164" fontId="0" fillId="5" borderId="17" xfId="0" applyNumberFormat="1" applyFill="1" applyBorder="1" applyAlignment="1">
      <alignment horizontal="right"/>
    </xf>
    <xf numFmtId="2" fontId="0" fillId="3" borderId="13" xfId="0" applyNumberFormat="1" applyFill="1" applyBorder="1"/>
    <xf numFmtId="164" fontId="0" fillId="3" borderId="1" xfId="0" applyNumberFormat="1" applyFill="1" applyBorder="1"/>
    <xf numFmtId="2" fontId="0" fillId="8" borderId="3" xfId="0" applyNumberFormat="1" applyFill="1" applyBorder="1"/>
    <xf numFmtId="164" fontId="0" fillId="8" borderId="26" xfId="0" applyNumberFormat="1" applyFill="1" applyBorder="1"/>
    <xf numFmtId="164" fontId="0" fillId="8" borderId="4" xfId="0" applyNumberFormat="1" applyFill="1" applyBorder="1"/>
    <xf numFmtId="2" fontId="3" fillId="5" borderId="0" xfId="0" applyNumberFormat="1" applyFont="1" applyFill="1" applyAlignment="1">
      <alignment wrapText="1"/>
    </xf>
    <xf numFmtId="9" fontId="0" fillId="9" borderId="13" xfId="1" applyFont="1" applyFill="1" applyBorder="1"/>
    <xf numFmtId="9" fontId="0" fillId="0" borderId="13" xfId="1" applyFont="1" applyBorder="1"/>
    <xf numFmtId="0" fontId="0" fillId="0" borderId="36" xfId="0" applyBorder="1"/>
    <xf numFmtId="9" fontId="0" fillId="0" borderId="43" xfId="1" applyFont="1" applyBorder="1"/>
    <xf numFmtId="2" fontId="0" fillId="4" borderId="5" xfId="0" applyNumberFormat="1" applyFill="1" applyBorder="1" applyAlignment="1">
      <alignment horizontal="right"/>
    </xf>
    <xf numFmtId="2" fontId="0" fillId="4" borderId="44" xfId="0" applyNumberFormat="1" applyFill="1" applyBorder="1" applyAlignment="1">
      <alignment horizontal="right" vertical="center" wrapText="1"/>
    </xf>
    <xf numFmtId="164" fontId="0" fillId="4" borderId="6" xfId="0" applyNumberFormat="1" applyFill="1" applyBorder="1" applyAlignment="1">
      <alignment horizontal="right"/>
    </xf>
    <xf numFmtId="164" fontId="0" fillId="4" borderId="37" xfId="0" applyNumberFormat="1" applyFill="1" applyBorder="1" applyAlignment="1">
      <alignment horizontal="right"/>
    </xf>
    <xf numFmtId="10" fontId="0" fillId="7" borderId="6" xfId="0" applyNumberFormat="1" applyFill="1" applyBorder="1" applyAlignment="1">
      <alignment horizontal="right"/>
    </xf>
    <xf numFmtId="10" fontId="0" fillId="7" borderId="7" xfId="0" applyNumberFormat="1" applyFill="1" applyBorder="1" applyAlignment="1">
      <alignment horizontal="right"/>
    </xf>
    <xf numFmtId="2" fontId="0" fillId="3" borderId="43" xfId="0" applyNumberFormat="1" applyFill="1" applyBorder="1"/>
    <xf numFmtId="164" fontId="0" fillId="3" borderId="22" xfId="0" applyNumberFormat="1" applyFill="1" applyBorder="1"/>
    <xf numFmtId="164" fontId="0" fillId="3" borderId="28" xfId="0" applyNumberFormat="1" applyFill="1" applyBorder="1" applyAlignment="1">
      <alignment wrapText="1"/>
    </xf>
    <xf numFmtId="2" fontId="0" fillId="8" borderId="5" xfId="0" applyNumberFormat="1" applyFill="1" applyBorder="1"/>
    <xf numFmtId="164" fontId="0" fillId="8" borderId="27" xfId="0" applyNumberFormat="1" applyFill="1" applyBorder="1"/>
    <xf numFmtId="164" fontId="0" fillId="8" borderId="7" xfId="0" applyNumberFormat="1" applyFill="1" applyBorder="1"/>
    <xf numFmtId="0" fontId="0" fillId="0" borderId="31" xfId="0" applyBorder="1" applyAlignment="1">
      <alignment wrapText="1"/>
    </xf>
    <xf numFmtId="2" fontId="0" fillId="0" borderId="31" xfId="0" applyNumberFormat="1" applyBorder="1"/>
    <xf numFmtId="2" fontId="0" fillId="0" borderId="31" xfId="0" applyNumberFormat="1" applyBorder="1" applyAlignment="1">
      <alignment wrapText="1"/>
    </xf>
    <xf numFmtId="2" fontId="0" fillId="0" borderId="44" xfId="0" applyNumberFormat="1" applyBorder="1"/>
    <xf numFmtId="164" fontId="0" fillId="0" borderId="45" xfId="0" applyNumberFormat="1" applyBorder="1"/>
    <xf numFmtId="2" fontId="0" fillId="0" borderId="20" xfId="0" applyNumberFormat="1" applyBorder="1"/>
    <xf numFmtId="0" fontId="2" fillId="7" borderId="38" xfId="0" applyFont="1" applyFill="1" applyBorder="1" applyAlignment="1">
      <alignment horizontal="center" vertical="center" wrapText="1"/>
    </xf>
    <xf numFmtId="0" fontId="2" fillId="7" borderId="39" xfId="0" applyFont="1" applyFill="1" applyBorder="1" applyAlignment="1">
      <alignment horizontal="center" vertical="center" wrapText="1"/>
    </xf>
    <xf numFmtId="9" fontId="0" fillId="9" borderId="15" xfId="1" applyFont="1" applyFill="1" applyBorder="1" applyAlignment="1">
      <alignment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164" fontId="2" fillId="7" borderId="11" xfId="0" applyNumberFormat="1" applyFont="1" applyFill="1" applyBorder="1" applyAlignment="1">
      <alignment horizontal="center" vertical="center" wrapText="1"/>
    </xf>
    <xf numFmtId="164" fontId="2" fillId="7" borderId="41" xfId="0" applyNumberFormat="1" applyFont="1" applyFill="1" applyBorder="1" applyAlignment="1">
      <alignment horizontal="center" vertical="center" wrapText="1"/>
    </xf>
    <xf numFmtId="2" fontId="0" fillId="7" borderId="13" xfId="0" applyNumberFormat="1" applyFill="1" applyBorder="1" applyAlignment="1">
      <alignment wrapText="1"/>
    </xf>
    <xf numFmtId="2" fontId="0" fillId="7" borderId="1" xfId="0" applyNumberFormat="1" applyFill="1" applyBorder="1" applyAlignment="1">
      <alignment wrapText="1"/>
    </xf>
    <xf numFmtId="164" fontId="0" fillId="7" borderId="1" xfId="0" applyNumberFormat="1" applyFill="1" applyBorder="1" applyAlignment="1">
      <alignment wrapText="1"/>
    </xf>
    <xf numFmtId="164" fontId="0" fillId="7" borderId="26" xfId="0" applyNumberFormat="1" applyFill="1" applyBorder="1" applyAlignment="1">
      <alignment wrapText="1"/>
    </xf>
    <xf numFmtId="9" fontId="0" fillId="9" borderId="13" xfId="1" applyFont="1" applyFill="1" applyBorder="1" applyAlignment="1">
      <alignment wrapText="1"/>
    </xf>
    <xf numFmtId="2" fontId="0" fillId="7" borderId="13" xfId="0" applyNumberFormat="1" applyFill="1" applyBorder="1"/>
    <xf numFmtId="2" fontId="3" fillId="5" borderId="17" xfId="0" applyNumberFormat="1" applyFont="1" applyFill="1" applyBorder="1" applyAlignment="1">
      <alignment wrapText="1"/>
    </xf>
    <xf numFmtId="2" fontId="0" fillId="0" borderId="38" xfId="0" applyNumberFormat="1" applyBorder="1"/>
    <xf numFmtId="164" fontId="0" fillId="0" borderId="39" xfId="0" applyNumberFormat="1" applyBorder="1"/>
    <xf numFmtId="164" fontId="0" fillId="5" borderId="17" xfId="0" applyNumberFormat="1" applyFill="1" applyBorder="1"/>
    <xf numFmtId="164" fontId="0" fillId="7" borderId="1" xfId="0" applyNumberFormat="1" applyFill="1" applyBorder="1"/>
    <xf numFmtId="165" fontId="4" fillId="9" borderId="40" xfId="0" applyNumberFormat="1" applyFont="1" applyFill="1" applyBorder="1" applyAlignment="1">
      <alignment wrapText="1"/>
    </xf>
    <xf numFmtId="0" fontId="0" fillId="0" borderId="10" xfId="0" applyBorder="1" applyAlignment="1">
      <alignment horizontal="center" vertical="center" wrapText="1"/>
    </xf>
    <xf numFmtId="166" fontId="0" fillId="0" borderId="10" xfId="0" applyNumberFormat="1" applyBorder="1" applyAlignment="1">
      <alignment horizontal="center" vertical="center" wrapText="1"/>
    </xf>
    <xf numFmtId="0" fontId="2" fillId="0" borderId="23" xfId="0" applyFont="1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0" xfId="0" applyBorder="1" applyAlignment="1">
      <alignment horizontal="center" wrapText="1"/>
    </xf>
    <xf numFmtId="0" fontId="0" fillId="0" borderId="39" xfId="0" applyBorder="1" applyAlignment="1">
      <alignment horizontal="center" wrapText="1"/>
    </xf>
    <xf numFmtId="0" fontId="0" fillId="0" borderId="23" xfId="0" applyBorder="1" applyAlignment="1">
      <alignment wrapText="1"/>
    </xf>
    <xf numFmtId="0" fontId="0" fillId="0" borderId="33" xfId="0" applyBorder="1" applyAlignment="1">
      <alignment wrapText="1"/>
    </xf>
    <xf numFmtId="2" fontId="0" fillId="0" borderId="0" xfId="0" applyNumberFormat="1" applyAlignment="1">
      <alignment wrapText="1"/>
    </xf>
    <xf numFmtId="0" fontId="2" fillId="0" borderId="21" xfId="0" applyFont="1" applyBorder="1" applyAlignment="1">
      <alignment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0" fillId="5" borderId="0" xfId="0" applyFill="1" applyBorder="1"/>
    <xf numFmtId="0" fontId="2" fillId="5" borderId="0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wrapText="1"/>
    </xf>
    <xf numFmtId="0" fontId="2" fillId="0" borderId="47" xfId="0" applyFont="1" applyBorder="1" applyAlignment="1">
      <alignment wrapText="1"/>
    </xf>
    <xf numFmtId="2" fontId="0" fillId="0" borderId="19" xfId="0" applyNumberFormat="1" applyBorder="1"/>
    <xf numFmtId="2" fontId="3" fillId="9" borderId="12" xfId="0" applyNumberFormat="1" applyFont="1" applyFill="1" applyBorder="1" applyAlignment="1">
      <alignment wrapText="1"/>
    </xf>
    <xf numFmtId="2" fontId="3" fillId="0" borderId="32" xfId="0" applyNumberFormat="1" applyFont="1" applyBorder="1" applyAlignment="1">
      <alignment wrapText="1"/>
    </xf>
    <xf numFmtId="0" fontId="0" fillId="5" borderId="0" xfId="0" applyFill="1" applyBorder="1" applyAlignment="1">
      <alignment wrapText="1"/>
    </xf>
    <xf numFmtId="164" fontId="2" fillId="5" borderId="0" xfId="0" applyNumberFormat="1" applyFont="1" applyFill="1" applyBorder="1" applyAlignment="1">
      <alignment horizontal="center" vertical="center" wrapText="1"/>
    </xf>
    <xf numFmtId="164" fontId="0" fillId="5" borderId="0" xfId="0" applyNumberFormat="1" applyFill="1" applyBorder="1" applyAlignment="1">
      <alignment wrapText="1"/>
    </xf>
    <xf numFmtId="164" fontId="0" fillId="5" borderId="0" xfId="0" applyNumberFormat="1" applyFill="1" applyBorder="1"/>
    <xf numFmtId="0" fontId="0" fillId="5" borderId="36" xfId="0" applyFill="1" applyBorder="1"/>
    <xf numFmtId="0" fontId="2" fillId="2" borderId="23" xfId="0" applyFont="1" applyFill="1" applyBorder="1" applyAlignment="1">
      <alignment horizontal="center" vertical="center" wrapText="1"/>
    </xf>
    <xf numFmtId="164" fontId="0" fillId="5" borderId="40" xfId="0" applyNumberFormat="1" applyFill="1" applyBorder="1"/>
    <xf numFmtId="164" fontId="0" fillId="0" borderId="46" xfId="0" applyNumberFormat="1" applyBorder="1"/>
    <xf numFmtId="164" fontId="0" fillId="0" borderId="48" xfId="0" applyNumberFormat="1" applyBorder="1"/>
    <xf numFmtId="0" fontId="0" fillId="0" borderId="1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9" xfId="0" applyBorder="1" applyAlignment="1">
      <alignment wrapText="1"/>
    </xf>
    <xf numFmtId="2" fontId="0" fillId="0" borderId="12" xfId="0" applyNumberFormat="1" applyBorder="1" applyAlignment="1">
      <alignment wrapText="1"/>
    </xf>
    <xf numFmtId="0" fontId="0" fillId="0" borderId="3" xfId="0" applyBorder="1" applyAlignment="1">
      <alignment wrapText="1"/>
    </xf>
    <xf numFmtId="0" fontId="2" fillId="10" borderId="19" xfId="0" applyFont="1" applyFill="1" applyBorder="1" applyAlignment="1">
      <alignment horizontal="center" vertical="center" wrapText="1"/>
    </xf>
    <xf numFmtId="0" fontId="2" fillId="10" borderId="20" xfId="0" applyFont="1" applyFill="1" applyBorder="1" applyAlignment="1">
      <alignment horizontal="center" vertical="center" wrapText="1"/>
    </xf>
    <xf numFmtId="0" fontId="2" fillId="10" borderId="21" xfId="0" applyFont="1" applyFill="1" applyBorder="1" applyAlignment="1">
      <alignment horizontal="center" vertical="center" wrapText="1"/>
    </xf>
    <xf numFmtId="2" fontId="0" fillId="8" borderId="5" xfId="0" applyNumberFormat="1" applyFill="1" applyBorder="1" applyAlignment="1">
      <alignment wrapText="1"/>
    </xf>
    <xf numFmtId="164" fontId="0" fillId="8" borderId="7" xfId="0" applyNumberFormat="1" applyFill="1" applyBorder="1" applyAlignment="1">
      <alignment wrapText="1"/>
    </xf>
    <xf numFmtId="164" fontId="0" fillId="0" borderId="40" xfId="0" applyNumberFormat="1" applyBorder="1"/>
    <xf numFmtId="2" fontId="0" fillId="0" borderId="4" xfId="0" applyNumberFormat="1" applyBorder="1" applyAlignment="1">
      <alignment wrapText="1"/>
    </xf>
    <xf numFmtId="2" fontId="0" fillId="0" borderId="7" xfId="0" applyNumberFormat="1" applyBorder="1" applyAlignment="1">
      <alignment wrapText="1"/>
    </xf>
    <xf numFmtId="2" fontId="4" fillId="9" borderId="40" xfId="0" applyNumberFormat="1" applyFont="1" applyFill="1" applyBorder="1" applyAlignment="1">
      <alignment wrapText="1"/>
    </xf>
    <xf numFmtId="164" fontId="0" fillId="0" borderId="35" xfId="0" applyNumberFormat="1" applyBorder="1"/>
    <xf numFmtId="164" fontId="0" fillId="5" borderId="48" xfId="0" applyNumberFormat="1" applyFill="1" applyBorder="1"/>
    <xf numFmtId="0" fontId="2" fillId="5" borderId="48" xfId="0" applyFont="1" applyFill="1" applyBorder="1" applyAlignment="1">
      <alignment horizontal="center" vertical="center" wrapText="1"/>
    </xf>
    <xf numFmtId="0" fontId="2" fillId="10" borderId="23" xfId="0" applyFont="1" applyFill="1" applyBorder="1" applyAlignment="1">
      <alignment horizontal="center" vertical="center" wrapText="1"/>
    </xf>
    <xf numFmtId="166" fontId="0" fillId="0" borderId="11" xfId="0" applyNumberFormat="1" applyBorder="1" applyAlignment="1">
      <alignment wrapText="1"/>
    </xf>
    <xf numFmtId="166" fontId="0" fillId="0" borderId="45" xfId="0" applyNumberFormat="1" applyBorder="1" applyAlignment="1">
      <alignment wrapText="1"/>
    </xf>
    <xf numFmtId="2" fontId="4" fillId="0" borderId="30" xfId="0" applyNumberFormat="1" applyFont="1" applyBorder="1" applyAlignment="1">
      <alignment wrapText="1"/>
    </xf>
    <xf numFmtId="166" fontId="0" fillId="0" borderId="35" xfId="0" applyNumberFormat="1" applyBorder="1"/>
    <xf numFmtId="166" fontId="0" fillId="0" borderId="36" xfId="0" applyNumberFormat="1" applyBorder="1"/>
    <xf numFmtId="0" fontId="2" fillId="0" borderId="0" xfId="0" applyFont="1" applyBorder="1"/>
    <xf numFmtId="0" fontId="2" fillId="10" borderId="33" xfId="0" applyFont="1" applyFill="1" applyBorder="1" applyAlignment="1">
      <alignment horizontal="center" vertical="center" wrapText="1"/>
    </xf>
    <xf numFmtId="9" fontId="0" fillId="9" borderId="14" xfId="1" applyFont="1" applyFill="1" applyBorder="1"/>
    <xf numFmtId="2" fontId="0" fillId="9" borderId="6" xfId="0" applyNumberFormat="1" applyFill="1" applyBorder="1" applyAlignment="1">
      <alignment wrapText="1"/>
    </xf>
    <xf numFmtId="2" fontId="0" fillId="9" borderId="47" xfId="0" applyNumberFormat="1" applyFill="1" applyBorder="1" applyAlignment="1">
      <alignment wrapText="1"/>
    </xf>
    <xf numFmtId="165" fontId="4" fillId="9" borderId="18" xfId="0" applyNumberFormat="1" applyFont="1" applyFill="1" applyBorder="1" applyAlignment="1">
      <alignment wrapText="1"/>
    </xf>
    <xf numFmtId="0" fontId="0" fillId="5" borderId="40" xfId="0" applyFill="1" applyBorder="1" applyAlignment="1">
      <alignment horizontal="center" vertical="center" wrapText="1"/>
    </xf>
    <xf numFmtId="0" fontId="0" fillId="0" borderId="40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5" borderId="49" xfId="0" applyFill="1" applyBorder="1" applyAlignment="1">
      <alignment horizontal="center" vertical="center" wrapText="1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22" xfId="0" applyBorder="1" applyAlignment="1">
      <alignment wrapText="1"/>
    </xf>
    <xf numFmtId="0" fontId="2" fillId="0" borderId="52" xfId="0" applyFont="1" applyBorder="1"/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166" fontId="0" fillId="0" borderId="25" xfId="0" applyNumberFormat="1" applyBorder="1" applyAlignment="1">
      <alignment horizontal="center" vertical="center" wrapText="1"/>
    </xf>
    <xf numFmtId="0" fontId="0" fillId="0" borderId="25" xfId="0" quotePrefix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wrapText="1"/>
    </xf>
    <xf numFmtId="166" fontId="4" fillId="0" borderId="11" xfId="0" applyNumberFormat="1" applyFont="1" applyBorder="1" applyAlignment="1">
      <alignment wrapText="1"/>
    </xf>
    <xf numFmtId="0" fontId="0" fillId="0" borderId="34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3" xfId="0" quotePrefix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2" fontId="2" fillId="0" borderId="54" xfId="0" applyNumberFormat="1" applyFont="1" applyBorder="1" applyAlignment="1">
      <alignment horizontal="right" wrapText="1"/>
    </xf>
    <xf numFmtId="9" fontId="0" fillId="0" borderId="51" xfId="0" applyNumberFormat="1" applyBorder="1" applyAlignment="1">
      <alignment wrapText="1"/>
    </xf>
    <xf numFmtId="0" fontId="0" fillId="0" borderId="14" xfId="0" applyBorder="1"/>
    <xf numFmtId="2" fontId="2" fillId="0" borderId="16" xfId="0" applyNumberFormat="1" applyFont="1" applyBorder="1" applyAlignment="1">
      <alignment horizontal="right" wrapText="1"/>
    </xf>
    <xf numFmtId="2" fontId="0" fillId="5" borderId="6" xfId="0" applyNumberFormat="1" applyFill="1" applyBorder="1"/>
    <xf numFmtId="2" fontId="0" fillId="0" borderId="36" xfId="0" applyNumberFormat="1" applyBorder="1"/>
    <xf numFmtId="0" fontId="2" fillId="6" borderId="19" xfId="0" applyFont="1" applyFill="1" applyBorder="1" applyAlignment="1">
      <alignment horizontal="center" vertical="center" wrapText="1"/>
    </xf>
    <xf numFmtId="2" fontId="0" fillId="9" borderId="9" xfId="0" applyNumberFormat="1" applyFill="1" applyBorder="1" applyAlignment="1">
      <alignment wrapText="1"/>
    </xf>
    <xf numFmtId="2" fontId="0" fillId="9" borderId="3" xfId="0" applyNumberFormat="1" applyFill="1" applyBorder="1" applyAlignment="1">
      <alignment wrapText="1"/>
    </xf>
    <xf numFmtId="10" fontId="0" fillId="9" borderId="3" xfId="0" applyNumberFormat="1" applyFill="1" applyBorder="1" applyAlignment="1">
      <alignment wrapText="1"/>
    </xf>
    <xf numFmtId="9" fontId="0" fillId="9" borderId="3" xfId="1" applyFont="1" applyFill="1" applyBorder="1"/>
    <xf numFmtId="2" fontId="0" fillId="9" borderId="3" xfId="0" applyNumberFormat="1" applyFill="1" applyBorder="1"/>
    <xf numFmtId="9" fontId="0" fillId="9" borderId="5" xfId="1" applyFont="1" applyFill="1" applyBorder="1"/>
    <xf numFmtId="2" fontId="4" fillId="9" borderId="11" xfId="0" applyNumberFormat="1" applyFont="1" applyFill="1" applyBorder="1" applyAlignment="1">
      <alignment wrapText="1"/>
    </xf>
    <xf numFmtId="0" fontId="3" fillId="0" borderId="35" xfId="0" applyFont="1" applyBorder="1" applyAlignment="1">
      <alignment horizontal="center"/>
    </xf>
    <xf numFmtId="2" fontId="0" fillId="0" borderId="3" xfId="0" applyNumberFormat="1" applyBorder="1" applyAlignment="1">
      <alignment wrapText="1"/>
    </xf>
    <xf numFmtId="2" fontId="0" fillId="0" borderId="3" xfId="0" applyNumberFormat="1" applyBorder="1"/>
    <xf numFmtId="2" fontId="4" fillId="0" borderId="9" xfId="0" applyNumberFormat="1" applyFont="1" applyBorder="1" applyAlignment="1">
      <alignment wrapText="1"/>
    </xf>
    <xf numFmtId="2" fontId="4" fillId="0" borderId="3" xfId="0" applyNumberFormat="1" applyFont="1" applyBorder="1" applyAlignment="1">
      <alignment wrapText="1"/>
    </xf>
    <xf numFmtId="2" fontId="4" fillId="0" borderId="11" xfId="0" applyNumberFormat="1" applyFont="1" applyBorder="1" applyAlignment="1">
      <alignment wrapText="1"/>
    </xf>
    <xf numFmtId="167" fontId="0" fillId="0" borderId="12" xfId="0" applyNumberFormat="1" applyBorder="1" applyAlignment="1">
      <alignment wrapText="1"/>
    </xf>
    <xf numFmtId="2" fontId="0" fillId="0" borderId="5" xfId="0" applyNumberFormat="1" applyBorder="1"/>
    <xf numFmtId="2" fontId="0" fillId="0" borderId="33" xfId="0" applyNumberFormat="1" applyBorder="1"/>
    <xf numFmtId="2" fontId="0" fillId="0" borderId="0" xfId="0" applyNumberFormat="1" applyBorder="1"/>
    <xf numFmtId="2" fontId="0" fillId="0" borderId="32" xfId="0" applyNumberFormat="1" applyBorder="1" applyAlignment="1">
      <alignment wrapText="1"/>
    </xf>
    <xf numFmtId="2" fontId="0" fillId="0" borderId="13" xfId="0" applyNumberFormat="1" applyBorder="1" applyAlignment="1">
      <alignment wrapText="1"/>
    </xf>
    <xf numFmtId="2" fontId="0" fillId="5" borderId="11" xfId="0" applyNumberFormat="1" applyFill="1" applyBorder="1" applyAlignment="1">
      <alignment wrapText="1"/>
    </xf>
    <xf numFmtId="2" fontId="0" fillId="5" borderId="1" xfId="0" applyNumberFormat="1" applyFill="1" applyBorder="1" applyAlignment="1">
      <alignment wrapText="1"/>
    </xf>
    <xf numFmtId="2" fontId="0" fillId="5" borderId="12" xfId="0" applyNumberFormat="1" applyFill="1" applyBorder="1" applyAlignment="1">
      <alignment wrapText="1"/>
    </xf>
    <xf numFmtId="2" fontId="4" fillId="5" borderId="11" xfId="0" applyNumberFormat="1" applyFont="1" applyFill="1" applyBorder="1" applyAlignment="1">
      <alignment wrapText="1"/>
    </xf>
    <xf numFmtId="2" fontId="0" fillId="5" borderId="6" xfId="0" applyNumberFormat="1" applyFill="1" applyBorder="1" applyAlignment="1">
      <alignment wrapText="1"/>
    </xf>
    <xf numFmtId="2" fontId="0" fillId="5" borderId="47" xfId="0" applyNumberFormat="1" applyFill="1" applyBorder="1" applyAlignment="1">
      <alignment wrapText="1"/>
    </xf>
    <xf numFmtId="2" fontId="4" fillId="9" borderId="45" xfId="0" applyNumberFormat="1" applyFont="1" applyFill="1" applyBorder="1" applyAlignment="1">
      <alignment wrapText="1"/>
    </xf>
    <xf numFmtId="2" fontId="4" fillId="0" borderId="13" xfId="0" applyNumberFormat="1" applyFont="1" applyBorder="1" applyAlignment="1">
      <alignment wrapText="1"/>
    </xf>
    <xf numFmtId="2" fontId="0" fillId="0" borderId="13" xfId="0" applyNumberFormat="1" applyBorder="1"/>
    <xf numFmtId="2" fontId="0" fillId="0" borderId="14" xfId="0" applyNumberFormat="1" applyBorder="1"/>
    <xf numFmtId="2" fontId="2" fillId="0" borderId="33" xfId="0" applyNumberFormat="1" applyFont="1" applyBorder="1"/>
    <xf numFmtId="167" fontId="0" fillId="0" borderId="41" xfId="0" applyNumberFormat="1" applyBorder="1" applyAlignment="1">
      <alignment wrapText="1"/>
    </xf>
    <xf numFmtId="167" fontId="4" fillId="0" borderId="41" xfId="0" applyNumberFormat="1" applyFont="1" applyBorder="1" applyAlignment="1">
      <alignment wrapText="1"/>
    </xf>
    <xf numFmtId="167" fontId="0" fillId="0" borderId="55" xfId="0" applyNumberFormat="1" applyBorder="1" applyAlignment="1">
      <alignment wrapText="1"/>
    </xf>
    <xf numFmtId="0" fontId="2" fillId="10" borderId="39" xfId="0" applyFont="1" applyFill="1" applyBorder="1" applyAlignment="1">
      <alignment horizontal="center" vertical="center" wrapText="1"/>
    </xf>
    <xf numFmtId="166" fontId="0" fillId="0" borderId="40" xfId="0" applyNumberFormat="1" applyBorder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563F6-7697-47B8-B863-8DB366B4DA1F}">
  <dimension ref="A1:N18"/>
  <sheetViews>
    <sheetView zoomScale="80" zoomScaleNormal="80" workbookViewId="0">
      <selection activeCell="G10" sqref="G10"/>
    </sheetView>
  </sheetViews>
  <sheetFormatPr baseColWidth="10" defaultRowHeight="14.4" x14ac:dyDescent="0.3"/>
  <cols>
    <col min="1" max="1" width="15.6640625" customWidth="1"/>
    <col min="3" max="3" width="16.21875" customWidth="1"/>
    <col min="4" max="4" width="17.109375" customWidth="1"/>
    <col min="5" max="5" width="14.109375" customWidth="1"/>
    <col min="7" max="7" width="16.5546875" customWidth="1"/>
  </cols>
  <sheetData>
    <row r="1" spans="1:14" ht="15" thickBot="1" x14ac:dyDescent="0.35"/>
    <row r="2" spans="1:14" ht="46.2" customHeight="1" thickBot="1" x14ac:dyDescent="0.35">
      <c r="A2" s="138" t="s">
        <v>33</v>
      </c>
      <c r="B2" s="11" t="s">
        <v>23</v>
      </c>
      <c r="C2" s="11" t="s">
        <v>31</v>
      </c>
      <c r="D2" s="11" t="s">
        <v>24</v>
      </c>
      <c r="E2" s="11" t="s">
        <v>8</v>
      </c>
      <c r="F2" s="27" t="s">
        <v>9</v>
      </c>
      <c r="G2" s="27" t="s">
        <v>18</v>
      </c>
      <c r="H2" s="11" t="s">
        <v>20</v>
      </c>
      <c r="I2" s="27" t="s">
        <v>19</v>
      </c>
      <c r="J2" s="139" t="s">
        <v>10</v>
      </c>
    </row>
    <row r="3" spans="1:14" ht="15" thickBot="1" x14ac:dyDescent="0.35">
      <c r="A3" s="5" t="s">
        <v>11</v>
      </c>
      <c r="B3" s="196">
        <v>7.2</v>
      </c>
      <c r="C3" s="197">
        <v>132.17717476453313</v>
      </c>
      <c r="D3" s="197">
        <f>C3*B3</f>
        <v>951.67565830463855</v>
      </c>
      <c r="E3" s="127">
        <f>D3*0.58</f>
        <v>551.97188181669037</v>
      </c>
      <c r="F3" s="128">
        <f>EXP(-1.0587+0.8836*LN(E3)+0.284)</f>
        <v>121.98597060444048</v>
      </c>
      <c r="G3" s="197">
        <f>(E3+F3)*0.475</f>
        <v>320.12997990003714</v>
      </c>
      <c r="H3" s="197">
        <f>(30*(10/30))*B3</f>
        <v>72</v>
      </c>
      <c r="I3" s="199">
        <f>(45+25*(1-EXP(-0.0175*30)))*B3</f>
        <v>397.52003441397329</v>
      </c>
      <c r="J3" s="200">
        <f>(G3+H3+I3)*(44/12)</f>
        <v>2895.3833858180378</v>
      </c>
    </row>
    <row r="4" spans="1:14" ht="15" thickBot="1" x14ac:dyDescent="0.35">
      <c r="A4" s="129" t="s">
        <v>0</v>
      </c>
      <c r="B4" s="131"/>
      <c r="C4" s="131"/>
      <c r="D4" s="132">
        <f t="shared" ref="D4:I4" si="0">SUM(D3:D3)</f>
        <v>951.67565830463855</v>
      </c>
      <c r="E4" s="132">
        <f t="shared" si="0"/>
        <v>551.97188181669037</v>
      </c>
      <c r="F4" s="132">
        <f t="shared" si="0"/>
        <v>121.98597060444048</v>
      </c>
      <c r="G4" s="133">
        <f t="shared" si="0"/>
        <v>320.12997990003714</v>
      </c>
      <c r="H4" s="133">
        <f t="shared" si="0"/>
        <v>72</v>
      </c>
      <c r="I4" s="133">
        <f t="shared" si="0"/>
        <v>397.52003441397329</v>
      </c>
      <c r="J4" s="2">
        <f>J3</f>
        <v>2895.3833858180378</v>
      </c>
    </row>
    <row r="5" spans="1:14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5" thickBo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47.4" customHeight="1" thickBot="1" x14ac:dyDescent="0.35">
      <c r="A7" s="138" t="s">
        <v>34</v>
      </c>
      <c r="B7" s="140" t="s">
        <v>22</v>
      </c>
      <c r="C7" s="11" t="s">
        <v>21</v>
      </c>
      <c r="D7" s="8" t="s">
        <v>12</v>
      </c>
      <c r="E7" s="139" t="s">
        <v>13</v>
      </c>
      <c r="F7" s="1"/>
      <c r="L7" s="1"/>
      <c r="M7" s="1"/>
      <c r="N7" s="1"/>
    </row>
    <row r="8" spans="1:14" ht="17.399999999999999" customHeight="1" thickBot="1" x14ac:dyDescent="0.35">
      <c r="A8" s="134"/>
      <c r="B8" s="201">
        <v>7.2</v>
      </c>
      <c r="C8" s="202">
        <v>5</v>
      </c>
      <c r="D8" s="201">
        <f>B8*C8</f>
        <v>36</v>
      </c>
      <c r="E8" s="203">
        <f>D8*(44/12)</f>
        <v>132</v>
      </c>
      <c r="F8" s="1"/>
      <c r="L8" s="1"/>
      <c r="M8" s="1"/>
      <c r="N8" s="1"/>
    </row>
    <row r="9" spans="1:14" ht="15" thickBot="1" x14ac:dyDescent="0.35">
      <c r="A9" s="1"/>
      <c r="B9" s="1"/>
      <c r="C9" s="1"/>
      <c r="D9" s="1"/>
      <c r="E9" s="1"/>
      <c r="F9" s="1"/>
      <c r="L9" s="1"/>
      <c r="M9" s="1"/>
      <c r="N9" s="1"/>
    </row>
    <row r="10" spans="1:14" ht="63" customHeight="1" thickBot="1" x14ac:dyDescent="0.35">
      <c r="A10" s="140" t="s">
        <v>14</v>
      </c>
      <c r="B10" s="10" t="s">
        <v>15</v>
      </c>
      <c r="C10" s="11" t="s">
        <v>16</v>
      </c>
      <c r="D10" s="139" t="s">
        <v>28</v>
      </c>
      <c r="E10" s="1"/>
      <c r="F10" s="1"/>
      <c r="L10" s="1"/>
      <c r="M10" s="1"/>
      <c r="N10" s="1"/>
    </row>
    <row r="11" spans="1:14" ht="15" thickBot="1" x14ac:dyDescent="0.35">
      <c r="A11" s="135"/>
      <c r="B11" s="130">
        <f>J4</f>
        <v>2895.3833858180378</v>
      </c>
      <c r="C11" s="131">
        <f>E8</f>
        <v>132</v>
      </c>
      <c r="D11" s="204">
        <f>B11-C11</f>
        <v>2763.3833858180378</v>
      </c>
      <c r="E11" s="1"/>
      <c r="F11" s="1"/>
      <c r="L11" s="1"/>
      <c r="M11" s="1"/>
      <c r="N11" s="1"/>
    </row>
    <row r="12" spans="1:1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5" thickBot="1" x14ac:dyDescent="0.35">
      <c r="A13" s="1"/>
      <c r="B13" s="1"/>
      <c r="C13" s="1"/>
      <c r="D13" s="1"/>
      <c r="E13" s="1"/>
      <c r="F13" s="1"/>
      <c r="G13" s="1"/>
      <c r="L13" s="1"/>
      <c r="M13" s="1"/>
      <c r="N13" s="1"/>
    </row>
    <row r="14" spans="1:14" ht="43.8" thickBot="1" x14ac:dyDescent="0.35">
      <c r="A14" s="209" t="s">
        <v>35</v>
      </c>
      <c r="B14" s="24" t="s">
        <v>17</v>
      </c>
      <c r="C14" s="210" t="s">
        <v>39</v>
      </c>
      <c r="D14" s="209" t="s">
        <v>38</v>
      </c>
      <c r="G14" s="1"/>
      <c r="L14" s="1"/>
      <c r="M14" s="1"/>
      <c r="N14" s="1"/>
    </row>
    <row r="15" spans="1:14" x14ac:dyDescent="0.3">
      <c r="A15" s="211" t="s">
        <v>36</v>
      </c>
      <c r="B15" s="213">
        <v>0.1</v>
      </c>
      <c r="C15" s="212">
        <f>D11*(1-B15)</f>
        <v>2487.045047236234</v>
      </c>
      <c r="D15" s="215">
        <f>C15</f>
        <v>2487.045047236234</v>
      </c>
      <c r="G15" s="1"/>
      <c r="L15" s="1"/>
      <c r="M15" s="1"/>
      <c r="N15" s="1"/>
    </row>
    <row r="16" spans="1:14" ht="15" thickBot="1" x14ac:dyDescent="0.35">
      <c r="A16" s="88" t="s">
        <v>37</v>
      </c>
      <c r="B16" s="214"/>
      <c r="C16" s="216">
        <f>C15/B3</f>
        <v>345.42292322725473</v>
      </c>
      <c r="D16" s="217">
        <f>D15/B3</f>
        <v>345.42292322725473</v>
      </c>
    </row>
    <row r="17" spans="3:4" x14ac:dyDescent="0.3">
      <c r="C17" s="142"/>
      <c r="D17" s="142"/>
    </row>
    <row r="18" spans="3:4" x14ac:dyDescent="0.3">
      <c r="C18" s="143"/>
      <c r="D18" s="14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8F83A-A001-46DA-9492-43B98D4D2820}">
  <dimension ref="A1:N16"/>
  <sheetViews>
    <sheetView tabSelected="1" workbookViewId="0">
      <selection activeCell="F10" sqref="F10"/>
    </sheetView>
  </sheetViews>
  <sheetFormatPr baseColWidth="10" defaultRowHeight="14.4" x14ac:dyDescent="0.3"/>
  <cols>
    <col min="1" max="1" width="13.5546875" customWidth="1"/>
    <col min="3" max="3" width="15.33203125" customWidth="1"/>
    <col min="4" max="4" width="14.5546875" customWidth="1"/>
    <col min="5" max="5" width="12.21875" customWidth="1"/>
    <col min="7" max="7" width="16.5546875" customWidth="1"/>
  </cols>
  <sheetData>
    <row r="1" spans="1:14" ht="15" thickBot="1" x14ac:dyDescent="0.35"/>
    <row r="2" spans="1:14" ht="46.2" customHeight="1" thickBot="1" x14ac:dyDescent="0.35">
      <c r="A2" s="138" t="s">
        <v>33</v>
      </c>
      <c r="B2" s="11" t="s">
        <v>23</v>
      </c>
      <c r="C2" s="11" t="s">
        <v>31</v>
      </c>
      <c r="D2" s="11" t="s">
        <v>24</v>
      </c>
      <c r="E2" s="11" t="s">
        <v>8</v>
      </c>
      <c r="F2" s="27" t="s">
        <v>9</v>
      </c>
      <c r="G2" s="27" t="s">
        <v>18</v>
      </c>
      <c r="H2" s="11" t="s">
        <v>20</v>
      </c>
      <c r="I2" s="27" t="s">
        <v>19</v>
      </c>
      <c r="J2" s="139" t="s">
        <v>10</v>
      </c>
    </row>
    <row r="3" spans="1:14" ht="15" thickBot="1" x14ac:dyDescent="0.35">
      <c r="A3" s="206" t="s">
        <v>11</v>
      </c>
      <c r="B3" s="197">
        <v>7.2</v>
      </c>
      <c r="C3" s="197">
        <v>1157.2904912048702</v>
      </c>
      <c r="D3" s="197">
        <f>C3*B3</f>
        <v>8332.4915366750665</v>
      </c>
      <c r="E3" s="197">
        <f>D3*0.58</f>
        <v>4832.845091271538</v>
      </c>
      <c r="F3" s="198">
        <f>EXP(-1.0587+0.8836*LN(E3)+0.284)</f>
        <v>829.68592949649621</v>
      </c>
      <c r="G3" s="207">
        <f>(E3+F3)*0.475</f>
        <v>2689.7022348648161</v>
      </c>
      <c r="H3" s="197">
        <f>(30*(10/30))*B3</f>
        <v>72</v>
      </c>
      <c r="I3" s="208">
        <f>(45+25*(1-EXP(-0.0175*30)))*B3</f>
        <v>397.52003441397329</v>
      </c>
      <c r="J3" s="200">
        <f>(G3+H3+I3)*(44/12)</f>
        <v>11583.814987355561</v>
      </c>
    </row>
    <row r="4" spans="1:14" ht="15" thickBot="1" x14ac:dyDescent="0.35">
      <c r="A4" s="129" t="s">
        <v>0</v>
      </c>
      <c r="B4" s="131"/>
      <c r="C4" s="131"/>
      <c r="D4" s="132">
        <f t="shared" ref="D4:I4" si="0">SUM(D3:D3)</f>
        <v>8332.4915366750665</v>
      </c>
      <c r="E4" s="132">
        <f t="shared" si="0"/>
        <v>4832.845091271538</v>
      </c>
      <c r="F4" s="132">
        <f t="shared" si="0"/>
        <v>829.68592949649621</v>
      </c>
      <c r="G4" s="133">
        <f t="shared" si="0"/>
        <v>2689.7022348648161</v>
      </c>
      <c r="H4" s="133">
        <f t="shared" si="0"/>
        <v>72</v>
      </c>
      <c r="I4" s="133">
        <f t="shared" si="0"/>
        <v>397.52003441397329</v>
      </c>
      <c r="J4" s="2">
        <f>SUM(J3:J3)</f>
        <v>11583.814987355561</v>
      </c>
    </row>
    <row r="5" spans="1:14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5" thickBo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47.4" customHeight="1" thickBot="1" x14ac:dyDescent="0.35">
      <c r="A7" s="138" t="s">
        <v>34</v>
      </c>
      <c r="B7" s="140" t="s">
        <v>22</v>
      </c>
      <c r="C7" s="11" t="s">
        <v>21</v>
      </c>
      <c r="D7" s="8" t="s">
        <v>12</v>
      </c>
      <c r="E7" s="139" t="s">
        <v>13</v>
      </c>
      <c r="F7" s="1"/>
      <c r="G7" s="143"/>
      <c r="H7" s="148"/>
      <c r="I7" s="148"/>
      <c r="J7" s="148"/>
      <c r="L7" s="1"/>
      <c r="M7" s="1"/>
      <c r="N7" s="1"/>
    </row>
    <row r="8" spans="1:14" ht="12.6" customHeight="1" thickBot="1" x14ac:dyDescent="0.35">
      <c r="A8" s="134"/>
      <c r="B8" s="102">
        <v>7.2</v>
      </c>
      <c r="C8" s="131">
        <v>5</v>
      </c>
      <c r="D8" s="102">
        <f>B8*C8</f>
        <v>36</v>
      </c>
      <c r="E8" s="144">
        <f>D8*(44/12)</f>
        <v>132</v>
      </c>
      <c r="F8" s="1"/>
      <c r="G8" s="142"/>
      <c r="H8" s="142"/>
      <c r="I8" s="142"/>
      <c r="J8" s="142"/>
      <c r="L8" s="1"/>
      <c r="M8" s="1"/>
      <c r="N8" s="1"/>
    </row>
    <row r="9" spans="1:14" ht="15" thickBot="1" x14ac:dyDescent="0.35">
      <c r="A9" s="1"/>
      <c r="B9" s="1"/>
      <c r="C9" s="1"/>
      <c r="D9" s="1"/>
      <c r="E9" s="1"/>
      <c r="F9" s="1"/>
      <c r="G9" s="148"/>
      <c r="H9" s="148"/>
      <c r="I9" s="148"/>
      <c r="J9" s="148"/>
      <c r="K9" s="1"/>
      <c r="L9" s="1"/>
      <c r="M9" s="1"/>
      <c r="N9" s="1"/>
    </row>
    <row r="10" spans="1:14" ht="63" customHeight="1" thickBot="1" x14ac:dyDescent="0.35">
      <c r="A10" s="140" t="s">
        <v>32</v>
      </c>
      <c r="B10" s="10" t="s">
        <v>15</v>
      </c>
      <c r="C10" s="11" t="s">
        <v>16</v>
      </c>
      <c r="D10" s="139" t="s">
        <v>28</v>
      </c>
      <c r="E10" s="1"/>
      <c r="F10" s="1"/>
      <c r="G10" s="1"/>
      <c r="H10" s="142"/>
      <c r="I10" s="148"/>
      <c r="J10" s="148"/>
      <c r="K10" s="1"/>
      <c r="L10" s="1"/>
      <c r="M10" s="1"/>
      <c r="N10" s="1"/>
    </row>
    <row r="11" spans="1:14" ht="15" thickBot="1" x14ac:dyDescent="0.35">
      <c r="A11" s="135"/>
      <c r="B11" s="130">
        <f>J4</f>
        <v>11583.814987355561</v>
      </c>
      <c r="C11" s="131">
        <f>E8</f>
        <v>132</v>
      </c>
      <c r="D11" s="137">
        <f>B11-C11</f>
        <v>11451.814987355561</v>
      </c>
      <c r="E11" s="1"/>
      <c r="F11" s="1"/>
      <c r="G11" s="1"/>
      <c r="H11" s="136"/>
      <c r="I11" s="1"/>
      <c r="J11" s="1"/>
      <c r="K11" s="1"/>
      <c r="L11" s="1"/>
      <c r="M11" s="1"/>
      <c r="N11" s="1"/>
    </row>
    <row r="12" spans="1:1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5" thickBot="1" x14ac:dyDescent="0.35">
      <c r="C13" s="141"/>
      <c r="D13" s="141"/>
    </row>
    <row r="14" spans="1:14" ht="43.8" thickBot="1" x14ac:dyDescent="0.35">
      <c r="A14" s="209" t="s">
        <v>35</v>
      </c>
      <c r="B14" s="24" t="s">
        <v>17</v>
      </c>
      <c r="C14" s="210" t="s">
        <v>39</v>
      </c>
      <c r="D14" s="209" t="s">
        <v>38</v>
      </c>
    </row>
    <row r="15" spans="1:14" x14ac:dyDescent="0.3">
      <c r="A15" s="211" t="s">
        <v>36</v>
      </c>
      <c r="B15" s="213">
        <v>0.1</v>
      </c>
      <c r="C15" s="212">
        <f>D11*(1-B15)</f>
        <v>10306.633488620006</v>
      </c>
      <c r="D15" s="215">
        <f>C15</f>
        <v>10306.633488620006</v>
      </c>
    </row>
    <row r="16" spans="1:14" ht="15" thickBot="1" x14ac:dyDescent="0.35">
      <c r="A16" s="88" t="s">
        <v>37</v>
      </c>
      <c r="B16" s="214"/>
      <c r="C16" s="216">
        <f>C15/B3</f>
        <v>1431.4768734194452</v>
      </c>
      <c r="D16" s="217">
        <f>D15/B3</f>
        <v>1431.4768734194452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68A2A-73B5-447B-AAB4-975E15DC8ABA}">
  <dimension ref="A1:AL144"/>
  <sheetViews>
    <sheetView zoomScale="90" zoomScaleNormal="90" workbookViewId="0">
      <pane ySplit="2" topLeftCell="A135" activePane="bottomLeft" state="frozen"/>
      <selection activeCell="G1" sqref="G1"/>
      <selection pane="bottomLeft" activeCell="K144" sqref="K144"/>
    </sheetView>
  </sheetViews>
  <sheetFormatPr baseColWidth="10" defaultRowHeight="14.4" x14ac:dyDescent="0.3"/>
  <cols>
    <col min="4" max="4" width="13.44140625" customWidth="1"/>
    <col min="6" max="6" width="14.109375" customWidth="1"/>
    <col min="8" max="8" width="12.44140625" customWidth="1"/>
    <col min="10" max="10" width="13" customWidth="1"/>
    <col min="11" max="11" width="13.6640625" customWidth="1"/>
    <col min="12" max="12" width="7.21875" customWidth="1"/>
    <col min="13" max="13" width="7.6640625" customWidth="1"/>
    <col min="15" max="15" width="12.5546875" customWidth="1"/>
    <col min="35" max="35" width="13.44140625" customWidth="1"/>
    <col min="37" max="37" width="14" customWidth="1"/>
  </cols>
  <sheetData>
    <row r="1" spans="1:38" ht="15" thickBot="1" x14ac:dyDescent="0.35">
      <c r="Z1" s="7" t="s">
        <v>65</v>
      </c>
    </row>
    <row r="2" spans="1:38" ht="72.599999999999994" thickBot="1" x14ac:dyDescent="0.35">
      <c r="A2" s="174" t="s">
        <v>1</v>
      </c>
      <c r="B2" s="162" t="s">
        <v>26</v>
      </c>
      <c r="C2" s="163" t="s">
        <v>29</v>
      </c>
      <c r="D2" s="163" t="s">
        <v>30</v>
      </c>
      <c r="E2" s="252" t="s">
        <v>25</v>
      </c>
      <c r="F2" s="174" t="s">
        <v>53</v>
      </c>
      <c r="G2" s="20"/>
      <c r="H2" s="218" t="s">
        <v>2</v>
      </c>
      <c r="I2" s="18" t="s">
        <v>52</v>
      </c>
      <c r="J2" s="18" t="s">
        <v>57</v>
      </c>
      <c r="K2" s="19" t="s">
        <v>56</v>
      </c>
      <c r="L2" s="20"/>
      <c r="M2" s="6"/>
      <c r="N2" s="16" t="s">
        <v>58</v>
      </c>
      <c r="O2" s="17" t="s">
        <v>2</v>
      </c>
      <c r="P2" s="18" t="s">
        <v>54</v>
      </c>
      <c r="Q2" s="18" t="s">
        <v>55</v>
      </c>
      <c r="R2" s="21" t="s">
        <v>59</v>
      </c>
      <c r="S2" s="22"/>
      <c r="T2" s="23" t="s">
        <v>41</v>
      </c>
      <c r="U2" s="24" t="s">
        <v>3</v>
      </c>
      <c r="V2" s="12" t="s">
        <v>44</v>
      </c>
      <c r="W2" s="9" t="s">
        <v>45</v>
      </c>
      <c r="X2" s="25" t="s">
        <v>4</v>
      </c>
      <c r="Y2" s="26" t="s">
        <v>5</v>
      </c>
      <c r="Z2" s="22"/>
      <c r="AA2" s="13" t="s">
        <v>42</v>
      </c>
      <c r="AB2" s="13" t="s">
        <v>46</v>
      </c>
      <c r="AC2" s="11" t="s">
        <v>6</v>
      </c>
      <c r="AD2" s="11" t="s">
        <v>47</v>
      </c>
      <c r="AE2" s="27" t="s">
        <v>48</v>
      </c>
      <c r="AF2" s="22"/>
      <c r="AG2" s="28" t="s">
        <v>43</v>
      </c>
      <c r="AH2" s="29" t="s">
        <v>49</v>
      </c>
      <c r="AI2" s="30" t="s">
        <v>50</v>
      </c>
      <c r="AJ2" s="142"/>
      <c r="AK2" s="153" t="s">
        <v>51</v>
      </c>
      <c r="AL2" s="173"/>
    </row>
    <row r="3" spans="1:38" x14ac:dyDescent="0.3">
      <c r="A3" s="186">
        <v>0</v>
      </c>
      <c r="B3" s="229">
        <v>0.5</v>
      </c>
      <c r="C3" s="231">
        <v>0.02</v>
      </c>
      <c r="D3" s="175">
        <f>C3*PI()</f>
        <v>6.2831853071795868E-2</v>
      </c>
      <c r="E3" s="249">
        <f>(D3^2/(4*PI()))*B3*0.496</f>
        <v>7.7911497809026877E-5</v>
      </c>
      <c r="F3" s="253">
        <f>E3*1475</f>
        <v>0.11491945926831464</v>
      </c>
      <c r="H3" s="219"/>
      <c r="I3" s="31"/>
      <c r="J3" s="32"/>
      <c r="K3" s="33">
        <f>F3</f>
        <v>0.11491945926831464</v>
      </c>
      <c r="L3" s="34"/>
      <c r="M3" s="177"/>
      <c r="N3" s="35">
        <f t="shared" ref="N3:N34" si="0">F3/1.56</f>
        <v>7.3666320043791436E-2</v>
      </c>
      <c r="O3" s="36"/>
      <c r="P3" s="31"/>
      <c r="Q3" s="32"/>
      <c r="R3" s="33">
        <f>N3</f>
        <v>7.3666320043791436E-2</v>
      </c>
      <c r="S3" s="40"/>
      <c r="T3" s="41"/>
      <c r="U3" s="42"/>
      <c r="V3" s="43"/>
      <c r="W3" s="44"/>
      <c r="X3" s="45"/>
      <c r="Y3" s="46"/>
      <c r="Z3" s="47"/>
      <c r="AA3" s="48"/>
      <c r="AB3" s="49"/>
      <c r="AC3" s="50"/>
      <c r="AD3" s="51"/>
      <c r="AE3" s="52"/>
      <c r="AF3" s="53"/>
      <c r="AG3" s="54"/>
      <c r="AH3" s="55"/>
      <c r="AI3" s="56"/>
      <c r="AJ3" s="149"/>
      <c r="AK3" s="154">
        <f>W3+AE3+AI3</f>
        <v>0</v>
      </c>
      <c r="AL3" s="172"/>
    </row>
    <row r="4" spans="1:38" x14ac:dyDescent="0.3">
      <c r="A4" s="187">
        <v>1</v>
      </c>
      <c r="B4" s="230">
        <f>((B17-B3)/14)+B3</f>
        <v>0.89999999999999991</v>
      </c>
      <c r="C4" s="245">
        <f>((C17-C3)/14)+C3</f>
        <v>2.3714285714285716E-2</v>
      </c>
      <c r="D4" s="175">
        <f t="shared" ref="D4:D67" si="1">C4*PI()</f>
        <v>7.4500625785129379E-2</v>
      </c>
      <c r="E4" s="249">
        <f t="shared" ref="E4:E67" si="2">(D4^2/(4*PI()))*B4*0.496</f>
        <v>1.9716697043499896E-4</v>
      </c>
      <c r="F4" s="178">
        <f t="shared" ref="F4:F67" si="3">E4*1475</f>
        <v>0.2908212813916235</v>
      </c>
      <c r="H4" s="219"/>
      <c r="I4" s="31"/>
      <c r="J4" s="32"/>
      <c r="K4" s="33">
        <f t="shared" ref="K4:K35" si="4">F4</f>
        <v>0.2908212813916235</v>
      </c>
      <c r="L4" s="34"/>
      <c r="M4" s="177"/>
      <c r="N4" s="35">
        <f t="shared" si="0"/>
        <v>0.18642389832796377</v>
      </c>
      <c r="O4" s="36"/>
      <c r="P4" s="31"/>
      <c r="Q4" s="32"/>
      <c r="R4" s="33">
        <f t="shared" ref="R4:R35" si="5">N4</f>
        <v>0.18642389832796377</v>
      </c>
      <c r="S4" s="40"/>
      <c r="T4" s="57"/>
      <c r="U4" s="42"/>
      <c r="V4" s="58"/>
      <c r="W4" s="59"/>
      <c r="X4" s="60"/>
      <c r="Y4" s="61"/>
      <c r="Z4" s="62"/>
      <c r="AA4" s="63"/>
      <c r="AB4" s="49"/>
      <c r="AC4" s="64"/>
      <c r="AD4" s="65"/>
      <c r="AE4" s="66"/>
      <c r="AF4" s="67"/>
      <c r="AG4" s="68"/>
      <c r="AH4" s="69"/>
      <c r="AI4" s="70"/>
      <c r="AJ4" s="150"/>
      <c r="AK4" s="154">
        <f t="shared" ref="AK4:AK67" si="6">W4+AE4+AI4</f>
        <v>0</v>
      </c>
      <c r="AL4" s="172"/>
    </row>
    <row r="5" spans="1:38" x14ac:dyDescent="0.3">
      <c r="A5" s="188">
        <v>2</v>
      </c>
      <c r="B5" s="230">
        <f>((B17-B3)/14)+B4</f>
        <v>1.2999999999999998</v>
      </c>
      <c r="C5" s="245">
        <f>((C17-C3)/14)+C4</f>
        <v>2.7428571428571431E-2</v>
      </c>
      <c r="D5" s="175">
        <f t="shared" si="1"/>
        <v>8.6169398498462904E-2</v>
      </c>
      <c r="E5" s="249">
        <f t="shared" si="2"/>
        <v>3.8099676446954657E-4</v>
      </c>
      <c r="F5" s="178">
        <f t="shared" si="3"/>
        <v>0.5619702275925812</v>
      </c>
      <c r="H5" s="220"/>
      <c r="I5" s="31"/>
      <c r="J5" s="71"/>
      <c r="K5" s="33">
        <f t="shared" si="4"/>
        <v>0.5619702275925812</v>
      </c>
      <c r="L5" s="34"/>
      <c r="M5" s="177"/>
      <c r="N5" s="35">
        <f t="shared" si="0"/>
        <v>0.36023732537985975</v>
      </c>
      <c r="O5" s="72"/>
      <c r="P5" s="31"/>
      <c r="Q5" s="71"/>
      <c r="R5" s="33">
        <f t="shared" si="5"/>
        <v>0.36023732537985975</v>
      </c>
      <c r="S5" s="40"/>
      <c r="T5" s="57"/>
      <c r="U5" s="42"/>
      <c r="V5" s="58"/>
      <c r="W5" s="59"/>
      <c r="X5" s="60"/>
      <c r="Y5" s="61"/>
      <c r="Z5" s="62"/>
      <c r="AA5" s="63"/>
      <c r="AB5" s="49"/>
      <c r="AC5" s="64"/>
      <c r="AD5" s="65"/>
      <c r="AE5" s="66"/>
      <c r="AF5" s="67"/>
      <c r="AG5" s="68"/>
      <c r="AH5" s="69"/>
      <c r="AI5" s="70"/>
      <c r="AJ5" s="150"/>
      <c r="AK5" s="154">
        <f t="shared" si="6"/>
        <v>0</v>
      </c>
      <c r="AL5" s="172"/>
    </row>
    <row r="6" spans="1:38" x14ac:dyDescent="0.3">
      <c r="A6" s="188">
        <v>3</v>
      </c>
      <c r="B6" s="230">
        <f>((B17-B3)/14)+B5</f>
        <v>1.6999999999999997</v>
      </c>
      <c r="C6" s="245">
        <f>((C17-C3)/14)+C5</f>
        <v>3.1142857142857146E-2</v>
      </c>
      <c r="D6" s="175">
        <f t="shared" si="1"/>
        <v>9.7838171211796429E-2</v>
      </c>
      <c r="E6" s="249">
        <f t="shared" si="2"/>
        <v>6.4229920787648267E-4</v>
      </c>
      <c r="F6" s="178">
        <f t="shared" si="3"/>
        <v>0.94739133161781197</v>
      </c>
      <c r="H6" s="220"/>
      <c r="I6" s="31"/>
      <c r="J6" s="71"/>
      <c r="K6" s="33">
        <f t="shared" si="4"/>
        <v>0.94739133161781197</v>
      </c>
      <c r="L6" s="34"/>
      <c r="M6" s="177"/>
      <c r="N6" s="35">
        <f t="shared" si="0"/>
        <v>0.60730213565244351</v>
      </c>
      <c r="O6" s="72"/>
      <c r="P6" s="31"/>
      <c r="Q6" s="71"/>
      <c r="R6" s="33">
        <f t="shared" si="5"/>
        <v>0.60730213565244351</v>
      </c>
      <c r="S6" s="40"/>
      <c r="T6" s="57"/>
      <c r="U6" s="42"/>
      <c r="V6" s="58"/>
      <c r="W6" s="59"/>
      <c r="X6" s="60"/>
      <c r="Y6" s="61"/>
      <c r="Z6" s="62"/>
      <c r="AA6" s="63"/>
      <c r="AB6" s="49"/>
      <c r="AC6" s="64"/>
      <c r="AD6" s="65"/>
      <c r="AE6" s="66"/>
      <c r="AF6" s="67"/>
      <c r="AG6" s="68"/>
      <c r="AH6" s="69"/>
      <c r="AI6" s="70"/>
      <c r="AJ6" s="150"/>
      <c r="AK6" s="154">
        <f t="shared" si="6"/>
        <v>0</v>
      </c>
      <c r="AL6" s="172"/>
    </row>
    <row r="7" spans="1:38" x14ac:dyDescent="0.3">
      <c r="A7" s="188">
        <v>4</v>
      </c>
      <c r="B7" s="230">
        <f>((B17-B3)/14)+B6</f>
        <v>2.0999999999999996</v>
      </c>
      <c r="C7" s="245">
        <f>((C17-C3)/14)+C6</f>
        <v>3.4857142857142857E-2</v>
      </c>
      <c r="D7" s="175">
        <f t="shared" si="1"/>
        <v>0.10950694392512993</v>
      </c>
      <c r="E7" s="249">
        <f t="shared" si="2"/>
        <v>9.9397262861961912E-4</v>
      </c>
      <c r="F7" s="178">
        <f t="shared" si="3"/>
        <v>1.4661096272139382</v>
      </c>
      <c r="H7" s="220"/>
      <c r="I7" s="31"/>
      <c r="J7" s="71"/>
      <c r="K7" s="33">
        <f t="shared" si="4"/>
        <v>1.4661096272139382</v>
      </c>
      <c r="L7" s="34"/>
      <c r="M7" s="177"/>
      <c r="N7" s="35">
        <f t="shared" si="0"/>
        <v>0.93981386359867836</v>
      </c>
      <c r="O7" s="72"/>
      <c r="P7" s="31"/>
      <c r="Q7" s="71"/>
      <c r="R7" s="33">
        <f t="shared" si="5"/>
        <v>0.93981386359867836</v>
      </c>
      <c r="S7" s="40"/>
      <c r="T7" s="57"/>
      <c r="U7" s="42"/>
      <c r="V7" s="58"/>
      <c r="W7" s="59"/>
      <c r="X7" s="60"/>
      <c r="Y7" s="61"/>
      <c r="Z7" s="62"/>
      <c r="AA7" s="63"/>
      <c r="AB7" s="49"/>
      <c r="AC7" s="64"/>
      <c r="AD7" s="65"/>
      <c r="AE7" s="66"/>
      <c r="AF7" s="67"/>
      <c r="AG7" s="68"/>
      <c r="AH7" s="69"/>
      <c r="AI7" s="70"/>
      <c r="AJ7" s="150"/>
      <c r="AK7" s="154">
        <f t="shared" si="6"/>
        <v>0</v>
      </c>
      <c r="AL7" s="172"/>
    </row>
    <row r="8" spans="1:38" x14ac:dyDescent="0.3">
      <c r="A8" s="188">
        <v>5</v>
      </c>
      <c r="B8" s="230">
        <f>((B17-B3)/14)+B7</f>
        <v>2.4999999999999996</v>
      </c>
      <c r="C8" s="245">
        <f>((C17-C3)/14)+C7</f>
        <v>3.8571428571428569E-2</v>
      </c>
      <c r="D8" s="175">
        <f t="shared" si="1"/>
        <v>0.12117571663846344</v>
      </c>
      <c r="E8" s="249">
        <f t="shared" si="2"/>
        <v>1.4489153546627695E-3</v>
      </c>
      <c r="F8" s="178">
        <f t="shared" si="3"/>
        <v>2.137150148127585</v>
      </c>
      <c r="H8" s="220"/>
      <c r="I8" s="31"/>
      <c r="J8" s="71"/>
      <c r="K8" s="33">
        <f t="shared" si="4"/>
        <v>2.137150148127585</v>
      </c>
      <c r="L8" s="34"/>
      <c r="M8" s="177"/>
      <c r="N8" s="35">
        <f t="shared" si="0"/>
        <v>1.3699680436715287</v>
      </c>
      <c r="O8" s="72"/>
      <c r="P8" s="31"/>
      <c r="Q8" s="71"/>
      <c r="R8" s="33">
        <f t="shared" si="5"/>
        <v>1.3699680436715287</v>
      </c>
      <c r="S8" s="40"/>
      <c r="T8" s="57"/>
      <c r="U8" s="42"/>
      <c r="V8" s="58"/>
      <c r="W8" s="59"/>
      <c r="X8" s="60"/>
      <c r="Y8" s="61"/>
      <c r="Z8" s="62"/>
      <c r="AA8" s="63"/>
      <c r="AB8" s="49"/>
      <c r="AC8" s="64"/>
      <c r="AD8" s="65"/>
      <c r="AE8" s="66"/>
      <c r="AF8" s="67"/>
      <c r="AG8" s="68"/>
      <c r="AH8" s="69"/>
      <c r="AI8" s="70"/>
      <c r="AJ8" s="150"/>
      <c r="AK8" s="154">
        <f t="shared" si="6"/>
        <v>0</v>
      </c>
      <c r="AL8" s="172"/>
    </row>
    <row r="9" spans="1:38" x14ac:dyDescent="0.3">
      <c r="A9" s="188">
        <v>6</v>
      </c>
      <c r="B9" s="230">
        <f>((B17-B3)/14)+B8</f>
        <v>2.8999999999999995</v>
      </c>
      <c r="C9" s="245">
        <f>((C17-C3)/14)+C8</f>
        <v>4.2285714285714281E-2</v>
      </c>
      <c r="D9" s="175">
        <f t="shared" si="1"/>
        <v>0.13284448935179696</v>
      </c>
      <c r="E9" s="249">
        <f t="shared" si="2"/>
        <v>2.020025713969747E-3</v>
      </c>
      <c r="F9" s="178">
        <f t="shared" si="3"/>
        <v>2.9795379281053767</v>
      </c>
      <c r="H9" s="220"/>
      <c r="I9" s="31"/>
      <c r="J9" s="71"/>
      <c r="K9" s="33">
        <f t="shared" si="4"/>
        <v>2.9795379281053767</v>
      </c>
      <c r="L9" s="34"/>
      <c r="M9" s="177"/>
      <c r="N9" s="35">
        <f t="shared" si="0"/>
        <v>1.9099602103239592</v>
      </c>
      <c r="O9" s="72"/>
      <c r="P9" s="31"/>
      <c r="Q9" s="71"/>
      <c r="R9" s="33">
        <f t="shared" si="5"/>
        <v>1.9099602103239592</v>
      </c>
      <c r="S9" s="40"/>
      <c r="T9" s="57"/>
      <c r="U9" s="42"/>
      <c r="V9" s="58"/>
      <c r="W9" s="59"/>
      <c r="X9" s="60"/>
      <c r="Y9" s="61"/>
      <c r="Z9" s="62"/>
      <c r="AA9" s="63"/>
      <c r="AB9" s="49"/>
      <c r="AC9" s="64"/>
      <c r="AD9" s="65"/>
      <c r="AE9" s="66"/>
      <c r="AF9" s="67"/>
      <c r="AG9" s="68"/>
      <c r="AH9" s="69"/>
      <c r="AI9" s="70"/>
      <c r="AJ9" s="150"/>
      <c r="AK9" s="154">
        <f t="shared" si="6"/>
        <v>0</v>
      </c>
      <c r="AL9" s="172"/>
    </row>
    <row r="10" spans="1:38" x14ac:dyDescent="0.3">
      <c r="A10" s="188">
        <v>7</v>
      </c>
      <c r="B10" s="230">
        <f>((B17-B3)/14)+B9</f>
        <v>3.2999999999999994</v>
      </c>
      <c r="C10" s="245">
        <f>((C17-C3)/14)+C9</f>
        <v>4.5999999999999992E-2</v>
      </c>
      <c r="D10" s="175">
        <f t="shared" si="1"/>
        <v>0.14451326206513046</v>
      </c>
      <c r="E10" s="249">
        <f t="shared" si="2"/>
        <v>2.7202020345043626E-3</v>
      </c>
      <c r="F10" s="178">
        <f t="shared" si="3"/>
        <v>4.0122980008939351</v>
      </c>
      <c r="H10" s="220"/>
      <c r="I10" s="31"/>
      <c r="J10" s="71"/>
      <c r="K10" s="33">
        <f t="shared" si="4"/>
        <v>4.0122980008939351</v>
      </c>
      <c r="L10" s="34"/>
      <c r="M10" s="177"/>
      <c r="N10" s="35">
        <f t="shared" si="0"/>
        <v>2.5719858980089327</v>
      </c>
      <c r="O10" s="72"/>
      <c r="P10" s="31"/>
      <c r="Q10" s="71"/>
      <c r="R10" s="33">
        <f t="shared" si="5"/>
        <v>2.5719858980089327</v>
      </c>
      <c r="S10" s="40"/>
      <c r="T10" s="57"/>
      <c r="U10" s="42"/>
      <c r="V10" s="58"/>
      <c r="W10" s="59"/>
      <c r="X10" s="60"/>
      <c r="Y10" s="61"/>
      <c r="Z10" s="62"/>
      <c r="AA10" s="63"/>
      <c r="AB10" s="49"/>
      <c r="AC10" s="64"/>
      <c r="AD10" s="65"/>
      <c r="AE10" s="66"/>
      <c r="AF10" s="67"/>
      <c r="AG10" s="68"/>
      <c r="AH10" s="69"/>
      <c r="AI10" s="70"/>
      <c r="AJ10" s="150"/>
      <c r="AK10" s="154">
        <f t="shared" si="6"/>
        <v>0</v>
      </c>
      <c r="AL10" s="172"/>
    </row>
    <row r="11" spans="1:38" x14ac:dyDescent="0.3">
      <c r="A11" s="188">
        <v>8</v>
      </c>
      <c r="B11" s="230">
        <f>((B17-B3)/14)+B10</f>
        <v>3.6999999999999993</v>
      </c>
      <c r="C11" s="245">
        <f>((C17-C3)/14)+C10</f>
        <v>4.9714285714285704E-2</v>
      </c>
      <c r="D11" s="175">
        <f t="shared" si="1"/>
        <v>0.15618203477846396</v>
      </c>
      <c r="E11" s="249">
        <f t="shared" si="2"/>
        <v>3.5623426442304303E-3</v>
      </c>
      <c r="F11" s="178">
        <f t="shared" si="3"/>
        <v>5.2544554002398849</v>
      </c>
      <c r="H11" s="220"/>
      <c r="I11" s="31"/>
      <c r="J11" s="71"/>
      <c r="K11" s="33">
        <f t="shared" si="4"/>
        <v>5.2544554002398849</v>
      </c>
      <c r="L11" s="34"/>
      <c r="M11" s="177"/>
      <c r="N11" s="35">
        <f t="shared" si="0"/>
        <v>3.3682406411794132</v>
      </c>
      <c r="O11" s="72"/>
      <c r="P11" s="31"/>
      <c r="Q11" s="71"/>
      <c r="R11" s="33">
        <f t="shared" si="5"/>
        <v>3.3682406411794132</v>
      </c>
      <c r="S11" s="40"/>
      <c r="T11" s="57"/>
      <c r="U11" s="42"/>
      <c r="V11" s="58"/>
      <c r="W11" s="59"/>
      <c r="X11" s="60"/>
      <c r="Y11" s="61"/>
      <c r="Z11" s="62"/>
      <c r="AA11" s="63"/>
      <c r="AB11" s="49"/>
      <c r="AC11" s="64"/>
      <c r="AD11" s="65"/>
      <c r="AE11" s="66"/>
      <c r="AF11" s="67"/>
      <c r="AG11" s="68"/>
      <c r="AH11" s="69"/>
      <c r="AI11" s="70"/>
      <c r="AJ11" s="150"/>
      <c r="AK11" s="154">
        <f t="shared" si="6"/>
        <v>0</v>
      </c>
      <c r="AL11" s="172"/>
    </row>
    <row r="12" spans="1:38" x14ac:dyDescent="0.3">
      <c r="A12" s="188">
        <v>9</v>
      </c>
      <c r="B12" s="230">
        <f>((B17-B3)/14)+B11</f>
        <v>4.0999999999999996</v>
      </c>
      <c r="C12" s="245">
        <f>((C17-C3)/14)+C11</f>
        <v>5.3428571428571416E-2</v>
      </c>
      <c r="D12" s="175">
        <f t="shared" si="1"/>
        <v>0.16785080749179748</v>
      </c>
      <c r="E12" s="249">
        <f t="shared" si="2"/>
        <v>4.5593458711117646E-3</v>
      </c>
      <c r="F12" s="178">
        <f t="shared" si="3"/>
        <v>6.7250351598898526</v>
      </c>
      <c r="H12" s="220"/>
      <c r="I12" s="31"/>
      <c r="J12" s="71"/>
      <c r="K12" s="33">
        <f t="shared" si="4"/>
        <v>6.7250351598898526</v>
      </c>
      <c r="L12" s="34"/>
      <c r="M12" s="177"/>
      <c r="N12" s="35">
        <f t="shared" si="0"/>
        <v>4.3109199742883666</v>
      </c>
      <c r="O12" s="72"/>
      <c r="P12" s="31"/>
      <c r="Q12" s="71"/>
      <c r="R12" s="33">
        <f t="shared" si="5"/>
        <v>4.3109199742883666</v>
      </c>
      <c r="S12" s="40"/>
      <c r="T12" s="57"/>
      <c r="U12" s="42"/>
      <c r="V12" s="58"/>
      <c r="W12" s="59"/>
      <c r="X12" s="60"/>
      <c r="Y12" s="61"/>
      <c r="Z12" s="62"/>
      <c r="AA12" s="63"/>
      <c r="AB12" s="49"/>
      <c r="AC12" s="64"/>
      <c r="AD12" s="65"/>
      <c r="AE12" s="66"/>
      <c r="AF12" s="67"/>
      <c r="AG12" s="68"/>
      <c r="AH12" s="69"/>
      <c r="AI12" s="70"/>
      <c r="AJ12" s="150"/>
      <c r="AK12" s="154">
        <f t="shared" si="6"/>
        <v>0</v>
      </c>
      <c r="AL12" s="172"/>
    </row>
    <row r="13" spans="1:38" x14ac:dyDescent="0.3">
      <c r="A13" s="188">
        <v>10</v>
      </c>
      <c r="B13" s="230">
        <f>((B17-B3)/14)+B12</f>
        <v>4.5</v>
      </c>
      <c r="C13" s="245">
        <f>((C17-C3)/14)+C12</f>
        <v>5.7142857142857127E-2</v>
      </c>
      <c r="D13" s="175">
        <f t="shared" si="1"/>
        <v>0.17951958020513098</v>
      </c>
      <c r="E13" s="249">
        <f t="shared" si="2"/>
        <v>5.7241100431121746E-3</v>
      </c>
      <c r="F13" s="178">
        <f t="shared" si="3"/>
        <v>8.4430623135904579</v>
      </c>
      <c r="H13" s="220"/>
      <c r="I13" s="31"/>
      <c r="J13" s="71"/>
      <c r="K13" s="33">
        <f t="shared" si="4"/>
        <v>8.4430623135904579</v>
      </c>
      <c r="L13" s="34"/>
      <c r="M13" s="177"/>
      <c r="N13" s="35">
        <f t="shared" si="0"/>
        <v>5.4122194317887553</v>
      </c>
      <c r="O13" s="72"/>
      <c r="P13" s="31"/>
      <c r="Q13" s="71"/>
      <c r="R13" s="33">
        <f t="shared" si="5"/>
        <v>5.4122194317887553</v>
      </c>
      <c r="S13" s="40"/>
      <c r="T13" s="57"/>
      <c r="U13" s="42"/>
      <c r="V13" s="58"/>
      <c r="W13" s="59"/>
      <c r="X13" s="60"/>
      <c r="Y13" s="61"/>
      <c r="Z13" s="62"/>
      <c r="AA13" s="63"/>
      <c r="AB13" s="49"/>
      <c r="AC13" s="64"/>
      <c r="AD13" s="65"/>
      <c r="AE13" s="66"/>
      <c r="AF13" s="67"/>
      <c r="AG13" s="68"/>
      <c r="AH13" s="69"/>
      <c r="AI13" s="70"/>
      <c r="AJ13" s="150"/>
      <c r="AK13" s="154">
        <f t="shared" si="6"/>
        <v>0</v>
      </c>
      <c r="AL13" s="172"/>
    </row>
    <row r="14" spans="1:38" x14ac:dyDescent="0.3">
      <c r="A14" s="188">
        <v>11</v>
      </c>
      <c r="B14" s="230">
        <f>((B17-B3)/14)+B13</f>
        <v>4.9000000000000004</v>
      </c>
      <c r="C14" s="245">
        <f>((C17-C3)/14)+C13</f>
        <v>6.0857142857142839E-2</v>
      </c>
      <c r="D14" s="175">
        <f t="shared" si="1"/>
        <v>0.1911883529184645</v>
      </c>
      <c r="E14" s="249">
        <f t="shared" si="2"/>
        <v>7.0695334881954765E-3</v>
      </c>
      <c r="F14" s="178">
        <f t="shared" si="3"/>
        <v>10.427561895088328</v>
      </c>
      <c r="H14" s="220"/>
      <c r="I14" s="31"/>
      <c r="J14" s="71"/>
      <c r="K14" s="33">
        <f t="shared" si="4"/>
        <v>10.427561895088328</v>
      </c>
      <c r="L14" s="34"/>
      <c r="M14" s="177"/>
      <c r="N14" s="35">
        <f t="shared" si="0"/>
        <v>6.6843345481335428</v>
      </c>
      <c r="O14" s="72"/>
      <c r="P14" s="31"/>
      <c r="Q14" s="71"/>
      <c r="R14" s="33">
        <f t="shared" si="5"/>
        <v>6.6843345481335428</v>
      </c>
      <c r="S14" s="40"/>
      <c r="T14" s="57"/>
      <c r="U14" s="42"/>
      <c r="V14" s="58"/>
      <c r="W14" s="59"/>
      <c r="X14" s="60"/>
      <c r="Y14" s="61"/>
      <c r="Z14" s="62"/>
      <c r="AA14" s="63"/>
      <c r="AB14" s="49"/>
      <c r="AC14" s="64"/>
      <c r="AD14" s="65"/>
      <c r="AE14" s="66"/>
      <c r="AF14" s="67"/>
      <c r="AG14" s="68"/>
      <c r="AH14" s="69"/>
      <c r="AI14" s="70"/>
      <c r="AJ14" s="150"/>
      <c r="AK14" s="154">
        <f t="shared" si="6"/>
        <v>0</v>
      </c>
      <c r="AL14" s="172"/>
    </row>
    <row r="15" spans="1:38" x14ac:dyDescent="0.3">
      <c r="A15" s="188">
        <v>12</v>
      </c>
      <c r="B15" s="230">
        <f>((B17-B3)/14)+B14</f>
        <v>5.3000000000000007</v>
      </c>
      <c r="C15" s="245">
        <f>((C17-C3)/14)+C14</f>
        <v>6.4571428571428557E-2</v>
      </c>
      <c r="D15" s="175">
        <f t="shared" si="1"/>
        <v>0.20285712563179803</v>
      </c>
      <c r="E15" s="249">
        <f t="shared" si="2"/>
        <v>8.6085145343254826E-3</v>
      </c>
      <c r="F15" s="178">
        <f t="shared" si="3"/>
        <v>12.697558938130086</v>
      </c>
      <c r="H15" s="220"/>
      <c r="I15" s="31"/>
      <c r="J15" s="71"/>
      <c r="K15" s="33">
        <f t="shared" si="4"/>
        <v>12.697558938130086</v>
      </c>
      <c r="L15" s="34"/>
      <c r="M15" s="177"/>
      <c r="N15" s="35">
        <f t="shared" si="0"/>
        <v>8.1394608577756955</v>
      </c>
      <c r="O15" s="72"/>
      <c r="P15" s="31"/>
      <c r="Q15" s="71"/>
      <c r="R15" s="33">
        <f t="shared" si="5"/>
        <v>8.1394608577756955</v>
      </c>
      <c r="S15" s="40"/>
      <c r="T15" s="57"/>
      <c r="U15" s="42"/>
      <c r="V15" s="58"/>
      <c r="W15" s="59"/>
      <c r="X15" s="60"/>
      <c r="Y15" s="61"/>
      <c r="Z15" s="62"/>
      <c r="AA15" s="63"/>
      <c r="AB15" s="49"/>
      <c r="AC15" s="64"/>
      <c r="AD15" s="65"/>
      <c r="AE15" s="66"/>
      <c r="AF15" s="67"/>
      <c r="AG15" s="68"/>
      <c r="AH15" s="69"/>
      <c r="AI15" s="70"/>
      <c r="AJ15" s="150"/>
      <c r="AK15" s="154">
        <f t="shared" si="6"/>
        <v>0</v>
      </c>
      <c r="AL15" s="172"/>
    </row>
    <row r="16" spans="1:38" x14ac:dyDescent="0.3">
      <c r="A16" s="188">
        <v>13</v>
      </c>
      <c r="B16" s="230">
        <f>((B17-B3)/14)+B15</f>
        <v>5.7000000000000011</v>
      </c>
      <c r="C16" s="245">
        <f>((C17-C3)/14)+C15</f>
        <v>6.8285714285714269E-2</v>
      </c>
      <c r="D16" s="175">
        <f t="shared" si="1"/>
        <v>0.21452589834513153</v>
      </c>
      <c r="E16" s="249">
        <f t="shared" si="2"/>
        <v>1.0353951509466002E-2</v>
      </c>
      <c r="F16" s="178">
        <f t="shared" si="3"/>
        <v>15.272078476462355</v>
      </c>
      <c r="H16" s="220"/>
      <c r="I16" s="31"/>
      <c r="J16" s="71"/>
      <c r="K16" s="33">
        <f t="shared" si="4"/>
        <v>15.272078476462355</v>
      </c>
      <c r="L16" s="34"/>
      <c r="M16" s="177"/>
      <c r="N16" s="35">
        <f t="shared" si="0"/>
        <v>9.7897938951681756</v>
      </c>
      <c r="O16" s="72"/>
      <c r="P16" s="31"/>
      <c r="Q16" s="71"/>
      <c r="R16" s="33">
        <f t="shared" si="5"/>
        <v>9.7897938951681756</v>
      </c>
      <c r="S16" s="40"/>
      <c r="T16" s="57"/>
      <c r="U16" s="42"/>
      <c r="V16" s="58"/>
      <c r="W16" s="59"/>
      <c r="X16" s="60"/>
      <c r="Y16" s="61"/>
      <c r="Z16" s="62"/>
      <c r="AA16" s="63"/>
      <c r="AB16" s="49"/>
      <c r="AC16" s="64"/>
      <c r="AD16" s="65"/>
      <c r="AE16" s="66"/>
      <c r="AF16" s="67"/>
      <c r="AG16" s="68"/>
      <c r="AH16" s="69"/>
      <c r="AI16" s="70"/>
      <c r="AJ16" s="150"/>
      <c r="AK16" s="154">
        <f t="shared" si="6"/>
        <v>0</v>
      </c>
      <c r="AL16" s="172"/>
    </row>
    <row r="17" spans="1:38" x14ac:dyDescent="0.3">
      <c r="A17" s="226">
        <v>14</v>
      </c>
      <c r="B17" s="230">
        <v>6.1</v>
      </c>
      <c r="C17" s="245">
        <v>7.1999999999999995E-2</v>
      </c>
      <c r="D17" s="205">
        <f t="shared" si="1"/>
        <v>0.22619467105846508</v>
      </c>
      <c r="E17" s="250">
        <f t="shared" si="2"/>
        <v>1.2318742741580853E-2</v>
      </c>
      <c r="F17" s="178">
        <f t="shared" si="3"/>
        <v>18.170145543831758</v>
      </c>
      <c r="H17" s="220"/>
      <c r="I17" s="31"/>
      <c r="J17" s="71"/>
      <c r="K17" s="33">
        <f t="shared" si="4"/>
        <v>18.170145543831758</v>
      </c>
      <c r="L17" s="34"/>
      <c r="M17" s="177"/>
      <c r="N17" s="35">
        <f t="shared" si="0"/>
        <v>11.647529194763948</v>
      </c>
      <c r="O17" s="72"/>
      <c r="P17" s="31"/>
      <c r="Q17" s="71"/>
      <c r="R17" s="33">
        <f t="shared" si="5"/>
        <v>11.647529194763948</v>
      </c>
      <c r="S17" s="40"/>
      <c r="T17" s="57"/>
      <c r="U17" s="42"/>
      <c r="V17" s="58"/>
      <c r="W17" s="59"/>
      <c r="X17" s="60"/>
      <c r="Y17" s="61"/>
      <c r="Z17" s="62"/>
      <c r="AA17" s="63"/>
      <c r="AB17" s="49"/>
      <c r="AC17" s="64"/>
      <c r="AD17" s="65"/>
      <c r="AE17" s="66"/>
      <c r="AF17" s="67"/>
      <c r="AG17" s="68"/>
      <c r="AH17" s="69"/>
      <c r="AI17" s="70"/>
      <c r="AJ17" s="150"/>
      <c r="AK17" s="154">
        <f t="shared" si="6"/>
        <v>0</v>
      </c>
      <c r="AL17" s="172"/>
    </row>
    <row r="18" spans="1:38" x14ac:dyDescent="0.3">
      <c r="A18" s="188">
        <v>15</v>
      </c>
      <c r="B18" s="227">
        <f>((B28-B17)/11)+B17</f>
        <v>6.4909090909090903</v>
      </c>
      <c r="C18" s="237">
        <f>((C28-C17)/11)+C17</f>
        <v>7.6090909090909084E-2</v>
      </c>
      <c r="D18" s="175">
        <f t="shared" si="1"/>
        <v>0.23904664100496878</v>
      </c>
      <c r="E18" s="249">
        <f t="shared" si="2"/>
        <v>1.4640052365710182E-2</v>
      </c>
      <c r="F18" s="178">
        <f t="shared" si="3"/>
        <v>21.594077239422518</v>
      </c>
      <c r="H18" s="220"/>
      <c r="I18" s="31"/>
      <c r="J18" s="71"/>
      <c r="K18" s="33">
        <f t="shared" si="4"/>
        <v>21.594077239422518</v>
      </c>
      <c r="L18" s="34"/>
      <c r="M18" s="177"/>
      <c r="N18" s="35">
        <f t="shared" si="0"/>
        <v>13.842357204758024</v>
      </c>
      <c r="O18" s="72"/>
      <c r="P18" s="31"/>
      <c r="Q18" s="71"/>
      <c r="R18" s="33">
        <f t="shared" si="5"/>
        <v>13.842357204758024</v>
      </c>
      <c r="S18" s="40"/>
      <c r="T18" s="57"/>
      <c r="U18" s="42"/>
      <c r="V18" s="58"/>
      <c r="W18" s="59"/>
      <c r="X18" s="60"/>
      <c r="Y18" s="61"/>
      <c r="Z18" s="62"/>
      <c r="AA18" s="63"/>
      <c r="AB18" s="49"/>
      <c r="AC18" s="64"/>
      <c r="AD18" s="65"/>
      <c r="AE18" s="66"/>
      <c r="AF18" s="67"/>
      <c r="AG18" s="68"/>
      <c r="AH18" s="69"/>
      <c r="AI18" s="70"/>
      <c r="AJ18" s="150"/>
      <c r="AK18" s="154">
        <f t="shared" si="6"/>
        <v>0</v>
      </c>
      <c r="AL18" s="172"/>
    </row>
    <row r="19" spans="1:38" x14ac:dyDescent="0.3">
      <c r="A19" s="188">
        <v>16</v>
      </c>
      <c r="B19" s="227">
        <f>((B28-B17)/11)+B18</f>
        <v>6.8818181818181809</v>
      </c>
      <c r="C19" s="237">
        <f>((C28-C17)/11)+C18</f>
        <v>8.0181818181818174E-2</v>
      </c>
      <c r="D19" s="175">
        <f t="shared" si="1"/>
        <v>0.25189861095147248</v>
      </c>
      <c r="E19" s="249">
        <f t="shared" si="2"/>
        <v>1.7235605779242363E-2</v>
      </c>
      <c r="F19" s="178">
        <f t="shared" si="3"/>
        <v>25.422518524382486</v>
      </c>
      <c r="H19" s="220"/>
      <c r="I19" s="31"/>
      <c r="J19" s="71"/>
      <c r="K19" s="33">
        <f t="shared" si="4"/>
        <v>25.422518524382486</v>
      </c>
      <c r="L19" s="34"/>
      <c r="M19" s="177"/>
      <c r="N19" s="35">
        <f t="shared" si="0"/>
        <v>16.296486233578516</v>
      </c>
      <c r="O19" s="72"/>
      <c r="P19" s="31"/>
      <c r="Q19" s="71"/>
      <c r="R19" s="33">
        <f t="shared" si="5"/>
        <v>16.296486233578516</v>
      </c>
      <c r="S19" s="40"/>
      <c r="T19" s="57"/>
      <c r="U19" s="42"/>
      <c r="V19" s="58"/>
      <c r="W19" s="59"/>
      <c r="X19" s="60"/>
      <c r="Y19" s="61"/>
      <c r="Z19" s="62"/>
      <c r="AA19" s="63"/>
      <c r="AB19" s="49"/>
      <c r="AC19" s="64"/>
      <c r="AD19" s="65"/>
      <c r="AE19" s="66"/>
      <c r="AF19" s="67"/>
      <c r="AG19" s="68"/>
      <c r="AH19" s="69"/>
      <c r="AI19" s="70"/>
      <c r="AJ19" s="150"/>
      <c r="AK19" s="154">
        <f t="shared" si="6"/>
        <v>0</v>
      </c>
      <c r="AL19" s="172"/>
    </row>
    <row r="20" spans="1:38" x14ac:dyDescent="0.3">
      <c r="A20" s="188">
        <v>17</v>
      </c>
      <c r="B20" s="227">
        <f>((B28-B17)/11)+B19</f>
        <v>7.2727272727272716</v>
      </c>
      <c r="C20" s="237">
        <f>((C28-C17)/11)+C19</f>
        <v>8.4272727272727263E-2</v>
      </c>
      <c r="D20" s="175">
        <f t="shared" si="1"/>
        <v>0.26475058089797615</v>
      </c>
      <c r="E20" s="249">
        <f t="shared" si="2"/>
        <v>2.0120694064833421E-2</v>
      </c>
      <c r="F20" s="178">
        <f t="shared" si="3"/>
        <v>29.678023745629297</v>
      </c>
      <c r="H20" s="220"/>
      <c r="I20" s="31"/>
      <c r="J20" s="71"/>
      <c r="K20" s="33">
        <f t="shared" si="4"/>
        <v>29.678023745629297</v>
      </c>
      <c r="L20" s="34"/>
      <c r="M20" s="177"/>
      <c r="N20" s="35">
        <f t="shared" si="0"/>
        <v>19.024374195916216</v>
      </c>
      <c r="O20" s="72"/>
      <c r="P20" s="31"/>
      <c r="Q20" s="71"/>
      <c r="R20" s="33">
        <f t="shared" si="5"/>
        <v>19.024374195916216</v>
      </c>
      <c r="S20" s="40"/>
      <c r="T20" s="57"/>
      <c r="U20" s="42"/>
      <c r="V20" s="58"/>
      <c r="W20" s="59"/>
      <c r="X20" s="60"/>
      <c r="Y20" s="61"/>
      <c r="Z20" s="62"/>
      <c r="AA20" s="63"/>
      <c r="AB20" s="49"/>
      <c r="AC20" s="64"/>
      <c r="AD20" s="65"/>
      <c r="AE20" s="66"/>
      <c r="AF20" s="67"/>
      <c r="AG20" s="68"/>
      <c r="AH20" s="69"/>
      <c r="AI20" s="70"/>
      <c r="AJ20" s="150"/>
      <c r="AK20" s="154">
        <f t="shared" si="6"/>
        <v>0</v>
      </c>
      <c r="AL20" s="172"/>
    </row>
    <row r="21" spans="1:38" x14ac:dyDescent="0.3">
      <c r="A21" s="188">
        <v>18</v>
      </c>
      <c r="B21" s="227">
        <f>((B28-B17)/11)+B20</f>
        <v>7.6636363636363622</v>
      </c>
      <c r="C21" s="237">
        <f>((C28-C17)/11)+C20</f>
        <v>8.8363636363636353E-2</v>
      </c>
      <c r="D21" s="175">
        <f t="shared" si="1"/>
        <v>0.27760255084447988</v>
      </c>
      <c r="E21" s="249">
        <f t="shared" si="2"/>
        <v>2.3310608305139386E-2</v>
      </c>
      <c r="F21" s="178">
        <f t="shared" si="3"/>
        <v>34.383147250080597</v>
      </c>
      <c r="H21" s="220"/>
      <c r="I21" s="31"/>
      <c r="J21" s="71"/>
      <c r="K21" s="33">
        <f t="shared" si="4"/>
        <v>34.383147250080597</v>
      </c>
      <c r="L21" s="34"/>
      <c r="M21" s="177"/>
      <c r="N21" s="35">
        <f t="shared" si="0"/>
        <v>22.040479006461922</v>
      </c>
      <c r="O21" s="72"/>
      <c r="P21" s="31"/>
      <c r="Q21" s="71"/>
      <c r="R21" s="33">
        <f t="shared" si="5"/>
        <v>22.040479006461922</v>
      </c>
      <c r="S21" s="40"/>
      <c r="T21" s="57"/>
      <c r="U21" s="42"/>
      <c r="V21" s="58"/>
      <c r="W21" s="59"/>
      <c r="X21" s="60"/>
      <c r="Y21" s="61"/>
      <c r="Z21" s="62"/>
      <c r="AA21" s="63"/>
      <c r="AB21" s="49"/>
      <c r="AC21" s="64"/>
      <c r="AD21" s="65"/>
      <c r="AE21" s="66"/>
      <c r="AF21" s="67"/>
      <c r="AG21" s="68"/>
      <c r="AH21" s="69"/>
      <c r="AI21" s="70"/>
      <c r="AJ21" s="150"/>
      <c r="AK21" s="154">
        <f t="shared" si="6"/>
        <v>0</v>
      </c>
      <c r="AL21" s="172"/>
    </row>
    <row r="22" spans="1:38" x14ac:dyDescent="0.3">
      <c r="A22" s="188">
        <v>19</v>
      </c>
      <c r="B22" s="227">
        <f>((B28-B17)/11)+B21</f>
        <v>8.0545454545454529</v>
      </c>
      <c r="C22" s="237">
        <f>((C28-C17)/11)+C21</f>
        <v>9.2454545454545442E-2</v>
      </c>
      <c r="D22" s="175">
        <f t="shared" si="1"/>
        <v>0.29045452079098355</v>
      </c>
      <c r="E22" s="249">
        <f t="shared" si="2"/>
        <v>2.6820639582816261E-2</v>
      </c>
      <c r="F22" s="178">
        <f t="shared" si="3"/>
        <v>39.560443384653986</v>
      </c>
      <c r="H22" s="220"/>
      <c r="I22" s="31"/>
      <c r="J22" s="71"/>
      <c r="K22" s="33">
        <f t="shared" si="4"/>
        <v>39.560443384653986</v>
      </c>
      <c r="L22" s="34"/>
      <c r="M22" s="177"/>
      <c r="N22" s="35">
        <f t="shared" si="0"/>
        <v>25.359258579906399</v>
      </c>
      <c r="O22" s="72"/>
      <c r="P22" s="31"/>
      <c r="Q22" s="71"/>
      <c r="R22" s="33">
        <f t="shared" si="5"/>
        <v>25.359258579906399</v>
      </c>
      <c r="S22" s="40"/>
      <c r="T22" s="57"/>
      <c r="U22" s="42"/>
      <c r="V22" s="58"/>
      <c r="W22" s="59"/>
      <c r="X22" s="60"/>
      <c r="Y22" s="61"/>
      <c r="Z22" s="62"/>
      <c r="AA22" s="63"/>
      <c r="AB22" s="49"/>
      <c r="AC22" s="64"/>
      <c r="AD22" s="65"/>
      <c r="AE22" s="66"/>
      <c r="AF22" s="67"/>
      <c r="AG22" s="68"/>
      <c r="AH22" s="69"/>
      <c r="AI22" s="70"/>
      <c r="AJ22" s="150"/>
      <c r="AK22" s="154">
        <f t="shared" si="6"/>
        <v>0</v>
      </c>
      <c r="AL22" s="172"/>
    </row>
    <row r="23" spans="1:38" x14ac:dyDescent="0.3">
      <c r="A23" s="188">
        <v>20</v>
      </c>
      <c r="B23" s="227">
        <f>((B28-B17)/11)+B22</f>
        <v>8.4454545454545435</v>
      </c>
      <c r="C23" s="237">
        <f>((C28-C17)/11)+C22</f>
        <v>9.6545454545454532E-2</v>
      </c>
      <c r="D23" s="175">
        <f t="shared" si="1"/>
        <v>0.30330649073748728</v>
      </c>
      <c r="E23" s="249">
        <f t="shared" si="2"/>
        <v>3.0666078980520085E-2</v>
      </c>
      <c r="F23" s="178">
        <f t="shared" si="3"/>
        <v>45.232466496267122</v>
      </c>
      <c r="H23" s="220"/>
      <c r="I23" s="31"/>
      <c r="J23" s="71"/>
      <c r="K23" s="33">
        <f t="shared" si="4"/>
        <v>45.232466496267122</v>
      </c>
      <c r="L23" s="34"/>
      <c r="M23" s="177"/>
      <c r="N23" s="35">
        <f t="shared" si="0"/>
        <v>28.995170830940463</v>
      </c>
      <c r="O23" s="72"/>
      <c r="P23" s="31"/>
      <c r="Q23" s="71"/>
      <c r="R23" s="33">
        <f t="shared" si="5"/>
        <v>28.995170830940463</v>
      </c>
      <c r="S23" s="40"/>
      <c r="T23" s="57"/>
      <c r="U23" s="42"/>
      <c r="V23" s="58"/>
      <c r="W23" s="59"/>
      <c r="X23" s="60"/>
      <c r="Y23" s="61"/>
      <c r="Z23" s="62"/>
      <c r="AA23" s="63"/>
      <c r="AB23" s="49"/>
      <c r="AC23" s="64"/>
      <c r="AD23" s="65"/>
      <c r="AE23" s="66"/>
      <c r="AF23" s="67"/>
      <c r="AG23" s="68"/>
      <c r="AH23" s="69"/>
      <c r="AI23" s="70"/>
      <c r="AJ23" s="150"/>
      <c r="AK23" s="154">
        <f t="shared" si="6"/>
        <v>0</v>
      </c>
      <c r="AL23" s="172"/>
    </row>
    <row r="24" spans="1:38" x14ac:dyDescent="0.3">
      <c r="A24" s="188">
        <v>21</v>
      </c>
      <c r="B24" s="227">
        <f>((B28-B17)/11)+B23</f>
        <v>8.8363636363636342</v>
      </c>
      <c r="C24" s="237">
        <f>((C28-C17)/11)+C23</f>
        <v>0.10063636363636362</v>
      </c>
      <c r="D24" s="175">
        <f t="shared" si="1"/>
        <v>0.31615846068399095</v>
      </c>
      <c r="E24" s="249">
        <f t="shared" si="2"/>
        <v>3.4862217580906851E-2</v>
      </c>
      <c r="F24" s="178">
        <f t="shared" si="3"/>
        <v>51.421770931837607</v>
      </c>
      <c r="H24" s="220"/>
      <c r="I24" s="31"/>
      <c r="J24" s="71"/>
      <c r="K24" s="33">
        <f t="shared" si="4"/>
        <v>51.421770931837607</v>
      </c>
      <c r="L24" s="34"/>
      <c r="M24" s="177"/>
      <c r="N24" s="35">
        <f t="shared" si="0"/>
        <v>32.962673674254873</v>
      </c>
      <c r="O24" s="72"/>
      <c r="P24" s="31"/>
      <c r="Q24" s="71"/>
      <c r="R24" s="33">
        <f t="shared" si="5"/>
        <v>32.962673674254873</v>
      </c>
      <c r="S24" s="40"/>
      <c r="T24" s="57"/>
      <c r="U24" s="42"/>
      <c r="V24" s="58"/>
      <c r="W24" s="59"/>
      <c r="X24" s="60"/>
      <c r="Y24" s="61"/>
      <c r="Z24" s="62"/>
      <c r="AA24" s="63"/>
      <c r="AB24" s="49"/>
      <c r="AC24" s="64"/>
      <c r="AD24" s="65"/>
      <c r="AE24" s="66"/>
      <c r="AF24" s="67"/>
      <c r="AG24" s="68"/>
      <c r="AH24" s="69"/>
      <c r="AI24" s="70"/>
      <c r="AJ24" s="150"/>
      <c r="AK24" s="154">
        <f t="shared" si="6"/>
        <v>0</v>
      </c>
      <c r="AL24" s="172"/>
    </row>
    <row r="25" spans="1:38" x14ac:dyDescent="0.3">
      <c r="A25" s="188">
        <v>22</v>
      </c>
      <c r="B25" s="227">
        <f>((B28-B17)/11)+B24</f>
        <v>9.2272727272727249</v>
      </c>
      <c r="C25" s="237">
        <f>((C28-C17)/11)+C24</f>
        <v>0.10472727272727271</v>
      </c>
      <c r="D25" s="175">
        <f t="shared" si="1"/>
        <v>0.32901043063049462</v>
      </c>
      <c r="E25" s="249">
        <f t="shared" si="2"/>
        <v>3.94243464666326E-2</v>
      </c>
      <c r="F25" s="178">
        <f t="shared" si="3"/>
        <v>58.150911038283084</v>
      </c>
      <c r="H25" s="220"/>
      <c r="I25" s="31"/>
      <c r="J25" s="71"/>
      <c r="K25" s="33">
        <f t="shared" si="4"/>
        <v>58.150911038283084</v>
      </c>
      <c r="L25" s="34"/>
      <c r="M25" s="177"/>
      <c r="N25" s="35">
        <f t="shared" si="0"/>
        <v>37.276225024540437</v>
      </c>
      <c r="O25" s="72"/>
      <c r="P25" s="31"/>
      <c r="Q25" s="71"/>
      <c r="R25" s="33">
        <f t="shared" si="5"/>
        <v>37.276225024540437</v>
      </c>
      <c r="S25" s="40"/>
      <c r="T25" s="57"/>
      <c r="U25" s="42"/>
      <c r="V25" s="58"/>
      <c r="W25" s="59"/>
      <c r="X25" s="60"/>
      <c r="Y25" s="61"/>
      <c r="Z25" s="62"/>
      <c r="AA25" s="63"/>
      <c r="AB25" s="49"/>
      <c r="AC25" s="64"/>
      <c r="AD25" s="65"/>
      <c r="AE25" s="66"/>
      <c r="AF25" s="67"/>
      <c r="AG25" s="68"/>
      <c r="AH25" s="69"/>
      <c r="AI25" s="70"/>
      <c r="AJ25" s="150"/>
      <c r="AK25" s="154">
        <f t="shared" si="6"/>
        <v>0</v>
      </c>
      <c r="AL25" s="172"/>
    </row>
    <row r="26" spans="1:38" x14ac:dyDescent="0.3">
      <c r="A26" s="188">
        <v>23</v>
      </c>
      <c r="B26" s="227">
        <f>((B28-B17)/11)+B25</f>
        <v>9.6181818181818155</v>
      </c>
      <c r="C26" s="237">
        <f>((C28-C17)/11)+C25</f>
        <v>0.1088181818181818</v>
      </c>
      <c r="D26" s="175">
        <f t="shared" si="1"/>
        <v>0.34186240057699835</v>
      </c>
      <c r="E26" s="249">
        <f t="shared" si="2"/>
        <v>4.4367756720353362E-2</v>
      </c>
      <c r="F26" s="178">
        <f t="shared" si="3"/>
        <v>65.442441162521206</v>
      </c>
      <c r="H26" s="220"/>
      <c r="I26" s="31"/>
      <c r="J26" s="71"/>
      <c r="K26" s="33">
        <f t="shared" si="4"/>
        <v>65.442441162521206</v>
      </c>
      <c r="L26" s="34"/>
      <c r="M26" s="177"/>
      <c r="N26" s="35">
        <f t="shared" si="0"/>
        <v>41.950282796487954</v>
      </c>
      <c r="O26" s="72"/>
      <c r="P26" s="31"/>
      <c r="Q26" s="71"/>
      <c r="R26" s="33">
        <f t="shared" si="5"/>
        <v>41.950282796487954</v>
      </c>
      <c r="S26" s="40"/>
      <c r="T26" s="57"/>
      <c r="U26" s="42"/>
      <c r="V26" s="58"/>
      <c r="W26" s="59"/>
      <c r="X26" s="60"/>
      <c r="Y26" s="61"/>
      <c r="Z26" s="62"/>
      <c r="AA26" s="63"/>
      <c r="AB26" s="49"/>
      <c r="AC26" s="64"/>
      <c r="AD26" s="65"/>
      <c r="AE26" s="66"/>
      <c r="AF26" s="67"/>
      <c r="AG26" s="68"/>
      <c r="AH26" s="69"/>
      <c r="AI26" s="70"/>
      <c r="AJ26" s="150"/>
      <c r="AK26" s="154">
        <f t="shared" si="6"/>
        <v>0</v>
      </c>
      <c r="AL26" s="172"/>
    </row>
    <row r="27" spans="1:38" x14ac:dyDescent="0.3">
      <c r="A27" s="188">
        <v>24</v>
      </c>
      <c r="B27" s="227">
        <f>((B28-B17)/11)+B26</f>
        <v>10.009090909090906</v>
      </c>
      <c r="C27" s="237">
        <f>((C28-C17)/11)+C26</f>
        <v>0.11290909090909089</v>
      </c>
      <c r="D27" s="175">
        <f t="shared" si="1"/>
        <v>0.35471437052350202</v>
      </c>
      <c r="E27" s="249">
        <f t="shared" si="2"/>
        <v>4.9707739424725117E-2</v>
      </c>
      <c r="F27" s="178">
        <f t="shared" si="3"/>
        <v>73.318915651469553</v>
      </c>
      <c r="H27" s="220"/>
      <c r="I27" s="31"/>
      <c r="J27" s="71"/>
      <c r="K27" s="33">
        <f t="shared" si="4"/>
        <v>73.318915651469553</v>
      </c>
      <c r="L27" s="34"/>
      <c r="M27" s="177"/>
      <c r="N27" s="35">
        <f t="shared" si="0"/>
        <v>46.999304904788175</v>
      </c>
      <c r="O27" s="72"/>
      <c r="P27" s="31"/>
      <c r="Q27" s="71"/>
      <c r="R27" s="33">
        <f t="shared" si="5"/>
        <v>46.999304904788175</v>
      </c>
      <c r="S27" s="40"/>
      <c r="T27" s="57"/>
      <c r="U27" s="42"/>
      <c r="V27" s="58"/>
      <c r="W27" s="59"/>
      <c r="X27" s="60"/>
      <c r="Y27" s="61"/>
      <c r="Z27" s="62"/>
      <c r="AA27" s="63"/>
      <c r="AB27" s="49"/>
      <c r="AC27" s="64"/>
      <c r="AD27" s="65"/>
      <c r="AE27" s="66"/>
      <c r="AF27" s="67"/>
      <c r="AG27" s="68"/>
      <c r="AH27" s="69"/>
      <c r="AI27" s="70"/>
      <c r="AJ27" s="150"/>
      <c r="AK27" s="154">
        <f t="shared" si="6"/>
        <v>0</v>
      </c>
      <c r="AL27" s="172"/>
    </row>
    <row r="28" spans="1:38" x14ac:dyDescent="0.3">
      <c r="A28" s="226">
        <v>25</v>
      </c>
      <c r="B28" s="227">
        <v>10.4</v>
      </c>
      <c r="C28" s="237">
        <v>0.11700000000000001</v>
      </c>
      <c r="D28" s="175">
        <f t="shared" si="1"/>
        <v>0.3675663404700058</v>
      </c>
      <c r="E28" s="249">
        <f t="shared" si="2"/>
        <v>5.5459585662403985E-2</v>
      </c>
      <c r="F28" s="178">
        <f t="shared" si="3"/>
        <v>81.802888852045882</v>
      </c>
      <c r="H28" s="221"/>
      <c r="I28" s="31"/>
      <c r="J28" s="71"/>
      <c r="K28" s="33">
        <f t="shared" si="4"/>
        <v>81.802888852045882</v>
      </c>
      <c r="L28" s="34"/>
      <c r="M28" s="177"/>
      <c r="N28" s="35">
        <f t="shared" si="0"/>
        <v>52.437749264131973</v>
      </c>
      <c r="O28" s="72"/>
      <c r="P28" s="31"/>
      <c r="Q28" s="71"/>
      <c r="R28" s="33">
        <f t="shared" si="5"/>
        <v>52.437749264131973</v>
      </c>
      <c r="S28" s="40"/>
      <c r="T28" s="57"/>
      <c r="U28" s="42"/>
      <c r="V28" s="58"/>
      <c r="W28" s="59"/>
      <c r="X28" s="60"/>
      <c r="Y28" s="61"/>
      <c r="Z28" s="62"/>
      <c r="AA28" s="63"/>
      <c r="AB28" s="49"/>
      <c r="AC28" s="64"/>
      <c r="AD28" s="65"/>
      <c r="AE28" s="66"/>
      <c r="AF28" s="67"/>
      <c r="AG28" s="68"/>
      <c r="AH28" s="69"/>
      <c r="AI28" s="70"/>
      <c r="AJ28" s="150"/>
      <c r="AK28" s="154">
        <f t="shared" si="6"/>
        <v>0</v>
      </c>
      <c r="AL28" s="172"/>
    </row>
    <row r="29" spans="1:38" x14ac:dyDescent="0.3">
      <c r="A29" s="188">
        <v>26</v>
      </c>
      <c r="B29" s="227">
        <f>((B40-B28)/12)+B28</f>
        <v>10.741666666666667</v>
      </c>
      <c r="C29" s="237">
        <f>((C40-C28)/12)+C28</f>
        <v>0.12116666666666667</v>
      </c>
      <c r="D29" s="175">
        <f t="shared" si="1"/>
        <v>0.38065630985996329</v>
      </c>
      <c r="E29" s="249">
        <f t="shared" si="2"/>
        <v>6.1434107044998541E-2</v>
      </c>
      <c r="F29" s="178">
        <f t="shared" si="3"/>
        <v>90.615307891372851</v>
      </c>
      <c r="H29" s="220"/>
      <c r="I29" s="31"/>
      <c r="J29" s="71"/>
      <c r="K29" s="33">
        <f t="shared" si="4"/>
        <v>90.615307891372851</v>
      </c>
      <c r="L29" s="34"/>
      <c r="M29" s="177"/>
      <c r="N29" s="35">
        <f t="shared" si="0"/>
        <v>58.086735827803111</v>
      </c>
      <c r="O29" s="72"/>
      <c r="P29" s="31"/>
      <c r="Q29" s="71"/>
      <c r="R29" s="33">
        <f t="shared" si="5"/>
        <v>58.086735827803111</v>
      </c>
      <c r="S29" s="40"/>
      <c r="T29" s="57"/>
      <c r="U29" s="42"/>
      <c r="V29" s="58"/>
      <c r="W29" s="59"/>
      <c r="X29" s="60"/>
      <c r="Y29" s="61"/>
      <c r="Z29" s="62"/>
      <c r="AA29" s="63"/>
      <c r="AB29" s="49"/>
      <c r="AC29" s="64"/>
      <c r="AD29" s="65"/>
      <c r="AE29" s="66"/>
      <c r="AF29" s="67"/>
      <c r="AG29" s="68"/>
      <c r="AH29" s="69"/>
      <c r="AI29" s="70"/>
      <c r="AJ29" s="150"/>
      <c r="AK29" s="154">
        <f t="shared" si="6"/>
        <v>0</v>
      </c>
      <c r="AL29" s="172"/>
    </row>
    <row r="30" spans="1:38" x14ac:dyDescent="0.3">
      <c r="A30" s="188">
        <v>27</v>
      </c>
      <c r="B30" s="227">
        <f>((B40-B28)/12)+B29</f>
        <v>11.083333333333334</v>
      </c>
      <c r="C30" s="237">
        <f>((C40-C28)/12)+C29</f>
        <v>0.12533333333333335</v>
      </c>
      <c r="D30" s="175">
        <f t="shared" si="1"/>
        <v>0.39374627924992078</v>
      </c>
      <c r="E30" s="249">
        <f t="shared" si="2"/>
        <v>6.7822709101625703E-2</v>
      </c>
      <c r="F30" s="178">
        <f t="shared" si="3"/>
        <v>100.03849592489792</v>
      </c>
      <c r="H30" s="220"/>
      <c r="I30" s="31"/>
      <c r="J30" s="71"/>
      <c r="K30" s="33">
        <f t="shared" si="4"/>
        <v>100.03849592489792</v>
      </c>
      <c r="L30" s="34"/>
      <c r="M30" s="177"/>
      <c r="N30" s="35">
        <f t="shared" si="0"/>
        <v>64.127240977498658</v>
      </c>
      <c r="O30" s="72"/>
      <c r="P30" s="31"/>
      <c r="Q30" s="71"/>
      <c r="R30" s="33">
        <f t="shared" si="5"/>
        <v>64.127240977498658</v>
      </c>
      <c r="S30" s="40"/>
      <c r="T30" s="57"/>
      <c r="U30" s="42"/>
      <c r="V30" s="58"/>
      <c r="W30" s="59"/>
      <c r="X30" s="60"/>
      <c r="Y30" s="61"/>
      <c r="Z30" s="62"/>
      <c r="AA30" s="63"/>
      <c r="AB30" s="49"/>
      <c r="AC30" s="64"/>
      <c r="AD30" s="65"/>
      <c r="AE30" s="66"/>
      <c r="AF30" s="67"/>
      <c r="AG30" s="68"/>
      <c r="AH30" s="69"/>
      <c r="AI30" s="70"/>
      <c r="AJ30" s="150"/>
      <c r="AK30" s="154">
        <f t="shared" si="6"/>
        <v>0</v>
      </c>
      <c r="AL30" s="172"/>
    </row>
    <row r="31" spans="1:38" x14ac:dyDescent="0.3">
      <c r="A31" s="188">
        <v>28</v>
      </c>
      <c r="B31" s="227">
        <f>((B40-B28)/12)+B30</f>
        <v>11.425000000000001</v>
      </c>
      <c r="C31" s="237">
        <f>((C40-C28)/12)+C30</f>
        <v>0.12950000000000003</v>
      </c>
      <c r="D31" s="175">
        <f t="shared" si="1"/>
        <v>0.40683624863987833</v>
      </c>
      <c r="E31" s="249">
        <f t="shared" si="2"/>
        <v>7.4639256291531009E-2</v>
      </c>
      <c r="F31" s="178">
        <f t="shared" si="3"/>
        <v>110.09290303000824</v>
      </c>
      <c r="H31" s="220"/>
      <c r="I31" s="31"/>
      <c r="J31" s="71"/>
      <c r="K31" s="33">
        <f t="shared" si="4"/>
        <v>110.09290303000824</v>
      </c>
      <c r="L31" s="34"/>
      <c r="M31" s="177"/>
      <c r="N31" s="35">
        <f t="shared" si="0"/>
        <v>70.572373737184776</v>
      </c>
      <c r="O31" s="72"/>
      <c r="P31" s="31"/>
      <c r="Q31" s="71"/>
      <c r="R31" s="33">
        <f t="shared" si="5"/>
        <v>70.572373737184776</v>
      </c>
      <c r="S31" s="40"/>
      <c r="T31" s="74"/>
      <c r="U31" s="42"/>
      <c r="V31" s="75"/>
      <c r="W31" s="76"/>
      <c r="X31" s="77"/>
      <c r="Y31" s="78"/>
      <c r="Z31" s="79"/>
      <c r="AA31" s="80"/>
      <c r="AB31" s="49"/>
      <c r="AC31" s="64"/>
      <c r="AD31" s="81"/>
      <c r="AE31" s="66"/>
      <c r="AF31" s="67"/>
      <c r="AG31" s="82"/>
      <c r="AH31" s="83"/>
      <c r="AI31" s="84"/>
      <c r="AJ31" s="151"/>
      <c r="AK31" s="154">
        <f t="shared" si="6"/>
        <v>0</v>
      </c>
      <c r="AL31" s="172"/>
    </row>
    <row r="32" spans="1:38" x14ac:dyDescent="0.3">
      <c r="A32" s="188">
        <v>29</v>
      </c>
      <c r="B32" s="227">
        <f>((B40-B28)/12)+B31</f>
        <v>11.766666666666667</v>
      </c>
      <c r="C32" s="237">
        <f>((C40-C28)/12)+C31</f>
        <v>0.13366666666666671</v>
      </c>
      <c r="D32" s="175">
        <f t="shared" si="1"/>
        <v>0.41992621802983582</v>
      </c>
      <c r="E32" s="249">
        <f t="shared" si="2"/>
        <v>8.1897613073959943E-2</v>
      </c>
      <c r="F32" s="178">
        <f t="shared" si="3"/>
        <v>120.79897928409092</v>
      </c>
      <c r="H32" s="220"/>
      <c r="I32" s="31"/>
      <c r="J32" s="71"/>
      <c r="K32" s="33">
        <f t="shared" si="4"/>
        <v>120.79897928409092</v>
      </c>
      <c r="L32" s="34"/>
      <c r="M32" s="177"/>
      <c r="N32" s="35">
        <f t="shared" si="0"/>
        <v>77.435243130827516</v>
      </c>
      <c r="O32" s="72"/>
      <c r="P32" s="31"/>
      <c r="Q32" s="71"/>
      <c r="R32" s="33">
        <f t="shared" si="5"/>
        <v>77.435243130827516</v>
      </c>
      <c r="S32" s="40"/>
      <c r="T32" s="74"/>
      <c r="U32" s="42"/>
      <c r="V32" s="75"/>
      <c r="W32" s="76"/>
      <c r="X32" s="77"/>
      <c r="Y32" s="78"/>
      <c r="Z32" s="79"/>
      <c r="AA32" s="80"/>
      <c r="AB32" s="49"/>
      <c r="AC32" s="64"/>
      <c r="AD32" s="81"/>
      <c r="AE32" s="66"/>
      <c r="AF32" s="67"/>
      <c r="AG32" s="82"/>
      <c r="AH32" s="83"/>
      <c r="AI32" s="84"/>
      <c r="AJ32" s="151"/>
      <c r="AK32" s="154">
        <f t="shared" si="6"/>
        <v>0</v>
      </c>
      <c r="AL32" s="172"/>
    </row>
    <row r="33" spans="1:38" x14ac:dyDescent="0.3">
      <c r="A33" s="188">
        <v>30</v>
      </c>
      <c r="B33" s="227">
        <f>((B40-B28)/12)+B32</f>
        <v>12.108333333333334</v>
      </c>
      <c r="C33" s="237">
        <f>((C40-C28)/12)+C32</f>
        <v>0.13783333333333339</v>
      </c>
      <c r="D33" s="175">
        <f t="shared" si="1"/>
        <v>0.43301618741979331</v>
      </c>
      <c r="E33" s="249">
        <f t="shared" si="2"/>
        <v>8.9611643908158053E-2</v>
      </c>
      <c r="F33" s="178">
        <f t="shared" si="3"/>
        <v>132.17717476453313</v>
      </c>
      <c r="H33" s="220"/>
      <c r="I33" s="31"/>
      <c r="J33" s="71"/>
      <c r="K33" s="146">
        <f t="shared" si="4"/>
        <v>132.17717476453313</v>
      </c>
      <c r="L33" s="85"/>
      <c r="M33" s="177"/>
      <c r="N33" s="35">
        <f t="shared" si="0"/>
        <v>84.728958182393029</v>
      </c>
      <c r="O33" s="72"/>
      <c r="P33" s="31"/>
      <c r="Q33" s="71"/>
      <c r="R33" s="33">
        <f t="shared" si="5"/>
        <v>84.728958182393029</v>
      </c>
      <c r="S33" s="40"/>
      <c r="T33" s="74"/>
      <c r="U33" s="42"/>
      <c r="V33" s="75"/>
      <c r="W33" s="76"/>
      <c r="X33" s="77"/>
      <c r="Y33" s="78"/>
      <c r="Z33" s="79"/>
      <c r="AA33" s="80"/>
      <c r="AB33" s="49"/>
      <c r="AC33" s="64"/>
      <c r="AD33" s="81"/>
      <c r="AE33" s="66"/>
      <c r="AF33" s="67"/>
      <c r="AG33" s="82"/>
      <c r="AH33" s="83"/>
      <c r="AI33" s="84"/>
      <c r="AJ33" s="151"/>
      <c r="AK33" s="154">
        <f t="shared" si="6"/>
        <v>0</v>
      </c>
      <c r="AL33" s="172"/>
    </row>
    <row r="34" spans="1:38" x14ac:dyDescent="0.3">
      <c r="A34" s="188">
        <v>31</v>
      </c>
      <c r="B34" s="227">
        <f>((B40-B28)/12)+B33</f>
        <v>12.450000000000001</v>
      </c>
      <c r="C34" s="237">
        <f>((C40-C28)/12)+C33</f>
        <v>0.14200000000000007</v>
      </c>
      <c r="D34" s="175">
        <f t="shared" si="1"/>
        <v>0.44610615680975085</v>
      </c>
      <c r="E34" s="249">
        <f t="shared" si="2"/>
        <v>9.7795213253370927E-2</v>
      </c>
      <c r="F34" s="178">
        <f t="shared" si="3"/>
        <v>144.24793954872212</v>
      </c>
      <c r="H34" s="220"/>
      <c r="I34" s="31"/>
      <c r="J34" s="71"/>
      <c r="K34" s="33">
        <f t="shared" si="4"/>
        <v>144.24793954872212</v>
      </c>
      <c r="L34" s="34"/>
      <c r="M34" s="177"/>
      <c r="N34" s="35">
        <f t="shared" si="0"/>
        <v>92.466627915847511</v>
      </c>
      <c r="O34" s="72"/>
      <c r="P34" s="31"/>
      <c r="Q34" s="71"/>
      <c r="R34" s="33">
        <f t="shared" si="5"/>
        <v>92.466627915847511</v>
      </c>
      <c r="S34" s="40"/>
      <c r="T34" s="74"/>
      <c r="U34" s="42"/>
      <c r="V34" s="75"/>
      <c r="W34" s="76"/>
      <c r="X34" s="77"/>
      <c r="Y34" s="78"/>
      <c r="Z34" s="79"/>
      <c r="AA34" s="80"/>
      <c r="AB34" s="49"/>
      <c r="AC34" s="64"/>
      <c r="AD34" s="81"/>
      <c r="AE34" s="66"/>
      <c r="AF34" s="67"/>
      <c r="AG34" s="82"/>
      <c r="AH34" s="83"/>
      <c r="AI34" s="84"/>
      <c r="AJ34" s="151"/>
      <c r="AK34" s="154">
        <f t="shared" si="6"/>
        <v>0</v>
      </c>
      <c r="AL34" s="172"/>
    </row>
    <row r="35" spans="1:38" x14ac:dyDescent="0.3">
      <c r="A35" s="188">
        <v>32</v>
      </c>
      <c r="B35" s="227">
        <f>((B40-B28)/12)+B34</f>
        <v>12.791666666666668</v>
      </c>
      <c r="C35" s="237">
        <f>((C40-C28)/12)+C34</f>
        <v>0.14616666666666675</v>
      </c>
      <c r="D35" s="175">
        <f t="shared" si="1"/>
        <v>0.45919612619970834</v>
      </c>
      <c r="E35" s="249">
        <f t="shared" si="2"/>
        <v>0.10646218556884399</v>
      </c>
      <c r="F35" s="178">
        <f t="shared" si="3"/>
        <v>157.03172371404489</v>
      </c>
      <c r="H35" s="220"/>
      <c r="I35" s="31"/>
      <c r="J35" s="71"/>
      <c r="K35" s="33">
        <f t="shared" si="4"/>
        <v>157.03172371404489</v>
      </c>
      <c r="L35" s="34"/>
      <c r="M35" s="177"/>
      <c r="N35" s="35">
        <f t="shared" ref="N35:N66" si="7">F35/1.56</f>
        <v>100.66136135515697</v>
      </c>
      <c r="O35" s="72"/>
      <c r="P35" s="31"/>
      <c r="Q35" s="71"/>
      <c r="R35" s="33">
        <f t="shared" si="5"/>
        <v>100.66136135515697</v>
      </c>
      <c r="S35" s="40"/>
      <c r="T35" s="74"/>
      <c r="U35" s="42"/>
      <c r="V35" s="75"/>
      <c r="W35" s="76"/>
      <c r="X35" s="77"/>
      <c r="Y35" s="78"/>
      <c r="Z35" s="79"/>
      <c r="AA35" s="80"/>
      <c r="AB35" s="49"/>
      <c r="AC35" s="64"/>
      <c r="AD35" s="81"/>
      <c r="AE35" s="66"/>
      <c r="AF35" s="67"/>
      <c r="AG35" s="82"/>
      <c r="AH35" s="83"/>
      <c r="AI35" s="84"/>
      <c r="AJ35" s="151"/>
      <c r="AK35" s="154">
        <f t="shared" si="6"/>
        <v>0</v>
      </c>
      <c r="AL35" s="172"/>
    </row>
    <row r="36" spans="1:38" x14ac:dyDescent="0.3">
      <c r="A36" s="188">
        <v>33</v>
      </c>
      <c r="B36" s="227">
        <f>((B40-B28)/12)+B35</f>
        <v>13.133333333333335</v>
      </c>
      <c r="C36" s="237">
        <f>((C40-C28)/12)+C35</f>
        <v>0.15033333333333343</v>
      </c>
      <c r="D36" s="175">
        <f t="shared" si="1"/>
        <v>0.47228609558966589</v>
      </c>
      <c r="E36" s="249">
        <f t="shared" si="2"/>
        <v>0.1156264253138229</v>
      </c>
      <c r="F36" s="178">
        <f t="shared" si="3"/>
        <v>170.54897733788877</v>
      </c>
      <c r="H36" s="222">
        <v>0.15</v>
      </c>
      <c r="I36" s="31">
        <f>H36*F36</f>
        <v>25.582346600683316</v>
      </c>
      <c r="J36" s="71">
        <f>I36</f>
        <v>25.582346600683316</v>
      </c>
      <c r="K36" s="33">
        <f>F36-J36</f>
        <v>144.96663073720546</v>
      </c>
      <c r="L36" s="34"/>
      <c r="M36" s="177"/>
      <c r="N36" s="35">
        <f t="shared" si="7"/>
        <v>109.32626752428767</v>
      </c>
      <c r="O36" s="87">
        <v>0.15</v>
      </c>
      <c r="P36" s="31">
        <f>O36*N36</f>
        <v>16.398940128643151</v>
      </c>
      <c r="Q36" s="71">
        <f>P36</f>
        <v>16.398940128643151</v>
      </c>
      <c r="R36" s="33">
        <f>N36-Q36</f>
        <v>92.927327395644525</v>
      </c>
      <c r="S36" s="40"/>
      <c r="T36" s="74"/>
      <c r="U36" s="42"/>
      <c r="V36" s="75"/>
      <c r="W36" s="76"/>
      <c r="X36" s="77"/>
      <c r="Y36" s="78"/>
      <c r="Z36" s="79"/>
      <c r="AA36" s="80">
        <f>P36</f>
        <v>16.398940128643151</v>
      </c>
      <c r="AB36" s="49">
        <f t="shared" ref="AB36:AB86" si="8">I36-P36</f>
        <v>9.1834064720401649</v>
      </c>
      <c r="AC36" s="64">
        <f t="shared" ref="AC36:AC86" si="9">(AA36+AB36)/0.6</f>
        <v>42.637244334472193</v>
      </c>
      <c r="AD36" s="81">
        <v>8</v>
      </c>
      <c r="AE36" s="66">
        <f t="shared" ref="AE36:AE86" si="10">AC36*AD36</f>
        <v>341.09795467577754</v>
      </c>
      <c r="AF36" s="67"/>
      <c r="AG36" s="82"/>
      <c r="AH36" s="83"/>
      <c r="AI36" s="84"/>
      <c r="AJ36" s="151"/>
      <c r="AK36" s="154">
        <f t="shared" si="6"/>
        <v>341.09795467577754</v>
      </c>
      <c r="AL36" s="172"/>
    </row>
    <row r="37" spans="1:38" x14ac:dyDescent="0.3">
      <c r="A37" s="188">
        <v>34</v>
      </c>
      <c r="B37" s="227">
        <f>((B40-B28)/12)+B36</f>
        <v>13.475000000000001</v>
      </c>
      <c r="C37" s="237">
        <f>((C40-C28)/12)+C36</f>
        <v>0.15450000000000011</v>
      </c>
      <c r="D37" s="175">
        <f t="shared" si="1"/>
        <v>0.48537606497962338</v>
      </c>
      <c r="E37" s="249">
        <f t="shared" si="2"/>
        <v>0.12530179694755303</v>
      </c>
      <c r="F37" s="178">
        <f t="shared" si="3"/>
        <v>184.82015049764073</v>
      </c>
      <c r="H37" s="223"/>
      <c r="I37" s="31"/>
      <c r="J37" s="71"/>
      <c r="K37" s="33">
        <f>F37-J36</f>
        <v>159.23780389695742</v>
      </c>
      <c r="L37" s="34"/>
      <c r="M37" s="177"/>
      <c r="N37" s="35">
        <f t="shared" si="7"/>
        <v>118.47445544720559</v>
      </c>
      <c r="O37" s="87"/>
      <c r="P37" s="31"/>
      <c r="Q37" s="71"/>
      <c r="R37" s="33">
        <f>N37-Q36</f>
        <v>102.07551531856244</v>
      </c>
      <c r="S37" s="40"/>
      <c r="T37" s="74"/>
      <c r="U37" s="42"/>
      <c r="V37" s="75"/>
      <c r="W37" s="76"/>
      <c r="X37" s="77"/>
      <c r="Y37" s="78"/>
      <c r="Z37" s="79"/>
      <c r="AA37" s="80"/>
      <c r="AB37" s="49"/>
      <c r="AC37" s="64"/>
      <c r="AD37" s="81"/>
      <c r="AE37" s="66"/>
      <c r="AF37" s="67"/>
      <c r="AG37" s="82"/>
      <c r="AH37" s="83"/>
      <c r="AI37" s="84"/>
      <c r="AJ37" s="151"/>
      <c r="AK37" s="154">
        <f t="shared" si="6"/>
        <v>0</v>
      </c>
      <c r="AL37" s="172"/>
    </row>
    <row r="38" spans="1:38" x14ac:dyDescent="0.3">
      <c r="A38" s="188">
        <v>35</v>
      </c>
      <c r="B38" s="227">
        <f>((B40-B28)/12)+B37</f>
        <v>13.816666666666668</v>
      </c>
      <c r="C38" s="237">
        <f>((C40-C28)/12)+C37</f>
        <v>0.15866666666666679</v>
      </c>
      <c r="D38" s="175">
        <f t="shared" si="1"/>
        <v>0.49846603436958087</v>
      </c>
      <c r="E38" s="249">
        <f t="shared" si="2"/>
        <v>0.13550216492928005</v>
      </c>
      <c r="F38" s="178">
        <f t="shared" si="3"/>
        <v>199.86569327068807</v>
      </c>
      <c r="H38" s="223"/>
      <c r="I38" s="31"/>
      <c r="J38" s="71"/>
      <c r="K38" s="33">
        <f>F38-J36</f>
        <v>174.28334667000476</v>
      </c>
      <c r="L38" s="34"/>
      <c r="M38" s="177"/>
      <c r="N38" s="35">
        <f t="shared" si="7"/>
        <v>128.11903414787696</v>
      </c>
      <c r="O38" s="87"/>
      <c r="P38" s="31"/>
      <c r="Q38" s="71"/>
      <c r="R38" s="33">
        <f>N38-Q36</f>
        <v>111.72009401923381</v>
      </c>
      <c r="S38" s="40"/>
      <c r="T38" s="74"/>
      <c r="U38" s="42"/>
      <c r="V38" s="75"/>
      <c r="W38" s="76"/>
      <c r="X38" s="77"/>
      <c r="Y38" s="78"/>
      <c r="Z38" s="79"/>
      <c r="AA38" s="80"/>
      <c r="AB38" s="49"/>
      <c r="AC38" s="64"/>
      <c r="AD38" s="81"/>
      <c r="AE38" s="66"/>
      <c r="AF38" s="67"/>
      <c r="AG38" s="82"/>
      <c r="AH38" s="83"/>
      <c r="AI38" s="84"/>
      <c r="AJ38" s="151"/>
      <c r="AK38" s="154">
        <f t="shared" si="6"/>
        <v>0</v>
      </c>
      <c r="AL38" s="172"/>
    </row>
    <row r="39" spans="1:38" x14ac:dyDescent="0.3">
      <c r="A39" s="188">
        <v>36</v>
      </c>
      <c r="B39" s="227">
        <f>((B40-B28)/12)+B38</f>
        <v>14.158333333333335</v>
      </c>
      <c r="C39" s="237">
        <f>((C40-C28)/12)+C38</f>
        <v>0.16283333333333347</v>
      </c>
      <c r="D39" s="175">
        <f t="shared" si="1"/>
        <v>0.51155600375953836</v>
      </c>
      <c r="E39" s="249">
        <f t="shared" si="2"/>
        <v>0.1462413937182494</v>
      </c>
      <c r="F39" s="178">
        <f t="shared" si="3"/>
        <v>215.70605573441787</v>
      </c>
      <c r="H39" s="223"/>
      <c r="I39" s="31"/>
      <c r="J39" s="71"/>
      <c r="K39" s="33">
        <f>F39-J36</f>
        <v>190.12370913373456</v>
      </c>
      <c r="L39" s="34"/>
      <c r="M39" s="177"/>
      <c r="N39" s="35">
        <f t="shared" si="7"/>
        <v>138.27311265026788</v>
      </c>
      <c r="O39" s="87"/>
      <c r="P39" s="31"/>
      <c r="Q39" s="71"/>
      <c r="R39" s="33">
        <f>N39-Q36</f>
        <v>121.87417252162473</v>
      </c>
      <c r="S39" s="40"/>
      <c r="T39" s="74"/>
      <c r="U39" s="42"/>
      <c r="V39" s="75"/>
      <c r="W39" s="76"/>
      <c r="X39" s="77"/>
      <c r="Y39" s="78"/>
      <c r="Z39" s="79"/>
      <c r="AA39" s="80"/>
      <c r="AB39" s="49"/>
      <c r="AC39" s="64"/>
      <c r="AD39" s="81"/>
      <c r="AE39" s="66"/>
      <c r="AF39" s="67"/>
      <c r="AG39" s="82"/>
      <c r="AH39" s="83"/>
      <c r="AI39" s="84"/>
      <c r="AJ39" s="151"/>
      <c r="AK39" s="154">
        <f t="shared" si="6"/>
        <v>0</v>
      </c>
      <c r="AL39" s="172"/>
    </row>
    <row r="40" spans="1:38" x14ac:dyDescent="0.3">
      <c r="A40" s="226">
        <v>37</v>
      </c>
      <c r="B40" s="227">
        <v>14.5</v>
      </c>
      <c r="C40" s="237">
        <v>0.16700000000000001</v>
      </c>
      <c r="D40" s="175">
        <f t="shared" si="1"/>
        <v>0.52464597314949546</v>
      </c>
      <c r="E40" s="249">
        <f t="shared" si="2"/>
        <v>0.15753334777370639</v>
      </c>
      <c r="F40" s="178">
        <f t="shared" si="3"/>
        <v>232.36168796621692</v>
      </c>
      <c r="H40" s="223"/>
      <c r="I40" s="31"/>
      <c r="J40" s="71"/>
      <c r="K40" s="33">
        <f>F40-J36</f>
        <v>206.77934136553361</v>
      </c>
      <c r="L40" s="34"/>
      <c r="M40" s="177"/>
      <c r="N40" s="35">
        <f t="shared" si="7"/>
        <v>148.94979997834417</v>
      </c>
      <c r="O40" s="87"/>
      <c r="P40" s="31"/>
      <c r="Q40" s="71"/>
      <c r="R40" s="33">
        <f>N40-Q36</f>
        <v>132.55085984970103</v>
      </c>
      <c r="S40" s="40"/>
      <c r="T40" s="74"/>
      <c r="U40" s="42"/>
      <c r="V40" s="75"/>
      <c r="W40" s="76"/>
      <c r="X40" s="77"/>
      <c r="Y40" s="78"/>
      <c r="Z40" s="79"/>
      <c r="AA40" s="80"/>
      <c r="AB40" s="49"/>
      <c r="AC40" s="64"/>
      <c r="AD40" s="81"/>
      <c r="AE40" s="66"/>
      <c r="AF40" s="67"/>
      <c r="AG40" s="82"/>
      <c r="AH40" s="83"/>
      <c r="AI40" s="84"/>
      <c r="AJ40" s="151"/>
      <c r="AK40" s="154">
        <f t="shared" si="6"/>
        <v>0</v>
      </c>
      <c r="AL40" s="172"/>
    </row>
    <row r="41" spans="1:38" x14ac:dyDescent="0.3">
      <c r="A41" s="188">
        <v>38</v>
      </c>
      <c r="B41" s="227">
        <f>((B48-B40)/8)+B40</f>
        <v>14.8</v>
      </c>
      <c r="C41" s="237">
        <f>((C48-C40)/8)+C40</f>
        <v>0.17100000000000001</v>
      </c>
      <c r="D41" s="175">
        <f t="shared" si="1"/>
        <v>0.53721234376385463</v>
      </c>
      <c r="E41" s="249">
        <f t="shared" si="2"/>
        <v>0.16858754795009787</v>
      </c>
      <c r="F41" s="178">
        <f t="shared" si="3"/>
        <v>248.66663322639434</v>
      </c>
      <c r="H41" s="223"/>
      <c r="I41" s="31"/>
      <c r="J41" s="71"/>
      <c r="K41" s="33">
        <f>F41-J36</f>
        <v>223.08428662571103</v>
      </c>
      <c r="L41" s="34"/>
      <c r="M41" s="177"/>
      <c r="N41" s="35">
        <f t="shared" si="7"/>
        <v>159.40168796563739</v>
      </c>
      <c r="O41" s="87"/>
      <c r="P41" s="31"/>
      <c r="Q41" s="71"/>
      <c r="R41" s="33">
        <f>N41-Q36</f>
        <v>143.00274783699425</v>
      </c>
      <c r="S41" s="40"/>
      <c r="T41" s="74"/>
      <c r="U41" s="42"/>
      <c r="V41" s="75"/>
      <c r="W41" s="76"/>
      <c r="X41" s="77"/>
      <c r="Y41" s="78"/>
      <c r="Z41" s="79"/>
      <c r="AA41" s="80"/>
      <c r="AB41" s="49"/>
      <c r="AC41" s="64"/>
      <c r="AD41" s="81"/>
      <c r="AE41" s="66"/>
      <c r="AF41" s="67"/>
      <c r="AG41" s="82"/>
      <c r="AH41" s="83"/>
      <c r="AI41" s="84"/>
      <c r="AJ41" s="151"/>
      <c r="AK41" s="154">
        <f t="shared" si="6"/>
        <v>0</v>
      </c>
      <c r="AL41" s="172"/>
    </row>
    <row r="42" spans="1:38" x14ac:dyDescent="0.3">
      <c r="A42" s="188">
        <v>39</v>
      </c>
      <c r="B42" s="227">
        <f>((B48-B40)/8)+B41</f>
        <v>15.100000000000001</v>
      </c>
      <c r="C42" s="237">
        <f>((C48-C40)/8)+C41</f>
        <v>0.17500000000000002</v>
      </c>
      <c r="D42" s="175">
        <f t="shared" si="1"/>
        <v>0.5497787143782138</v>
      </c>
      <c r="E42" s="249">
        <f t="shared" si="2"/>
        <v>0.18014599134030934</v>
      </c>
      <c r="F42" s="178">
        <f t="shared" si="3"/>
        <v>265.71533722695625</v>
      </c>
      <c r="H42" s="223"/>
      <c r="I42" s="31"/>
      <c r="J42" s="71"/>
      <c r="K42" s="33">
        <f>F42-J36</f>
        <v>240.13299062627294</v>
      </c>
      <c r="L42" s="34"/>
      <c r="M42" s="177"/>
      <c r="N42" s="35">
        <f t="shared" si="7"/>
        <v>170.330344376254</v>
      </c>
      <c r="O42" s="87"/>
      <c r="P42" s="31"/>
      <c r="Q42" s="71"/>
      <c r="R42" s="33">
        <f>N42-Q36</f>
        <v>153.93140424761086</v>
      </c>
      <c r="S42" s="40"/>
      <c r="T42" s="74"/>
      <c r="U42" s="42"/>
      <c r="V42" s="75"/>
      <c r="W42" s="76"/>
      <c r="X42" s="77"/>
      <c r="Y42" s="78"/>
      <c r="Z42" s="79"/>
      <c r="AA42" s="80"/>
      <c r="AB42" s="49"/>
      <c r="AC42" s="64"/>
      <c r="AD42" s="81"/>
      <c r="AE42" s="66"/>
      <c r="AF42" s="67"/>
      <c r="AG42" s="82"/>
      <c r="AH42" s="83"/>
      <c r="AI42" s="84"/>
      <c r="AJ42" s="151"/>
      <c r="AK42" s="154">
        <f t="shared" si="6"/>
        <v>0</v>
      </c>
      <c r="AL42" s="172"/>
    </row>
    <row r="43" spans="1:38" x14ac:dyDescent="0.3">
      <c r="A43" s="188">
        <v>40</v>
      </c>
      <c r="B43" s="227">
        <f>((B48-B40)/8)+B42</f>
        <v>15.400000000000002</v>
      </c>
      <c r="C43" s="237">
        <f>((C48-C40)/8)+C42</f>
        <v>0.17900000000000002</v>
      </c>
      <c r="D43" s="175">
        <f t="shared" si="1"/>
        <v>0.56234508499257307</v>
      </c>
      <c r="E43" s="249">
        <f t="shared" si="2"/>
        <v>0.19221989720002539</v>
      </c>
      <c r="F43" s="178">
        <f t="shared" si="3"/>
        <v>283.52434837003744</v>
      </c>
      <c r="H43" s="223"/>
      <c r="I43" s="31"/>
      <c r="J43" s="71"/>
      <c r="K43" s="33">
        <f>F43-J36</f>
        <v>257.94200176935414</v>
      </c>
      <c r="L43" s="34"/>
      <c r="M43" s="177"/>
      <c r="N43" s="35">
        <f t="shared" si="7"/>
        <v>181.74637716028042</v>
      </c>
      <c r="O43" s="87"/>
      <c r="P43" s="31"/>
      <c r="Q43" s="71"/>
      <c r="R43" s="33">
        <f>N43-Q36</f>
        <v>165.34743703163727</v>
      </c>
      <c r="S43" s="40"/>
      <c r="T43" s="74"/>
      <c r="U43" s="42"/>
      <c r="V43" s="75"/>
      <c r="W43" s="76"/>
      <c r="X43" s="77"/>
      <c r="Y43" s="78"/>
      <c r="Z43" s="79"/>
      <c r="AA43" s="80"/>
      <c r="AB43" s="49"/>
      <c r="AC43" s="64"/>
      <c r="AD43" s="81"/>
      <c r="AE43" s="66"/>
      <c r="AF43" s="67"/>
      <c r="AG43" s="82"/>
      <c r="AH43" s="83"/>
      <c r="AI43" s="84"/>
      <c r="AJ43" s="151"/>
      <c r="AK43" s="154">
        <f t="shared" si="6"/>
        <v>0</v>
      </c>
      <c r="AL43" s="172"/>
    </row>
    <row r="44" spans="1:38" x14ac:dyDescent="0.3">
      <c r="A44" s="188">
        <v>41</v>
      </c>
      <c r="B44" s="227">
        <f>((B48-B40)/8)+B43</f>
        <v>15.700000000000003</v>
      </c>
      <c r="C44" s="237">
        <f>((C48-C40)/8)+C43</f>
        <v>0.18300000000000002</v>
      </c>
      <c r="D44" s="175">
        <f t="shared" si="1"/>
        <v>0.57491145560693224</v>
      </c>
      <c r="E44" s="249">
        <f t="shared" si="2"/>
        <v>0.20482048478493042</v>
      </c>
      <c r="F44" s="178">
        <f t="shared" si="3"/>
        <v>302.11021505777239</v>
      </c>
      <c r="H44" s="222">
        <v>0.2</v>
      </c>
      <c r="I44" s="225">
        <f>H44*(F44-J36)</f>
        <v>55.30557369141782</v>
      </c>
      <c r="J44" s="71">
        <f>I44+J36</f>
        <v>80.887920292101143</v>
      </c>
      <c r="K44" s="33">
        <f>F44-J44</f>
        <v>221.22229476567125</v>
      </c>
      <c r="L44" s="34"/>
      <c r="M44" s="177"/>
      <c r="N44" s="35">
        <f t="shared" si="7"/>
        <v>193.66039426780281</v>
      </c>
      <c r="O44" s="87">
        <v>0.2</v>
      </c>
      <c r="P44" s="225">
        <f>O44*(N44-Q36)</f>
        <v>35.452290827831938</v>
      </c>
      <c r="Q44" s="71">
        <f>P44+Q36</f>
        <v>51.851230956475092</v>
      </c>
      <c r="R44" s="33">
        <f>N44-Q44</f>
        <v>141.80916331132772</v>
      </c>
      <c r="S44" s="40"/>
      <c r="T44" s="74"/>
      <c r="U44" s="42"/>
      <c r="V44" s="75"/>
      <c r="W44" s="76"/>
      <c r="X44" s="77"/>
      <c r="Y44" s="78"/>
      <c r="Z44" s="79"/>
      <c r="AA44" s="80">
        <f>P44</f>
        <v>35.452290827831938</v>
      </c>
      <c r="AB44" s="49">
        <f t="shared" si="8"/>
        <v>19.853282863585882</v>
      </c>
      <c r="AC44" s="64">
        <f t="shared" si="9"/>
        <v>92.175956152363042</v>
      </c>
      <c r="AD44" s="81">
        <v>8</v>
      </c>
      <c r="AE44" s="66">
        <f t="shared" si="10"/>
        <v>737.40764921890434</v>
      </c>
      <c r="AF44" s="67"/>
      <c r="AG44" s="82"/>
      <c r="AH44" s="83"/>
      <c r="AI44" s="84"/>
      <c r="AJ44" s="151"/>
      <c r="AK44" s="154">
        <f t="shared" si="6"/>
        <v>737.40764921890434</v>
      </c>
      <c r="AL44" s="172"/>
    </row>
    <row r="45" spans="1:38" x14ac:dyDescent="0.3">
      <c r="A45" s="188">
        <v>42</v>
      </c>
      <c r="B45" s="227">
        <f>((B48-B40)/8)+B44</f>
        <v>16.000000000000004</v>
      </c>
      <c r="C45" s="237">
        <f>((C48-C40)/8)+C44</f>
        <v>0.18700000000000003</v>
      </c>
      <c r="D45" s="175">
        <f t="shared" si="1"/>
        <v>0.58747782622129141</v>
      </c>
      <c r="E45" s="249">
        <f t="shared" si="2"/>
        <v>0.21795897335070899</v>
      </c>
      <c r="F45" s="178">
        <f t="shared" si="3"/>
        <v>321.48948569229577</v>
      </c>
      <c r="H45" s="223"/>
      <c r="I45" s="225"/>
      <c r="J45" s="71"/>
      <c r="K45" s="33">
        <f>F45-J44</f>
        <v>240.60156540019463</v>
      </c>
      <c r="L45" s="34"/>
      <c r="M45" s="177"/>
      <c r="N45" s="35">
        <f t="shared" si="7"/>
        <v>206.08300364890755</v>
      </c>
      <c r="O45" s="87"/>
      <c r="P45" s="225"/>
      <c r="Q45" s="71"/>
      <c r="R45" s="33">
        <f>N45-Q44</f>
        <v>154.23177269243246</v>
      </c>
      <c r="S45" s="40"/>
      <c r="T45" s="74"/>
      <c r="U45" s="42"/>
      <c r="V45" s="75"/>
      <c r="W45" s="76"/>
      <c r="X45" s="77"/>
      <c r="Y45" s="78"/>
      <c r="Z45" s="79"/>
      <c r="AA45" s="80"/>
      <c r="AB45" s="49"/>
      <c r="AC45" s="64"/>
      <c r="AD45" s="81"/>
      <c r="AE45" s="66"/>
      <c r="AF45" s="67"/>
      <c r="AG45" s="82"/>
      <c r="AH45" s="83"/>
      <c r="AI45" s="84"/>
      <c r="AJ45" s="151"/>
      <c r="AK45" s="154">
        <f t="shared" si="6"/>
        <v>0</v>
      </c>
      <c r="AL45" s="172"/>
    </row>
    <row r="46" spans="1:38" x14ac:dyDescent="0.3">
      <c r="A46" s="188">
        <v>43</v>
      </c>
      <c r="B46" s="227">
        <f>((B48-B40)/8)+B45</f>
        <v>16.300000000000004</v>
      </c>
      <c r="C46" s="237">
        <f>((C48-C40)/8)+C45</f>
        <v>0.19100000000000003</v>
      </c>
      <c r="D46" s="175">
        <f t="shared" si="1"/>
        <v>0.60004419683565058</v>
      </c>
      <c r="E46" s="249">
        <f t="shared" si="2"/>
        <v>0.23164658215304554</v>
      </c>
      <c r="F46" s="178">
        <f t="shared" si="3"/>
        <v>341.67870867574214</v>
      </c>
      <c r="H46" s="223"/>
      <c r="I46" s="225"/>
      <c r="J46" s="71"/>
      <c r="K46" s="33">
        <f>F46-J44</f>
        <v>260.79078838364103</v>
      </c>
      <c r="L46" s="34"/>
      <c r="M46" s="177"/>
      <c r="N46" s="35">
        <f t="shared" si="7"/>
        <v>219.02481325368086</v>
      </c>
      <c r="O46" s="87"/>
      <c r="P46" s="225"/>
      <c r="Q46" s="71"/>
      <c r="R46" s="33">
        <f>N46-Q44</f>
        <v>167.17358229720577</v>
      </c>
      <c r="S46" s="40"/>
      <c r="T46" s="74"/>
      <c r="U46" s="42"/>
      <c r="V46" s="75"/>
      <c r="W46" s="76"/>
      <c r="X46" s="77"/>
      <c r="Y46" s="78"/>
      <c r="Z46" s="79"/>
      <c r="AA46" s="80"/>
      <c r="AB46" s="49"/>
      <c r="AC46" s="64"/>
      <c r="AD46" s="81"/>
      <c r="AE46" s="66"/>
      <c r="AF46" s="67"/>
      <c r="AG46" s="82"/>
      <c r="AH46" s="83"/>
      <c r="AI46" s="84"/>
      <c r="AJ46" s="151"/>
      <c r="AK46" s="154">
        <f t="shared" si="6"/>
        <v>0</v>
      </c>
      <c r="AL46" s="172"/>
    </row>
    <row r="47" spans="1:38" x14ac:dyDescent="0.3">
      <c r="A47" s="188">
        <v>44</v>
      </c>
      <c r="B47" s="227">
        <f>((B48-B40)/8)+B46</f>
        <v>16.600000000000005</v>
      </c>
      <c r="C47" s="237">
        <f>((C48-C40)/8)+C46</f>
        <v>0.19500000000000003</v>
      </c>
      <c r="D47" s="175">
        <f t="shared" si="1"/>
        <v>0.61261056745000975</v>
      </c>
      <c r="E47" s="249">
        <f t="shared" si="2"/>
        <v>0.2458945304476246</v>
      </c>
      <c r="F47" s="178">
        <f t="shared" si="3"/>
        <v>362.69443241024629</v>
      </c>
      <c r="H47" s="223"/>
      <c r="I47" s="225"/>
      <c r="J47" s="71"/>
      <c r="K47" s="33">
        <f>F47-J44</f>
        <v>281.80651211814518</v>
      </c>
      <c r="L47" s="34"/>
      <c r="M47" s="177"/>
      <c r="N47" s="35">
        <f t="shared" si="7"/>
        <v>232.49643103220916</v>
      </c>
      <c r="O47" s="87"/>
      <c r="P47" s="225"/>
      <c r="Q47" s="71"/>
      <c r="R47" s="33">
        <f>N47-Q44</f>
        <v>180.64520007573407</v>
      </c>
      <c r="S47" s="40"/>
      <c r="T47" s="74"/>
      <c r="U47" s="42"/>
      <c r="V47" s="75"/>
      <c r="W47" s="76"/>
      <c r="X47" s="77"/>
      <c r="Y47" s="78"/>
      <c r="Z47" s="79"/>
      <c r="AA47" s="80"/>
      <c r="AB47" s="49"/>
      <c r="AC47" s="64"/>
      <c r="AD47" s="81"/>
      <c r="AE47" s="66"/>
      <c r="AF47" s="67"/>
      <c r="AG47" s="82"/>
      <c r="AH47" s="83"/>
      <c r="AI47" s="84"/>
      <c r="AJ47" s="151"/>
      <c r="AK47" s="154">
        <f t="shared" si="6"/>
        <v>0</v>
      </c>
      <c r="AL47" s="172"/>
    </row>
    <row r="48" spans="1:38" x14ac:dyDescent="0.3">
      <c r="A48" s="226">
        <v>45</v>
      </c>
      <c r="B48" s="227">
        <v>16.899999999999999</v>
      </c>
      <c r="C48" s="237">
        <v>0.19900000000000001</v>
      </c>
      <c r="D48" s="175">
        <f t="shared" si="1"/>
        <v>0.62517693806436891</v>
      </c>
      <c r="E48" s="249">
        <f t="shared" si="2"/>
        <v>0.26071403749013067</v>
      </c>
      <c r="F48" s="178">
        <f t="shared" si="3"/>
        <v>384.55320529794272</v>
      </c>
      <c r="H48" s="223"/>
      <c r="I48" s="225"/>
      <c r="J48" s="71"/>
      <c r="K48" s="33">
        <f>F48-J44</f>
        <v>303.66528500584161</v>
      </c>
      <c r="L48" s="34"/>
      <c r="M48" s="177"/>
      <c r="N48" s="35">
        <f t="shared" si="7"/>
        <v>246.50846493457865</v>
      </c>
      <c r="O48" s="87"/>
      <c r="P48" s="225"/>
      <c r="Q48" s="71"/>
      <c r="R48" s="33">
        <f>N48-Q44</f>
        <v>194.65723397810356</v>
      </c>
      <c r="S48" s="40"/>
      <c r="T48" s="74"/>
      <c r="U48" s="42"/>
      <c r="V48" s="75"/>
      <c r="W48" s="76"/>
      <c r="X48" s="77"/>
      <c r="Y48" s="78"/>
      <c r="Z48" s="79"/>
      <c r="AA48" s="80"/>
      <c r="AB48" s="49"/>
      <c r="AC48" s="64"/>
      <c r="AD48" s="81"/>
      <c r="AE48" s="66"/>
      <c r="AF48" s="67"/>
      <c r="AG48" s="82"/>
      <c r="AH48" s="83"/>
      <c r="AI48" s="84"/>
      <c r="AJ48" s="151"/>
      <c r="AK48" s="154">
        <f t="shared" si="6"/>
        <v>0</v>
      </c>
      <c r="AL48" s="172"/>
    </row>
    <row r="49" spans="1:38" x14ac:dyDescent="0.3">
      <c r="A49" s="188">
        <v>46</v>
      </c>
      <c r="B49" s="227">
        <f>((B56-B48)/8)+B48</f>
        <v>17.149999999999999</v>
      </c>
      <c r="C49" s="237">
        <f>((C56-C48)/8)+C48</f>
        <v>0.203125</v>
      </c>
      <c r="D49" s="175">
        <f t="shared" si="1"/>
        <v>0.63813600776042678</v>
      </c>
      <c r="E49" s="249">
        <f t="shared" si="2"/>
        <v>0.27565281942723757</v>
      </c>
      <c r="F49" s="178">
        <f t="shared" si="3"/>
        <v>406.5879086551754</v>
      </c>
      <c r="H49" s="223"/>
      <c r="I49" s="225"/>
      <c r="J49" s="71"/>
      <c r="K49" s="33">
        <f>F49-J44</f>
        <v>325.69998836307423</v>
      </c>
      <c r="L49" s="34"/>
      <c r="M49" s="177"/>
      <c r="N49" s="35">
        <f t="shared" si="7"/>
        <v>260.63327477895859</v>
      </c>
      <c r="O49" s="87"/>
      <c r="P49" s="225"/>
      <c r="Q49" s="71"/>
      <c r="R49" s="33">
        <f>N49-Q44</f>
        <v>208.7820438224835</v>
      </c>
      <c r="S49" s="40"/>
      <c r="T49" s="74"/>
      <c r="U49" s="42"/>
      <c r="V49" s="75"/>
      <c r="W49" s="76"/>
      <c r="X49" s="77"/>
      <c r="Y49" s="78"/>
      <c r="Z49" s="79"/>
      <c r="AA49" s="80"/>
      <c r="AB49" s="49"/>
      <c r="AC49" s="64"/>
      <c r="AD49" s="81"/>
      <c r="AE49" s="66"/>
      <c r="AF49" s="67"/>
      <c r="AG49" s="82"/>
      <c r="AH49" s="83"/>
      <c r="AI49" s="84"/>
      <c r="AJ49" s="151"/>
      <c r="AK49" s="154">
        <f t="shared" si="6"/>
        <v>0</v>
      </c>
      <c r="AL49" s="172"/>
    </row>
    <row r="50" spans="1:38" x14ac:dyDescent="0.3">
      <c r="A50" s="188">
        <v>47</v>
      </c>
      <c r="B50" s="227">
        <f>((B56-B48)/8)+B49</f>
        <v>17.399999999999999</v>
      </c>
      <c r="C50" s="237">
        <f>((C56-C48)/8)+C49</f>
        <v>0.20724999999999999</v>
      </c>
      <c r="D50" s="175">
        <f t="shared" si="1"/>
        <v>0.65109507745648454</v>
      </c>
      <c r="E50" s="249">
        <f t="shared" si="2"/>
        <v>0.29114536768264299</v>
      </c>
      <c r="F50" s="178">
        <f t="shared" si="3"/>
        <v>429.43941733189843</v>
      </c>
      <c r="H50" s="223"/>
      <c r="I50" s="225"/>
      <c r="J50" s="71"/>
      <c r="K50" s="33">
        <f>F50-J44</f>
        <v>348.55149703979725</v>
      </c>
      <c r="L50" s="34"/>
      <c r="M50" s="177"/>
      <c r="N50" s="35">
        <f t="shared" si="7"/>
        <v>275.28167777685798</v>
      </c>
      <c r="O50" s="87"/>
      <c r="P50" s="225"/>
      <c r="Q50" s="71"/>
      <c r="R50" s="33">
        <f>N50-Q44</f>
        <v>223.43044682038288</v>
      </c>
      <c r="S50" s="40"/>
      <c r="T50" s="74"/>
      <c r="U50" s="42"/>
      <c r="V50" s="75"/>
      <c r="W50" s="76"/>
      <c r="X50" s="77"/>
      <c r="Y50" s="78"/>
      <c r="Z50" s="79"/>
      <c r="AA50" s="80"/>
      <c r="AB50" s="49"/>
      <c r="AC50" s="64"/>
      <c r="AD50" s="81"/>
      <c r="AE50" s="66"/>
      <c r="AF50" s="67"/>
      <c r="AG50" s="82"/>
      <c r="AH50" s="83"/>
      <c r="AI50" s="84"/>
      <c r="AJ50" s="151"/>
      <c r="AK50" s="154">
        <f t="shared" si="6"/>
        <v>0</v>
      </c>
      <c r="AL50" s="172"/>
    </row>
    <row r="51" spans="1:38" x14ac:dyDescent="0.3">
      <c r="A51" s="188">
        <v>48</v>
      </c>
      <c r="B51" s="227">
        <f>((B56-B48)/8)+B50</f>
        <v>17.649999999999999</v>
      </c>
      <c r="C51" s="237">
        <f>((C56-C48)/8)+C50</f>
        <v>0.21137499999999998</v>
      </c>
      <c r="D51" s="175">
        <f t="shared" si="1"/>
        <v>0.66405414715254241</v>
      </c>
      <c r="E51" s="249">
        <f t="shared" si="2"/>
        <v>0.30720162510257115</v>
      </c>
      <c r="F51" s="178">
        <f t="shared" si="3"/>
        <v>453.12239702629245</v>
      </c>
      <c r="H51" s="223"/>
      <c r="I51" s="225"/>
      <c r="J51" s="71"/>
      <c r="K51" s="33">
        <f>F51-J44</f>
        <v>372.23447673419128</v>
      </c>
      <c r="L51" s="34"/>
      <c r="M51" s="177"/>
      <c r="N51" s="35">
        <f t="shared" si="7"/>
        <v>290.46307501685413</v>
      </c>
      <c r="O51" s="87"/>
      <c r="P51" s="225"/>
      <c r="Q51" s="71"/>
      <c r="R51" s="33">
        <f>N51-Q44</f>
        <v>238.61184406037904</v>
      </c>
      <c r="S51" s="40"/>
      <c r="T51" s="74"/>
      <c r="U51" s="42"/>
      <c r="V51" s="75"/>
      <c r="W51" s="76"/>
      <c r="X51" s="77"/>
      <c r="Y51" s="78"/>
      <c r="Z51" s="79"/>
      <c r="AA51" s="80"/>
      <c r="AB51" s="49"/>
      <c r="AC51" s="64"/>
      <c r="AD51" s="81"/>
      <c r="AE51" s="66"/>
      <c r="AF51" s="67"/>
      <c r="AG51" s="82"/>
      <c r="AH51" s="83"/>
      <c r="AI51" s="84"/>
      <c r="AJ51" s="151"/>
      <c r="AK51" s="154">
        <f t="shared" si="6"/>
        <v>0</v>
      </c>
      <c r="AL51" s="172"/>
    </row>
    <row r="52" spans="1:38" x14ac:dyDescent="0.3">
      <c r="A52" s="188">
        <v>49</v>
      </c>
      <c r="B52" s="227">
        <f>((B56-B48)/8)+B51</f>
        <v>17.899999999999999</v>
      </c>
      <c r="C52" s="237">
        <f>((C56-C48)/8)+C51</f>
        <v>0.21549999999999997</v>
      </c>
      <c r="D52" s="175">
        <f t="shared" si="1"/>
        <v>0.67701321684860027</v>
      </c>
      <c r="E52" s="249">
        <f t="shared" si="2"/>
        <v>0.32383153453324642</v>
      </c>
      <c r="F52" s="178">
        <f t="shared" si="3"/>
        <v>477.65151343653849</v>
      </c>
      <c r="H52" s="223"/>
      <c r="I52" s="225"/>
      <c r="J52" s="71"/>
      <c r="K52" s="33">
        <f>F52-J44</f>
        <v>396.76359314443732</v>
      </c>
      <c r="L52" s="34"/>
      <c r="M52" s="177"/>
      <c r="N52" s="35">
        <f t="shared" si="7"/>
        <v>306.18686758752466</v>
      </c>
      <c r="O52" s="87"/>
      <c r="P52" s="225"/>
      <c r="Q52" s="71"/>
      <c r="R52" s="33">
        <f>N52-Q44</f>
        <v>254.33563663104957</v>
      </c>
      <c r="S52" s="40"/>
      <c r="T52" s="74"/>
      <c r="U52" s="42"/>
      <c r="V52" s="75"/>
      <c r="W52" s="76"/>
      <c r="X52" s="77"/>
      <c r="Y52" s="78"/>
      <c r="Z52" s="79"/>
      <c r="AA52" s="80"/>
      <c r="AB52" s="49"/>
      <c r="AC52" s="64"/>
      <c r="AD52" s="81"/>
      <c r="AE52" s="66"/>
      <c r="AF52" s="67"/>
      <c r="AG52" s="82"/>
      <c r="AH52" s="83"/>
      <c r="AI52" s="84"/>
      <c r="AJ52" s="151"/>
      <c r="AK52" s="154">
        <f t="shared" si="6"/>
        <v>0</v>
      </c>
      <c r="AL52" s="172"/>
    </row>
    <row r="53" spans="1:38" x14ac:dyDescent="0.3">
      <c r="A53" s="188">
        <v>50</v>
      </c>
      <c r="B53" s="227">
        <f>((B56-B48)/8)+B52</f>
        <v>18.149999999999999</v>
      </c>
      <c r="C53" s="237">
        <f>((C56-C48)/8)+C52</f>
        <v>0.21962499999999996</v>
      </c>
      <c r="D53" s="175">
        <f t="shared" si="1"/>
        <v>0.68997228654465814</v>
      </c>
      <c r="E53" s="249">
        <f t="shared" si="2"/>
        <v>0.34104503882089304</v>
      </c>
      <c r="F53" s="178">
        <f t="shared" si="3"/>
        <v>503.04143226081726</v>
      </c>
      <c r="H53" s="223"/>
      <c r="I53" s="225"/>
      <c r="J53" s="71"/>
      <c r="K53" s="33">
        <f>F53-J44</f>
        <v>422.15351196871609</v>
      </c>
      <c r="L53" s="34"/>
      <c r="M53" s="177"/>
      <c r="N53" s="35">
        <f t="shared" si="7"/>
        <v>322.46245657744697</v>
      </c>
      <c r="O53" s="87"/>
      <c r="P53" s="225"/>
      <c r="Q53" s="71"/>
      <c r="R53" s="33">
        <f>N53-Q44</f>
        <v>270.61122562097188</v>
      </c>
      <c r="S53" s="40"/>
      <c r="T53" s="74"/>
      <c r="U53" s="42"/>
      <c r="V53" s="75"/>
      <c r="W53" s="76"/>
      <c r="X53" s="77"/>
      <c r="Y53" s="78"/>
      <c r="Z53" s="79"/>
      <c r="AA53" s="80"/>
      <c r="AB53" s="49"/>
      <c r="AC53" s="64"/>
      <c r="AD53" s="81"/>
      <c r="AE53" s="66"/>
      <c r="AF53" s="67"/>
      <c r="AG53" s="82"/>
      <c r="AH53" s="83"/>
      <c r="AI53" s="84"/>
      <c r="AJ53" s="151"/>
      <c r="AK53" s="154">
        <f t="shared" si="6"/>
        <v>0</v>
      </c>
      <c r="AL53" s="172"/>
    </row>
    <row r="54" spans="1:38" x14ac:dyDescent="0.3">
      <c r="A54" s="188">
        <v>51</v>
      </c>
      <c r="B54" s="227">
        <f>((B56-B48)/8)+B53</f>
        <v>18.399999999999999</v>
      </c>
      <c r="C54" s="237">
        <f>((C56-C48)/8)+C53</f>
        <v>0.22374999999999995</v>
      </c>
      <c r="D54" s="175">
        <f t="shared" si="1"/>
        <v>0.70293135624071601</v>
      </c>
      <c r="E54" s="249">
        <f t="shared" si="2"/>
        <v>0.35885208081173531</v>
      </c>
      <c r="F54" s="178">
        <f t="shared" si="3"/>
        <v>529.30681919730955</v>
      </c>
      <c r="H54" s="223"/>
      <c r="I54" s="225"/>
      <c r="J54" s="71"/>
      <c r="K54" s="33">
        <f>F54-J44</f>
        <v>448.41889890520838</v>
      </c>
      <c r="L54" s="34"/>
      <c r="M54" s="177"/>
      <c r="N54" s="35">
        <f t="shared" si="7"/>
        <v>339.29924307519843</v>
      </c>
      <c r="O54" s="87"/>
      <c r="P54" s="225"/>
      <c r="Q54" s="71"/>
      <c r="R54" s="33">
        <f>N54-Q44</f>
        <v>287.44801211872334</v>
      </c>
      <c r="S54" s="40"/>
      <c r="T54" s="74"/>
      <c r="U54" s="42"/>
      <c r="V54" s="75"/>
      <c r="W54" s="76"/>
      <c r="X54" s="77"/>
      <c r="Y54" s="78"/>
      <c r="Z54" s="79"/>
      <c r="AA54" s="80"/>
      <c r="AB54" s="49"/>
      <c r="AC54" s="64"/>
      <c r="AD54" s="81"/>
      <c r="AE54" s="66"/>
      <c r="AF54" s="67"/>
      <c r="AG54" s="82"/>
      <c r="AH54" s="83"/>
      <c r="AI54" s="84"/>
      <c r="AJ54" s="151"/>
      <c r="AK54" s="154">
        <f t="shared" si="6"/>
        <v>0</v>
      </c>
      <c r="AL54" s="172"/>
    </row>
    <row r="55" spans="1:38" x14ac:dyDescent="0.3">
      <c r="A55" s="188">
        <v>52</v>
      </c>
      <c r="B55" s="227">
        <f>((B56-B48)/8)+B54</f>
        <v>18.649999999999999</v>
      </c>
      <c r="C55" s="237">
        <f>((C56-C48)/8)+C54</f>
        <v>0.22787499999999994</v>
      </c>
      <c r="D55" s="175">
        <f t="shared" si="1"/>
        <v>0.71589042593677388</v>
      </c>
      <c r="E55" s="249">
        <f t="shared" si="2"/>
        <v>0.37726260335199763</v>
      </c>
      <c r="F55" s="178">
        <f t="shared" si="3"/>
        <v>556.46233994419651</v>
      </c>
      <c r="H55" s="223"/>
      <c r="I55" s="225"/>
      <c r="J55" s="71"/>
      <c r="K55" s="33">
        <f>F55-J44</f>
        <v>475.57441965209534</v>
      </c>
      <c r="L55" s="34"/>
      <c r="M55" s="177"/>
      <c r="N55" s="35">
        <f t="shared" si="7"/>
        <v>356.70662816935675</v>
      </c>
      <c r="O55" s="87"/>
      <c r="P55" s="225"/>
      <c r="Q55" s="71"/>
      <c r="R55" s="33">
        <f>N55-Q44</f>
        <v>304.85539721288166</v>
      </c>
      <c r="S55" s="40"/>
      <c r="T55" s="74"/>
      <c r="U55" s="42"/>
      <c r="V55" s="75"/>
      <c r="W55" s="76"/>
      <c r="X55" s="77"/>
      <c r="Y55" s="78"/>
      <c r="Z55" s="79"/>
      <c r="AA55" s="80"/>
      <c r="AB55" s="49"/>
      <c r="AC55" s="64"/>
      <c r="AD55" s="81"/>
      <c r="AE55" s="66"/>
      <c r="AF55" s="67"/>
      <c r="AG55" s="82"/>
      <c r="AH55" s="83"/>
      <c r="AI55" s="84"/>
      <c r="AJ55" s="151"/>
      <c r="AK55" s="154">
        <f t="shared" si="6"/>
        <v>0</v>
      </c>
      <c r="AL55" s="172"/>
    </row>
    <row r="56" spans="1:38" x14ac:dyDescent="0.3">
      <c r="A56" s="226">
        <v>53</v>
      </c>
      <c r="B56" s="228">
        <v>18.899999999999999</v>
      </c>
      <c r="C56" s="237">
        <v>0.23200000000000001</v>
      </c>
      <c r="D56" s="175">
        <f t="shared" si="1"/>
        <v>0.72884949563283208</v>
      </c>
      <c r="E56" s="249">
        <f t="shared" si="2"/>
        <v>0.39628654928790447</v>
      </c>
      <c r="F56" s="178">
        <f t="shared" si="3"/>
        <v>584.52266019965907</v>
      </c>
      <c r="H56" s="223"/>
      <c r="I56" s="225"/>
      <c r="J56" s="71"/>
      <c r="K56" s="33">
        <f>F56-J44</f>
        <v>503.6347399075579</v>
      </c>
      <c r="L56" s="34"/>
      <c r="M56" s="177"/>
      <c r="N56" s="35">
        <f t="shared" si="7"/>
        <v>374.69401294849939</v>
      </c>
      <c r="O56" s="87"/>
      <c r="P56" s="225"/>
      <c r="Q56" s="71"/>
      <c r="R56" s="33">
        <f>N56-Q44</f>
        <v>322.8427819920243</v>
      </c>
      <c r="S56" s="40"/>
      <c r="T56" s="74"/>
      <c r="U56" s="42"/>
      <c r="V56" s="75"/>
      <c r="W56" s="76"/>
      <c r="X56" s="77"/>
      <c r="Y56" s="78"/>
      <c r="Z56" s="79"/>
      <c r="AA56" s="80"/>
      <c r="AB56" s="49"/>
      <c r="AC56" s="64"/>
      <c r="AD56" s="81"/>
      <c r="AE56" s="66"/>
      <c r="AF56" s="67"/>
      <c r="AG56" s="82"/>
      <c r="AH56" s="83"/>
      <c r="AI56" s="84"/>
      <c r="AJ56" s="151"/>
      <c r="AK56" s="154">
        <f t="shared" si="6"/>
        <v>0</v>
      </c>
      <c r="AL56" s="172"/>
    </row>
    <row r="57" spans="1:38" x14ac:dyDescent="0.3">
      <c r="A57" s="188">
        <v>54</v>
      </c>
      <c r="B57" s="228">
        <f>((B64-B56)/8)+B56</f>
        <v>19.137499999999999</v>
      </c>
      <c r="C57" s="246">
        <f>((C64-C56)/8)+C56</f>
        <v>0.23600000000000002</v>
      </c>
      <c r="D57" s="175">
        <f t="shared" si="1"/>
        <v>0.74141586624719125</v>
      </c>
      <c r="E57" s="249">
        <f t="shared" si="2"/>
        <v>0.41522239344990375</v>
      </c>
      <c r="F57" s="178">
        <f t="shared" si="3"/>
        <v>612.45303033860807</v>
      </c>
      <c r="H57" s="223"/>
      <c r="I57" s="225"/>
      <c r="J57" s="71"/>
      <c r="K57" s="33">
        <f>F57-J44</f>
        <v>531.5651100465069</v>
      </c>
      <c r="L57" s="34"/>
      <c r="M57" s="177"/>
      <c r="N57" s="35">
        <f t="shared" si="7"/>
        <v>392.59809637090262</v>
      </c>
      <c r="O57" s="87"/>
      <c r="P57" s="225"/>
      <c r="Q57" s="71"/>
      <c r="R57" s="33">
        <f>N57-Q44</f>
        <v>340.74686541442753</v>
      </c>
      <c r="S57" s="40"/>
      <c r="T57" s="74"/>
      <c r="U57" s="42"/>
      <c r="V57" s="75"/>
      <c r="W57" s="76"/>
      <c r="X57" s="77"/>
      <c r="Y57" s="78"/>
      <c r="Z57" s="79"/>
      <c r="AA57" s="80"/>
      <c r="AB57" s="49"/>
      <c r="AC57" s="64"/>
      <c r="AD57" s="81"/>
      <c r="AE57" s="66"/>
      <c r="AF57" s="67"/>
      <c r="AG57" s="82"/>
      <c r="AH57" s="83"/>
      <c r="AI57" s="84"/>
      <c r="AJ57" s="151"/>
      <c r="AK57" s="154">
        <f t="shared" si="6"/>
        <v>0</v>
      </c>
      <c r="AL57" s="172"/>
    </row>
    <row r="58" spans="1:38" x14ac:dyDescent="0.3">
      <c r="A58" s="188">
        <v>55</v>
      </c>
      <c r="B58" s="228">
        <f>((B64-B56)/8)+B57</f>
        <v>19.375</v>
      </c>
      <c r="C58" s="246">
        <f>((C64-C56)/8)+C57</f>
        <v>0.24000000000000002</v>
      </c>
      <c r="D58" s="175">
        <f t="shared" si="1"/>
        <v>0.75398223686155041</v>
      </c>
      <c r="E58" s="249">
        <f t="shared" si="2"/>
        <v>0.43474615777436998</v>
      </c>
      <c r="F58" s="178">
        <f t="shared" si="3"/>
        <v>641.2505827171957</v>
      </c>
      <c r="H58" s="222">
        <v>0.2</v>
      </c>
      <c r="I58" s="225">
        <f>H58*(F58-J44)</f>
        <v>112.07253248501891</v>
      </c>
      <c r="J58" s="71">
        <f>I58+J44</f>
        <v>192.96045277712005</v>
      </c>
      <c r="K58" s="33">
        <f>F58-J58</f>
        <v>448.29012994007564</v>
      </c>
      <c r="L58" s="34"/>
      <c r="M58" s="177"/>
      <c r="N58" s="35">
        <f t="shared" si="7"/>
        <v>411.05806584435618</v>
      </c>
      <c r="O58" s="87">
        <v>0.2</v>
      </c>
      <c r="P58" s="225">
        <f>O58*(N58-Q44)</f>
        <v>71.841366977576214</v>
      </c>
      <c r="Q58" s="71">
        <f>P58+Q44</f>
        <v>123.69259793405131</v>
      </c>
      <c r="R58" s="33">
        <f>N58-Q58</f>
        <v>287.36546791030486</v>
      </c>
      <c r="S58" s="40"/>
      <c r="T58" s="74">
        <f>P58*25%</f>
        <v>17.960341744394054</v>
      </c>
      <c r="U58" s="42">
        <f t="shared" ref="U58" si="11">T58*0.95</f>
        <v>17.062324657174351</v>
      </c>
      <c r="V58" s="75">
        <v>8</v>
      </c>
      <c r="W58" s="76">
        <f>T58*V58</f>
        <v>143.68273395515243</v>
      </c>
      <c r="X58" s="77">
        <v>0.4</v>
      </c>
      <c r="Y58" s="78">
        <v>0.6</v>
      </c>
      <c r="Z58" s="79"/>
      <c r="AA58" s="80">
        <f>P58*25%</f>
        <v>17.960341744394054</v>
      </c>
      <c r="AB58" s="49">
        <f t="shared" si="8"/>
        <v>40.231165507442697</v>
      </c>
      <c r="AC58" s="64">
        <f t="shared" si="9"/>
        <v>96.985845419727923</v>
      </c>
      <c r="AD58" s="81">
        <v>8</v>
      </c>
      <c r="AE58" s="66">
        <f t="shared" si="10"/>
        <v>775.88676335782338</v>
      </c>
      <c r="AF58" s="67"/>
      <c r="AG58" s="82">
        <f>P58*50%</f>
        <v>35.920683488788107</v>
      </c>
      <c r="AH58" s="83">
        <v>40</v>
      </c>
      <c r="AI58" s="84">
        <f>AG58*AH58</f>
        <v>1436.8273395515243</v>
      </c>
      <c r="AJ58" s="151"/>
      <c r="AK58" s="154">
        <f t="shared" si="6"/>
        <v>2356.3968368645001</v>
      </c>
      <c r="AL58" s="172"/>
    </row>
    <row r="59" spans="1:38" x14ac:dyDescent="0.3">
      <c r="A59" s="188">
        <v>56</v>
      </c>
      <c r="B59" s="228">
        <f>((B64-B56)/8)+B58</f>
        <v>19.612500000000001</v>
      </c>
      <c r="C59" s="246">
        <f>((C64-C56)/8)+C58</f>
        <v>0.24400000000000002</v>
      </c>
      <c r="D59" s="175">
        <f t="shared" si="1"/>
        <v>0.76654860747590958</v>
      </c>
      <c r="E59" s="249">
        <f t="shared" si="2"/>
        <v>0.45486672417205337</v>
      </c>
      <c r="F59" s="178">
        <f t="shared" si="3"/>
        <v>670.92841815377869</v>
      </c>
      <c r="H59" s="223"/>
      <c r="I59" s="225"/>
      <c r="J59" s="71"/>
      <c r="K59" s="33">
        <f>F59-J58</f>
        <v>477.96796537665864</v>
      </c>
      <c r="L59" s="34"/>
      <c r="M59" s="177"/>
      <c r="N59" s="35">
        <f t="shared" si="7"/>
        <v>430.0823193293453</v>
      </c>
      <c r="O59" s="87"/>
      <c r="P59" s="225"/>
      <c r="Q59" s="71"/>
      <c r="R59" s="33">
        <f>N59-Q58</f>
        <v>306.38972139529398</v>
      </c>
      <c r="S59" s="40"/>
      <c r="T59" s="74"/>
      <c r="U59" s="42"/>
      <c r="V59" s="75"/>
      <c r="W59" s="76"/>
      <c r="X59" s="77"/>
      <c r="Y59" s="78"/>
      <c r="Z59" s="79"/>
      <c r="AA59" s="80"/>
      <c r="AB59" s="49"/>
      <c r="AC59" s="64"/>
      <c r="AD59" s="81"/>
      <c r="AE59" s="66"/>
      <c r="AF59" s="67"/>
      <c r="AG59" s="82"/>
      <c r="AH59" s="83"/>
      <c r="AI59" s="84"/>
      <c r="AJ59" s="151"/>
      <c r="AK59" s="154">
        <f t="shared" si="6"/>
        <v>0</v>
      </c>
      <c r="AL59" s="172"/>
    </row>
    <row r="60" spans="1:38" x14ac:dyDescent="0.3">
      <c r="A60" s="188">
        <v>57</v>
      </c>
      <c r="B60" s="228">
        <f>((B64-B56)/8)+B59</f>
        <v>19.850000000000001</v>
      </c>
      <c r="C60" s="246">
        <f>((C64-C56)/8)+C59</f>
        <v>0.24800000000000003</v>
      </c>
      <c r="D60" s="175">
        <f t="shared" si="1"/>
        <v>0.77911497809026875</v>
      </c>
      <c r="E60" s="249">
        <f t="shared" si="2"/>
        <v>0.4755929745537042</v>
      </c>
      <c r="F60" s="178">
        <f t="shared" si="3"/>
        <v>701.49963746671369</v>
      </c>
      <c r="H60" s="223"/>
      <c r="I60" s="225"/>
      <c r="J60" s="71"/>
      <c r="K60" s="33">
        <f>F60-J58</f>
        <v>508.53918468959364</v>
      </c>
      <c r="L60" s="34"/>
      <c r="M60" s="177"/>
      <c r="N60" s="35">
        <f t="shared" si="7"/>
        <v>449.67925478635493</v>
      </c>
      <c r="O60" s="87"/>
      <c r="P60" s="225"/>
      <c r="Q60" s="71"/>
      <c r="R60" s="33">
        <f>N60-Q58</f>
        <v>325.98665685230361</v>
      </c>
      <c r="S60" s="40"/>
      <c r="T60" s="74"/>
      <c r="U60" s="42"/>
      <c r="V60" s="75"/>
      <c r="W60" s="76"/>
      <c r="X60" s="77"/>
      <c r="Y60" s="78"/>
      <c r="Z60" s="79"/>
      <c r="AA60" s="80"/>
      <c r="AB60" s="49"/>
      <c r="AC60" s="64"/>
      <c r="AD60" s="81"/>
      <c r="AE60" s="66"/>
      <c r="AF60" s="67"/>
      <c r="AG60" s="82"/>
      <c r="AH60" s="83"/>
      <c r="AI60" s="84"/>
      <c r="AJ60" s="151"/>
      <c r="AK60" s="154">
        <f t="shared" si="6"/>
        <v>0</v>
      </c>
      <c r="AL60" s="172"/>
    </row>
    <row r="61" spans="1:38" x14ac:dyDescent="0.3">
      <c r="A61" s="188">
        <v>58</v>
      </c>
      <c r="B61" s="228">
        <f>((B64-B56)/8)+B60</f>
        <v>20.087500000000002</v>
      </c>
      <c r="C61" s="246">
        <f>((C64-C56)/8)+C60</f>
        <v>0.252</v>
      </c>
      <c r="D61" s="175">
        <f t="shared" si="1"/>
        <v>0.79168134870462792</v>
      </c>
      <c r="E61" s="249">
        <f t="shared" si="2"/>
        <v>0.4969337908300725</v>
      </c>
      <c r="F61" s="178">
        <f t="shared" si="3"/>
        <v>732.97734147435688</v>
      </c>
      <c r="H61" s="223"/>
      <c r="I61" s="225"/>
      <c r="J61" s="71"/>
      <c r="K61" s="33">
        <f>F61-J58</f>
        <v>540.01688869723682</v>
      </c>
      <c r="L61" s="34"/>
      <c r="M61" s="177"/>
      <c r="N61" s="35">
        <f t="shared" si="7"/>
        <v>469.85727017586976</v>
      </c>
      <c r="O61" s="87"/>
      <c r="P61" s="225"/>
      <c r="Q61" s="71"/>
      <c r="R61" s="33">
        <f>N61-Q58</f>
        <v>346.16467224181844</v>
      </c>
      <c r="S61" s="40"/>
      <c r="T61" s="74"/>
      <c r="U61" s="42"/>
      <c r="V61" s="75"/>
      <c r="W61" s="76"/>
      <c r="X61" s="77"/>
      <c r="Y61" s="78"/>
      <c r="Z61" s="79"/>
      <c r="AA61" s="80"/>
      <c r="AB61" s="49"/>
      <c r="AC61" s="64"/>
      <c r="AD61" s="81"/>
      <c r="AE61" s="66"/>
      <c r="AF61" s="67"/>
      <c r="AG61" s="82"/>
      <c r="AH61" s="83"/>
      <c r="AI61" s="84"/>
      <c r="AJ61" s="151"/>
      <c r="AK61" s="154">
        <f t="shared" si="6"/>
        <v>0</v>
      </c>
      <c r="AL61" s="172"/>
    </row>
    <row r="62" spans="1:38" x14ac:dyDescent="0.3">
      <c r="A62" s="188">
        <v>59</v>
      </c>
      <c r="B62" s="228">
        <f>((B64-B56)/8)+B61</f>
        <v>20.325000000000003</v>
      </c>
      <c r="C62" s="246">
        <f>((C64-C56)/8)+C61</f>
        <v>0.25600000000000001</v>
      </c>
      <c r="D62" s="175">
        <f t="shared" si="1"/>
        <v>0.80424771931898709</v>
      </c>
      <c r="E62" s="249">
        <f t="shared" si="2"/>
        <v>0.51889805491190866</v>
      </c>
      <c r="F62" s="178">
        <f t="shared" si="3"/>
        <v>765.37463099506522</v>
      </c>
      <c r="H62" s="223"/>
      <c r="I62" s="225"/>
      <c r="J62" s="71"/>
      <c r="K62" s="33">
        <f>F62-J58</f>
        <v>572.41417821794516</v>
      </c>
      <c r="L62" s="34"/>
      <c r="M62" s="177"/>
      <c r="N62" s="35">
        <f t="shared" si="7"/>
        <v>490.62476345837513</v>
      </c>
      <c r="O62" s="87"/>
      <c r="P62" s="225"/>
      <c r="Q62" s="71"/>
      <c r="R62" s="33">
        <f>N62-Q58</f>
        <v>366.93216552432381</v>
      </c>
      <c r="S62" s="40"/>
      <c r="T62" s="74"/>
      <c r="U62" s="42"/>
      <c r="V62" s="75"/>
      <c r="W62" s="76"/>
      <c r="X62" s="77"/>
      <c r="Y62" s="78"/>
      <c r="Z62" s="79"/>
      <c r="AA62" s="80"/>
      <c r="AB62" s="49"/>
      <c r="AC62" s="64"/>
      <c r="AD62" s="81"/>
      <c r="AE62" s="66"/>
      <c r="AF62" s="67"/>
      <c r="AG62" s="82"/>
      <c r="AH62" s="83"/>
      <c r="AI62" s="84"/>
      <c r="AJ62" s="151"/>
      <c r="AK62" s="154">
        <f t="shared" si="6"/>
        <v>0</v>
      </c>
      <c r="AL62" s="172"/>
    </row>
    <row r="63" spans="1:38" x14ac:dyDescent="0.3">
      <c r="A63" s="188">
        <v>60</v>
      </c>
      <c r="B63" s="228">
        <f>((B64-B56)/8)+B62</f>
        <v>20.562500000000004</v>
      </c>
      <c r="C63" s="246">
        <f>((C64-C56)/8)+C62</f>
        <v>0.26</v>
      </c>
      <c r="D63" s="175">
        <f t="shared" si="1"/>
        <v>0.81681408993334625</v>
      </c>
      <c r="E63" s="249">
        <f t="shared" si="2"/>
        <v>0.54149464870996311</v>
      </c>
      <c r="F63" s="178">
        <f t="shared" si="3"/>
        <v>798.70460684719558</v>
      </c>
      <c r="H63" s="223"/>
      <c r="I63" s="225"/>
      <c r="J63" s="71"/>
      <c r="K63" s="33">
        <f>F63-J58</f>
        <v>605.74415407007552</v>
      </c>
      <c r="L63" s="34"/>
      <c r="M63" s="177"/>
      <c r="N63" s="35">
        <f t="shared" si="7"/>
        <v>511.99013259435611</v>
      </c>
      <c r="O63" s="87"/>
      <c r="P63" s="225"/>
      <c r="Q63" s="71"/>
      <c r="R63" s="33">
        <f>N63-Q58</f>
        <v>388.29753466030479</v>
      </c>
      <c r="S63" s="40"/>
      <c r="T63" s="74"/>
      <c r="U63" s="42"/>
      <c r="V63" s="75"/>
      <c r="W63" s="76"/>
      <c r="X63" s="77"/>
      <c r="Y63" s="78"/>
      <c r="Z63" s="79"/>
      <c r="AA63" s="80"/>
      <c r="AB63" s="49"/>
      <c r="AC63" s="64"/>
      <c r="AD63" s="81"/>
      <c r="AE63" s="66"/>
      <c r="AF63" s="67"/>
      <c r="AG63" s="82"/>
      <c r="AH63" s="83"/>
      <c r="AI63" s="84"/>
      <c r="AJ63" s="151"/>
      <c r="AK63" s="154">
        <f t="shared" si="6"/>
        <v>0</v>
      </c>
      <c r="AL63" s="172"/>
    </row>
    <row r="64" spans="1:38" x14ac:dyDescent="0.3">
      <c r="A64" s="226">
        <v>61</v>
      </c>
      <c r="B64" s="228">
        <v>20.8</v>
      </c>
      <c r="C64" s="237">
        <v>0.26400000000000001</v>
      </c>
      <c r="D64" s="175">
        <f t="shared" si="1"/>
        <v>0.82938046054770542</v>
      </c>
      <c r="E64" s="249">
        <f t="shared" si="2"/>
        <v>0.56473245413498552</v>
      </c>
      <c r="F64" s="178">
        <f t="shared" si="3"/>
        <v>832.98036984910368</v>
      </c>
      <c r="H64" s="223"/>
      <c r="I64" s="225"/>
      <c r="J64" s="71"/>
      <c r="K64" s="33">
        <f>F64-J58</f>
        <v>640.01991707198363</v>
      </c>
      <c r="L64" s="34"/>
      <c r="M64" s="177"/>
      <c r="N64" s="35">
        <f t="shared" si="7"/>
        <v>533.96177554429721</v>
      </c>
      <c r="O64" s="87"/>
      <c r="P64" s="225"/>
      <c r="Q64" s="71"/>
      <c r="R64" s="33">
        <f>N64-Q58</f>
        <v>410.26917761024589</v>
      </c>
      <c r="S64" s="40"/>
      <c r="T64" s="74"/>
      <c r="U64" s="42"/>
      <c r="V64" s="75"/>
      <c r="W64" s="76"/>
      <c r="X64" s="77"/>
      <c r="Y64" s="78"/>
      <c r="Z64" s="79"/>
      <c r="AA64" s="80"/>
      <c r="AB64" s="49"/>
      <c r="AC64" s="64"/>
      <c r="AD64" s="81"/>
      <c r="AE64" s="66"/>
      <c r="AF64" s="67"/>
      <c r="AG64" s="82"/>
      <c r="AH64" s="83"/>
      <c r="AI64" s="84"/>
      <c r="AJ64" s="151"/>
      <c r="AK64" s="154">
        <f t="shared" si="6"/>
        <v>0</v>
      </c>
      <c r="AL64" s="172"/>
    </row>
    <row r="65" spans="1:38" x14ac:dyDescent="0.3">
      <c r="A65" s="188">
        <v>62</v>
      </c>
      <c r="B65" s="228">
        <f>((B72-B64)/8)+B64</f>
        <v>21</v>
      </c>
      <c r="C65" s="246">
        <f>((C72-C64)/8)+C64</f>
        <v>0.26787500000000003</v>
      </c>
      <c r="D65" s="175">
        <f t="shared" si="1"/>
        <v>0.84155413208036589</v>
      </c>
      <c r="E65" s="249">
        <f t="shared" si="2"/>
        <v>0.58702313939319695</v>
      </c>
      <c r="F65" s="178">
        <f t="shared" si="3"/>
        <v>865.85913060496546</v>
      </c>
      <c r="H65" s="223"/>
      <c r="I65" s="225"/>
      <c r="J65" s="71"/>
      <c r="K65" s="33">
        <f>F65-J58</f>
        <v>672.8986778278454</v>
      </c>
      <c r="L65" s="34"/>
      <c r="M65" s="177"/>
      <c r="N65" s="35">
        <f t="shared" si="7"/>
        <v>555.03790423395219</v>
      </c>
      <c r="O65" s="87"/>
      <c r="P65" s="225"/>
      <c r="Q65" s="71"/>
      <c r="R65" s="33">
        <f>N65-Q58</f>
        <v>431.34530629990087</v>
      </c>
      <c r="S65" s="40"/>
      <c r="T65" s="74"/>
      <c r="U65" s="42"/>
      <c r="V65" s="75"/>
      <c r="W65" s="76"/>
      <c r="X65" s="77"/>
      <c r="Y65" s="78"/>
      <c r="Z65" s="79"/>
      <c r="AA65" s="80"/>
      <c r="AB65" s="49"/>
      <c r="AC65" s="64"/>
      <c r="AD65" s="81"/>
      <c r="AE65" s="66"/>
      <c r="AF65" s="67"/>
      <c r="AG65" s="82"/>
      <c r="AH65" s="83"/>
      <c r="AI65" s="84"/>
      <c r="AJ65" s="151"/>
      <c r="AK65" s="154">
        <f t="shared" si="6"/>
        <v>0</v>
      </c>
      <c r="AL65" s="172"/>
    </row>
    <row r="66" spans="1:38" x14ac:dyDescent="0.3">
      <c r="A66" s="188">
        <v>63</v>
      </c>
      <c r="B66" s="228">
        <f>((B72-B64)/8)+B65</f>
        <v>21.2</v>
      </c>
      <c r="C66" s="246">
        <f>((C72-C64)/8)+C65</f>
        <v>0.27175000000000005</v>
      </c>
      <c r="D66" s="175">
        <f t="shared" si="1"/>
        <v>0.85372780361302647</v>
      </c>
      <c r="E66" s="249">
        <f t="shared" si="2"/>
        <v>0.60988299492498099</v>
      </c>
      <c r="F66" s="178">
        <f t="shared" si="3"/>
        <v>899.57741751434696</v>
      </c>
      <c r="H66" s="223"/>
      <c r="I66" s="225"/>
      <c r="J66" s="71"/>
      <c r="K66" s="33">
        <f>F66-J58</f>
        <v>706.61696473722691</v>
      </c>
      <c r="L66" s="34"/>
      <c r="M66" s="177"/>
      <c r="N66" s="35">
        <f t="shared" si="7"/>
        <v>576.652190714325</v>
      </c>
      <c r="O66" s="87"/>
      <c r="P66" s="225"/>
      <c r="Q66" s="71"/>
      <c r="R66" s="33">
        <f>N66-Q58</f>
        <v>452.95959278027368</v>
      </c>
      <c r="S66" s="40"/>
      <c r="T66" s="74"/>
      <c r="U66" s="42"/>
      <c r="V66" s="75"/>
      <c r="W66" s="76"/>
      <c r="X66" s="77"/>
      <c r="Y66" s="78"/>
      <c r="Z66" s="79"/>
      <c r="AA66" s="80"/>
      <c r="AB66" s="49"/>
      <c r="AC66" s="64"/>
      <c r="AD66" s="81"/>
      <c r="AE66" s="66"/>
      <c r="AF66" s="67"/>
      <c r="AG66" s="82"/>
      <c r="AH66" s="83"/>
      <c r="AI66" s="84"/>
      <c r="AJ66" s="151"/>
      <c r="AK66" s="154">
        <f t="shared" si="6"/>
        <v>0</v>
      </c>
      <c r="AL66" s="172"/>
    </row>
    <row r="67" spans="1:38" x14ac:dyDescent="0.3">
      <c r="A67" s="188">
        <v>64</v>
      </c>
      <c r="B67" s="228">
        <f>((B72-B64)/8)+B66</f>
        <v>21.4</v>
      </c>
      <c r="C67" s="246">
        <f>((C72-C64)/8)+C66</f>
        <v>0.27562500000000006</v>
      </c>
      <c r="D67" s="175">
        <f t="shared" si="1"/>
        <v>0.86590147514568694</v>
      </c>
      <c r="E67" s="249">
        <f t="shared" si="2"/>
        <v>0.63331904006934281</v>
      </c>
      <c r="F67" s="178">
        <f t="shared" si="3"/>
        <v>934.14558410228062</v>
      </c>
      <c r="H67" s="223"/>
      <c r="I67" s="225"/>
      <c r="J67" s="71"/>
      <c r="K67" s="33">
        <f>F67-J58</f>
        <v>741.18513132516057</v>
      </c>
      <c r="L67" s="34"/>
      <c r="M67" s="177"/>
      <c r="N67" s="35">
        <f t="shared" ref="N67:N98" si="12">F67/1.56</f>
        <v>598.81127186043625</v>
      </c>
      <c r="O67" s="87"/>
      <c r="P67" s="225"/>
      <c r="Q67" s="71"/>
      <c r="R67" s="33">
        <f>N67-Q58</f>
        <v>475.11867392638493</v>
      </c>
      <c r="S67" s="40"/>
      <c r="T67" s="74"/>
      <c r="U67" s="42"/>
      <c r="V67" s="75"/>
      <c r="W67" s="76"/>
      <c r="X67" s="77"/>
      <c r="Y67" s="78"/>
      <c r="Z67" s="79"/>
      <c r="AA67" s="80"/>
      <c r="AB67" s="49"/>
      <c r="AC67" s="64"/>
      <c r="AD67" s="81"/>
      <c r="AE67" s="66"/>
      <c r="AF67" s="67"/>
      <c r="AG67" s="82"/>
      <c r="AH67" s="83"/>
      <c r="AI67" s="84"/>
      <c r="AJ67" s="151"/>
      <c r="AK67" s="154">
        <f t="shared" si="6"/>
        <v>0</v>
      </c>
      <c r="AL67" s="172"/>
    </row>
    <row r="68" spans="1:38" x14ac:dyDescent="0.3">
      <c r="A68" s="188">
        <v>65</v>
      </c>
      <c r="B68" s="228">
        <f>((B72-B64)/8)+B67</f>
        <v>21.599999999999998</v>
      </c>
      <c r="C68" s="246">
        <f>((C72-C64)/8)+C67</f>
        <v>0.27950000000000008</v>
      </c>
      <c r="D68" s="175">
        <f t="shared" ref="D68:D131" si="13">C68*PI()</f>
        <v>0.87807514667834741</v>
      </c>
      <c r="E68" s="249">
        <f t="shared" ref="E68:E131" si="14">(D68^2/(4*PI()))*B68*0.496</f>
        <v>0.65733829416528833</v>
      </c>
      <c r="F68" s="178">
        <f t="shared" ref="F68:F131" si="15">E68*1475</f>
        <v>969.57398389380023</v>
      </c>
      <c r="H68" s="223"/>
      <c r="I68" s="225"/>
      <c r="J68" s="71"/>
      <c r="K68" s="33">
        <f>F68-J58</f>
        <v>776.61353111668018</v>
      </c>
      <c r="L68" s="34"/>
      <c r="M68" s="177"/>
      <c r="N68" s="35">
        <f t="shared" si="12"/>
        <v>621.52178454730779</v>
      </c>
      <c r="O68" s="87"/>
      <c r="P68" s="225"/>
      <c r="Q68" s="71"/>
      <c r="R68" s="33">
        <f>N68-Q58</f>
        <v>497.82918661325647</v>
      </c>
      <c r="S68" s="40"/>
      <c r="T68" s="74"/>
      <c r="U68" s="42"/>
      <c r="V68" s="75"/>
      <c r="W68" s="76"/>
      <c r="X68" s="77"/>
      <c r="Y68" s="78"/>
      <c r="Z68" s="79"/>
      <c r="AA68" s="80"/>
      <c r="AB68" s="49"/>
      <c r="AC68" s="64"/>
      <c r="AD68" s="81"/>
      <c r="AE68" s="66"/>
      <c r="AF68" s="67"/>
      <c r="AG68" s="82"/>
      <c r="AH68" s="83"/>
      <c r="AI68" s="84"/>
      <c r="AJ68" s="151"/>
      <c r="AK68" s="154">
        <f t="shared" ref="AK68:AK131" si="16">W68+AE68+AI68</f>
        <v>0</v>
      </c>
      <c r="AL68" s="172"/>
    </row>
    <row r="69" spans="1:38" x14ac:dyDescent="0.3">
      <c r="A69" s="188">
        <v>66</v>
      </c>
      <c r="B69" s="228">
        <f>((B72-B64)/8)+B68</f>
        <v>21.799999999999997</v>
      </c>
      <c r="C69" s="246">
        <f>((C72-C64)/8)+C68</f>
        <v>0.2833750000000001</v>
      </c>
      <c r="D69" s="175">
        <f t="shared" si="13"/>
        <v>0.89024881821100799</v>
      </c>
      <c r="E69" s="249">
        <f t="shared" si="14"/>
        <v>0.68194777655182381</v>
      </c>
      <c r="F69" s="178">
        <f t="shared" si="15"/>
        <v>1005.8729704139402</v>
      </c>
      <c r="H69" s="223"/>
      <c r="I69" s="225"/>
      <c r="J69" s="71"/>
      <c r="K69" s="33">
        <f>F69-J58</f>
        <v>812.9125176368201</v>
      </c>
      <c r="L69" s="34"/>
      <c r="M69" s="177"/>
      <c r="N69" s="35">
        <f t="shared" si="12"/>
        <v>644.79036564996159</v>
      </c>
      <c r="O69" s="87"/>
      <c r="P69" s="225"/>
      <c r="Q69" s="71"/>
      <c r="R69" s="33">
        <f>N69-Q58</f>
        <v>521.09776771591032</v>
      </c>
      <c r="S69" s="40"/>
      <c r="T69" s="74"/>
      <c r="U69" s="42"/>
      <c r="V69" s="75"/>
      <c r="W69" s="76"/>
      <c r="X69" s="77"/>
      <c r="Y69" s="78"/>
      <c r="Z69" s="79"/>
      <c r="AA69" s="80"/>
      <c r="AB69" s="49"/>
      <c r="AC69" s="64"/>
      <c r="AD69" s="81"/>
      <c r="AE69" s="66"/>
      <c r="AF69" s="67"/>
      <c r="AG69" s="82"/>
      <c r="AH69" s="83"/>
      <c r="AI69" s="84"/>
      <c r="AJ69" s="151"/>
      <c r="AK69" s="154">
        <f t="shared" si="16"/>
        <v>0</v>
      </c>
      <c r="AL69" s="172"/>
    </row>
    <row r="70" spans="1:38" x14ac:dyDescent="0.3">
      <c r="A70" s="188">
        <v>67</v>
      </c>
      <c r="B70" s="228">
        <f>((B72-B64)/8)+B69</f>
        <v>21.999999999999996</v>
      </c>
      <c r="C70" s="246">
        <f>((C72-C64)/8)+C69</f>
        <v>0.28725000000000012</v>
      </c>
      <c r="D70" s="175">
        <f t="shared" si="13"/>
        <v>0.90242248974366845</v>
      </c>
      <c r="E70" s="249">
        <f t="shared" si="14"/>
        <v>0.7071545065679542</v>
      </c>
      <c r="F70" s="178">
        <f t="shared" si="15"/>
        <v>1043.0528971877325</v>
      </c>
      <c r="H70" s="223"/>
      <c r="I70" s="225"/>
      <c r="J70" s="71"/>
      <c r="K70" s="33">
        <f>F70-J58</f>
        <v>850.09244441061242</v>
      </c>
      <c r="L70" s="34"/>
      <c r="M70" s="177"/>
      <c r="N70" s="35">
        <f t="shared" si="12"/>
        <v>668.62365204341825</v>
      </c>
      <c r="O70" s="87"/>
      <c r="P70" s="225"/>
      <c r="Q70" s="71"/>
      <c r="R70" s="33">
        <f>N70-Q58</f>
        <v>544.93105410936698</v>
      </c>
      <c r="S70" s="40"/>
      <c r="T70" s="74"/>
      <c r="U70" s="42"/>
      <c r="V70" s="75"/>
      <c r="W70" s="76"/>
      <c r="X70" s="77"/>
      <c r="Y70" s="78"/>
      <c r="Z70" s="79"/>
      <c r="AA70" s="80"/>
      <c r="AB70" s="49"/>
      <c r="AC70" s="64"/>
      <c r="AD70" s="81"/>
      <c r="AE70" s="66"/>
      <c r="AF70" s="67"/>
      <c r="AG70" s="82"/>
      <c r="AH70" s="83"/>
      <c r="AI70" s="84"/>
      <c r="AJ70" s="151"/>
      <c r="AK70" s="154">
        <f t="shared" si="16"/>
        <v>0</v>
      </c>
      <c r="AL70" s="172"/>
    </row>
    <row r="71" spans="1:38" x14ac:dyDescent="0.3">
      <c r="A71" s="188">
        <v>68</v>
      </c>
      <c r="B71" s="228">
        <f>((B72-B64)/8)+B70</f>
        <v>22.199999999999996</v>
      </c>
      <c r="C71" s="246">
        <f>((C72-C64)/8)+C70</f>
        <v>0.29112500000000013</v>
      </c>
      <c r="D71" s="175">
        <f t="shared" si="13"/>
        <v>0.91459616127632892</v>
      </c>
      <c r="E71" s="249">
        <f t="shared" si="14"/>
        <v>0.73296550355268553</v>
      </c>
      <c r="F71" s="178">
        <f t="shared" si="15"/>
        <v>1081.1241177402112</v>
      </c>
      <c r="H71" s="223"/>
      <c r="I71" s="225"/>
      <c r="J71" s="71"/>
      <c r="K71" s="33">
        <f>F71-J58</f>
        <v>888.16366496309115</v>
      </c>
      <c r="L71" s="34"/>
      <c r="M71" s="177"/>
      <c r="N71" s="35">
        <f t="shared" si="12"/>
        <v>693.02828060269951</v>
      </c>
      <c r="O71" s="87"/>
      <c r="P71" s="225"/>
      <c r="Q71" s="71"/>
      <c r="R71" s="33">
        <f>N71-Q58</f>
        <v>569.33568266864825</v>
      </c>
      <c r="S71" s="40"/>
      <c r="T71" s="74"/>
      <c r="U71" s="42"/>
      <c r="V71" s="75"/>
      <c r="W71" s="76"/>
      <c r="X71" s="77"/>
      <c r="Y71" s="78"/>
      <c r="Z71" s="79"/>
      <c r="AA71" s="80"/>
      <c r="AB71" s="49"/>
      <c r="AC71" s="64"/>
      <c r="AD71" s="81"/>
      <c r="AE71" s="66"/>
      <c r="AF71" s="67"/>
      <c r="AG71" s="82"/>
      <c r="AH71" s="83"/>
      <c r="AI71" s="84"/>
      <c r="AJ71" s="151"/>
      <c r="AK71" s="154">
        <f t="shared" si="16"/>
        <v>0</v>
      </c>
      <c r="AL71" s="172"/>
    </row>
    <row r="72" spans="1:38" x14ac:dyDescent="0.3">
      <c r="A72" s="226">
        <v>69</v>
      </c>
      <c r="B72" s="228">
        <v>22.4</v>
      </c>
      <c r="C72" s="237">
        <v>0.29499999999999998</v>
      </c>
      <c r="D72" s="175">
        <f t="shared" si="13"/>
        <v>0.92676983280898895</v>
      </c>
      <c r="E72" s="249">
        <f t="shared" si="14"/>
        <v>0.75938778684502306</v>
      </c>
      <c r="F72" s="178">
        <f t="shared" si="15"/>
        <v>1120.096985596409</v>
      </c>
      <c r="H72" s="222"/>
      <c r="I72" s="225"/>
      <c r="J72" s="71"/>
      <c r="K72" s="33">
        <f>F72-J58</f>
        <v>927.13653281928896</v>
      </c>
      <c r="L72" s="34"/>
      <c r="M72" s="177"/>
      <c r="N72" s="35">
        <f t="shared" si="12"/>
        <v>718.01088820282632</v>
      </c>
      <c r="O72" s="87"/>
      <c r="P72" s="225"/>
      <c r="Q72" s="71"/>
      <c r="R72" s="33">
        <f>N72-Q58</f>
        <v>594.31829026877506</v>
      </c>
      <c r="S72" s="40"/>
      <c r="T72" s="74"/>
      <c r="U72" s="42"/>
      <c r="V72" s="75"/>
      <c r="W72" s="76"/>
      <c r="X72" s="77"/>
      <c r="Y72" s="78"/>
      <c r="Z72" s="79"/>
      <c r="AA72" s="80"/>
      <c r="AB72" s="49"/>
      <c r="AC72" s="64"/>
      <c r="AD72" s="81"/>
      <c r="AE72" s="66"/>
      <c r="AF72" s="67"/>
      <c r="AG72" s="82"/>
      <c r="AH72" s="83"/>
      <c r="AI72" s="84"/>
      <c r="AJ72" s="151"/>
      <c r="AK72" s="154">
        <f t="shared" si="16"/>
        <v>0</v>
      </c>
      <c r="AL72" s="172"/>
    </row>
    <row r="73" spans="1:38" x14ac:dyDescent="0.3">
      <c r="A73" s="188">
        <v>70</v>
      </c>
      <c r="B73" s="228">
        <f>((B80-B72)/8)+B72</f>
        <v>22.587499999999999</v>
      </c>
      <c r="C73" s="246">
        <f>((C80-C72)/8)+C72</f>
        <v>0.29899999999999999</v>
      </c>
      <c r="D73" s="175">
        <f t="shared" si="13"/>
        <v>0.93933620342334812</v>
      </c>
      <c r="E73" s="249">
        <f t="shared" si="14"/>
        <v>0.78665100180212699</v>
      </c>
      <c r="F73" s="178">
        <f t="shared" si="15"/>
        <v>1160.3102276581374</v>
      </c>
      <c r="H73" s="222">
        <v>0.2</v>
      </c>
      <c r="I73" s="225">
        <f>H73*(F73-J58)</f>
        <v>193.46995497620347</v>
      </c>
      <c r="J73" s="71">
        <f>I73+J58</f>
        <v>386.43040775332349</v>
      </c>
      <c r="K73" s="33">
        <f>F73-J73</f>
        <v>773.87981990481387</v>
      </c>
      <c r="L73" s="34"/>
      <c r="M73" s="177"/>
      <c r="N73" s="35">
        <f t="shared" si="12"/>
        <v>743.78860747316492</v>
      </c>
      <c r="O73" s="87">
        <v>0.2</v>
      </c>
      <c r="P73" s="225">
        <f>O73*(N73-Q58)</f>
        <v>124.01920190782273</v>
      </c>
      <c r="Q73" s="71">
        <f>P73+Q58</f>
        <v>247.71179984187404</v>
      </c>
      <c r="R73" s="33">
        <f>N73-Q73</f>
        <v>496.07680763129088</v>
      </c>
      <c r="S73" s="40"/>
      <c r="T73" s="74">
        <f>P73*25%</f>
        <v>31.004800476955683</v>
      </c>
      <c r="U73" s="42">
        <f t="shared" ref="U73:U128" si="17">T73*0.95</f>
        <v>29.454560453107899</v>
      </c>
      <c r="V73" s="75">
        <v>8</v>
      </c>
      <c r="W73" s="76">
        <f t="shared" ref="W73:W114" si="18">T73*V73</f>
        <v>248.03840381564547</v>
      </c>
      <c r="X73" s="77">
        <v>0.4</v>
      </c>
      <c r="Y73" s="78">
        <v>0.6</v>
      </c>
      <c r="Z73" s="79"/>
      <c r="AA73" s="80">
        <f>P73*25%</f>
        <v>31.004800476955683</v>
      </c>
      <c r="AB73" s="49">
        <f t="shared" si="8"/>
        <v>69.450753068380735</v>
      </c>
      <c r="AC73" s="64">
        <f t="shared" si="9"/>
        <v>167.42592257556069</v>
      </c>
      <c r="AD73" s="81">
        <v>8</v>
      </c>
      <c r="AE73" s="66">
        <f t="shared" si="10"/>
        <v>1339.4073806044855</v>
      </c>
      <c r="AF73" s="67"/>
      <c r="AG73" s="82">
        <f t="shared" ref="AG73" si="19">P73*50%</f>
        <v>62.009600953911367</v>
      </c>
      <c r="AH73" s="83">
        <v>40</v>
      </c>
      <c r="AI73" s="84">
        <f t="shared" ref="AI73:AI114" si="20">AG73*AH73</f>
        <v>2480.3840381564546</v>
      </c>
      <c r="AJ73" s="151"/>
      <c r="AK73" s="154">
        <f t="shared" si="16"/>
        <v>4067.8298225765857</v>
      </c>
      <c r="AL73" s="172"/>
    </row>
    <row r="74" spans="1:38" x14ac:dyDescent="0.3">
      <c r="A74" s="188">
        <v>71</v>
      </c>
      <c r="B74" s="228">
        <f t="shared" ref="B74:C79" si="21">((B81-B73)/8)+B73</f>
        <v>22.771874999999998</v>
      </c>
      <c r="C74" s="246">
        <f t="shared" si="21"/>
        <v>0.30298437499999997</v>
      </c>
      <c r="D74" s="175">
        <f t="shared" si="13"/>
        <v>0.95185348665249492</v>
      </c>
      <c r="E74" s="249">
        <f t="shared" si="14"/>
        <v>0.81434946203486325</v>
      </c>
      <c r="F74" s="178">
        <f t="shared" si="15"/>
        <v>1201.1654565014233</v>
      </c>
      <c r="H74" s="223"/>
      <c r="I74" s="225"/>
      <c r="J74" s="71"/>
      <c r="K74" s="33">
        <f>F74-J73</f>
        <v>814.73504874809976</v>
      </c>
      <c r="L74" s="34"/>
      <c r="M74" s="177"/>
      <c r="N74" s="35">
        <f t="shared" si="12"/>
        <v>769.97785673168153</v>
      </c>
      <c r="O74" s="87"/>
      <c r="P74" s="225"/>
      <c r="Q74" s="71"/>
      <c r="R74" s="33">
        <f>N74-Q73</f>
        <v>522.26605688980749</v>
      </c>
      <c r="S74" s="40"/>
      <c r="T74" s="74"/>
      <c r="U74" s="42"/>
      <c r="V74" s="75"/>
      <c r="W74" s="76"/>
      <c r="X74" s="77"/>
      <c r="Y74" s="78"/>
      <c r="Z74" s="79"/>
      <c r="AA74" s="80"/>
      <c r="AB74" s="49"/>
      <c r="AC74" s="64"/>
      <c r="AD74" s="81"/>
      <c r="AE74" s="66"/>
      <c r="AF74" s="67"/>
      <c r="AG74" s="82"/>
      <c r="AH74" s="83"/>
      <c r="AI74" s="84"/>
      <c r="AJ74" s="151"/>
      <c r="AK74" s="154">
        <f t="shared" si="16"/>
        <v>0</v>
      </c>
      <c r="AL74" s="172"/>
    </row>
    <row r="75" spans="1:38" x14ac:dyDescent="0.3">
      <c r="A75" s="188">
        <v>72</v>
      </c>
      <c r="B75" s="228">
        <f t="shared" si="21"/>
        <v>22.953515624999998</v>
      </c>
      <c r="C75" s="246">
        <f t="shared" si="21"/>
        <v>0.306955078125</v>
      </c>
      <c r="D75" s="175">
        <f t="shared" si="13"/>
        <v>0.96432781841958104</v>
      </c>
      <c r="E75" s="249">
        <f t="shared" si="14"/>
        <v>0.84250098186913747</v>
      </c>
      <c r="F75" s="178">
        <f t="shared" si="15"/>
        <v>1242.6889482569777</v>
      </c>
      <c r="H75" s="223"/>
      <c r="I75" s="225"/>
      <c r="J75" s="71"/>
      <c r="K75" s="33">
        <f>F75-J73</f>
        <v>856.25854050365422</v>
      </c>
      <c r="L75" s="34"/>
      <c r="M75" s="177"/>
      <c r="N75" s="35">
        <f t="shared" si="12"/>
        <v>796.59547965190882</v>
      </c>
      <c r="O75" s="87"/>
      <c r="P75" s="225"/>
      <c r="Q75" s="71"/>
      <c r="R75" s="33">
        <f>N75-Q73</f>
        <v>548.88367981003478</v>
      </c>
      <c r="S75" s="40"/>
      <c r="T75" s="74"/>
      <c r="U75" s="42"/>
      <c r="V75" s="75"/>
      <c r="W75" s="76"/>
      <c r="X75" s="77"/>
      <c r="Y75" s="78"/>
      <c r="Z75" s="79"/>
      <c r="AA75" s="80"/>
      <c r="AB75" s="49"/>
      <c r="AC75" s="64"/>
      <c r="AD75" s="81"/>
      <c r="AE75" s="66"/>
      <c r="AF75" s="67"/>
      <c r="AG75" s="82"/>
      <c r="AH75" s="83"/>
      <c r="AI75" s="84"/>
      <c r="AJ75" s="151"/>
      <c r="AK75" s="154">
        <f t="shared" si="16"/>
        <v>0</v>
      </c>
      <c r="AL75" s="172"/>
    </row>
    <row r="76" spans="1:38" x14ac:dyDescent="0.3">
      <c r="A76" s="188">
        <v>73</v>
      </c>
      <c r="B76" s="228">
        <f t="shared" si="21"/>
        <v>23.132763671874997</v>
      </c>
      <c r="C76" s="246">
        <f t="shared" si="21"/>
        <v>0.31091381835937504</v>
      </c>
      <c r="D76" s="175">
        <f t="shared" si="13"/>
        <v>0.97676456765736397</v>
      </c>
      <c r="E76" s="249">
        <f t="shared" si="14"/>
        <v>0.87112229247985218</v>
      </c>
      <c r="F76" s="178">
        <f t="shared" si="15"/>
        <v>1284.905381407782</v>
      </c>
      <c r="H76" s="223"/>
      <c r="I76" s="225"/>
      <c r="J76" s="71"/>
      <c r="K76" s="33">
        <f>F76-J73</f>
        <v>898.47497365445849</v>
      </c>
      <c r="L76" s="34"/>
      <c r="M76" s="177"/>
      <c r="N76" s="35">
        <f t="shared" si="12"/>
        <v>823.65729577421916</v>
      </c>
      <c r="O76" s="87"/>
      <c r="P76" s="225"/>
      <c r="Q76" s="71"/>
      <c r="R76" s="33">
        <f>N76-Q73</f>
        <v>575.94549593234512</v>
      </c>
      <c r="S76" s="40"/>
      <c r="T76" s="74"/>
      <c r="U76" s="42"/>
      <c r="V76" s="75"/>
      <c r="W76" s="76"/>
      <c r="X76" s="77"/>
      <c r="Y76" s="78"/>
      <c r="Z76" s="79"/>
      <c r="AA76" s="80"/>
      <c r="AB76" s="49"/>
      <c r="AC76" s="64"/>
      <c r="AD76" s="81"/>
      <c r="AE76" s="66"/>
      <c r="AF76" s="67"/>
      <c r="AG76" s="82"/>
      <c r="AH76" s="83"/>
      <c r="AI76" s="84"/>
      <c r="AJ76" s="151"/>
      <c r="AK76" s="154">
        <f t="shared" si="16"/>
        <v>0</v>
      </c>
      <c r="AL76" s="172"/>
    </row>
    <row r="77" spans="1:38" x14ac:dyDescent="0.3">
      <c r="A77" s="188">
        <v>74</v>
      </c>
      <c r="B77" s="228">
        <f t="shared" si="21"/>
        <v>23.309918212890622</v>
      </c>
      <c r="C77" s="246">
        <f t="shared" si="21"/>
        <v>0.31486209106445318</v>
      </c>
      <c r="D77" s="175">
        <f t="shared" si="13"/>
        <v>0.98916843218200656</v>
      </c>
      <c r="E77" s="249">
        <f t="shared" si="14"/>
        <v>0.9002291225120036</v>
      </c>
      <c r="F77" s="178">
        <f t="shared" si="15"/>
        <v>1327.8379557052053</v>
      </c>
      <c r="H77" s="223"/>
      <c r="I77" s="225"/>
      <c r="J77" s="71"/>
      <c r="K77" s="33">
        <f>F77-J73</f>
        <v>941.40754795188184</v>
      </c>
      <c r="L77" s="34"/>
      <c r="M77" s="177"/>
      <c r="N77" s="35">
        <f t="shared" si="12"/>
        <v>851.17817673410593</v>
      </c>
      <c r="O77" s="87"/>
      <c r="P77" s="225"/>
      <c r="Q77" s="71"/>
      <c r="R77" s="33">
        <f>N77-Q73</f>
        <v>603.46637689223189</v>
      </c>
      <c r="S77" s="40"/>
      <c r="T77" s="74"/>
      <c r="U77" s="42"/>
      <c r="V77" s="75"/>
      <c r="W77" s="76"/>
      <c r="X77" s="77"/>
      <c r="Y77" s="78"/>
      <c r="Z77" s="79"/>
      <c r="AA77" s="80"/>
      <c r="AB77" s="49"/>
      <c r="AC77" s="64"/>
      <c r="AD77" s="81"/>
      <c r="AE77" s="66"/>
      <c r="AF77" s="67"/>
      <c r="AG77" s="82"/>
      <c r="AH77" s="83"/>
      <c r="AI77" s="84"/>
      <c r="AJ77" s="151"/>
      <c r="AK77" s="154">
        <f t="shared" si="16"/>
        <v>0</v>
      </c>
      <c r="AL77" s="172"/>
    </row>
    <row r="78" spans="1:38" x14ac:dyDescent="0.3">
      <c r="A78" s="188">
        <v>75</v>
      </c>
      <c r="B78" s="228">
        <f t="shared" si="21"/>
        <v>23.485240936279297</v>
      </c>
      <c r="C78" s="246">
        <f t="shared" si="21"/>
        <v>0.31880120468139655</v>
      </c>
      <c r="D78" s="175">
        <f t="shared" si="13"/>
        <v>1.0015435225826514</v>
      </c>
      <c r="E78" s="249">
        <f t="shared" si="14"/>
        <v>0.92983627614204656</v>
      </c>
      <c r="F78" s="178">
        <f t="shared" si="15"/>
        <v>1371.5085073095186</v>
      </c>
      <c r="H78" s="223"/>
      <c r="I78" s="225"/>
      <c r="J78" s="71"/>
      <c r="K78" s="33">
        <f>F78-J73</f>
        <v>985.07809955619507</v>
      </c>
      <c r="L78" s="34"/>
      <c r="M78" s="177"/>
      <c r="N78" s="35">
        <f t="shared" si="12"/>
        <v>879.17212007020419</v>
      </c>
      <c r="O78" s="87"/>
      <c r="P78" s="225"/>
      <c r="Q78" s="71"/>
      <c r="R78" s="33">
        <f>N78-Q73</f>
        <v>631.46032022833015</v>
      </c>
      <c r="S78" s="40"/>
      <c r="T78" s="74"/>
      <c r="U78" s="42"/>
      <c r="V78" s="75"/>
      <c r="W78" s="76"/>
      <c r="X78" s="77"/>
      <c r="Y78" s="78"/>
      <c r="Z78" s="79"/>
      <c r="AA78" s="80"/>
      <c r="AB78" s="49"/>
      <c r="AC78" s="64"/>
      <c r="AD78" s="81"/>
      <c r="AE78" s="66"/>
      <c r="AF78" s="67"/>
      <c r="AG78" s="82"/>
      <c r="AH78" s="83"/>
      <c r="AI78" s="84"/>
      <c r="AJ78" s="151"/>
      <c r="AK78" s="154">
        <f t="shared" si="16"/>
        <v>0</v>
      </c>
      <c r="AL78" s="172"/>
    </row>
    <row r="79" spans="1:38" x14ac:dyDescent="0.3">
      <c r="A79" s="188">
        <v>76</v>
      </c>
      <c r="B79" s="228">
        <f t="shared" si="21"/>
        <v>23.658960819244385</v>
      </c>
      <c r="C79" s="246">
        <f t="shared" si="21"/>
        <v>0.322732304096222</v>
      </c>
      <c r="D79" s="175">
        <f t="shared" si="13"/>
        <v>1.0138934356247982</v>
      </c>
      <c r="E79" s="249">
        <f t="shared" si="14"/>
        <v>0.95995770775668166</v>
      </c>
      <c r="F79" s="178">
        <f t="shared" si="15"/>
        <v>1415.9376189411055</v>
      </c>
      <c r="H79" s="223"/>
      <c r="I79" s="225"/>
      <c r="J79" s="71"/>
      <c r="K79" s="33">
        <f>F79-J73</f>
        <v>1029.5072111877821</v>
      </c>
      <c r="L79" s="34"/>
      <c r="M79" s="177"/>
      <c r="N79" s="35">
        <f t="shared" si="12"/>
        <v>907.65231983404192</v>
      </c>
      <c r="O79" s="87"/>
      <c r="P79" s="225"/>
      <c r="Q79" s="71"/>
      <c r="R79" s="33">
        <f>N79-Q73</f>
        <v>659.94051999216788</v>
      </c>
      <c r="S79" s="40"/>
      <c r="T79" s="74"/>
      <c r="U79" s="42"/>
      <c r="V79" s="75"/>
      <c r="W79" s="76"/>
      <c r="X79" s="77"/>
      <c r="Y79" s="78"/>
      <c r="Z79" s="79"/>
      <c r="AA79" s="80"/>
      <c r="AB79" s="49"/>
      <c r="AC79" s="64"/>
      <c r="AD79" s="81"/>
      <c r="AE79" s="66"/>
      <c r="AF79" s="67"/>
      <c r="AG79" s="82"/>
      <c r="AH79" s="83"/>
      <c r="AI79" s="84"/>
      <c r="AJ79" s="151"/>
      <c r="AK79" s="154">
        <f t="shared" si="16"/>
        <v>0</v>
      </c>
      <c r="AL79" s="172"/>
    </row>
    <row r="80" spans="1:38" x14ac:dyDescent="0.3">
      <c r="A80" s="226">
        <v>77</v>
      </c>
      <c r="B80" s="228">
        <v>23.9</v>
      </c>
      <c r="C80" s="237">
        <v>0.32700000000000001</v>
      </c>
      <c r="D80" s="175">
        <f t="shared" si="13"/>
        <v>1.0273007977238624</v>
      </c>
      <c r="E80" s="249">
        <f t="shared" si="14"/>
        <v>0.99555432663196131</v>
      </c>
      <c r="F80" s="178">
        <f t="shared" si="15"/>
        <v>1468.4426317821428</v>
      </c>
      <c r="H80" s="223"/>
      <c r="I80" s="225"/>
      <c r="J80" s="71"/>
      <c r="K80" s="33">
        <f>F80-J73</f>
        <v>1082.0122240288192</v>
      </c>
      <c r="L80" s="34"/>
      <c r="M80" s="177"/>
      <c r="N80" s="35">
        <f t="shared" si="12"/>
        <v>941.3093793475274</v>
      </c>
      <c r="O80" s="87"/>
      <c r="P80" s="225"/>
      <c r="Q80" s="71"/>
      <c r="R80" s="33">
        <f>N80-Q73</f>
        <v>693.59757950565336</v>
      </c>
      <c r="S80" s="40"/>
      <c r="T80" s="74"/>
      <c r="U80" s="42"/>
      <c r="V80" s="75"/>
      <c r="W80" s="76"/>
      <c r="X80" s="77"/>
      <c r="Y80" s="78"/>
      <c r="Z80" s="79"/>
      <c r="AA80" s="80"/>
      <c r="AB80" s="49"/>
      <c r="AC80" s="64"/>
      <c r="AD80" s="81"/>
      <c r="AE80" s="66"/>
      <c r="AF80" s="67"/>
      <c r="AG80" s="82"/>
      <c r="AH80" s="83"/>
      <c r="AI80" s="84"/>
      <c r="AJ80" s="151"/>
      <c r="AK80" s="154">
        <f t="shared" si="16"/>
        <v>0</v>
      </c>
      <c r="AL80" s="172"/>
    </row>
    <row r="81" spans="1:38" x14ac:dyDescent="0.3">
      <c r="A81" s="188">
        <v>78</v>
      </c>
      <c r="B81" s="228">
        <f>((B88-B80)/8)+B80</f>
        <v>24.0625</v>
      </c>
      <c r="C81" s="246">
        <f>((C88-C80)/8)+C80</f>
        <v>0.33087500000000003</v>
      </c>
      <c r="D81" s="175">
        <f t="shared" si="13"/>
        <v>1.039474469256523</v>
      </c>
      <c r="E81" s="249">
        <f t="shared" si="14"/>
        <v>1.0262193831767583</v>
      </c>
      <c r="F81" s="178">
        <f t="shared" si="15"/>
        <v>1513.6735901857185</v>
      </c>
      <c r="H81" s="223"/>
      <c r="I81" s="225"/>
      <c r="J81" s="71"/>
      <c r="K81" s="33">
        <f>F81-J73</f>
        <v>1127.2431824323949</v>
      </c>
      <c r="L81" s="34"/>
      <c r="M81" s="177"/>
      <c r="N81" s="35">
        <f t="shared" si="12"/>
        <v>970.30358345238358</v>
      </c>
      <c r="O81" s="87"/>
      <c r="P81" s="225"/>
      <c r="Q81" s="71"/>
      <c r="R81" s="33">
        <f>N81-Q73</f>
        <v>722.59178361050954</v>
      </c>
      <c r="S81" s="40"/>
      <c r="T81" s="74"/>
      <c r="U81" s="42"/>
      <c r="V81" s="75"/>
      <c r="W81" s="76"/>
      <c r="X81" s="77"/>
      <c r="Y81" s="78"/>
      <c r="Z81" s="79"/>
      <c r="AA81" s="80"/>
      <c r="AB81" s="49"/>
      <c r="AC81" s="64"/>
      <c r="AD81" s="81"/>
      <c r="AE81" s="66"/>
      <c r="AF81" s="67"/>
      <c r="AG81" s="82"/>
      <c r="AH81" s="83"/>
      <c r="AI81" s="84"/>
      <c r="AJ81" s="151"/>
      <c r="AK81" s="154">
        <f t="shared" si="16"/>
        <v>0</v>
      </c>
      <c r="AL81" s="172"/>
    </row>
    <row r="82" spans="1:38" x14ac:dyDescent="0.3">
      <c r="A82" s="188">
        <v>79</v>
      </c>
      <c r="B82" s="228">
        <f>((B88-B80)/8)+B81</f>
        <v>24.225000000000001</v>
      </c>
      <c r="C82" s="246">
        <f>((C88-C80)/8)+C81</f>
        <v>0.33475000000000005</v>
      </c>
      <c r="D82" s="175">
        <f t="shared" si="13"/>
        <v>1.0516481407891833</v>
      </c>
      <c r="E82" s="249">
        <f t="shared" si="14"/>
        <v>1.0574905983265412</v>
      </c>
      <c r="F82" s="178">
        <f t="shared" si="15"/>
        <v>1559.7986325316483</v>
      </c>
      <c r="H82" s="223"/>
      <c r="I82" s="225"/>
      <c r="J82" s="71"/>
      <c r="K82" s="33">
        <f>F82-J73</f>
        <v>1173.3682247783249</v>
      </c>
      <c r="L82" s="34"/>
      <c r="M82" s="177"/>
      <c r="N82" s="35">
        <f t="shared" si="12"/>
        <v>999.87091828951816</v>
      </c>
      <c r="O82" s="87"/>
      <c r="P82" s="225"/>
      <c r="Q82" s="71"/>
      <c r="R82" s="33">
        <f>N82-Q73</f>
        <v>752.15911844764412</v>
      </c>
      <c r="S82" s="40"/>
      <c r="T82" s="74"/>
      <c r="U82" s="42"/>
      <c r="V82" s="75"/>
      <c r="W82" s="76"/>
      <c r="X82" s="77"/>
      <c r="Y82" s="78"/>
      <c r="Z82" s="79"/>
      <c r="AA82" s="80"/>
      <c r="AB82" s="49"/>
      <c r="AC82" s="64"/>
      <c r="AD82" s="81"/>
      <c r="AE82" s="66"/>
      <c r="AF82" s="67"/>
      <c r="AG82" s="82"/>
      <c r="AH82" s="83"/>
      <c r="AI82" s="84"/>
      <c r="AJ82" s="151"/>
      <c r="AK82" s="154">
        <f t="shared" si="16"/>
        <v>0</v>
      </c>
      <c r="AL82" s="172"/>
    </row>
    <row r="83" spans="1:38" x14ac:dyDescent="0.3">
      <c r="A83" s="188">
        <v>80</v>
      </c>
      <c r="B83" s="228">
        <f>((B88-B80)/8)+B82</f>
        <v>24.387500000000003</v>
      </c>
      <c r="C83" s="246">
        <f>((C88-C80)/8)+C82</f>
        <v>0.33862500000000006</v>
      </c>
      <c r="D83" s="175">
        <f t="shared" si="13"/>
        <v>1.0638218123218439</v>
      </c>
      <c r="E83" s="249">
        <f t="shared" si="14"/>
        <v>1.0893736752942531</v>
      </c>
      <c r="F83" s="178">
        <f t="shared" si="15"/>
        <v>1606.8261710590234</v>
      </c>
      <c r="H83" s="223"/>
      <c r="I83" s="225"/>
      <c r="J83" s="71"/>
      <c r="K83" s="33">
        <f>F83-J73</f>
        <v>1220.3957633056998</v>
      </c>
      <c r="L83" s="34"/>
      <c r="M83" s="177"/>
      <c r="N83" s="35">
        <f t="shared" si="12"/>
        <v>1030.0167763198867</v>
      </c>
      <c r="O83" s="87"/>
      <c r="P83" s="225"/>
      <c r="Q83" s="71"/>
      <c r="R83" s="33">
        <f>N83-Q73</f>
        <v>782.30497647801269</v>
      </c>
      <c r="S83" s="40"/>
      <c r="T83" s="74"/>
      <c r="U83" s="42"/>
      <c r="V83" s="75"/>
      <c r="W83" s="76"/>
      <c r="X83" s="77"/>
      <c r="Y83" s="78"/>
      <c r="Z83" s="79"/>
      <c r="AA83" s="80"/>
      <c r="AB83" s="49"/>
      <c r="AC83" s="64"/>
      <c r="AD83" s="81"/>
      <c r="AE83" s="66"/>
      <c r="AF83" s="67"/>
      <c r="AG83" s="82"/>
      <c r="AH83" s="83"/>
      <c r="AI83" s="84"/>
      <c r="AJ83" s="151"/>
      <c r="AK83" s="154">
        <f t="shared" si="16"/>
        <v>0</v>
      </c>
      <c r="AL83" s="172"/>
    </row>
    <row r="84" spans="1:38" x14ac:dyDescent="0.3">
      <c r="A84" s="188">
        <v>81</v>
      </c>
      <c r="B84" s="228">
        <f>((B88-B80)/8)+B83</f>
        <v>24.550000000000004</v>
      </c>
      <c r="C84" s="246">
        <f>((C88-C80)/8)+C83</f>
        <v>0.34250000000000008</v>
      </c>
      <c r="D84" s="175">
        <f t="shared" si="13"/>
        <v>1.0759954838545045</v>
      </c>
      <c r="E84" s="249">
        <f t="shared" si="14"/>
        <v>1.1218743172928356</v>
      </c>
      <c r="F84" s="178">
        <f t="shared" si="15"/>
        <v>1654.7646180069326</v>
      </c>
      <c r="H84" s="223"/>
      <c r="I84" s="225"/>
      <c r="J84" s="71"/>
      <c r="K84" s="33">
        <f>F84-J73</f>
        <v>1268.3342102536089</v>
      </c>
      <c r="L84" s="34"/>
      <c r="M84" s="177"/>
      <c r="N84" s="35">
        <f t="shared" si="12"/>
        <v>1060.7465500044439</v>
      </c>
      <c r="O84" s="87"/>
      <c r="P84" s="225"/>
      <c r="Q84" s="71"/>
      <c r="R84" s="33">
        <f>N84-Q73</f>
        <v>813.03475016256982</v>
      </c>
      <c r="S84" s="40"/>
      <c r="T84" s="74"/>
      <c r="U84" s="42"/>
      <c r="V84" s="75"/>
      <c r="W84" s="76"/>
      <c r="X84" s="77"/>
      <c r="Y84" s="78"/>
      <c r="Z84" s="79"/>
      <c r="AA84" s="80"/>
      <c r="AB84" s="49"/>
      <c r="AC84" s="64"/>
      <c r="AD84" s="81"/>
      <c r="AE84" s="66"/>
      <c r="AF84" s="67"/>
      <c r="AG84" s="82"/>
      <c r="AH84" s="83"/>
      <c r="AI84" s="84"/>
      <c r="AJ84" s="151"/>
      <c r="AK84" s="154">
        <f t="shared" si="16"/>
        <v>0</v>
      </c>
      <c r="AL84" s="172"/>
    </row>
    <row r="85" spans="1:38" x14ac:dyDescent="0.3">
      <c r="A85" s="188">
        <v>82</v>
      </c>
      <c r="B85" s="228">
        <f>((B88-B80)/8)+B84</f>
        <v>24.712500000000006</v>
      </c>
      <c r="C85" s="246">
        <f>((C88-C80)/8)+C84</f>
        <v>0.3463750000000001</v>
      </c>
      <c r="D85" s="175">
        <f t="shared" si="13"/>
        <v>1.0881691553871649</v>
      </c>
      <c r="E85" s="249">
        <f t="shared" si="14"/>
        <v>1.1549982275352297</v>
      </c>
      <c r="F85" s="178">
        <f t="shared" si="15"/>
        <v>1703.6223856144638</v>
      </c>
      <c r="H85" s="223"/>
      <c r="I85" s="225"/>
      <c r="J85" s="71"/>
      <c r="K85" s="33">
        <f>F85-J73</f>
        <v>1317.1919778611405</v>
      </c>
      <c r="L85" s="34"/>
      <c r="M85" s="177"/>
      <c r="N85" s="35">
        <f t="shared" si="12"/>
        <v>1092.0656318041435</v>
      </c>
      <c r="O85" s="87"/>
      <c r="P85" s="225"/>
      <c r="Q85" s="71"/>
      <c r="R85" s="33">
        <f>N85-Q73</f>
        <v>844.35383196226951</v>
      </c>
      <c r="S85" s="40"/>
      <c r="T85" s="74"/>
      <c r="U85" s="42"/>
      <c r="V85" s="75"/>
      <c r="W85" s="76"/>
      <c r="X85" s="77"/>
      <c r="Y85" s="78"/>
      <c r="Z85" s="79"/>
      <c r="AA85" s="80"/>
      <c r="AB85" s="49"/>
      <c r="AC85" s="64"/>
      <c r="AD85" s="81"/>
      <c r="AE85" s="66"/>
      <c r="AF85" s="67"/>
      <c r="AG85" s="82"/>
      <c r="AH85" s="83"/>
      <c r="AI85" s="84"/>
      <c r="AJ85" s="151"/>
      <c r="AK85" s="154">
        <f t="shared" si="16"/>
        <v>0</v>
      </c>
      <c r="AL85" s="172"/>
    </row>
    <row r="86" spans="1:38" x14ac:dyDescent="0.3">
      <c r="A86" s="188">
        <v>83</v>
      </c>
      <c r="B86" s="228">
        <f>((B88-B80)/8)+B85</f>
        <v>24.875000000000007</v>
      </c>
      <c r="C86" s="246">
        <f>((C88-C80)/8)+C85</f>
        <v>0.35025000000000012</v>
      </c>
      <c r="D86" s="175">
        <f t="shared" si="13"/>
        <v>1.1003428269198254</v>
      </c>
      <c r="E86" s="249">
        <f t="shared" si="14"/>
        <v>1.1887511092343799</v>
      </c>
      <c r="F86" s="178">
        <f t="shared" si="15"/>
        <v>1753.4078861207104</v>
      </c>
      <c r="H86" s="222">
        <v>0.2</v>
      </c>
      <c r="I86" s="225">
        <f>H86*(F86-J73)</f>
        <v>273.3954956734774</v>
      </c>
      <c r="J86" s="71">
        <f>I86+J73</f>
        <v>659.82590342680089</v>
      </c>
      <c r="K86" s="33">
        <f>F86-J86</f>
        <v>1093.5819826939096</v>
      </c>
      <c r="L86" s="34"/>
      <c r="M86" s="177"/>
      <c r="N86" s="35">
        <f t="shared" si="12"/>
        <v>1123.9794141799425</v>
      </c>
      <c r="O86" s="87">
        <v>0.2</v>
      </c>
      <c r="P86" s="225">
        <f>O86*(N86-Q73)</f>
        <v>175.2535228676137</v>
      </c>
      <c r="Q86" s="71">
        <f>P86+Q73</f>
        <v>422.96532270948774</v>
      </c>
      <c r="R86" s="33">
        <f>N86-Q86</f>
        <v>701.01409147045479</v>
      </c>
      <c r="S86" s="40"/>
      <c r="T86" s="74">
        <f>P86*20%</f>
        <v>35.050704573522744</v>
      </c>
      <c r="U86" s="42">
        <f t="shared" si="17"/>
        <v>33.298169344846606</v>
      </c>
      <c r="V86" s="75">
        <v>8</v>
      </c>
      <c r="W86" s="76">
        <f t="shared" si="18"/>
        <v>280.40563658818195</v>
      </c>
      <c r="X86" s="77">
        <v>0.4</v>
      </c>
      <c r="Y86" s="78">
        <v>0.6</v>
      </c>
      <c r="Z86" s="79"/>
      <c r="AA86" s="80">
        <f>P86*20%</f>
        <v>35.050704573522744</v>
      </c>
      <c r="AB86" s="49">
        <f t="shared" si="8"/>
        <v>98.141972805863702</v>
      </c>
      <c r="AC86" s="64">
        <f t="shared" si="9"/>
        <v>221.98779563231076</v>
      </c>
      <c r="AD86" s="81">
        <v>8</v>
      </c>
      <c r="AE86" s="66">
        <f t="shared" si="10"/>
        <v>1775.9023650584861</v>
      </c>
      <c r="AF86" s="67"/>
      <c r="AG86" s="82">
        <f>P86*60%</f>
        <v>105.15211372056821</v>
      </c>
      <c r="AH86" s="83">
        <v>90</v>
      </c>
      <c r="AI86" s="84">
        <f t="shared" si="20"/>
        <v>9463.6902348511394</v>
      </c>
      <c r="AJ86" s="151"/>
      <c r="AK86" s="154">
        <f t="shared" si="16"/>
        <v>11519.998236497808</v>
      </c>
      <c r="AL86" s="172"/>
    </row>
    <row r="87" spans="1:38" x14ac:dyDescent="0.3">
      <c r="A87" s="188">
        <v>84</v>
      </c>
      <c r="B87" s="228">
        <f>((B88-B80)/8)+B86</f>
        <v>25.037500000000009</v>
      </c>
      <c r="C87" s="246">
        <f>((C88-C80)/8)+C86</f>
        <v>0.35412500000000013</v>
      </c>
      <c r="D87" s="175">
        <f t="shared" si="13"/>
        <v>1.112516498452486</v>
      </c>
      <c r="E87" s="249">
        <f t="shared" si="14"/>
        <v>1.2231386656032268</v>
      </c>
      <c r="F87" s="178">
        <f t="shared" si="15"/>
        <v>1804.1295317647596</v>
      </c>
      <c r="H87" s="223"/>
      <c r="I87" s="225"/>
      <c r="J87" s="71"/>
      <c r="K87" s="33">
        <f>F87-J86</f>
        <v>1144.3036283379588</v>
      </c>
      <c r="L87" s="34"/>
      <c r="M87" s="177"/>
      <c r="N87" s="35">
        <f t="shared" si="12"/>
        <v>1156.4932895927946</v>
      </c>
      <c r="O87" s="87"/>
      <c r="P87" s="225"/>
      <c r="Q87" s="71"/>
      <c r="R87" s="33">
        <f>N87-Q86</f>
        <v>733.52796688330682</v>
      </c>
      <c r="S87" s="40"/>
      <c r="T87" s="74"/>
      <c r="U87" s="42"/>
      <c r="V87" s="75"/>
      <c r="W87" s="76"/>
      <c r="X87" s="77"/>
      <c r="Y87" s="78"/>
      <c r="Z87" s="79"/>
      <c r="AA87" s="80"/>
      <c r="AB87" s="49"/>
      <c r="AC87" s="64"/>
      <c r="AD87" s="81"/>
      <c r="AE87" s="66"/>
      <c r="AF87" s="67"/>
      <c r="AG87" s="82"/>
      <c r="AH87" s="83"/>
      <c r="AI87" s="84"/>
      <c r="AJ87" s="151"/>
      <c r="AK87" s="154">
        <f t="shared" si="16"/>
        <v>0</v>
      </c>
      <c r="AL87" s="172"/>
    </row>
    <row r="88" spans="1:38" x14ac:dyDescent="0.3">
      <c r="A88" s="226">
        <v>85</v>
      </c>
      <c r="B88" s="228">
        <v>25.2</v>
      </c>
      <c r="C88" s="237">
        <v>0.35799999999999998</v>
      </c>
      <c r="D88" s="175">
        <f t="shared" si="13"/>
        <v>1.1246901699851459</v>
      </c>
      <c r="E88" s="249">
        <f t="shared" si="14"/>
        <v>1.2581665998547111</v>
      </c>
      <c r="F88" s="178">
        <f t="shared" si="15"/>
        <v>1855.7957347856989</v>
      </c>
      <c r="H88" s="223"/>
      <c r="I88" s="225"/>
      <c r="J88" s="71"/>
      <c r="K88" s="33">
        <f>F88-J86</f>
        <v>1195.9698313588979</v>
      </c>
      <c r="L88" s="34"/>
      <c r="M88" s="177"/>
      <c r="N88" s="35">
        <f t="shared" si="12"/>
        <v>1189.6126505036532</v>
      </c>
      <c r="O88" s="87"/>
      <c r="P88" s="225"/>
      <c r="Q88" s="71"/>
      <c r="R88" s="33">
        <f>N88-Q86</f>
        <v>766.64732779416545</v>
      </c>
      <c r="S88" s="40"/>
      <c r="T88" s="74"/>
      <c r="U88" s="42"/>
      <c r="V88" s="75"/>
      <c r="W88" s="76"/>
      <c r="X88" s="77"/>
      <c r="Y88" s="78"/>
      <c r="Z88" s="79"/>
      <c r="AA88" s="80"/>
      <c r="AB88" s="49"/>
      <c r="AC88" s="64"/>
      <c r="AD88" s="81"/>
      <c r="AE88" s="66"/>
      <c r="AF88" s="67"/>
      <c r="AG88" s="82"/>
      <c r="AH88" s="83"/>
      <c r="AI88" s="84"/>
      <c r="AJ88" s="151"/>
      <c r="AK88" s="154">
        <f t="shared" si="16"/>
        <v>0</v>
      </c>
      <c r="AL88" s="172"/>
    </row>
    <row r="89" spans="1:38" x14ac:dyDescent="0.3">
      <c r="A89" s="188">
        <v>86</v>
      </c>
      <c r="B89" s="228">
        <f>((B98-B88)/10)+B88</f>
        <v>25.36</v>
      </c>
      <c r="C89" s="246">
        <f>((C98-C88)/10)+C88</f>
        <v>0.36180000000000001</v>
      </c>
      <c r="D89" s="175">
        <f t="shared" si="13"/>
        <v>1.1366282220687871</v>
      </c>
      <c r="E89" s="249">
        <f t="shared" si="14"/>
        <v>1.2931768818387441</v>
      </c>
      <c r="F89" s="178">
        <f t="shared" si="15"/>
        <v>1907.4359007121475</v>
      </c>
      <c r="H89" s="223"/>
      <c r="I89" s="225"/>
      <c r="J89" s="71"/>
      <c r="K89" s="33">
        <f>F89-J86</f>
        <v>1247.6099972853467</v>
      </c>
      <c r="L89" s="34"/>
      <c r="M89" s="177"/>
      <c r="N89" s="35">
        <f t="shared" si="12"/>
        <v>1222.7153209693254</v>
      </c>
      <c r="O89" s="87"/>
      <c r="P89" s="225"/>
      <c r="Q89" s="71"/>
      <c r="R89" s="33">
        <f>N89-Q86</f>
        <v>799.74999825983764</v>
      </c>
      <c r="S89" s="40"/>
      <c r="T89" s="74"/>
      <c r="U89" s="42"/>
      <c r="V89" s="75"/>
      <c r="W89" s="76"/>
      <c r="X89" s="77"/>
      <c r="Y89" s="78"/>
      <c r="Z89" s="79"/>
      <c r="AA89" s="80"/>
      <c r="AB89" s="49"/>
      <c r="AC89" s="64"/>
      <c r="AD89" s="81"/>
      <c r="AE89" s="66"/>
      <c r="AF89" s="67"/>
      <c r="AG89" s="82"/>
      <c r="AH89" s="83"/>
      <c r="AI89" s="84"/>
      <c r="AJ89" s="151"/>
      <c r="AK89" s="154">
        <f t="shared" si="16"/>
        <v>0</v>
      </c>
      <c r="AL89" s="172"/>
    </row>
    <row r="90" spans="1:38" x14ac:dyDescent="0.3">
      <c r="A90" s="188">
        <v>87</v>
      </c>
      <c r="B90" s="228">
        <f>((B98-B88)/10)+B89</f>
        <v>25.52</v>
      </c>
      <c r="C90" s="246">
        <f>((C98-C88)/10)+C89</f>
        <v>0.36560000000000004</v>
      </c>
      <c r="D90" s="175">
        <f t="shared" si="13"/>
        <v>1.1485662741524285</v>
      </c>
      <c r="E90" s="249">
        <f t="shared" si="14"/>
        <v>1.3288152451808433</v>
      </c>
      <c r="F90" s="178">
        <f t="shared" si="15"/>
        <v>1960.0024866417439</v>
      </c>
      <c r="H90" s="223"/>
      <c r="I90" s="225"/>
      <c r="J90" s="71"/>
      <c r="K90" s="33">
        <f>F90-J86</f>
        <v>1300.1765832149431</v>
      </c>
      <c r="L90" s="34"/>
      <c r="M90" s="177"/>
      <c r="N90" s="35">
        <f t="shared" si="12"/>
        <v>1256.4118504113742</v>
      </c>
      <c r="O90" s="87"/>
      <c r="P90" s="225"/>
      <c r="Q90" s="71"/>
      <c r="R90" s="33">
        <f>N90-Q86</f>
        <v>833.44652770188645</v>
      </c>
      <c r="S90" s="40"/>
      <c r="T90" s="74"/>
      <c r="U90" s="42"/>
      <c r="V90" s="75"/>
      <c r="W90" s="76"/>
      <c r="X90" s="77"/>
      <c r="Y90" s="78"/>
      <c r="Z90" s="79"/>
      <c r="AA90" s="80"/>
      <c r="AB90" s="49"/>
      <c r="AC90" s="64"/>
      <c r="AD90" s="81"/>
      <c r="AE90" s="66"/>
      <c r="AF90" s="67"/>
      <c r="AG90" s="82"/>
      <c r="AH90" s="83"/>
      <c r="AI90" s="84"/>
      <c r="AJ90" s="151"/>
      <c r="AK90" s="154">
        <f t="shared" si="16"/>
        <v>0</v>
      </c>
      <c r="AL90" s="172"/>
    </row>
    <row r="91" spans="1:38" x14ac:dyDescent="0.3">
      <c r="A91" s="188">
        <v>88</v>
      </c>
      <c r="B91" s="228">
        <f>((B98-B88)/10)+B90</f>
        <v>25.68</v>
      </c>
      <c r="C91" s="246">
        <f>((C98-C88)/10)+C90</f>
        <v>0.36940000000000006</v>
      </c>
      <c r="D91" s="175">
        <f t="shared" si="13"/>
        <v>1.1605043262360697</v>
      </c>
      <c r="E91" s="249">
        <f t="shared" si="14"/>
        <v>1.3650870900827434</v>
      </c>
      <c r="F91" s="178">
        <f t="shared" si="15"/>
        <v>2013.5034578720465</v>
      </c>
      <c r="H91" s="223"/>
      <c r="I91" s="225"/>
      <c r="J91" s="71"/>
      <c r="K91" s="33">
        <f>F91-J86</f>
        <v>1353.6775544452457</v>
      </c>
      <c r="L91" s="34"/>
      <c r="M91" s="177"/>
      <c r="N91" s="35">
        <f t="shared" si="12"/>
        <v>1290.7073447897733</v>
      </c>
      <c r="O91" s="87"/>
      <c r="P91" s="225"/>
      <c r="Q91" s="71"/>
      <c r="R91" s="33">
        <f>N91-Q86</f>
        <v>867.74202208028555</v>
      </c>
      <c r="S91" s="40"/>
      <c r="T91" s="74"/>
      <c r="U91" s="42"/>
      <c r="V91" s="75"/>
      <c r="W91" s="76"/>
      <c r="X91" s="77"/>
      <c r="Y91" s="78"/>
      <c r="Z91" s="79"/>
      <c r="AA91" s="80"/>
      <c r="AB91" s="49"/>
      <c r="AC91" s="64"/>
      <c r="AD91" s="81"/>
      <c r="AE91" s="66"/>
      <c r="AF91" s="67"/>
      <c r="AG91" s="82"/>
      <c r="AH91" s="83"/>
      <c r="AI91" s="84"/>
      <c r="AJ91" s="151"/>
      <c r="AK91" s="154">
        <f t="shared" si="16"/>
        <v>0</v>
      </c>
      <c r="AL91" s="172"/>
    </row>
    <row r="92" spans="1:38" x14ac:dyDescent="0.3">
      <c r="A92" s="188">
        <v>89</v>
      </c>
      <c r="B92" s="228">
        <f>((B98-B88)/10)+B91</f>
        <v>25.84</v>
      </c>
      <c r="C92" s="246">
        <f>((C98-C88)/10)+C91</f>
        <v>0.37320000000000009</v>
      </c>
      <c r="D92" s="175">
        <f t="shared" si="13"/>
        <v>1.1724423783197111</v>
      </c>
      <c r="E92" s="249">
        <f t="shared" si="14"/>
        <v>1.401997816746182</v>
      </c>
      <c r="F92" s="178">
        <f t="shared" si="15"/>
        <v>2067.9467797006182</v>
      </c>
      <c r="H92" s="223"/>
      <c r="I92" s="225"/>
      <c r="J92" s="71"/>
      <c r="K92" s="33">
        <f>F92-J86</f>
        <v>1408.1208762738174</v>
      </c>
      <c r="L92" s="34"/>
      <c r="M92" s="177"/>
      <c r="N92" s="35">
        <f t="shared" si="12"/>
        <v>1325.6069100644988</v>
      </c>
      <c r="O92" s="87"/>
      <c r="P92" s="225"/>
      <c r="Q92" s="71"/>
      <c r="R92" s="33">
        <f>N92-Q86</f>
        <v>902.6415873550111</v>
      </c>
      <c r="S92" s="40"/>
      <c r="T92" s="74"/>
      <c r="U92" s="42"/>
      <c r="V92" s="75"/>
      <c r="W92" s="76"/>
      <c r="X92" s="77"/>
      <c r="Y92" s="78"/>
      <c r="Z92" s="79"/>
      <c r="AA92" s="80"/>
      <c r="AB92" s="49"/>
      <c r="AC92" s="64"/>
      <c r="AD92" s="81"/>
      <c r="AE92" s="66"/>
      <c r="AF92" s="67"/>
      <c r="AG92" s="82"/>
      <c r="AH92" s="83"/>
      <c r="AI92" s="84"/>
      <c r="AJ92" s="151"/>
      <c r="AK92" s="154">
        <f t="shared" si="16"/>
        <v>0</v>
      </c>
      <c r="AL92" s="172"/>
    </row>
    <row r="93" spans="1:38" x14ac:dyDescent="0.3">
      <c r="A93" s="188">
        <v>90</v>
      </c>
      <c r="B93" s="228">
        <f>((B98-B88)/10)+B92</f>
        <v>26</v>
      </c>
      <c r="C93" s="246">
        <f>((C98-C88)/10)+C92</f>
        <v>0.37700000000000011</v>
      </c>
      <c r="D93" s="175">
        <f t="shared" si="13"/>
        <v>1.1843804304033523</v>
      </c>
      <c r="E93" s="249">
        <f t="shared" si="14"/>
        <v>1.439552825372894</v>
      </c>
      <c r="F93" s="178">
        <f t="shared" si="15"/>
        <v>2123.3404174250186</v>
      </c>
      <c r="H93" s="223"/>
      <c r="I93" s="225"/>
      <c r="J93" s="71"/>
      <c r="K93" s="33">
        <f>F93-J86</f>
        <v>1463.5145139982178</v>
      </c>
      <c r="L93" s="34"/>
      <c r="M93" s="177"/>
      <c r="N93" s="35">
        <f t="shared" si="12"/>
        <v>1361.1156521955247</v>
      </c>
      <c r="O93" s="87"/>
      <c r="P93" s="225"/>
      <c r="Q93" s="71"/>
      <c r="R93" s="33">
        <f>N93-Q86</f>
        <v>938.15032948603698</v>
      </c>
      <c r="S93" s="40"/>
      <c r="T93" s="74"/>
      <c r="U93" s="42"/>
      <c r="V93" s="75"/>
      <c r="W93" s="76"/>
      <c r="X93" s="77"/>
      <c r="Y93" s="78"/>
      <c r="Z93" s="79"/>
      <c r="AA93" s="80"/>
      <c r="AB93" s="49"/>
      <c r="AC93" s="64"/>
      <c r="AD93" s="81"/>
      <c r="AE93" s="66"/>
      <c r="AF93" s="67"/>
      <c r="AG93" s="82"/>
      <c r="AH93" s="83"/>
      <c r="AI93" s="84"/>
      <c r="AJ93" s="151"/>
      <c r="AK93" s="154">
        <f t="shared" si="16"/>
        <v>0</v>
      </c>
      <c r="AL93" s="172"/>
    </row>
    <row r="94" spans="1:38" x14ac:dyDescent="0.3">
      <c r="A94" s="188">
        <v>91</v>
      </c>
      <c r="B94" s="228">
        <f>((B98-B88)/10)+B93</f>
        <v>26.16</v>
      </c>
      <c r="C94" s="246">
        <f>((C98-C88)/10)+C93</f>
        <v>0.38080000000000014</v>
      </c>
      <c r="D94" s="175">
        <f t="shared" si="13"/>
        <v>1.1963184824869937</v>
      </c>
      <c r="E94" s="249">
        <f t="shared" si="14"/>
        <v>1.4777575161646168</v>
      </c>
      <c r="F94" s="178">
        <f t="shared" si="15"/>
        <v>2179.69233634281</v>
      </c>
      <c r="H94" s="223"/>
      <c r="I94" s="225"/>
      <c r="J94" s="71"/>
      <c r="K94" s="33">
        <f>F94-J86</f>
        <v>1519.8664329160092</v>
      </c>
      <c r="L94" s="34"/>
      <c r="M94" s="177"/>
      <c r="N94" s="35">
        <f t="shared" si="12"/>
        <v>1397.2386771428269</v>
      </c>
      <c r="O94" s="87"/>
      <c r="P94" s="225"/>
      <c r="Q94" s="71"/>
      <c r="R94" s="33">
        <f>N94-Q86</f>
        <v>974.27335443333914</v>
      </c>
      <c r="S94" s="40"/>
      <c r="T94" s="74"/>
      <c r="U94" s="42"/>
      <c r="V94" s="75"/>
      <c r="W94" s="76"/>
      <c r="X94" s="77"/>
      <c r="Y94" s="78"/>
      <c r="Z94" s="79"/>
      <c r="AA94" s="80"/>
      <c r="AB94" s="49"/>
      <c r="AC94" s="64"/>
      <c r="AD94" s="81"/>
      <c r="AE94" s="66"/>
      <c r="AF94" s="67"/>
      <c r="AG94" s="82"/>
      <c r="AH94" s="83"/>
      <c r="AI94" s="84"/>
      <c r="AJ94" s="151"/>
      <c r="AK94" s="154">
        <f t="shared" si="16"/>
        <v>0</v>
      </c>
      <c r="AL94" s="172"/>
    </row>
    <row r="95" spans="1:38" x14ac:dyDescent="0.3">
      <c r="A95" s="188">
        <v>92</v>
      </c>
      <c r="B95" s="228">
        <f>((B98-B88)/10)+B94</f>
        <v>26.32</v>
      </c>
      <c r="C95" s="246">
        <f>((C98-C88)/10)+C94</f>
        <v>0.38460000000000016</v>
      </c>
      <c r="D95" s="175">
        <f t="shared" si="13"/>
        <v>1.2082565345706349</v>
      </c>
      <c r="E95" s="249">
        <f t="shared" si="14"/>
        <v>1.5166172893230849</v>
      </c>
      <c r="F95" s="178">
        <f t="shared" si="15"/>
        <v>2237.0105017515502</v>
      </c>
      <c r="H95" s="223"/>
      <c r="I95" s="225"/>
      <c r="J95" s="71"/>
      <c r="K95" s="33">
        <f>F95-J86</f>
        <v>1577.1845983247495</v>
      </c>
      <c r="L95" s="34"/>
      <c r="M95" s="177"/>
      <c r="N95" s="35">
        <f t="shared" si="12"/>
        <v>1433.9810908663783</v>
      </c>
      <c r="O95" s="87"/>
      <c r="P95" s="225"/>
      <c r="Q95" s="71"/>
      <c r="R95" s="33">
        <f>N95-Q86</f>
        <v>1011.0157681568905</v>
      </c>
      <c r="S95" s="40"/>
      <c r="T95" s="74"/>
      <c r="U95" s="42"/>
      <c r="V95" s="75"/>
      <c r="W95" s="76"/>
      <c r="X95" s="77"/>
      <c r="Y95" s="78"/>
      <c r="Z95" s="79"/>
      <c r="AA95" s="80"/>
      <c r="AB95" s="49"/>
      <c r="AC95" s="64"/>
      <c r="AD95" s="81"/>
      <c r="AE95" s="66"/>
      <c r="AF95" s="67"/>
      <c r="AG95" s="82"/>
      <c r="AH95" s="83"/>
      <c r="AI95" s="84"/>
      <c r="AJ95" s="151"/>
      <c r="AK95" s="154">
        <f t="shared" si="16"/>
        <v>0</v>
      </c>
      <c r="AL95" s="172"/>
    </row>
    <row r="96" spans="1:38" x14ac:dyDescent="0.3">
      <c r="A96" s="188">
        <v>93</v>
      </c>
      <c r="B96" s="228">
        <f>((B98-B88)/10)+B95</f>
        <v>26.48</v>
      </c>
      <c r="C96" s="246">
        <f>((C98-C88)/10)+C95</f>
        <v>0.38840000000000019</v>
      </c>
      <c r="D96" s="175">
        <f t="shared" si="13"/>
        <v>1.2201945866542763</v>
      </c>
      <c r="E96" s="249">
        <f t="shared" si="14"/>
        <v>1.5561375450500363</v>
      </c>
      <c r="F96" s="178">
        <f t="shared" si="15"/>
        <v>2295.3028789488035</v>
      </c>
      <c r="H96" s="223"/>
      <c r="I96" s="225"/>
      <c r="J96" s="71"/>
      <c r="K96" s="33">
        <f>F96-J86</f>
        <v>1635.4769755220027</v>
      </c>
      <c r="L96" s="34"/>
      <c r="M96" s="177"/>
      <c r="N96" s="35">
        <f t="shared" si="12"/>
        <v>1471.347999326156</v>
      </c>
      <c r="O96" s="87"/>
      <c r="P96" s="225"/>
      <c r="Q96" s="71"/>
      <c r="R96" s="33">
        <f>N96-Q86</f>
        <v>1048.3826766166683</v>
      </c>
      <c r="S96" s="40"/>
      <c r="T96" s="74"/>
      <c r="U96" s="42"/>
      <c r="V96" s="75"/>
      <c r="W96" s="76"/>
      <c r="X96" s="77"/>
      <c r="Y96" s="78"/>
      <c r="Z96" s="79"/>
      <c r="AA96" s="80"/>
      <c r="AB96" s="49"/>
      <c r="AC96" s="64"/>
      <c r="AD96" s="81"/>
      <c r="AE96" s="66"/>
      <c r="AF96" s="67"/>
      <c r="AG96" s="82"/>
      <c r="AH96" s="83"/>
      <c r="AI96" s="84"/>
      <c r="AJ96" s="151"/>
      <c r="AK96" s="154">
        <f t="shared" si="16"/>
        <v>0</v>
      </c>
      <c r="AL96" s="172"/>
    </row>
    <row r="97" spans="1:38" x14ac:dyDescent="0.3">
      <c r="A97" s="188">
        <v>94</v>
      </c>
      <c r="B97" s="228">
        <f>((B98-B88)/10)+B96</f>
        <v>26.64</v>
      </c>
      <c r="C97" s="246">
        <f>((C98-C88)/10)+C96</f>
        <v>0.39220000000000022</v>
      </c>
      <c r="D97" s="175">
        <f t="shared" si="13"/>
        <v>1.2321326387379175</v>
      </c>
      <c r="E97" s="249">
        <f t="shared" si="14"/>
        <v>1.5963236835472054</v>
      </c>
      <c r="F97" s="178">
        <f t="shared" si="15"/>
        <v>2354.577433232128</v>
      </c>
      <c r="H97" s="223"/>
      <c r="I97" s="225"/>
      <c r="J97" s="71"/>
      <c r="K97" s="33">
        <f>F97-J86</f>
        <v>1694.7515298053272</v>
      </c>
      <c r="L97" s="34"/>
      <c r="M97" s="177"/>
      <c r="N97" s="35">
        <f t="shared" si="12"/>
        <v>1509.3445084821333</v>
      </c>
      <c r="O97" s="87"/>
      <c r="P97" s="225"/>
      <c r="Q97" s="71"/>
      <c r="R97" s="33">
        <f>N97-Q86</f>
        <v>1086.3791857726455</v>
      </c>
      <c r="S97" s="40"/>
      <c r="T97" s="74"/>
      <c r="U97" s="42"/>
      <c r="V97" s="75"/>
      <c r="W97" s="76"/>
      <c r="X97" s="77"/>
      <c r="Y97" s="78"/>
      <c r="Z97" s="79"/>
      <c r="AA97" s="80"/>
      <c r="AB97" s="49"/>
      <c r="AC97" s="64"/>
      <c r="AD97" s="81"/>
      <c r="AE97" s="66"/>
      <c r="AF97" s="67"/>
      <c r="AG97" s="82"/>
      <c r="AH97" s="83"/>
      <c r="AI97" s="84"/>
      <c r="AJ97" s="151"/>
      <c r="AK97" s="154">
        <f t="shared" si="16"/>
        <v>0</v>
      </c>
      <c r="AL97" s="172"/>
    </row>
    <row r="98" spans="1:38" x14ac:dyDescent="0.3">
      <c r="A98" s="226">
        <v>95</v>
      </c>
      <c r="B98" s="228">
        <v>26.8</v>
      </c>
      <c r="C98" s="237">
        <v>0.39600000000000002</v>
      </c>
      <c r="D98" s="175">
        <f t="shared" si="13"/>
        <v>1.2440706908215582</v>
      </c>
      <c r="E98" s="249">
        <f t="shared" si="14"/>
        <v>1.6371811050163283</v>
      </c>
      <c r="F98" s="178">
        <f t="shared" si="15"/>
        <v>2414.8421298990843</v>
      </c>
      <c r="H98" s="223"/>
      <c r="I98" s="225"/>
      <c r="J98" s="71"/>
      <c r="K98" s="33">
        <f>F98-J86</f>
        <v>1755.0162264722835</v>
      </c>
      <c r="L98" s="34"/>
      <c r="M98" s="177"/>
      <c r="N98" s="35">
        <f t="shared" si="12"/>
        <v>1547.9757242942846</v>
      </c>
      <c r="O98" s="87"/>
      <c r="P98" s="225"/>
      <c r="Q98" s="71"/>
      <c r="R98" s="33">
        <f>N98-Q86</f>
        <v>1125.0104015847969</v>
      </c>
      <c r="S98" s="40"/>
      <c r="T98" s="74"/>
      <c r="U98" s="42"/>
      <c r="V98" s="75"/>
      <c r="W98" s="76"/>
      <c r="X98" s="77"/>
      <c r="Y98" s="78"/>
      <c r="Z98" s="79"/>
      <c r="AA98" s="80"/>
      <c r="AB98" s="49"/>
      <c r="AC98" s="64"/>
      <c r="AD98" s="81"/>
      <c r="AE98" s="66"/>
      <c r="AF98" s="67"/>
      <c r="AG98" s="82"/>
      <c r="AH98" s="83"/>
      <c r="AI98" s="84"/>
      <c r="AJ98" s="151"/>
      <c r="AK98" s="154">
        <f t="shared" si="16"/>
        <v>0</v>
      </c>
      <c r="AL98" s="172"/>
    </row>
    <row r="99" spans="1:38" x14ac:dyDescent="0.3">
      <c r="A99" s="188">
        <v>96</v>
      </c>
      <c r="B99" s="228">
        <f>((B108-B98)/10)+B98</f>
        <v>26.94</v>
      </c>
      <c r="C99" s="246">
        <f>((C108-C98)/10)+C98</f>
        <v>0.4</v>
      </c>
      <c r="D99" s="175">
        <f t="shared" si="13"/>
        <v>1.2566370614359172</v>
      </c>
      <c r="E99" s="249">
        <f t="shared" si="14"/>
        <v>1.6791486007801468</v>
      </c>
      <c r="F99" s="178">
        <f t="shared" si="15"/>
        <v>2476.7441861507164</v>
      </c>
      <c r="H99" s="223"/>
      <c r="I99" s="225"/>
      <c r="J99" s="71"/>
      <c r="K99" s="33">
        <f>F99-J86</f>
        <v>1816.9182827239156</v>
      </c>
      <c r="L99" s="34"/>
      <c r="M99" s="177"/>
      <c r="N99" s="35">
        <f t="shared" ref="N99:N130" si="22">F99/1.56</f>
        <v>1587.6565295837925</v>
      </c>
      <c r="O99" s="87"/>
      <c r="P99" s="225"/>
      <c r="Q99" s="71"/>
      <c r="R99" s="33">
        <f>N99-Q86</f>
        <v>1164.6912068743047</v>
      </c>
      <c r="S99" s="40"/>
      <c r="T99" s="74"/>
      <c r="U99" s="42"/>
      <c r="V99" s="75"/>
      <c r="W99" s="76"/>
      <c r="X99" s="77"/>
      <c r="Y99" s="78"/>
      <c r="Z99" s="79"/>
      <c r="AA99" s="80"/>
      <c r="AB99" s="49"/>
      <c r="AC99" s="64"/>
      <c r="AD99" s="81"/>
      <c r="AE99" s="66"/>
      <c r="AF99" s="67"/>
      <c r="AG99" s="82"/>
      <c r="AH99" s="83"/>
      <c r="AI99" s="84"/>
      <c r="AJ99" s="151"/>
      <c r="AK99" s="154">
        <f t="shared" si="16"/>
        <v>0</v>
      </c>
      <c r="AL99" s="172"/>
    </row>
    <row r="100" spans="1:38" x14ac:dyDescent="0.3">
      <c r="A100" s="188">
        <v>97</v>
      </c>
      <c r="B100" s="228">
        <f>((B108-B98)/10)+B99</f>
        <v>27.080000000000002</v>
      </c>
      <c r="C100" s="246">
        <f>((C108-C98)/10)+C99</f>
        <v>0.40400000000000003</v>
      </c>
      <c r="D100" s="175">
        <f t="shared" si="13"/>
        <v>1.2692034320502765</v>
      </c>
      <c r="E100" s="249">
        <f t="shared" si="14"/>
        <v>1.7218009697743071</v>
      </c>
      <c r="F100" s="178">
        <f t="shared" si="15"/>
        <v>2539.6564304171029</v>
      </c>
      <c r="H100" s="222">
        <v>0.2</v>
      </c>
      <c r="I100" s="225">
        <f>H100*(F100-J86)</f>
        <v>375.96610539806045</v>
      </c>
      <c r="J100" s="71">
        <f>I100+J86</f>
        <v>1035.7920088248613</v>
      </c>
      <c r="K100" s="33">
        <f>F100-J100</f>
        <v>1503.8644215922416</v>
      </c>
      <c r="L100" s="34"/>
      <c r="M100" s="177"/>
      <c r="N100" s="35">
        <f t="shared" si="22"/>
        <v>1627.9848912930147</v>
      </c>
      <c r="O100" s="87">
        <v>0.2</v>
      </c>
      <c r="P100" s="225">
        <f>O100*(N100-Q86)</f>
        <v>241.0039137167054</v>
      </c>
      <c r="Q100" s="71">
        <f>P100+Q86</f>
        <v>663.96923642619311</v>
      </c>
      <c r="R100" s="33">
        <f>N100-Q100</f>
        <v>964.01565486682159</v>
      </c>
      <c r="S100" s="40"/>
      <c r="T100" s="74">
        <f>P100*15%</f>
        <v>36.15058705750581</v>
      </c>
      <c r="U100" s="42">
        <f t="shared" si="17"/>
        <v>34.343057704630517</v>
      </c>
      <c r="V100" s="75">
        <v>8</v>
      </c>
      <c r="W100" s="76">
        <f t="shared" si="18"/>
        <v>289.20469646004648</v>
      </c>
      <c r="X100" s="77">
        <v>0.4</v>
      </c>
      <c r="Y100" s="78">
        <v>0.6</v>
      </c>
      <c r="Z100" s="79"/>
      <c r="AA100" s="80">
        <f>P100*15%</f>
        <v>36.15058705750581</v>
      </c>
      <c r="AB100" s="49">
        <f t="shared" ref="AB100:AB143" si="23">I100-P100</f>
        <v>134.96219168135505</v>
      </c>
      <c r="AC100" s="64">
        <f t="shared" ref="AC100:AC143" si="24">(AA100+AB100)/0.6</f>
        <v>285.18796456476815</v>
      </c>
      <c r="AD100" s="81">
        <v>8</v>
      </c>
      <c r="AE100" s="66">
        <f t="shared" ref="AE100:AE143" si="25">AC100*AD100</f>
        <v>2281.5037165181452</v>
      </c>
      <c r="AF100" s="67"/>
      <c r="AG100" s="82">
        <f>P100*70%</f>
        <v>168.70273960169376</v>
      </c>
      <c r="AH100" s="83">
        <v>90</v>
      </c>
      <c r="AI100" s="84">
        <f t="shared" si="20"/>
        <v>15183.24656415244</v>
      </c>
      <c r="AJ100" s="151"/>
      <c r="AK100" s="154">
        <f t="shared" si="16"/>
        <v>17753.95497713063</v>
      </c>
      <c r="AL100" s="172"/>
    </row>
    <row r="101" spans="1:38" x14ac:dyDescent="0.3">
      <c r="A101" s="188">
        <v>98</v>
      </c>
      <c r="B101" s="228">
        <f>((B108-B98)/10)+B100</f>
        <v>27.220000000000002</v>
      </c>
      <c r="C101" s="246">
        <f>((C108-C98)/10)+C100</f>
        <v>0.40800000000000003</v>
      </c>
      <c r="D101" s="175">
        <f t="shared" si="13"/>
        <v>1.2817698026646356</v>
      </c>
      <c r="E101" s="249">
        <f t="shared" si="14"/>
        <v>1.7651434476514598</v>
      </c>
      <c r="F101" s="178">
        <f t="shared" si="15"/>
        <v>2603.5865852859033</v>
      </c>
      <c r="H101" s="223"/>
      <c r="I101" s="225"/>
      <c r="J101" s="71"/>
      <c r="K101" s="33">
        <f>F101-J100</f>
        <v>1567.794576461042</v>
      </c>
      <c r="L101" s="34"/>
      <c r="M101" s="177"/>
      <c r="N101" s="35">
        <f t="shared" si="22"/>
        <v>1668.9657597986559</v>
      </c>
      <c r="O101" s="87"/>
      <c r="P101" s="225"/>
      <c r="Q101" s="71"/>
      <c r="R101" s="33">
        <f>N101-Q100</f>
        <v>1004.9965233724628</v>
      </c>
      <c r="S101" s="40"/>
      <c r="T101" s="74"/>
      <c r="U101" s="42"/>
      <c r="V101" s="75"/>
      <c r="W101" s="76"/>
      <c r="X101" s="77"/>
      <c r="Y101" s="78"/>
      <c r="Z101" s="79"/>
      <c r="AA101" s="80"/>
      <c r="AB101" s="49"/>
      <c r="AC101" s="64"/>
      <c r="AD101" s="81"/>
      <c r="AE101" s="66"/>
      <c r="AF101" s="67"/>
      <c r="AG101" s="82"/>
      <c r="AH101" s="83"/>
      <c r="AI101" s="84"/>
      <c r="AJ101" s="151"/>
      <c r="AK101" s="154">
        <f t="shared" si="16"/>
        <v>0</v>
      </c>
      <c r="AL101" s="172"/>
    </row>
    <row r="102" spans="1:38" x14ac:dyDescent="0.3">
      <c r="A102" s="188">
        <v>99</v>
      </c>
      <c r="B102" s="228">
        <f>((B108-B98)/10)+B101</f>
        <v>27.360000000000003</v>
      </c>
      <c r="C102" s="246">
        <f>((C108-C98)/10)+C101</f>
        <v>0.41200000000000003</v>
      </c>
      <c r="D102" s="175">
        <f t="shared" si="13"/>
        <v>1.2943361732789949</v>
      </c>
      <c r="E102" s="249">
        <f t="shared" si="14"/>
        <v>1.8091812700642591</v>
      </c>
      <c r="F102" s="178">
        <f t="shared" si="15"/>
        <v>2668.5423733447824</v>
      </c>
      <c r="H102" s="223"/>
      <c r="I102" s="225"/>
      <c r="J102" s="71"/>
      <c r="K102" s="33">
        <f>F102-J100</f>
        <v>1632.750364519921</v>
      </c>
      <c r="L102" s="34"/>
      <c r="M102" s="177"/>
      <c r="N102" s="35">
        <f t="shared" si="22"/>
        <v>1710.6040854774246</v>
      </c>
      <c r="O102" s="87"/>
      <c r="P102" s="225"/>
      <c r="Q102" s="71"/>
      <c r="R102" s="33">
        <f>N102-Q100</f>
        <v>1046.6348490512314</v>
      </c>
      <c r="S102" s="40"/>
      <c r="T102" s="74"/>
      <c r="U102" s="42"/>
      <c r="V102" s="75"/>
      <c r="W102" s="76"/>
      <c r="X102" s="77"/>
      <c r="Y102" s="78"/>
      <c r="Z102" s="79"/>
      <c r="AA102" s="80"/>
      <c r="AB102" s="49"/>
      <c r="AC102" s="64"/>
      <c r="AD102" s="81"/>
      <c r="AE102" s="66"/>
      <c r="AF102" s="67"/>
      <c r="AG102" s="82"/>
      <c r="AH102" s="83"/>
      <c r="AI102" s="84"/>
      <c r="AJ102" s="151"/>
      <c r="AK102" s="154">
        <f t="shared" si="16"/>
        <v>0</v>
      </c>
      <c r="AL102" s="172"/>
    </row>
    <row r="103" spans="1:38" x14ac:dyDescent="0.3">
      <c r="A103" s="188">
        <v>100</v>
      </c>
      <c r="B103" s="228">
        <f>((B108-B98)/10)+B102</f>
        <v>27.500000000000004</v>
      </c>
      <c r="C103" s="246">
        <f>((C108-C98)/10)+C102</f>
        <v>0.41600000000000004</v>
      </c>
      <c r="D103" s="175">
        <f t="shared" si="13"/>
        <v>1.3069025438933541</v>
      </c>
      <c r="E103" s="249">
        <f t="shared" si="14"/>
        <v>1.8539196726653568</v>
      </c>
      <c r="F103" s="178">
        <f t="shared" si="15"/>
        <v>2734.5315171814013</v>
      </c>
      <c r="H103" s="223"/>
      <c r="I103" s="225"/>
      <c r="J103" s="71"/>
      <c r="K103" s="33">
        <f>F103-J100</f>
        <v>1698.73950835654</v>
      </c>
      <c r="L103" s="34"/>
      <c r="M103" s="177"/>
      <c r="N103" s="35">
        <f t="shared" si="22"/>
        <v>1752.9048187060264</v>
      </c>
      <c r="O103" s="87"/>
      <c r="P103" s="225"/>
      <c r="Q103" s="71"/>
      <c r="R103" s="33">
        <f>N103-Q100</f>
        <v>1088.9355822798334</v>
      </c>
      <c r="S103" s="40"/>
      <c r="T103" s="74"/>
      <c r="U103" s="42"/>
      <c r="V103" s="75"/>
      <c r="W103" s="76"/>
      <c r="X103" s="77"/>
      <c r="Y103" s="78"/>
      <c r="Z103" s="79"/>
      <c r="AA103" s="80"/>
      <c r="AB103" s="49"/>
      <c r="AC103" s="64"/>
      <c r="AD103" s="81"/>
      <c r="AE103" s="66"/>
      <c r="AF103" s="67"/>
      <c r="AG103" s="82"/>
      <c r="AH103" s="83"/>
      <c r="AI103" s="84"/>
      <c r="AJ103" s="151"/>
      <c r="AK103" s="154">
        <f t="shared" si="16"/>
        <v>0</v>
      </c>
      <c r="AL103" s="172"/>
    </row>
    <row r="104" spans="1:38" x14ac:dyDescent="0.3">
      <c r="A104" s="188">
        <v>101</v>
      </c>
      <c r="B104" s="228">
        <f>((B108-B98)/10)+B103</f>
        <v>27.640000000000004</v>
      </c>
      <c r="C104" s="246">
        <f>((C108-C98)/10)+C103</f>
        <v>0.42000000000000004</v>
      </c>
      <c r="D104" s="175">
        <f t="shared" si="13"/>
        <v>1.3194689145077132</v>
      </c>
      <c r="E104" s="249">
        <f t="shared" si="14"/>
        <v>1.899363891107406</v>
      </c>
      <c r="F104" s="178">
        <f t="shared" si="15"/>
        <v>2801.5617393834236</v>
      </c>
      <c r="H104" s="223"/>
      <c r="I104" s="225"/>
      <c r="J104" s="71"/>
      <c r="K104" s="33">
        <f>F104-J100</f>
        <v>1765.7697305585623</v>
      </c>
      <c r="L104" s="34"/>
      <c r="M104" s="177"/>
      <c r="N104" s="35">
        <f t="shared" si="22"/>
        <v>1795.8729098611689</v>
      </c>
      <c r="O104" s="87"/>
      <c r="P104" s="225"/>
      <c r="Q104" s="71"/>
      <c r="R104" s="33">
        <f>N104-Q100</f>
        <v>1131.9036734349756</v>
      </c>
      <c r="S104" s="40"/>
      <c r="T104" s="74"/>
      <c r="U104" s="42"/>
      <c r="V104" s="75"/>
      <c r="W104" s="76"/>
      <c r="X104" s="77"/>
      <c r="Y104" s="78"/>
      <c r="Z104" s="79"/>
      <c r="AA104" s="80"/>
      <c r="AB104" s="49"/>
      <c r="AC104" s="64"/>
      <c r="AD104" s="81"/>
      <c r="AE104" s="66"/>
      <c r="AF104" s="67"/>
      <c r="AG104" s="82"/>
      <c r="AH104" s="83"/>
      <c r="AI104" s="84"/>
      <c r="AJ104" s="151"/>
      <c r="AK104" s="154">
        <f t="shared" si="16"/>
        <v>0</v>
      </c>
      <c r="AL104" s="172"/>
    </row>
    <row r="105" spans="1:38" x14ac:dyDescent="0.3">
      <c r="A105" s="188">
        <v>102</v>
      </c>
      <c r="B105" s="228">
        <f>((B108-B98)/10)+B104</f>
        <v>27.780000000000005</v>
      </c>
      <c r="C105" s="246">
        <f>((C108-C98)/10)+C104</f>
        <v>0.42400000000000004</v>
      </c>
      <c r="D105" s="175">
        <f t="shared" si="13"/>
        <v>1.3320352851220725</v>
      </c>
      <c r="E105" s="249">
        <f t="shared" si="14"/>
        <v>1.9455191610430598</v>
      </c>
      <c r="F105" s="178">
        <f t="shared" si="15"/>
        <v>2869.6407625385132</v>
      </c>
      <c r="H105" s="223"/>
      <c r="I105" s="225"/>
      <c r="J105" s="71"/>
      <c r="K105" s="33">
        <f>F105-J100</f>
        <v>1833.8487537136518</v>
      </c>
      <c r="L105" s="34"/>
      <c r="M105" s="177"/>
      <c r="N105" s="35">
        <f t="shared" si="22"/>
        <v>1839.5133093195598</v>
      </c>
      <c r="O105" s="87"/>
      <c r="P105" s="225"/>
      <c r="Q105" s="71"/>
      <c r="R105" s="33">
        <f>N105-Q100</f>
        <v>1175.5440728933668</v>
      </c>
      <c r="S105" s="40"/>
      <c r="T105" s="74"/>
      <c r="U105" s="42"/>
      <c r="V105" s="75"/>
      <c r="W105" s="76"/>
      <c r="X105" s="77"/>
      <c r="Y105" s="78"/>
      <c r="Z105" s="79"/>
      <c r="AA105" s="80"/>
      <c r="AB105" s="49"/>
      <c r="AC105" s="64"/>
      <c r="AD105" s="81"/>
      <c r="AE105" s="66"/>
      <c r="AF105" s="67"/>
      <c r="AG105" s="82"/>
      <c r="AH105" s="83"/>
      <c r="AI105" s="84"/>
      <c r="AJ105" s="151"/>
      <c r="AK105" s="154">
        <f t="shared" si="16"/>
        <v>0</v>
      </c>
      <c r="AL105" s="172"/>
    </row>
    <row r="106" spans="1:38" x14ac:dyDescent="0.3">
      <c r="A106" s="188">
        <v>103</v>
      </c>
      <c r="B106" s="228">
        <f>((B108-B98)/10)+B105</f>
        <v>27.920000000000005</v>
      </c>
      <c r="C106" s="246">
        <f>((C108-C98)/10)+C105</f>
        <v>0.42800000000000005</v>
      </c>
      <c r="D106" s="175">
        <f t="shared" si="13"/>
        <v>1.3446016557364315</v>
      </c>
      <c r="E106" s="249">
        <f t="shared" si="14"/>
        <v>1.99239071812497</v>
      </c>
      <c r="F106" s="178">
        <f t="shared" si="15"/>
        <v>2938.7763092343307</v>
      </c>
      <c r="H106" s="223"/>
      <c r="I106" s="225"/>
      <c r="J106" s="71"/>
      <c r="K106" s="33">
        <f>F106-J100</f>
        <v>1902.9843004094694</v>
      </c>
      <c r="L106" s="34"/>
      <c r="M106" s="177"/>
      <c r="N106" s="35">
        <f t="shared" si="22"/>
        <v>1883.8309674579043</v>
      </c>
      <c r="O106" s="87"/>
      <c r="P106" s="225"/>
      <c r="Q106" s="71"/>
      <c r="R106" s="33">
        <f>N106-Q100</f>
        <v>1219.8617310317113</v>
      </c>
      <c r="S106" s="40"/>
      <c r="T106" s="74"/>
      <c r="U106" s="42"/>
      <c r="V106" s="75"/>
      <c r="W106" s="76"/>
      <c r="X106" s="77"/>
      <c r="Y106" s="78"/>
      <c r="Z106" s="79"/>
      <c r="AA106" s="80"/>
      <c r="AB106" s="49"/>
      <c r="AC106" s="64"/>
      <c r="AD106" s="81"/>
      <c r="AE106" s="66"/>
      <c r="AF106" s="67"/>
      <c r="AG106" s="82"/>
      <c r="AH106" s="83"/>
      <c r="AI106" s="84"/>
      <c r="AJ106" s="151"/>
      <c r="AK106" s="154">
        <f t="shared" si="16"/>
        <v>0</v>
      </c>
      <c r="AL106" s="172"/>
    </row>
    <row r="107" spans="1:38" x14ac:dyDescent="0.3">
      <c r="A107" s="188">
        <v>104</v>
      </c>
      <c r="B107" s="228">
        <f>((B108-B98)/10)+B106</f>
        <v>28.060000000000006</v>
      </c>
      <c r="C107" s="246">
        <f>((C108-C98)/10)+C106</f>
        <v>0.43200000000000005</v>
      </c>
      <c r="D107" s="175">
        <f t="shared" si="13"/>
        <v>1.3571680263507908</v>
      </c>
      <c r="E107" s="249">
        <f t="shared" si="14"/>
        <v>2.0399837980057907</v>
      </c>
      <c r="F107" s="178">
        <f t="shared" si="15"/>
        <v>3008.9761020585411</v>
      </c>
      <c r="H107" s="223"/>
      <c r="I107" s="225"/>
      <c r="J107" s="71"/>
      <c r="K107" s="33">
        <f>F107-J100</f>
        <v>1973.1840932336797</v>
      </c>
      <c r="L107" s="34"/>
      <c r="M107" s="177"/>
      <c r="N107" s="35">
        <f t="shared" si="22"/>
        <v>1928.8308346529109</v>
      </c>
      <c r="O107" s="87"/>
      <c r="P107" s="225"/>
      <c r="Q107" s="71"/>
      <c r="R107" s="33">
        <f>N107-Q100</f>
        <v>1264.8615982267179</v>
      </c>
      <c r="S107" s="40"/>
      <c r="T107" s="74"/>
      <c r="U107" s="42"/>
      <c r="V107" s="75"/>
      <c r="W107" s="76"/>
      <c r="X107" s="77"/>
      <c r="Y107" s="78"/>
      <c r="Z107" s="79"/>
      <c r="AA107" s="80"/>
      <c r="AB107" s="49"/>
      <c r="AC107" s="64"/>
      <c r="AD107" s="81"/>
      <c r="AE107" s="66"/>
      <c r="AF107" s="67"/>
      <c r="AG107" s="82"/>
      <c r="AH107" s="83"/>
      <c r="AI107" s="84"/>
      <c r="AJ107" s="151"/>
      <c r="AK107" s="154">
        <f t="shared" si="16"/>
        <v>0</v>
      </c>
      <c r="AL107" s="172"/>
    </row>
    <row r="108" spans="1:38" x14ac:dyDescent="0.3">
      <c r="A108" s="226">
        <v>105</v>
      </c>
      <c r="B108" s="228">
        <v>28.2</v>
      </c>
      <c r="C108" s="237">
        <v>0.436</v>
      </c>
      <c r="D108" s="175">
        <f t="shared" si="13"/>
        <v>1.3697343969651499</v>
      </c>
      <c r="E108" s="249">
        <f t="shared" si="14"/>
        <v>2.0883036363381731</v>
      </c>
      <c r="F108" s="178">
        <f t="shared" si="15"/>
        <v>3080.2478635988055</v>
      </c>
      <c r="H108" s="223"/>
      <c r="I108" s="225"/>
      <c r="J108" s="71"/>
      <c r="K108" s="33">
        <f>F108-J100</f>
        <v>2044.4558547739441</v>
      </c>
      <c r="L108" s="34"/>
      <c r="M108" s="177"/>
      <c r="N108" s="35">
        <f t="shared" si="22"/>
        <v>1974.5178612812854</v>
      </c>
      <c r="O108" s="87"/>
      <c r="P108" s="225"/>
      <c r="Q108" s="71"/>
      <c r="R108" s="33">
        <f>N108-Q100</f>
        <v>1310.5486248550924</v>
      </c>
      <c r="S108" s="40"/>
      <c r="T108" s="74"/>
      <c r="U108" s="42"/>
      <c r="V108" s="75"/>
      <c r="W108" s="76"/>
      <c r="X108" s="77"/>
      <c r="Y108" s="78"/>
      <c r="Z108" s="79"/>
      <c r="AA108" s="80"/>
      <c r="AB108" s="49"/>
      <c r="AC108" s="64"/>
      <c r="AD108" s="81"/>
      <c r="AE108" s="66"/>
      <c r="AF108" s="67"/>
      <c r="AG108" s="82"/>
      <c r="AH108" s="83"/>
      <c r="AI108" s="84"/>
      <c r="AJ108" s="151"/>
      <c r="AK108" s="154">
        <f t="shared" si="16"/>
        <v>0</v>
      </c>
      <c r="AL108" s="172"/>
    </row>
    <row r="109" spans="1:38" x14ac:dyDescent="0.3">
      <c r="A109" s="188">
        <v>106</v>
      </c>
      <c r="B109" s="228">
        <f>((B118-B108)/10)+B108</f>
        <v>28.34</v>
      </c>
      <c r="C109" s="246">
        <f>((C118-C108)/10)+C108</f>
        <v>0.43959999999999999</v>
      </c>
      <c r="D109" s="175">
        <f t="shared" si="13"/>
        <v>1.381044130518073</v>
      </c>
      <c r="E109" s="249">
        <f t="shared" si="14"/>
        <v>2.133471134331931</v>
      </c>
      <c r="F109" s="178">
        <f t="shared" si="15"/>
        <v>3146.8699231395981</v>
      </c>
      <c r="H109" s="223"/>
      <c r="I109" s="225"/>
      <c r="J109" s="71"/>
      <c r="K109" s="33">
        <f>F109-J100</f>
        <v>2111.0779143147365</v>
      </c>
      <c r="L109" s="34"/>
      <c r="M109" s="177"/>
      <c r="N109" s="35">
        <f t="shared" si="22"/>
        <v>2017.2243097048704</v>
      </c>
      <c r="O109" s="87"/>
      <c r="P109" s="225"/>
      <c r="Q109" s="71"/>
      <c r="R109" s="33">
        <f>N109-Q100</f>
        <v>1353.2550732786772</v>
      </c>
      <c r="S109" s="40"/>
      <c r="T109" s="74"/>
      <c r="U109" s="42"/>
      <c r="V109" s="75"/>
      <c r="W109" s="76"/>
      <c r="X109" s="77"/>
      <c r="Y109" s="78"/>
      <c r="Z109" s="79"/>
      <c r="AA109" s="80"/>
      <c r="AB109" s="49"/>
      <c r="AC109" s="64"/>
      <c r="AD109" s="81"/>
      <c r="AE109" s="66"/>
      <c r="AF109" s="67"/>
      <c r="AG109" s="82"/>
      <c r="AH109" s="83"/>
      <c r="AI109" s="84"/>
      <c r="AJ109" s="151"/>
      <c r="AK109" s="154">
        <f t="shared" si="16"/>
        <v>0</v>
      </c>
      <c r="AL109" s="172"/>
    </row>
    <row r="110" spans="1:38" x14ac:dyDescent="0.3">
      <c r="A110" s="188">
        <v>107</v>
      </c>
      <c r="B110" s="228">
        <f>((B118-B108)/10)+B109</f>
        <v>28.48</v>
      </c>
      <c r="C110" s="246">
        <f>((C118-C108)/10)+C109</f>
        <v>0.44319999999999998</v>
      </c>
      <c r="D110" s="175">
        <f t="shared" si="13"/>
        <v>1.3923538640709963</v>
      </c>
      <c r="E110" s="249">
        <f t="shared" si="14"/>
        <v>2.1792700295971028</v>
      </c>
      <c r="F110" s="178">
        <f t="shared" si="15"/>
        <v>3214.4232936557269</v>
      </c>
      <c r="H110" s="223"/>
      <c r="I110" s="225"/>
      <c r="J110" s="71"/>
      <c r="K110" s="33">
        <f>F110-J100</f>
        <v>2178.6312848308653</v>
      </c>
      <c r="L110" s="34"/>
      <c r="M110" s="177"/>
      <c r="N110" s="35">
        <f t="shared" si="22"/>
        <v>2060.5277523434147</v>
      </c>
      <c r="O110" s="87"/>
      <c r="P110" s="225"/>
      <c r="Q110" s="71"/>
      <c r="R110" s="33">
        <f>N110-Q100</f>
        <v>1396.5585159172215</v>
      </c>
      <c r="S110" s="40"/>
      <c r="T110" s="74"/>
      <c r="U110" s="42"/>
      <c r="V110" s="75"/>
      <c r="W110" s="76"/>
      <c r="X110" s="77"/>
      <c r="Y110" s="78"/>
      <c r="Z110" s="79"/>
      <c r="AA110" s="80"/>
      <c r="AB110" s="49"/>
      <c r="AC110" s="64"/>
      <c r="AD110" s="81"/>
      <c r="AE110" s="66"/>
      <c r="AF110" s="67"/>
      <c r="AG110" s="82"/>
      <c r="AH110" s="83"/>
      <c r="AI110" s="84"/>
      <c r="AJ110" s="151"/>
      <c r="AK110" s="154">
        <f t="shared" si="16"/>
        <v>0</v>
      </c>
      <c r="AL110" s="172"/>
    </row>
    <row r="111" spans="1:38" x14ac:dyDescent="0.3">
      <c r="A111" s="188">
        <v>108</v>
      </c>
      <c r="B111" s="228">
        <f>((B118-B108)/10)+B110</f>
        <v>28.62</v>
      </c>
      <c r="C111" s="246">
        <f>((C118-C108)/10)+C110</f>
        <v>0.44679999999999997</v>
      </c>
      <c r="D111" s="175">
        <f t="shared" si="13"/>
        <v>1.4036635976239196</v>
      </c>
      <c r="E111" s="249">
        <f t="shared" si="14"/>
        <v>2.2257045630123353</v>
      </c>
      <c r="F111" s="178">
        <f t="shared" si="15"/>
        <v>3282.9142304431948</v>
      </c>
      <c r="H111" s="223"/>
      <c r="I111" s="225"/>
      <c r="J111" s="71"/>
      <c r="K111" s="33">
        <f>F111-J100</f>
        <v>2247.1222216183332</v>
      </c>
      <c r="L111" s="34"/>
      <c r="M111" s="177"/>
      <c r="N111" s="35">
        <f t="shared" si="22"/>
        <v>2104.432199002048</v>
      </c>
      <c r="O111" s="87"/>
      <c r="P111" s="225"/>
      <c r="Q111" s="71"/>
      <c r="R111" s="33">
        <f>N111-Q100</f>
        <v>1440.4629625758548</v>
      </c>
      <c r="S111" s="40"/>
      <c r="T111" s="74"/>
      <c r="U111" s="42"/>
      <c r="V111" s="75"/>
      <c r="W111" s="76"/>
      <c r="X111" s="77"/>
      <c r="Y111" s="78"/>
      <c r="Z111" s="79"/>
      <c r="AA111" s="80"/>
      <c r="AB111" s="49"/>
      <c r="AC111" s="64"/>
      <c r="AD111" s="81"/>
      <c r="AE111" s="66"/>
      <c r="AF111" s="67"/>
      <c r="AG111" s="82"/>
      <c r="AH111" s="83"/>
      <c r="AI111" s="84"/>
      <c r="AJ111" s="151"/>
      <c r="AK111" s="154">
        <f t="shared" si="16"/>
        <v>0</v>
      </c>
      <c r="AL111" s="172"/>
    </row>
    <row r="112" spans="1:38" x14ac:dyDescent="0.3">
      <c r="A112" s="188">
        <v>109</v>
      </c>
      <c r="B112" s="228">
        <f>((B118-B108)/10)+B111</f>
        <v>28.76</v>
      </c>
      <c r="C112" s="246">
        <f>((C118-C108)/10)+C111</f>
        <v>0.45039999999999997</v>
      </c>
      <c r="D112" s="175">
        <f t="shared" si="13"/>
        <v>1.4149733311768427</v>
      </c>
      <c r="E112" s="249">
        <f t="shared" si="14"/>
        <v>2.2727789754562773</v>
      </c>
      <c r="F112" s="178">
        <f t="shared" si="15"/>
        <v>3352.348988798009</v>
      </c>
      <c r="H112" s="223"/>
      <c r="I112" s="225"/>
      <c r="J112" s="71"/>
      <c r="K112" s="33">
        <f>F112-J100</f>
        <v>2316.5569799731475</v>
      </c>
      <c r="L112" s="34"/>
      <c r="M112" s="177"/>
      <c r="N112" s="35">
        <f t="shared" si="22"/>
        <v>2148.9416594859031</v>
      </c>
      <c r="O112" s="87"/>
      <c r="P112" s="225"/>
      <c r="Q112" s="71"/>
      <c r="R112" s="33">
        <f>N112-Q100</f>
        <v>1484.9724230597099</v>
      </c>
      <c r="S112" s="40"/>
      <c r="T112" s="74"/>
      <c r="U112" s="42"/>
      <c r="V112" s="75"/>
      <c r="W112" s="76"/>
      <c r="X112" s="77"/>
      <c r="Y112" s="78"/>
      <c r="Z112" s="79"/>
      <c r="AA112" s="80"/>
      <c r="AB112" s="49"/>
      <c r="AC112" s="64"/>
      <c r="AD112" s="81"/>
      <c r="AE112" s="66"/>
      <c r="AF112" s="67"/>
      <c r="AG112" s="82"/>
      <c r="AH112" s="83"/>
      <c r="AI112" s="84"/>
      <c r="AJ112" s="151"/>
      <c r="AK112" s="154">
        <f t="shared" si="16"/>
        <v>0</v>
      </c>
      <c r="AL112" s="172"/>
    </row>
    <row r="113" spans="1:38" x14ac:dyDescent="0.3">
      <c r="A113" s="188">
        <v>110</v>
      </c>
      <c r="B113" s="228">
        <f>((B118-B108)/10)+B112</f>
        <v>28.900000000000002</v>
      </c>
      <c r="C113" s="246">
        <f>((C118-C108)/10)+C112</f>
        <v>0.45399999999999996</v>
      </c>
      <c r="D113" s="175">
        <f t="shared" si="13"/>
        <v>1.426283064729766</v>
      </c>
      <c r="E113" s="249">
        <f t="shared" si="14"/>
        <v>2.3204975078075774</v>
      </c>
      <c r="F113" s="178">
        <f t="shared" si="15"/>
        <v>3422.7338240161766</v>
      </c>
      <c r="H113" s="223"/>
      <c r="I113" s="225"/>
      <c r="J113" s="71"/>
      <c r="K113" s="33">
        <f>F113-J100</f>
        <v>2386.9418151913151</v>
      </c>
      <c r="L113" s="34"/>
      <c r="M113" s="177"/>
      <c r="N113" s="35">
        <f t="shared" si="22"/>
        <v>2194.060143600113</v>
      </c>
      <c r="O113" s="87"/>
      <c r="P113" s="225"/>
      <c r="Q113" s="71"/>
      <c r="R113" s="33">
        <f>N113-Q100</f>
        <v>1530.0909071739197</v>
      </c>
      <c r="S113" s="40"/>
      <c r="T113" s="74"/>
      <c r="U113" s="42"/>
      <c r="V113" s="75"/>
      <c r="W113" s="76"/>
      <c r="X113" s="77"/>
      <c r="Y113" s="78"/>
      <c r="Z113" s="79"/>
      <c r="AA113" s="80"/>
      <c r="AB113" s="49"/>
      <c r="AC113" s="64"/>
      <c r="AD113" s="81"/>
      <c r="AE113" s="66"/>
      <c r="AF113" s="67"/>
      <c r="AG113" s="82"/>
      <c r="AH113" s="83"/>
      <c r="AI113" s="84"/>
      <c r="AJ113" s="151"/>
      <c r="AK113" s="154">
        <f t="shared" si="16"/>
        <v>0</v>
      </c>
      <c r="AL113" s="172"/>
    </row>
    <row r="114" spans="1:38" x14ac:dyDescent="0.3">
      <c r="A114" s="188">
        <v>111</v>
      </c>
      <c r="B114" s="228">
        <f>((B118-B108)/10)+B113</f>
        <v>29.040000000000003</v>
      </c>
      <c r="C114" s="246">
        <f>((C118-C108)/10)+C113</f>
        <v>0.45759999999999995</v>
      </c>
      <c r="D114" s="175">
        <f t="shared" si="13"/>
        <v>1.4375927982826893</v>
      </c>
      <c r="E114" s="249">
        <f t="shared" si="14"/>
        <v>2.3688644009448852</v>
      </c>
      <c r="F114" s="178">
        <f t="shared" si="15"/>
        <v>3494.0749913937057</v>
      </c>
      <c r="H114" s="222">
        <v>0.2</v>
      </c>
      <c r="I114" s="225">
        <f>H114*(F114-J100)</f>
        <v>491.65659651376882</v>
      </c>
      <c r="J114" s="71">
        <f>I114+J100</f>
        <v>1527.4486053386302</v>
      </c>
      <c r="K114" s="33">
        <f>F114-J114</f>
        <v>1966.6263860550755</v>
      </c>
      <c r="L114" s="34"/>
      <c r="M114" s="177"/>
      <c r="N114" s="35">
        <f t="shared" si="22"/>
        <v>2239.7916611498113</v>
      </c>
      <c r="O114" s="87">
        <v>0.2</v>
      </c>
      <c r="P114" s="225">
        <f>O114*(N114-Q100)</f>
        <v>315.16448494472365</v>
      </c>
      <c r="Q114" s="71">
        <f>P114+Q100</f>
        <v>979.13372137091676</v>
      </c>
      <c r="R114" s="33">
        <f>N114-Q114</f>
        <v>1260.6579397788946</v>
      </c>
      <c r="S114" s="40"/>
      <c r="T114" s="74">
        <f>P114*10%</f>
        <v>31.516448494472368</v>
      </c>
      <c r="U114" s="42">
        <f t="shared" si="17"/>
        <v>29.940626069748749</v>
      </c>
      <c r="V114" s="75">
        <v>8</v>
      </c>
      <c r="W114" s="76">
        <f t="shared" si="18"/>
        <v>252.13158795577894</v>
      </c>
      <c r="X114" s="77">
        <v>0.4</v>
      </c>
      <c r="Y114" s="78">
        <v>0.6</v>
      </c>
      <c r="Z114" s="79"/>
      <c r="AA114" s="80">
        <f>P114*10%</f>
        <v>31.516448494472368</v>
      </c>
      <c r="AB114" s="49">
        <f t="shared" si="23"/>
        <v>176.49211156904516</v>
      </c>
      <c r="AC114" s="64">
        <f t="shared" si="24"/>
        <v>346.68093343919588</v>
      </c>
      <c r="AD114" s="81">
        <v>8</v>
      </c>
      <c r="AE114" s="66">
        <f t="shared" si="25"/>
        <v>2773.4474675135671</v>
      </c>
      <c r="AF114" s="67"/>
      <c r="AG114" s="82">
        <f>P114*80%</f>
        <v>252.13158795577894</v>
      </c>
      <c r="AH114" s="83">
        <v>90</v>
      </c>
      <c r="AI114" s="84">
        <f t="shared" si="20"/>
        <v>22691.842916020105</v>
      </c>
      <c r="AJ114" s="151"/>
      <c r="AK114" s="154">
        <f t="shared" si="16"/>
        <v>25717.42197148945</v>
      </c>
      <c r="AL114" s="172"/>
    </row>
    <row r="115" spans="1:38" x14ac:dyDescent="0.3">
      <c r="A115" s="188">
        <v>112</v>
      </c>
      <c r="B115" s="228">
        <f>((B118-B108)/10)+B114</f>
        <v>29.180000000000003</v>
      </c>
      <c r="C115" s="246">
        <f>((C118-C108)/10)+C114</f>
        <v>0.46119999999999994</v>
      </c>
      <c r="D115" s="175">
        <f t="shared" si="13"/>
        <v>1.4489025318356124</v>
      </c>
      <c r="E115" s="249">
        <f t="shared" si="14"/>
        <v>2.4178838957468485</v>
      </c>
      <c r="F115" s="178">
        <f t="shared" si="15"/>
        <v>3566.3787462266014</v>
      </c>
      <c r="H115" s="223"/>
      <c r="I115" s="225"/>
      <c r="J115" s="71"/>
      <c r="K115" s="33">
        <f>F115-J114</f>
        <v>2038.9301408879712</v>
      </c>
      <c r="L115" s="34"/>
      <c r="M115" s="177"/>
      <c r="N115" s="35">
        <f t="shared" si="22"/>
        <v>2286.1402219401289</v>
      </c>
      <c r="O115" s="87"/>
      <c r="P115" s="225"/>
      <c r="Q115" s="71"/>
      <c r="R115" s="33">
        <f>N115-Q114</f>
        <v>1307.0065005692122</v>
      </c>
      <c r="S115" s="40"/>
      <c r="T115" s="74"/>
      <c r="U115" s="42"/>
      <c r="V115" s="75"/>
      <c r="W115" s="76"/>
      <c r="X115" s="77"/>
      <c r="Y115" s="78"/>
      <c r="Z115" s="79"/>
      <c r="AA115" s="80"/>
      <c r="AB115" s="49"/>
      <c r="AC115" s="64"/>
      <c r="AD115" s="81"/>
      <c r="AE115" s="66"/>
      <c r="AF115" s="67"/>
      <c r="AG115" s="82"/>
      <c r="AH115" s="83"/>
      <c r="AI115" s="84"/>
      <c r="AJ115" s="151"/>
      <c r="AK115" s="154">
        <f t="shared" si="16"/>
        <v>0</v>
      </c>
      <c r="AL115" s="172"/>
    </row>
    <row r="116" spans="1:38" x14ac:dyDescent="0.3">
      <c r="A116" s="188">
        <v>113</v>
      </c>
      <c r="B116" s="228">
        <f>((B118-B108)/10)+B115</f>
        <v>29.320000000000004</v>
      </c>
      <c r="C116" s="246">
        <f>((C118-C108)/10)+C115</f>
        <v>0.46479999999999994</v>
      </c>
      <c r="D116" s="175">
        <f t="shared" si="13"/>
        <v>1.4602122653885357</v>
      </c>
      <c r="E116" s="249">
        <f t="shared" si="14"/>
        <v>2.4675602330921174</v>
      </c>
      <c r="F116" s="178">
        <f t="shared" si="15"/>
        <v>3639.6513438108732</v>
      </c>
      <c r="H116" s="223"/>
      <c r="I116" s="225"/>
      <c r="J116" s="71"/>
      <c r="K116" s="33">
        <f>F116-J114</f>
        <v>2112.2027384722433</v>
      </c>
      <c r="L116" s="34"/>
      <c r="M116" s="177"/>
      <c r="N116" s="35">
        <f t="shared" si="22"/>
        <v>2333.1098357762007</v>
      </c>
      <c r="O116" s="87"/>
      <c r="P116" s="225"/>
      <c r="Q116" s="71"/>
      <c r="R116" s="33">
        <f>N116-Q114</f>
        <v>1353.9761144052841</v>
      </c>
      <c r="S116" s="40"/>
      <c r="T116" s="74"/>
      <c r="U116" s="42"/>
      <c r="V116" s="75"/>
      <c r="W116" s="76"/>
      <c r="X116" s="77"/>
      <c r="Y116" s="78"/>
      <c r="Z116" s="79"/>
      <c r="AA116" s="80"/>
      <c r="AB116" s="49"/>
      <c r="AC116" s="64"/>
      <c r="AD116" s="81"/>
      <c r="AE116" s="66"/>
      <c r="AF116" s="67"/>
      <c r="AG116" s="82"/>
      <c r="AH116" s="83"/>
      <c r="AI116" s="84"/>
      <c r="AJ116" s="151"/>
      <c r="AK116" s="154">
        <f t="shared" si="16"/>
        <v>0</v>
      </c>
      <c r="AL116" s="172"/>
    </row>
    <row r="117" spans="1:38" x14ac:dyDescent="0.3">
      <c r="A117" s="188">
        <v>114</v>
      </c>
      <c r="B117" s="228">
        <f>((B118-B108)/10)+B116</f>
        <v>29.460000000000004</v>
      </c>
      <c r="C117" s="246">
        <f>((C118-C108)/10)+C116</f>
        <v>0.46839999999999993</v>
      </c>
      <c r="D117" s="175">
        <f t="shared" si="13"/>
        <v>1.471521998941459</v>
      </c>
      <c r="E117" s="249">
        <f t="shared" si="14"/>
        <v>2.5178976538593396</v>
      </c>
      <c r="F117" s="178">
        <f t="shared" si="15"/>
        <v>3713.8990394425259</v>
      </c>
      <c r="H117" s="223"/>
      <c r="I117" s="225"/>
      <c r="J117" s="71"/>
      <c r="K117" s="33">
        <f>F117-J114</f>
        <v>2186.4504341038955</v>
      </c>
      <c r="L117" s="34"/>
      <c r="M117" s="177"/>
      <c r="N117" s="35">
        <f t="shared" si="22"/>
        <v>2380.7045124631577</v>
      </c>
      <c r="O117" s="87"/>
      <c r="P117" s="225"/>
      <c r="Q117" s="71"/>
      <c r="R117" s="33">
        <f>N117-Q114</f>
        <v>1401.5707910922411</v>
      </c>
      <c r="S117" s="40"/>
      <c r="T117" s="74"/>
      <c r="U117" s="42"/>
      <c r="V117" s="75"/>
      <c r="W117" s="76"/>
      <c r="X117" s="77"/>
      <c r="Y117" s="78"/>
      <c r="Z117" s="79"/>
      <c r="AA117" s="80"/>
      <c r="AB117" s="49"/>
      <c r="AC117" s="64"/>
      <c r="AD117" s="81"/>
      <c r="AE117" s="66"/>
      <c r="AF117" s="67"/>
      <c r="AG117" s="82"/>
      <c r="AH117" s="83"/>
      <c r="AI117" s="84"/>
      <c r="AJ117" s="151"/>
      <c r="AK117" s="154">
        <f t="shared" si="16"/>
        <v>0</v>
      </c>
      <c r="AL117" s="172"/>
    </row>
    <row r="118" spans="1:38" x14ac:dyDescent="0.3">
      <c r="A118" s="226">
        <v>115</v>
      </c>
      <c r="B118" s="228">
        <v>29.6</v>
      </c>
      <c r="C118" s="237">
        <v>0.47199999999999998</v>
      </c>
      <c r="D118" s="175">
        <f t="shared" si="13"/>
        <v>1.4828317324943823</v>
      </c>
      <c r="E118" s="249">
        <f t="shared" si="14"/>
        <v>2.5689003989271635</v>
      </c>
      <c r="F118" s="178">
        <f t="shared" si="15"/>
        <v>3789.1280884175662</v>
      </c>
      <c r="H118" s="223"/>
      <c r="I118" s="225"/>
      <c r="J118" s="71"/>
      <c r="K118" s="33">
        <f>F118-J114</f>
        <v>2261.6794830789358</v>
      </c>
      <c r="L118" s="34"/>
      <c r="M118" s="177"/>
      <c r="N118" s="35">
        <f t="shared" si="22"/>
        <v>2428.928261806132</v>
      </c>
      <c r="O118" s="87"/>
      <c r="P118" s="225"/>
      <c r="Q118" s="71"/>
      <c r="R118" s="33">
        <f>N118-Q114</f>
        <v>1449.7945404352154</v>
      </c>
      <c r="S118" s="40"/>
      <c r="T118" s="74"/>
      <c r="U118" s="42"/>
      <c r="V118" s="75"/>
      <c r="W118" s="76"/>
      <c r="X118" s="77"/>
      <c r="Y118" s="78"/>
      <c r="Z118" s="79"/>
      <c r="AA118" s="80"/>
      <c r="AB118" s="49"/>
      <c r="AC118" s="64"/>
      <c r="AD118" s="81"/>
      <c r="AE118" s="66"/>
      <c r="AF118" s="67"/>
      <c r="AG118" s="82"/>
      <c r="AH118" s="83"/>
      <c r="AI118" s="84"/>
      <c r="AJ118" s="151"/>
      <c r="AK118" s="154">
        <f t="shared" si="16"/>
        <v>0</v>
      </c>
      <c r="AL118" s="172"/>
    </row>
    <row r="119" spans="1:38" x14ac:dyDescent="0.3">
      <c r="A119" s="188">
        <v>116</v>
      </c>
      <c r="B119" s="228">
        <f>((B128-B118)/10)+B118</f>
        <v>29.740000000000002</v>
      </c>
      <c r="C119" s="246">
        <f>((C128-C118)/10)+C118</f>
        <v>0.47599999999999998</v>
      </c>
      <c r="D119" s="175">
        <f t="shared" si="13"/>
        <v>1.4953981031087415</v>
      </c>
      <c r="E119" s="249">
        <f t="shared" si="14"/>
        <v>2.62498259095086</v>
      </c>
      <c r="F119" s="178">
        <f t="shared" si="15"/>
        <v>3871.8493216525185</v>
      </c>
      <c r="H119" s="223"/>
      <c r="I119" s="225"/>
      <c r="J119" s="71"/>
      <c r="K119" s="33">
        <f>F119-J114</f>
        <v>2344.4007163138886</v>
      </c>
      <c r="L119" s="34"/>
      <c r="M119" s="177"/>
      <c r="N119" s="35">
        <f t="shared" si="22"/>
        <v>2481.954693366999</v>
      </c>
      <c r="O119" s="87"/>
      <c r="P119" s="225"/>
      <c r="Q119" s="71"/>
      <c r="R119" s="33">
        <f>N119-Q114</f>
        <v>1502.8209719960823</v>
      </c>
      <c r="S119" s="40"/>
      <c r="T119" s="74"/>
      <c r="U119" s="42"/>
      <c r="V119" s="75"/>
      <c r="W119" s="76"/>
      <c r="X119" s="77"/>
      <c r="Y119" s="78"/>
      <c r="Z119" s="79"/>
      <c r="AA119" s="80"/>
      <c r="AB119" s="49"/>
      <c r="AC119" s="64"/>
      <c r="AD119" s="81"/>
      <c r="AE119" s="66"/>
      <c r="AF119" s="67"/>
      <c r="AG119" s="82"/>
      <c r="AH119" s="83"/>
      <c r="AI119" s="84"/>
      <c r="AJ119" s="151"/>
      <c r="AK119" s="154">
        <f t="shared" si="16"/>
        <v>0</v>
      </c>
      <c r="AL119" s="172"/>
    </row>
    <row r="120" spans="1:38" x14ac:dyDescent="0.3">
      <c r="A120" s="188">
        <v>117</v>
      </c>
      <c r="B120" s="228">
        <f>((B128-B118)/10)+B119</f>
        <v>29.880000000000003</v>
      </c>
      <c r="C120" s="246">
        <f>((C128-C118)/10)+C119</f>
        <v>0.48</v>
      </c>
      <c r="D120" s="175">
        <f t="shared" si="13"/>
        <v>1.5079644737231006</v>
      </c>
      <c r="E120" s="249">
        <f t="shared" si="14"/>
        <v>2.6818508788228486</v>
      </c>
      <c r="F120" s="178">
        <f t="shared" si="15"/>
        <v>3955.7300462637018</v>
      </c>
      <c r="H120" s="223"/>
      <c r="I120" s="225"/>
      <c r="J120" s="71"/>
      <c r="K120" s="33">
        <f>F120-J114</f>
        <v>2428.2814409250714</v>
      </c>
      <c r="L120" s="34"/>
      <c r="M120" s="177"/>
      <c r="N120" s="35">
        <f t="shared" si="22"/>
        <v>2535.7243886305778</v>
      </c>
      <c r="O120" s="87"/>
      <c r="P120" s="225"/>
      <c r="Q120" s="71"/>
      <c r="R120" s="33">
        <f>N120-Q114</f>
        <v>1556.5906672596611</v>
      </c>
      <c r="S120" s="40"/>
      <c r="T120" s="74"/>
      <c r="U120" s="42"/>
      <c r="V120" s="75"/>
      <c r="W120" s="76"/>
      <c r="X120" s="77"/>
      <c r="Y120" s="78"/>
      <c r="Z120" s="79"/>
      <c r="AA120" s="80"/>
      <c r="AB120" s="49"/>
      <c r="AC120" s="64"/>
      <c r="AD120" s="81"/>
      <c r="AE120" s="66"/>
      <c r="AF120" s="67"/>
      <c r="AG120" s="82"/>
      <c r="AH120" s="83"/>
      <c r="AI120" s="84"/>
      <c r="AJ120" s="151"/>
      <c r="AK120" s="154">
        <f t="shared" si="16"/>
        <v>0</v>
      </c>
      <c r="AL120" s="172"/>
    </row>
    <row r="121" spans="1:38" x14ac:dyDescent="0.3">
      <c r="A121" s="188">
        <v>118</v>
      </c>
      <c r="B121" s="228">
        <f>((B128-B118)/10)+B120</f>
        <v>30.020000000000003</v>
      </c>
      <c r="C121" s="246">
        <f>((C128-C118)/10)+C120</f>
        <v>0.48399999999999999</v>
      </c>
      <c r="D121" s="175">
        <f t="shared" si="13"/>
        <v>1.5205308443374599</v>
      </c>
      <c r="E121" s="249">
        <f t="shared" si="14"/>
        <v>2.7395104981957852</v>
      </c>
      <c r="F121" s="178">
        <f t="shared" si="15"/>
        <v>4040.7779848387831</v>
      </c>
      <c r="H121" s="223"/>
      <c r="I121" s="225"/>
      <c r="J121" s="71"/>
      <c r="K121" s="33">
        <f>F121-J114</f>
        <v>2513.3293795001528</v>
      </c>
      <c r="L121" s="34"/>
      <c r="M121" s="177"/>
      <c r="N121" s="35">
        <f t="shared" si="22"/>
        <v>2590.2422979735788</v>
      </c>
      <c r="O121" s="87"/>
      <c r="P121" s="225"/>
      <c r="Q121" s="71"/>
      <c r="R121" s="33">
        <f>N121-Q114</f>
        <v>1611.1085766026622</v>
      </c>
      <c r="S121" s="40"/>
      <c r="T121" s="74"/>
      <c r="U121" s="42"/>
      <c r="V121" s="75"/>
      <c r="W121" s="76"/>
      <c r="X121" s="77"/>
      <c r="Y121" s="78"/>
      <c r="Z121" s="79"/>
      <c r="AA121" s="80"/>
      <c r="AB121" s="49"/>
      <c r="AC121" s="64"/>
      <c r="AD121" s="81"/>
      <c r="AE121" s="66"/>
      <c r="AF121" s="67"/>
      <c r="AG121" s="82"/>
      <c r="AH121" s="83"/>
      <c r="AI121" s="84"/>
      <c r="AJ121" s="151"/>
      <c r="AK121" s="154">
        <f t="shared" si="16"/>
        <v>0</v>
      </c>
      <c r="AL121" s="172"/>
    </row>
    <row r="122" spans="1:38" x14ac:dyDescent="0.3">
      <c r="A122" s="188">
        <v>119</v>
      </c>
      <c r="B122" s="228">
        <f>((B128-B118)/10)+B121</f>
        <v>30.160000000000004</v>
      </c>
      <c r="C122" s="246">
        <f>((C128-C118)/10)+C121</f>
        <v>0.48799999999999999</v>
      </c>
      <c r="D122" s="175">
        <f t="shared" si="13"/>
        <v>1.5330972149518189</v>
      </c>
      <c r="E122" s="249">
        <f t="shared" si="14"/>
        <v>2.7979666847223208</v>
      </c>
      <c r="F122" s="178">
        <f t="shared" si="15"/>
        <v>4127.0008599654229</v>
      </c>
      <c r="H122" s="223"/>
      <c r="I122" s="225"/>
      <c r="J122" s="71"/>
      <c r="K122" s="33">
        <f>F122-J114</f>
        <v>2599.552254626793</v>
      </c>
      <c r="L122" s="34"/>
      <c r="M122" s="177"/>
      <c r="N122" s="35">
        <f t="shared" si="22"/>
        <v>2645.5133717727067</v>
      </c>
      <c r="O122" s="87"/>
      <c r="P122" s="225"/>
      <c r="Q122" s="71"/>
      <c r="R122" s="33">
        <f>N122-Q114</f>
        <v>1666.3796504017901</v>
      </c>
      <c r="S122" s="40"/>
      <c r="T122" s="74"/>
      <c r="U122" s="42"/>
      <c r="V122" s="75"/>
      <c r="W122" s="76"/>
      <c r="X122" s="77"/>
      <c r="Y122" s="78"/>
      <c r="Z122" s="79"/>
      <c r="AA122" s="80"/>
      <c r="AB122" s="49"/>
      <c r="AC122" s="64"/>
      <c r="AD122" s="81"/>
      <c r="AE122" s="66"/>
      <c r="AF122" s="67"/>
      <c r="AG122" s="82"/>
      <c r="AH122" s="83"/>
      <c r="AI122" s="84"/>
      <c r="AJ122" s="151"/>
      <c r="AK122" s="154">
        <f t="shared" si="16"/>
        <v>0</v>
      </c>
      <c r="AL122" s="172"/>
    </row>
    <row r="123" spans="1:38" x14ac:dyDescent="0.3">
      <c r="A123" s="188">
        <v>120</v>
      </c>
      <c r="B123" s="228">
        <f>((B128-B118)/10)+B122</f>
        <v>30.300000000000004</v>
      </c>
      <c r="C123" s="246">
        <f>((C128-C118)/10)+C122</f>
        <v>0.49199999999999999</v>
      </c>
      <c r="D123" s="175">
        <f t="shared" si="13"/>
        <v>1.5456635855661782</v>
      </c>
      <c r="E123" s="249">
        <f t="shared" si="14"/>
        <v>2.8572246740551086</v>
      </c>
      <c r="F123" s="178">
        <f t="shared" si="15"/>
        <v>4214.406394231285</v>
      </c>
      <c r="H123" s="223"/>
      <c r="I123" s="225"/>
      <c r="J123" s="71"/>
      <c r="K123" s="33">
        <f>F123-J114</f>
        <v>2686.9577888926551</v>
      </c>
      <c r="L123" s="34"/>
      <c r="M123" s="177"/>
      <c r="N123" s="35">
        <f t="shared" si="22"/>
        <v>2701.54256040467</v>
      </c>
      <c r="O123" s="87"/>
      <c r="P123" s="225"/>
      <c r="Q123" s="71"/>
      <c r="R123" s="33">
        <f>N123-Q114</f>
        <v>1722.4088390337533</v>
      </c>
      <c r="S123" s="40"/>
      <c r="T123" s="74"/>
      <c r="U123" s="42"/>
      <c r="V123" s="75"/>
      <c r="W123" s="76"/>
      <c r="X123" s="77"/>
      <c r="Y123" s="78"/>
      <c r="Z123" s="79"/>
      <c r="AA123" s="80"/>
      <c r="AB123" s="49"/>
      <c r="AC123" s="64"/>
      <c r="AD123" s="81"/>
      <c r="AE123" s="66"/>
      <c r="AF123" s="67"/>
      <c r="AG123" s="82"/>
      <c r="AH123" s="83"/>
      <c r="AI123" s="84"/>
      <c r="AJ123" s="151"/>
      <c r="AK123" s="154">
        <f t="shared" si="16"/>
        <v>0</v>
      </c>
      <c r="AL123" s="172"/>
    </row>
    <row r="124" spans="1:38" x14ac:dyDescent="0.3">
      <c r="A124" s="188">
        <v>121</v>
      </c>
      <c r="B124" s="228">
        <f>((B128-B118)/10)+B123</f>
        <v>30.440000000000005</v>
      </c>
      <c r="C124" s="246">
        <f>((C128-C118)/10)+C123</f>
        <v>0.496</v>
      </c>
      <c r="D124" s="175">
        <f t="shared" si="13"/>
        <v>1.5582299561805373</v>
      </c>
      <c r="E124" s="249">
        <f t="shared" si="14"/>
        <v>2.9172897018468014</v>
      </c>
      <c r="F124" s="178">
        <f t="shared" si="15"/>
        <v>4303.002310224032</v>
      </c>
      <c r="H124" s="223"/>
      <c r="I124" s="225"/>
      <c r="J124" s="71"/>
      <c r="K124" s="33">
        <f>F124-J114</f>
        <v>2775.5537048854021</v>
      </c>
      <c r="L124" s="34"/>
      <c r="M124" s="177"/>
      <c r="N124" s="35">
        <f t="shared" si="22"/>
        <v>2758.3348142461741</v>
      </c>
      <c r="O124" s="87"/>
      <c r="P124" s="225"/>
      <c r="Q124" s="71"/>
      <c r="R124" s="33">
        <f>N124-Q114</f>
        <v>1779.2010928752575</v>
      </c>
      <c r="S124" s="40"/>
      <c r="T124" s="74"/>
      <c r="U124" s="42"/>
      <c r="V124" s="75"/>
      <c r="W124" s="76"/>
      <c r="X124" s="77"/>
      <c r="Y124" s="78"/>
      <c r="Z124" s="79"/>
      <c r="AA124" s="80"/>
      <c r="AB124" s="49"/>
      <c r="AC124" s="64"/>
      <c r="AD124" s="81"/>
      <c r="AE124" s="66"/>
      <c r="AF124" s="67"/>
      <c r="AG124" s="82"/>
      <c r="AH124" s="83"/>
      <c r="AI124" s="84"/>
      <c r="AJ124" s="151"/>
      <c r="AK124" s="154">
        <f t="shared" si="16"/>
        <v>0</v>
      </c>
      <c r="AL124" s="172"/>
    </row>
    <row r="125" spans="1:38" x14ac:dyDescent="0.3">
      <c r="A125" s="188">
        <v>122</v>
      </c>
      <c r="B125" s="228">
        <f>((B128-B118)/10)+B124</f>
        <v>30.580000000000005</v>
      </c>
      <c r="C125" s="246">
        <f>((C128-C118)/10)+C124</f>
        <v>0.5</v>
      </c>
      <c r="D125" s="175">
        <f t="shared" si="13"/>
        <v>1.5707963267948966</v>
      </c>
      <c r="E125" s="249">
        <f t="shared" si="14"/>
        <v>2.9781670037500527</v>
      </c>
      <c r="F125" s="178">
        <f t="shared" si="15"/>
        <v>4392.7963305313278</v>
      </c>
      <c r="H125" s="223"/>
      <c r="I125" s="225"/>
      <c r="J125" s="71"/>
      <c r="K125" s="33">
        <f>F125-J114</f>
        <v>2865.3477251926979</v>
      </c>
      <c r="L125" s="34"/>
      <c r="M125" s="177"/>
      <c r="N125" s="35">
        <f t="shared" si="22"/>
        <v>2815.8950836739282</v>
      </c>
      <c r="O125" s="87"/>
      <c r="P125" s="225"/>
      <c r="Q125" s="71"/>
      <c r="R125" s="33">
        <f>N125-Q114</f>
        <v>1836.7613623030115</v>
      </c>
      <c r="S125" s="40"/>
      <c r="T125" s="74"/>
      <c r="U125" s="42"/>
      <c r="V125" s="75"/>
      <c r="W125" s="76"/>
      <c r="X125" s="77"/>
      <c r="Y125" s="78"/>
      <c r="Z125" s="79"/>
      <c r="AA125" s="80"/>
      <c r="AB125" s="49"/>
      <c r="AC125" s="64"/>
      <c r="AD125" s="81"/>
      <c r="AE125" s="66"/>
      <c r="AF125" s="67"/>
      <c r="AG125" s="82"/>
      <c r="AH125" s="83"/>
      <c r="AI125" s="84"/>
      <c r="AJ125" s="151"/>
      <c r="AK125" s="154">
        <f t="shared" si="16"/>
        <v>0</v>
      </c>
      <c r="AL125" s="172"/>
    </row>
    <row r="126" spans="1:38" x14ac:dyDescent="0.3">
      <c r="A126" s="188">
        <v>123</v>
      </c>
      <c r="B126" s="228">
        <f>((B128-B118)/10)+B125</f>
        <v>30.720000000000006</v>
      </c>
      <c r="C126" s="246">
        <f>((C128-C118)/10)+C125</f>
        <v>0.504</v>
      </c>
      <c r="D126" s="175">
        <f t="shared" si="13"/>
        <v>1.5833626974092558</v>
      </c>
      <c r="E126" s="249">
        <f t="shared" si="14"/>
        <v>3.0398618154175137</v>
      </c>
      <c r="F126" s="178">
        <f t="shared" si="15"/>
        <v>4483.7961777408327</v>
      </c>
      <c r="H126" s="223"/>
      <c r="I126" s="225"/>
      <c r="J126" s="71"/>
      <c r="K126" s="33">
        <f>F126-J114</f>
        <v>2956.3475724022028</v>
      </c>
      <c r="L126" s="34"/>
      <c r="M126" s="177"/>
      <c r="N126" s="35">
        <f t="shared" si="22"/>
        <v>2874.2283190646363</v>
      </c>
      <c r="O126" s="87"/>
      <c r="P126" s="225"/>
      <c r="Q126" s="71"/>
      <c r="R126" s="33">
        <f>N126-Q114</f>
        <v>1895.0945976937196</v>
      </c>
      <c r="S126" s="40"/>
      <c r="T126" s="74"/>
      <c r="U126" s="42"/>
      <c r="V126" s="75"/>
      <c r="W126" s="76"/>
      <c r="X126" s="77"/>
      <c r="Y126" s="78"/>
      <c r="Z126" s="79"/>
      <c r="AA126" s="80"/>
      <c r="AB126" s="49"/>
      <c r="AC126" s="64"/>
      <c r="AD126" s="81"/>
      <c r="AE126" s="66"/>
      <c r="AF126" s="67"/>
      <c r="AG126" s="82"/>
      <c r="AH126" s="83"/>
      <c r="AI126" s="84"/>
      <c r="AJ126" s="151"/>
      <c r="AK126" s="154">
        <f t="shared" si="16"/>
        <v>0</v>
      </c>
      <c r="AL126" s="172"/>
    </row>
    <row r="127" spans="1:38" x14ac:dyDescent="0.3">
      <c r="A127" s="188">
        <v>124</v>
      </c>
      <c r="B127" s="228">
        <f>((B128-B118)/10)+B126</f>
        <v>30.860000000000007</v>
      </c>
      <c r="C127" s="246">
        <f>((C128-C118)/10)+C126</f>
        <v>0.50800000000000001</v>
      </c>
      <c r="D127" s="175">
        <f t="shared" si="13"/>
        <v>1.5959290680236149</v>
      </c>
      <c r="E127" s="249">
        <f t="shared" si="14"/>
        <v>3.1023793725018383</v>
      </c>
      <c r="F127" s="178">
        <f t="shared" si="15"/>
        <v>4576.0095744402115</v>
      </c>
      <c r="H127" s="223"/>
      <c r="I127" s="225"/>
      <c r="J127" s="71"/>
      <c r="K127" s="33">
        <f>F127-J114</f>
        <v>3048.5609691015816</v>
      </c>
      <c r="L127" s="34"/>
      <c r="M127" s="177"/>
      <c r="N127" s="35">
        <f t="shared" si="22"/>
        <v>2933.3394707950074</v>
      </c>
      <c r="O127" s="87"/>
      <c r="P127" s="225"/>
      <c r="Q127" s="71"/>
      <c r="R127" s="33">
        <f>N127-Q114</f>
        <v>1954.2057494240908</v>
      </c>
      <c r="S127" s="40"/>
      <c r="T127" s="74"/>
      <c r="U127" s="42"/>
      <c r="V127" s="75"/>
      <c r="W127" s="76"/>
      <c r="X127" s="77"/>
      <c r="Y127" s="78"/>
      <c r="Z127" s="79"/>
      <c r="AA127" s="80"/>
      <c r="AB127" s="49"/>
      <c r="AC127" s="64"/>
      <c r="AD127" s="81"/>
      <c r="AE127" s="66"/>
      <c r="AF127" s="67"/>
      <c r="AG127" s="82"/>
      <c r="AH127" s="83"/>
      <c r="AI127" s="84"/>
      <c r="AJ127" s="151"/>
      <c r="AK127" s="154">
        <f t="shared" si="16"/>
        <v>0</v>
      </c>
      <c r="AL127" s="172"/>
    </row>
    <row r="128" spans="1:38" x14ac:dyDescent="0.3">
      <c r="A128" s="226">
        <v>125</v>
      </c>
      <c r="B128" s="228">
        <v>31</v>
      </c>
      <c r="C128" s="237">
        <v>0.51200000000000001</v>
      </c>
      <c r="D128" s="175">
        <f t="shared" si="13"/>
        <v>1.6084954386379742</v>
      </c>
      <c r="E128" s="249">
        <f t="shared" si="14"/>
        <v>3.1657249106556788</v>
      </c>
      <c r="F128" s="178">
        <f t="shared" si="15"/>
        <v>4669.4442432171263</v>
      </c>
      <c r="H128" s="222">
        <v>0.2</v>
      </c>
      <c r="I128" s="225">
        <f>H128*(F128-J114)</f>
        <v>628.39912757569937</v>
      </c>
      <c r="J128" s="71">
        <f>I128+J114</f>
        <v>2155.8477329143298</v>
      </c>
      <c r="K128" s="33">
        <f>F128-J128</f>
        <v>2513.5965103027966</v>
      </c>
      <c r="L128" s="34"/>
      <c r="M128" s="177"/>
      <c r="N128" s="35">
        <f t="shared" si="22"/>
        <v>2993.2334892417475</v>
      </c>
      <c r="O128" s="87">
        <v>0.2</v>
      </c>
      <c r="P128" s="225">
        <f>O128*(N128-Q114)</f>
        <v>402.81995357416622</v>
      </c>
      <c r="Q128" s="71">
        <f>P128+Q114</f>
        <v>1381.9536749450831</v>
      </c>
      <c r="R128" s="33">
        <f>N128-Q128</f>
        <v>1611.2798142966644</v>
      </c>
      <c r="S128" s="40"/>
      <c r="T128" s="74">
        <f>P128*10%</f>
        <v>40.281995357416626</v>
      </c>
      <c r="U128" s="42">
        <f t="shared" si="17"/>
        <v>38.267895589545795</v>
      </c>
      <c r="V128" s="75">
        <v>8</v>
      </c>
      <c r="W128" s="76">
        <f t="shared" ref="W128:W143" si="26">T128*V128</f>
        <v>322.25596285933301</v>
      </c>
      <c r="X128" s="77">
        <v>0.4</v>
      </c>
      <c r="Y128" s="78">
        <v>0.6</v>
      </c>
      <c r="Z128" s="79"/>
      <c r="AA128" s="80">
        <f>P128*10%</f>
        <v>40.281995357416626</v>
      </c>
      <c r="AB128" s="49">
        <f t="shared" si="23"/>
        <v>225.57917400153315</v>
      </c>
      <c r="AC128" s="64">
        <f t="shared" si="24"/>
        <v>443.10194893158297</v>
      </c>
      <c r="AD128" s="81">
        <v>8</v>
      </c>
      <c r="AE128" s="66">
        <f t="shared" si="25"/>
        <v>3544.8155914526637</v>
      </c>
      <c r="AF128" s="67"/>
      <c r="AG128" s="82">
        <f>P128*80%</f>
        <v>322.25596285933301</v>
      </c>
      <c r="AH128" s="83">
        <v>150</v>
      </c>
      <c r="AI128" s="84">
        <f t="shared" ref="AI128:AI143" si="27">AG128*AH128</f>
        <v>48338.394428899948</v>
      </c>
      <c r="AJ128" s="151"/>
      <c r="AK128" s="154">
        <f t="shared" si="16"/>
        <v>52205.465983211943</v>
      </c>
      <c r="AL128" s="172"/>
    </row>
    <row r="129" spans="1:38" x14ac:dyDescent="0.3">
      <c r="A129" s="188">
        <v>126</v>
      </c>
      <c r="B129" s="228">
        <f>((B138-B128)/10)+B128</f>
        <v>31.13</v>
      </c>
      <c r="C129" s="246">
        <f>((C138-C128)/10)+C128</f>
        <v>0.51590000000000003</v>
      </c>
      <c r="D129" s="175">
        <f t="shared" si="13"/>
        <v>1.6207476499869744</v>
      </c>
      <c r="E129" s="249">
        <f t="shared" si="14"/>
        <v>3.2276150679906772</v>
      </c>
      <c r="F129" s="178">
        <f t="shared" si="15"/>
        <v>4760.7322252862486</v>
      </c>
      <c r="H129" s="223"/>
      <c r="I129" s="225"/>
      <c r="J129" s="71"/>
      <c r="K129" s="33">
        <f>F129-J128</f>
        <v>2604.8844923719189</v>
      </c>
      <c r="L129" s="34"/>
      <c r="M129" s="177"/>
      <c r="N129" s="35">
        <f t="shared" si="22"/>
        <v>3051.7514264655438</v>
      </c>
      <c r="O129" s="87"/>
      <c r="P129" s="225"/>
      <c r="Q129" s="71"/>
      <c r="R129" s="33">
        <f>N129-Q128</f>
        <v>1669.7977515204607</v>
      </c>
      <c r="S129" s="40"/>
      <c r="T129" s="74"/>
      <c r="U129" s="42"/>
      <c r="V129" s="75"/>
      <c r="W129" s="76"/>
      <c r="X129" s="77"/>
      <c r="Y129" s="78"/>
      <c r="Z129" s="79"/>
      <c r="AA129" s="80"/>
      <c r="AB129" s="49"/>
      <c r="AC129" s="64"/>
      <c r="AD129" s="81"/>
      <c r="AE129" s="66"/>
      <c r="AF129" s="67"/>
      <c r="AG129" s="82"/>
      <c r="AH129" s="83"/>
      <c r="AI129" s="84"/>
      <c r="AJ129" s="151"/>
      <c r="AK129" s="154">
        <f t="shared" si="16"/>
        <v>0</v>
      </c>
      <c r="AL129" s="172"/>
    </row>
    <row r="130" spans="1:38" x14ac:dyDescent="0.3">
      <c r="A130" s="188">
        <v>127</v>
      </c>
      <c r="B130" s="228">
        <f>((B138-B128)/10)+B129</f>
        <v>31.259999999999998</v>
      </c>
      <c r="C130" s="246">
        <f>((C138-C128)/10)+C129</f>
        <v>0.51980000000000004</v>
      </c>
      <c r="D130" s="175">
        <f t="shared" si="13"/>
        <v>1.6329998613359746</v>
      </c>
      <c r="E130" s="249">
        <f t="shared" si="14"/>
        <v>3.2902816990260777</v>
      </c>
      <c r="F130" s="178">
        <f t="shared" si="15"/>
        <v>4853.1655060634648</v>
      </c>
      <c r="H130" s="223"/>
      <c r="I130" s="225"/>
      <c r="J130" s="71"/>
      <c r="K130" s="33">
        <f>F130-J128</f>
        <v>2697.3177731491351</v>
      </c>
      <c r="L130" s="34"/>
      <c r="M130" s="177"/>
      <c r="N130" s="35">
        <f t="shared" si="22"/>
        <v>3111.0035295278622</v>
      </c>
      <c r="O130" s="87"/>
      <c r="P130" s="225"/>
      <c r="Q130" s="71"/>
      <c r="R130" s="33">
        <f>N130-Q128</f>
        <v>1729.0498545827791</v>
      </c>
      <c r="S130" s="40"/>
      <c r="T130" s="74"/>
      <c r="U130" s="42"/>
      <c r="V130" s="75"/>
      <c r="W130" s="76"/>
      <c r="X130" s="77"/>
      <c r="Y130" s="78"/>
      <c r="Z130" s="79"/>
      <c r="AA130" s="80"/>
      <c r="AB130" s="49"/>
      <c r="AC130" s="64"/>
      <c r="AD130" s="81"/>
      <c r="AE130" s="66"/>
      <c r="AF130" s="67"/>
      <c r="AG130" s="82"/>
      <c r="AH130" s="83"/>
      <c r="AI130" s="84"/>
      <c r="AJ130" s="151"/>
      <c r="AK130" s="154">
        <f t="shared" si="16"/>
        <v>0</v>
      </c>
      <c r="AL130" s="172"/>
    </row>
    <row r="131" spans="1:38" x14ac:dyDescent="0.3">
      <c r="A131" s="188">
        <v>128</v>
      </c>
      <c r="B131" s="228">
        <f>((B138-B128)/10)+B130</f>
        <v>31.389999999999997</v>
      </c>
      <c r="C131" s="246">
        <f>((C138-C128)/10)+C130</f>
        <v>0.52370000000000005</v>
      </c>
      <c r="D131" s="175">
        <f t="shared" si="13"/>
        <v>1.6452520726849749</v>
      </c>
      <c r="E131" s="249">
        <f t="shared" si="14"/>
        <v>3.35372942539402</v>
      </c>
      <c r="F131" s="178">
        <f t="shared" si="15"/>
        <v>4946.7509024561796</v>
      </c>
      <c r="H131" s="223"/>
      <c r="I131" s="225"/>
      <c r="J131" s="71"/>
      <c r="K131" s="33">
        <f>F131-J128</f>
        <v>2790.9031695418498</v>
      </c>
      <c r="L131" s="34"/>
      <c r="M131" s="177"/>
      <c r="N131" s="35">
        <f t="shared" ref="N131:N143" si="28">F131/1.56</f>
        <v>3170.9941682411409</v>
      </c>
      <c r="O131" s="87"/>
      <c r="P131" s="225"/>
      <c r="Q131" s="71"/>
      <c r="R131" s="33">
        <f>N131-Q128</f>
        <v>1789.0404932960578</v>
      </c>
      <c r="S131" s="40"/>
      <c r="T131" s="74"/>
      <c r="U131" s="42"/>
      <c r="V131" s="75"/>
      <c r="W131" s="76"/>
      <c r="X131" s="77"/>
      <c r="Y131" s="78"/>
      <c r="Z131" s="79"/>
      <c r="AA131" s="80"/>
      <c r="AB131" s="49"/>
      <c r="AC131" s="64"/>
      <c r="AD131" s="81"/>
      <c r="AE131" s="66"/>
      <c r="AF131" s="67"/>
      <c r="AG131" s="82"/>
      <c r="AH131" s="83"/>
      <c r="AI131" s="84"/>
      <c r="AJ131" s="151"/>
      <c r="AK131" s="154">
        <f t="shared" si="16"/>
        <v>0</v>
      </c>
      <c r="AL131" s="172"/>
    </row>
    <row r="132" spans="1:38" x14ac:dyDescent="0.3">
      <c r="A132" s="188">
        <v>129</v>
      </c>
      <c r="B132" s="228">
        <f>((B138-B128)/10)+B131</f>
        <v>31.519999999999996</v>
      </c>
      <c r="C132" s="246">
        <f>((C138-C128)/10)+C131</f>
        <v>0.52760000000000007</v>
      </c>
      <c r="D132" s="175">
        <f t="shared" ref="D132:D143" si="29">C132*PI()</f>
        <v>1.6575042840339751</v>
      </c>
      <c r="E132" s="249">
        <f t="shared" ref="E132:E143" si="30">(D132^2/(4*PI()))*B132*0.496</f>
        <v>3.4179628687266423</v>
      </c>
      <c r="F132" s="178">
        <f t="shared" ref="F132:F143" si="31">E132*1475</f>
        <v>5041.4952313717977</v>
      </c>
      <c r="H132" s="223"/>
      <c r="I132" s="225"/>
      <c r="J132" s="71"/>
      <c r="K132" s="33">
        <f>F132-J128</f>
        <v>2885.6474984574679</v>
      </c>
      <c r="L132" s="34"/>
      <c r="M132" s="177"/>
      <c r="N132" s="35">
        <f t="shared" si="28"/>
        <v>3231.727712417819</v>
      </c>
      <c r="O132" s="87"/>
      <c r="P132" s="225"/>
      <c r="Q132" s="71"/>
      <c r="R132" s="33">
        <f>N132-Q128</f>
        <v>1849.7740374727359</v>
      </c>
      <c r="S132" s="40"/>
      <c r="T132" s="74"/>
      <c r="U132" s="42"/>
      <c r="V132" s="75"/>
      <c r="W132" s="76"/>
      <c r="X132" s="77"/>
      <c r="Y132" s="78"/>
      <c r="Z132" s="79"/>
      <c r="AA132" s="80"/>
      <c r="AB132" s="49"/>
      <c r="AC132" s="64"/>
      <c r="AD132" s="81"/>
      <c r="AE132" s="66"/>
      <c r="AF132" s="67"/>
      <c r="AG132" s="82"/>
      <c r="AH132" s="83"/>
      <c r="AI132" s="84"/>
      <c r="AJ132" s="151"/>
      <c r="AK132" s="154">
        <f t="shared" ref="AK132:AK143" si="32">W132+AE132+AI132</f>
        <v>0</v>
      </c>
      <c r="AL132" s="172"/>
    </row>
    <row r="133" spans="1:38" x14ac:dyDescent="0.3">
      <c r="A133" s="188">
        <v>130</v>
      </c>
      <c r="B133" s="228">
        <f>((B138-B128)/10)+B132</f>
        <v>31.649999999999995</v>
      </c>
      <c r="C133" s="246">
        <f>((C138-C128)/10)+C132</f>
        <v>0.53150000000000008</v>
      </c>
      <c r="D133" s="175">
        <f t="shared" si="29"/>
        <v>1.6697564953829753</v>
      </c>
      <c r="E133" s="249">
        <f t="shared" si="30"/>
        <v>3.4829866506560831</v>
      </c>
      <c r="F133" s="178">
        <f t="shared" si="31"/>
        <v>5137.405309717723</v>
      </c>
      <c r="H133" s="223"/>
      <c r="I133" s="225"/>
      <c r="J133" s="71"/>
      <c r="K133" s="33">
        <f>F133-J128</f>
        <v>2981.5575768033932</v>
      </c>
      <c r="L133" s="34"/>
      <c r="M133" s="177"/>
      <c r="N133" s="35">
        <f t="shared" si="28"/>
        <v>3293.2085318703353</v>
      </c>
      <c r="O133" s="87"/>
      <c r="P133" s="225"/>
      <c r="Q133" s="71"/>
      <c r="R133" s="33">
        <f>N133-Q128</f>
        <v>1911.2548569252522</v>
      </c>
      <c r="S133" s="40"/>
      <c r="T133" s="74"/>
      <c r="U133" s="42"/>
      <c r="V133" s="75"/>
      <c r="W133" s="76"/>
      <c r="X133" s="77"/>
      <c r="Y133" s="78"/>
      <c r="Z133" s="79"/>
      <c r="AA133" s="80"/>
      <c r="AB133" s="49"/>
      <c r="AC133" s="64"/>
      <c r="AD133" s="81"/>
      <c r="AE133" s="66"/>
      <c r="AF133" s="67"/>
      <c r="AG133" s="82"/>
      <c r="AH133" s="83"/>
      <c r="AI133" s="84"/>
      <c r="AJ133" s="151"/>
      <c r="AK133" s="154">
        <f t="shared" si="32"/>
        <v>0</v>
      </c>
      <c r="AL133" s="172"/>
    </row>
    <row r="134" spans="1:38" x14ac:dyDescent="0.3">
      <c r="A134" s="188">
        <v>131</v>
      </c>
      <c r="B134" s="228">
        <f>((B138-B128)/10)+B133</f>
        <v>31.779999999999994</v>
      </c>
      <c r="C134" s="246">
        <f>((C138-C128)/10)+C133</f>
        <v>0.5354000000000001</v>
      </c>
      <c r="D134" s="175">
        <f t="shared" si="29"/>
        <v>1.6820087067319756</v>
      </c>
      <c r="E134" s="249">
        <f t="shared" si="30"/>
        <v>3.548805392814482</v>
      </c>
      <c r="F134" s="178">
        <f t="shared" si="31"/>
        <v>5234.4879544013611</v>
      </c>
      <c r="H134" s="223"/>
      <c r="I134" s="225"/>
      <c r="J134" s="71"/>
      <c r="K134" s="33">
        <f>F134-J128</f>
        <v>3078.6402214870313</v>
      </c>
      <c r="L134" s="34"/>
      <c r="M134" s="177"/>
      <c r="N134" s="35">
        <f t="shared" si="28"/>
        <v>3355.4409964111287</v>
      </c>
      <c r="O134" s="87"/>
      <c r="P134" s="225"/>
      <c r="Q134" s="71"/>
      <c r="R134" s="33">
        <f>N134-Q128</f>
        <v>1973.4873214660456</v>
      </c>
      <c r="S134" s="40"/>
      <c r="T134" s="74"/>
      <c r="U134" s="42"/>
      <c r="V134" s="75"/>
      <c r="W134" s="76"/>
      <c r="X134" s="77"/>
      <c r="Y134" s="78"/>
      <c r="Z134" s="79"/>
      <c r="AA134" s="80"/>
      <c r="AB134" s="49"/>
      <c r="AC134" s="64"/>
      <c r="AD134" s="81"/>
      <c r="AE134" s="66"/>
      <c r="AF134" s="67"/>
      <c r="AG134" s="82"/>
      <c r="AH134" s="83"/>
      <c r="AI134" s="84"/>
      <c r="AJ134" s="151"/>
      <c r="AK134" s="154">
        <f t="shared" si="32"/>
        <v>0</v>
      </c>
      <c r="AL134" s="172"/>
    </row>
    <row r="135" spans="1:38" x14ac:dyDescent="0.3">
      <c r="A135" s="188">
        <v>132</v>
      </c>
      <c r="B135" s="228">
        <f>((B138-B128)/10)+B134</f>
        <v>31.909999999999993</v>
      </c>
      <c r="C135" s="246">
        <f>((C138-C128)/10)+C134</f>
        <v>0.53930000000000011</v>
      </c>
      <c r="D135" s="175">
        <f t="shared" si="29"/>
        <v>1.6942609180809758</v>
      </c>
      <c r="E135" s="249">
        <f t="shared" si="30"/>
        <v>3.6154237168339756</v>
      </c>
      <c r="F135" s="178">
        <f t="shared" si="31"/>
        <v>5332.7499823301141</v>
      </c>
      <c r="H135" s="223"/>
      <c r="I135" s="225"/>
      <c r="J135" s="71"/>
      <c r="K135" s="33">
        <f>F135-J128</f>
        <v>3176.9022494157844</v>
      </c>
      <c r="L135" s="34"/>
      <c r="M135" s="177"/>
      <c r="N135" s="35">
        <f t="shared" si="28"/>
        <v>3418.4294758526371</v>
      </c>
      <c r="O135" s="87"/>
      <c r="P135" s="225"/>
      <c r="Q135" s="71"/>
      <c r="R135" s="33">
        <f>N135-Q128</f>
        <v>2036.475800907554</v>
      </c>
      <c r="S135" s="40"/>
      <c r="T135" s="74"/>
      <c r="U135" s="42"/>
      <c r="V135" s="75"/>
      <c r="W135" s="76"/>
      <c r="X135" s="77"/>
      <c r="Y135" s="78"/>
      <c r="Z135" s="79"/>
      <c r="AA135" s="80"/>
      <c r="AB135" s="49"/>
      <c r="AC135" s="64"/>
      <c r="AD135" s="81"/>
      <c r="AE135" s="66"/>
      <c r="AF135" s="67"/>
      <c r="AG135" s="82"/>
      <c r="AH135" s="83"/>
      <c r="AI135" s="84"/>
      <c r="AJ135" s="151"/>
      <c r="AK135" s="154">
        <f t="shared" si="32"/>
        <v>0</v>
      </c>
      <c r="AL135" s="172"/>
    </row>
    <row r="136" spans="1:38" x14ac:dyDescent="0.3">
      <c r="A136" s="188">
        <v>133</v>
      </c>
      <c r="B136" s="228">
        <f>((B138-B128)/10)+B135</f>
        <v>32.039999999999992</v>
      </c>
      <c r="C136" s="246">
        <f>((C138-C128)/10)+C135</f>
        <v>0.54320000000000013</v>
      </c>
      <c r="D136" s="175">
        <f t="shared" si="29"/>
        <v>1.706513129429976</v>
      </c>
      <c r="E136" s="249">
        <f t="shared" si="30"/>
        <v>3.6828462443467034</v>
      </c>
      <c r="F136" s="178">
        <f t="shared" si="31"/>
        <v>5432.1982104113877</v>
      </c>
      <c r="H136" s="223"/>
      <c r="I136" s="225"/>
      <c r="J136" s="71"/>
      <c r="K136" s="33">
        <f>F136-J128</f>
        <v>3276.3504774970579</v>
      </c>
      <c r="L136" s="34"/>
      <c r="M136" s="177"/>
      <c r="N136" s="35">
        <f t="shared" si="28"/>
        <v>3482.1783400072995</v>
      </c>
      <c r="O136" s="87"/>
      <c r="P136" s="225"/>
      <c r="Q136" s="71"/>
      <c r="R136" s="33">
        <f>N136-Q128</f>
        <v>2100.2246650622164</v>
      </c>
      <c r="S136" s="40"/>
      <c r="T136" s="74"/>
      <c r="U136" s="42"/>
      <c r="V136" s="75"/>
      <c r="W136" s="76"/>
      <c r="X136" s="77"/>
      <c r="Y136" s="78"/>
      <c r="Z136" s="79"/>
      <c r="AA136" s="80"/>
      <c r="AB136" s="49"/>
      <c r="AC136" s="64"/>
      <c r="AD136" s="81"/>
      <c r="AE136" s="66"/>
      <c r="AF136" s="67"/>
      <c r="AG136" s="82"/>
      <c r="AH136" s="83"/>
      <c r="AI136" s="84"/>
      <c r="AJ136" s="151"/>
      <c r="AK136" s="154">
        <f t="shared" si="32"/>
        <v>0</v>
      </c>
      <c r="AL136" s="172"/>
    </row>
    <row r="137" spans="1:38" x14ac:dyDescent="0.3">
      <c r="A137" s="188">
        <v>134</v>
      </c>
      <c r="B137" s="228">
        <f>((B138-B128)/10)+B136</f>
        <v>32.169999999999995</v>
      </c>
      <c r="C137" s="246">
        <f>((C138-C128)/10)+C136</f>
        <v>0.54710000000000014</v>
      </c>
      <c r="D137" s="175">
        <f t="shared" si="29"/>
        <v>1.7187653407789762</v>
      </c>
      <c r="E137" s="249">
        <f t="shared" si="30"/>
        <v>3.7510775969848051</v>
      </c>
      <c r="F137" s="178">
        <f t="shared" si="31"/>
        <v>5532.8394555525874</v>
      </c>
      <c r="H137" s="223"/>
      <c r="I137" s="225"/>
      <c r="J137" s="71"/>
      <c r="K137" s="33">
        <f>F137-J128</f>
        <v>3376.9917226382577</v>
      </c>
      <c r="L137" s="34"/>
      <c r="M137" s="177"/>
      <c r="N137" s="35">
        <f t="shared" si="28"/>
        <v>3546.6919586875561</v>
      </c>
      <c r="O137" s="87"/>
      <c r="P137" s="225"/>
      <c r="Q137" s="71"/>
      <c r="R137" s="33">
        <f>N137-Q128</f>
        <v>2164.738283742473</v>
      </c>
      <c r="S137" s="40"/>
      <c r="T137" s="74"/>
      <c r="U137" s="42"/>
      <c r="V137" s="75"/>
      <c r="W137" s="76"/>
      <c r="X137" s="77"/>
      <c r="Y137" s="78"/>
      <c r="Z137" s="79"/>
      <c r="AA137" s="80"/>
      <c r="AB137" s="49"/>
      <c r="AC137" s="64"/>
      <c r="AD137" s="81"/>
      <c r="AE137" s="66"/>
      <c r="AF137" s="67"/>
      <c r="AG137" s="82"/>
      <c r="AH137" s="83"/>
      <c r="AI137" s="84"/>
      <c r="AJ137" s="151"/>
      <c r="AK137" s="154">
        <f t="shared" si="32"/>
        <v>0</v>
      </c>
      <c r="AL137" s="172"/>
    </row>
    <row r="138" spans="1:38" x14ac:dyDescent="0.3">
      <c r="A138" s="226">
        <v>135</v>
      </c>
      <c r="B138" s="228">
        <v>32.299999999999997</v>
      </c>
      <c r="C138" s="237">
        <v>0.55100000000000005</v>
      </c>
      <c r="D138" s="175">
        <f t="shared" si="29"/>
        <v>1.7310175521279763</v>
      </c>
      <c r="E138" s="249">
        <f t="shared" si="30"/>
        <v>3.820122396380417</v>
      </c>
      <c r="F138" s="178">
        <f t="shared" si="31"/>
        <v>5634.6805346611154</v>
      </c>
      <c r="H138" s="223"/>
      <c r="I138" s="225"/>
      <c r="J138" s="71"/>
      <c r="K138" s="33">
        <f>F138-J128</f>
        <v>3478.8328017467857</v>
      </c>
      <c r="L138" s="34"/>
      <c r="M138" s="177"/>
      <c r="N138" s="35">
        <f t="shared" si="28"/>
        <v>3611.974701705843</v>
      </c>
      <c r="O138" s="87"/>
      <c r="P138" s="225"/>
      <c r="Q138" s="71"/>
      <c r="R138" s="33">
        <f>N138-Q128</f>
        <v>2230.0210267607599</v>
      </c>
      <c r="S138" s="40"/>
      <c r="T138" s="74"/>
      <c r="U138" s="42"/>
      <c r="V138" s="75"/>
      <c r="W138" s="76"/>
      <c r="X138" s="77"/>
      <c r="Y138" s="78"/>
      <c r="Z138" s="79"/>
      <c r="AA138" s="80"/>
      <c r="AB138" s="49"/>
      <c r="AC138" s="64"/>
      <c r="AD138" s="81"/>
      <c r="AE138" s="66"/>
      <c r="AF138" s="67"/>
      <c r="AG138" s="82"/>
      <c r="AH138" s="83"/>
      <c r="AI138" s="84"/>
      <c r="AJ138" s="151"/>
      <c r="AK138" s="154">
        <f t="shared" si="32"/>
        <v>0</v>
      </c>
      <c r="AL138" s="172"/>
    </row>
    <row r="139" spans="1:38" x14ac:dyDescent="0.3">
      <c r="A139" s="188">
        <v>136</v>
      </c>
      <c r="B139" s="228">
        <f>((33.6-B138)/10)+B138</f>
        <v>32.43</v>
      </c>
      <c r="C139" s="246">
        <f>((0.599-C138)/10)+C138</f>
        <v>0.55580000000000007</v>
      </c>
      <c r="D139" s="175">
        <f t="shared" si="29"/>
        <v>1.7460971968652073</v>
      </c>
      <c r="E139" s="249">
        <f t="shared" si="30"/>
        <v>3.9026139391961463</v>
      </c>
      <c r="F139" s="178">
        <f t="shared" si="31"/>
        <v>5756.3555603143159</v>
      </c>
      <c r="H139" s="223"/>
      <c r="I139" s="225"/>
      <c r="J139" s="71"/>
      <c r="K139" s="33">
        <f>F139-J128</f>
        <v>3600.5078273999861</v>
      </c>
      <c r="L139" s="34"/>
      <c r="M139" s="177"/>
      <c r="N139" s="35">
        <f t="shared" si="28"/>
        <v>3689.9715130219975</v>
      </c>
      <c r="O139" s="87"/>
      <c r="P139" s="225"/>
      <c r="Q139" s="71"/>
      <c r="R139" s="33">
        <f>N139-Q128</f>
        <v>2308.0178380769144</v>
      </c>
      <c r="S139" s="40"/>
      <c r="T139" s="74"/>
      <c r="U139" s="42"/>
      <c r="V139" s="75"/>
      <c r="W139" s="76"/>
      <c r="X139" s="77"/>
      <c r="Y139" s="78"/>
      <c r="Z139" s="79"/>
      <c r="AA139" s="80"/>
      <c r="AB139" s="49"/>
      <c r="AC139" s="64"/>
      <c r="AD139" s="81"/>
      <c r="AE139" s="66"/>
      <c r="AF139" s="67"/>
      <c r="AG139" s="82"/>
      <c r="AH139" s="83"/>
      <c r="AI139" s="84"/>
      <c r="AJ139" s="151"/>
      <c r="AK139" s="154">
        <f t="shared" si="32"/>
        <v>0</v>
      </c>
      <c r="AL139" s="172"/>
    </row>
    <row r="140" spans="1:38" x14ac:dyDescent="0.3">
      <c r="A140" s="188">
        <v>137</v>
      </c>
      <c r="B140" s="228">
        <f>((33.6-B138)/10)+B139</f>
        <v>32.56</v>
      </c>
      <c r="C140" s="246">
        <f>((0.599-C138)/10)+C139</f>
        <v>0.5606000000000001</v>
      </c>
      <c r="D140" s="175">
        <f t="shared" si="29"/>
        <v>1.7611768416024383</v>
      </c>
      <c r="E140" s="249">
        <f t="shared" si="30"/>
        <v>3.9862280508176511</v>
      </c>
      <c r="F140" s="178">
        <f t="shared" si="31"/>
        <v>5879.6863749560353</v>
      </c>
      <c r="H140" s="223"/>
      <c r="I140" s="225"/>
      <c r="J140" s="71"/>
      <c r="K140" s="33">
        <f>F140-J128</f>
        <v>3723.8386420417055</v>
      </c>
      <c r="L140" s="34"/>
      <c r="M140" s="177"/>
      <c r="N140" s="35">
        <f t="shared" si="28"/>
        <v>3769.0297275359198</v>
      </c>
      <c r="O140" s="87"/>
      <c r="P140" s="225"/>
      <c r="Q140" s="71"/>
      <c r="R140" s="33">
        <f>N140-Q128</f>
        <v>2387.0760525908368</v>
      </c>
      <c r="S140" s="40"/>
      <c r="T140" s="74"/>
      <c r="U140" s="42"/>
      <c r="V140" s="75"/>
      <c r="W140" s="76"/>
      <c r="X140" s="77"/>
      <c r="Y140" s="78"/>
      <c r="Z140" s="79"/>
      <c r="AA140" s="80"/>
      <c r="AB140" s="49"/>
      <c r="AC140" s="64"/>
      <c r="AD140" s="81"/>
      <c r="AE140" s="66"/>
      <c r="AF140" s="67"/>
      <c r="AG140" s="82"/>
      <c r="AH140" s="83"/>
      <c r="AI140" s="84"/>
      <c r="AJ140" s="151"/>
      <c r="AK140" s="154">
        <f t="shared" si="32"/>
        <v>0</v>
      </c>
      <c r="AL140" s="172"/>
    </row>
    <row r="141" spans="1:38" x14ac:dyDescent="0.3">
      <c r="A141" s="188">
        <v>138</v>
      </c>
      <c r="B141" s="228">
        <f>((33.6-B138)/10)+B140</f>
        <v>32.690000000000005</v>
      </c>
      <c r="C141" s="246">
        <f>((0.599-C138)/10)+C140</f>
        <v>0.56540000000000012</v>
      </c>
      <c r="D141" s="175">
        <f t="shared" si="29"/>
        <v>1.7762564863396695</v>
      </c>
      <c r="E141" s="249">
        <f t="shared" si="30"/>
        <v>4.0709717320604808</v>
      </c>
      <c r="F141" s="178">
        <f t="shared" si="31"/>
        <v>6004.6833047892096</v>
      </c>
      <c r="H141" s="223"/>
      <c r="I141" s="225"/>
      <c r="J141" s="71"/>
      <c r="K141" s="33">
        <f>F141-J128</f>
        <v>3848.8355718748799</v>
      </c>
      <c r="L141" s="34"/>
      <c r="M141" s="177"/>
      <c r="N141" s="35">
        <f t="shared" si="28"/>
        <v>3849.1559646084675</v>
      </c>
      <c r="O141" s="87"/>
      <c r="P141" s="225"/>
      <c r="Q141" s="71"/>
      <c r="R141" s="33">
        <f>N141-Q128</f>
        <v>2467.2022896633844</v>
      </c>
      <c r="S141" s="40"/>
      <c r="T141" s="74"/>
      <c r="U141" s="42"/>
      <c r="V141" s="75"/>
      <c r="W141" s="76"/>
      <c r="X141" s="77"/>
      <c r="Y141" s="78"/>
      <c r="Z141" s="79"/>
      <c r="AA141" s="80"/>
      <c r="AB141" s="49"/>
      <c r="AC141" s="64"/>
      <c r="AD141" s="81"/>
      <c r="AE141" s="66"/>
      <c r="AF141" s="67"/>
      <c r="AG141" s="82"/>
      <c r="AH141" s="83"/>
      <c r="AI141" s="84"/>
      <c r="AJ141" s="151"/>
      <c r="AK141" s="154">
        <f t="shared" si="32"/>
        <v>0</v>
      </c>
      <c r="AL141" s="172"/>
    </row>
    <row r="142" spans="1:38" x14ac:dyDescent="0.3">
      <c r="A142" s="188">
        <v>139</v>
      </c>
      <c r="B142" s="228">
        <f>((33.6-B138)/10)+B141</f>
        <v>32.820000000000007</v>
      </c>
      <c r="C142" s="246">
        <f>((0.599-C138)/10)+C141</f>
        <v>0.57020000000000015</v>
      </c>
      <c r="D142" s="175">
        <f t="shared" si="29"/>
        <v>1.7913361310769005</v>
      </c>
      <c r="E142" s="249">
        <f t="shared" si="30"/>
        <v>4.1568519837401796</v>
      </c>
      <c r="F142" s="178">
        <f t="shared" si="31"/>
        <v>6131.3566760167651</v>
      </c>
      <c r="H142" s="223"/>
      <c r="I142" s="225"/>
      <c r="J142" s="71"/>
      <c r="K142" s="33">
        <f>F142-J128</f>
        <v>3975.5089431024353</v>
      </c>
      <c r="L142" s="34"/>
      <c r="M142" s="177"/>
      <c r="N142" s="35">
        <f t="shared" si="28"/>
        <v>3930.3568436004903</v>
      </c>
      <c r="O142" s="87"/>
      <c r="P142" s="225"/>
      <c r="Q142" s="71"/>
      <c r="R142" s="33">
        <f>N142-Q128</f>
        <v>2548.4031686554072</v>
      </c>
      <c r="S142" s="40"/>
      <c r="T142" s="74"/>
      <c r="U142" s="42"/>
      <c r="V142" s="75"/>
      <c r="W142" s="76"/>
      <c r="X142" s="77"/>
      <c r="Y142" s="78"/>
      <c r="Z142" s="79"/>
      <c r="AA142" s="80"/>
      <c r="AB142" s="49"/>
      <c r="AC142" s="64"/>
      <c r="AD142" s="81"/>
      <c r="AE142" s="66"/>
      <c r="AF142" s="67"/>
      <c r="AG142" s="82"/>
      <c r="AH142" s="83"/>
      <c r="AI142" s="84"/>
      <c r="AJ142" s="151"/>
      <c r="AK142" s="154">
        <f t="shared" si="32"/>
        <v>0</v>
      </c>
      <c r="AL142" s="172"/>
    </row>
    <row r="143" spans="1:38" ht="15" thickBot="1" x14ac:dyDescent="0.35">
      <c r="A143" s="189">
        <v>140</v>
      </c>
      <c r="B143" s="233">
        <f>((33.6-B138)/10)+B142</f>
        <v>32.95000000000001</v>
      </c>
      <c r="C143" s="247">
        <f>((0.599-C138)/10)+C142</f>
        <v>0.57500000000000018</v>
      </c>
      <c r="D143" s="176">
        <f t="shared" si="29"/>
        <v>1.8064157758141317</v>
      </c>
      <c r="E143" s="251">
        <f t="shared" si="30"/>
        <v>4.2438758066722952</v>
      </c>
      <c r="F143" s="179">
        <f t="shared" si="31"/>
        <v>6259.7168148416358</v>
      </c>
      <c r="H143" s="224">
        <v>1</v>
      </c>
      <c r="I143" s="225">
        <f>H143*(F143-J128)</f>
        <v>4103.8690819273061</v>
      </c>
      <c r="J143" s="183">
        <f>I143+J128</f>
        <v>6259.7168148416358</v>
      </c>
      <c r="K143" s="33">
        <f>F143-J143</f>
        <v>0</v>
      </c>
      <c r="L143" s="34"/>
      <c r="M143" s="177"/>
      <c r="N143" s="35">
        <f t="shared" si="28"/>
        <v>4012.6389838728433</v>
      </c>
      <c r="O143" s="89">
        <v>1</v>
      </c>
      <c r="P143" s="225">
        <f>O143*(N143-Q128)</f>
        <v>2630.6853089277602</v>
      </c>
      <c r="Q143" s="183">
        <f>P143+Q128</f>
        <v>4012.6389838728433</v>
      </c>
      <c r="R143" s="33">
        <f>N143-Q143</f>
        <v>0</v>
      </c>
      <c r="S143" s="40"/>
      <c r="T143" s="90">
        <f>P143*10%</f>
        <v>263.06853089277604</v>
      </c>
      <c r="U143" s="91">
        <f t="shared" ref="U143" si="33">T143*0.95</f>
        <v>249.91510434813722</v>
      </c>
      <c r="V143" s="92">
        <v>8</v>
      </c>
      <c r="W143" s="93">
        <f t="shared" si="26"/>
        <v>2104.5482471422083</v>
      </c>
      <c r="X143" s="94">
        <v>0.4</v>
      </c>
      <c r="Y143" s="95">
        <v>0.6</v>
      </c>
      <c r="Z143" s="79"/>
      <c r="AA143" s="96">
        <f>P143*10%</f>
        <v>263.06853089277604</v>
      </c>
      <c r="AB143" s="49">
        <f t="shared" si="23"/>
        <v>1473.1837729995459</v>
      </c>
      <c r="AC143" s="64">
        <f t="shared" si="24"/>
        <v>2893.7538398205365</v>
      </c>
      <c r="AD143" s="97">
        <v>8</v>
      </c>
      <c r="AE143" s="98">
        <f t="shared" si="25"/>
        <v>23150.030718564292</v>
      </c>
      <c r="AF143" s="67"/>
      <c r="AG143" s="99">
        <f>P143*80%</f>
        <v>2104.5482471422083</v>
      </c>
      <c r="AH143" s="100">
        <v>170</v>
      </c>
      <c r="AI143" s="101">
        <f t="shared" si="27"/>
        <v>357773.20201417542</v>
      </c>
      <c r="AJ143" s="151"/>
      <c r="AK143" s="124">
        <f t="shared" si="32"/>
        <v>383027.78097988194</v>
      </c>
      <c r="AL143" s="172"/>
    </row>
    <row r="144" spans="1:38" ht="15" thickBot="1" x14ac:dyDescent="0.35">
      <c r="F144" s="180"/>
      <c r="G144" s="180"/>
      <c r="H144" s="248" t="s">
        <v>40</v>
      </c>
      <c r="I144" s="103"/>
      <c r="J144" s="103"/>
      <c r="K144" s="147">
        <f>SUM(K3:K142)/140</f>
        <v>1157.2904912048702</v>
      </c>
      <c r="L144" s="34"/>
      <c r="M144" s="235"/>
      <c r="N144" s="234"/>
      <c r="O144" s="103"/>
      <c r="P144" s="103"/>
      <c r="Q144" s="103"/>
      <c r="R144" s="236"/>
      <c r="S144" s="40"/>
      <c r="T144" s="105"/>
      <c r="U144" s="105"/>
      <c r="V144" s="106"/>
      <c r="W144" s="106"/>
      <c r="X144" s="106"/>
      <c r="Y144" s="106"/>
      <c r="Z144" s="155"/>
      <c r="AA144" s="145"/>
      <c r="AB144" s="107"/>
      <c r="AC144" s="107"/>
      <c r="AD144" s="14"/>
      <c r="AE144" s="123"/>
      <c r="AF144" s="156"/>
      <c r="AG144" s="145"/>
      <c r="AH144" s="14"/>
      <c r="AI144" s="15"/>
      <c r="AJ144" s="151"/>
      <c r="AK144" s="152"/>
      <c r="AL144" s="14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E787D-96DA-4D17-9421-F1B9B26B5D69}">
  <dimension ref="A1:AB53"/>
  <sheetViews>
    <sheetView topLeftCell="L1" zoomScaleNormal="100" workbookViewId="0">
      <pane ySplit="2" topLeftCell="A35" activePane="bottomLeft" state="frozen"/>
      <selection pane="bottomLeft" activeCell="AB3" sqref="AB3:AB53"/>
    </sheetView>
  </sheetViews>
  <sheetFormatPr baseColWidth="10" defaultRowHeight="14.4" x14ac:dyDescent="0.3"/>
  <cols>
    <col min="3" max="3" width="14.33203125" customWidth="1"/>
    <col min="6" max="6" width="14.21875" customWidth="1"/>
    <col min="7" max="7" width="12.109375" customWidth="1"/>
    <col min="13" max="13" width="11.5546875" customWidth="1"/>
  </cols>
  <sheetData>
    <row r="1" spans="1:28" ht="15" thickBot="1" x14ac:dyDescent="0.35">
      <c r="R1" s="7" t="s">
        <v>64</v>
      </c>
    </row>
    <row r="2" spans="1:28" ht="72.599999999999994" thickBot="1" x14ac:dyDescent="0.35">
      <c r="A2" s="174" t="s">
        <v>1</v>
      </c>
      <c r="B2" s="162" t="s">
        <v>26</v>
      </c>
      <c r="C2" s="163" t="s">
        <v>27</v>
      </c>
      <c r="D2" s="164" t="s">
        <v>25</v>
      </c>
      <c r="F2" s="16" t="s">
        <v>60</v>
      </c>
      <c r="G2" s="17" t="s">
        <v>2</v>
      </c>
      <c r="H2" s="18" t="s">
        <v>52</v>
      </c>
      <c r="I2" s="18" t="s">
        <v>57</v>
      </c>
      <c r="J2" s="19" t="s">
        <v>56</v>
      </c>
      <c r="K2" s="22"/>
      <c r="L2" s="16" t="s">
        <v>58</v>
      </c>
      <c r="M2" s="17" t="s">
        <v>2</v>
      </c>
      <c r="N2" s="18" t="s">
        <v>54</v>
      </c>
      <c r="O2" s="18" t="s">
        <v>55</v>
      </c>
      <c r="P2" s="21" t="s">
        <v>59</v>
      </c>
      <c r="Q2" s="22"/>
      <c r="R2" s="108" t="s">
        <v>42</v>
      </c>
      <c r="S2" s="108" t="s">
        <v>46</v>
      </c>
      <c r="T2" s="25" t="s">
        <v>6</v>
      </c>
      <c r="U2" s="25" t="s">
        <v>47</v>
      </c>
      <c r="V2" s="109" t="s">
        <v>48</v>
      </c>
      <c r="W2" s="22"/>
      <c r="X2" s="28" t="s">
        <v>43</v>
      </c>
      <c r="Y2" s="29" t="s">
        <v>49</v>
      </c>
      <c r="Z2" s="30" t="s">
        <v>50</v>
      </c>
      <c r="AB2" s="153" t="s">
        <v>51</v>
      </c>
    </row>
    <row r="3" spans="1:28" x14ac:dyDescent="0.3">
      <c r="A3" s="186">
        <v>0</v>
      </c>
      <c r="B3" s="159">
        <v>0.5</v>
      </c>
      <c r="C3" s="158">
        <v>0.03</v>
      </c>
      <c r="D3" s="232">
        <f>(C3^2/(4*PI()))*B3*0.496</f>
        <v>1.7761691649055518E-5</v>
      </c>
      <c r="F3" s="126">
        <f>D3*182</f>
        <v>3.2326278801281041E-3</v>
      </c>
      <c r="G3" s="110"/>
      <c r="H3" s="31"/>
      <c r="I3" s="32"/>
      <c r="J3" s="33">
        <f>F3</f>
        <v>3.2326278801281041E-3</v>
      </c>
      <c r="K3" s="40"/>
      <c r="L3" s="35">
        <f>F3/1.56</f>
        <v>2.0721973590564768E-3</v>
      </c>
      <c r="M3" s="36"/>
      <c r="N3" s="31"/>
      <c r="O3" s="32"/>
      <c r="P3" s="33">
        <f>L3</f>
        <v>2.0721973590564768E-3</v>
      </c>
      <c r="Q3" s="40"/>
      <c r="R3" s="111"/>
      <c r="S3" s="111"/>
      <c r="T3" s="112"/>
      <c r="U3" s="113"/>
      <c r="V3" s="114"/>
      <c r="W3" s="53"/>
      <c r="X3" s="54"/>
      <c r="Y3" s="55"/>
      <c r="Z3" s="56"/>
      <c r="AB3" s="167">
        <f>V3+Z3</f>
        <v>0</v>
      </c>
    </row>
    <row r="4" spans="1:28" x14ac:dyDescent="0.3">
      <c r="A4" s="187">
        <v>1</v>
      </c>
      <c r="B4" s="161">
        <f>B3+0.4</f>
        <v>0.9</v>
      </c>
      <c r="C4" s="157">
        <f>C3+0.03</f>
        <v>0.06</v>
      </c>
      <c r="D4" s="232">
        <f t="shared" ref="D4:D53" si="0">(C4^2/(4*PI()))*B4*0.496</f>
        <v>1.2788417987319973E-4</v>
      </c>
      <c r="F4" s="126">
        <f t="shared" ref="F4:F53" si="1">D4*182</f>
        <v>2.3274920736922351E-2</v>
      </c>
      <c r="G4" s="110"/>
      <c r="H4" s="31"/>
      <c r="I4" s="32"/>
      <c r="J4" s="33">
        <f t="shared" ref="J4:J35" si="2">F4</f>
        <v>2.3274920736922351E-2</v>
      </c>
      <c r="K4" s="40"/>
      <c r="L4" s="35">
        <f t="shared" ref="L4:L53" si="3">F4/1.56</f>
        <v>1.4919820985206635E-2</v>
      </c>
      <c r="M4" s="36"/>
      <c r="N4" s="31"/>
      <c r="O4" s="32"/>
      <c r="P4" s="33">
        <f t="shared" ref="P4:P35" si="4">L4</f>
        <v>1.4919820985206635E-2</v>
      </c>
      <c r="Q4" s="40"/>
      <c r="R4" s="115"/>
      <c r="S4" s="115"/>
      <c r="T4" s="116"/>
      <c r="U4" s="117"/>
      <c r="V4" s="118"/>
      <c r="W4" s="67"/>
      <c r="X4" s="68"/>
      <c r="Y4" s="69"/>
      <c r="Z4" s="70"/>
      <c r="AB4" s="167">
        <f t="shared" ref="AB4:AB53" si="5">V4+Z4</f>
        <v>0</v>
      </c>
    </row>
    <row r="5" spans="1:28" x14ac:dyDescent="0.3">
      <c r="A5" s="188">
        <v>2</v>
      </c>
      <c r="B5" s="161">
        <f>B4+0.4</f>
        <v>1.3</v>
      </c>
      <c r="C5" s="157">
        <f t="shared" ref="C5:C53" si="6">C4+0.03</f>
        <v>0.09</v>
      </c>
      <c r="D5" s="232">
        <f t="shared" si="0"/>
        <v>4.1562358458789914E-4</v>
      </c>
      <c r="F5" s="126">
        <f t="shared" si="1"/>
        <v>7.5643492394997638E-2</v>
      </c>
      <c r="G5" s="119"/>
      <c r="H5" s="31"/>
      <c r="I5" s="71"/>
      <c r="J5" s="33">
        <f t="shared" si="2"/>
        <v>7.5643492394997638E-2</v>
      </c>
      <c r="K5" s="40"/>
      <c r="L5" s="35">
        <f t="shared" si="3"/>
        <v>4.8489418201921562E-2</v>
      </c>
      <c r="M5" s="72"/>
      <c r="N5" s="31"/>
      <c r="O5" s="71"/>
      <c r="P5" s="33">
        <f t="shared" si="4"/>
        <v>4.8489418201921562E-2</v>
      </c>
      <c r="Q5" s="40"/>
      <c r="R5" s="115"/>
      <c r="S5" s="115"/>
      <c r="T5" s="116"/>
      <c r="U5" s="117"/>
      <c r="V5" s="118"/>
      <c r="W5" s="67"/>
      <c r="X5" s="68"/>
      <c r="Y5" s="69"/>
      <c r="Z5" s="70"/>
      <c r="AB5" s="167">
        <f t="shared" si="5"/>
        <v>0</v>
      </c>
    </row>
    <row r="6" spans="1:28" x14ac:dyDescent="0.3">
      <c r="A6" s="188">
        <v>3</v>
      </c>
      <c r="B6" s="161">
        <f t="shared" ref="B6:B53" si="7">B5+0.4</f>
        <v>1.7000000000000002</v>
      </c>
      <c r="C6" s="157">
        <f t="shared" si="6"/>
        <v>0.12</v>
      </c>
      <c r="D6" s="232">
        <f t="shared" si="0"/>
        <v>9.6623602570862033E-4</v>
      </c>
      <c r="F6" s="126">
        <f t="shared" si="1"/>
        <v>0.17585495667896889</v>
      </c>
      <c r="G6" s="119"/>
      <c r="H6" s="31"/>
      <c r="I6" s="71"/>
      <c r="J6" s="33">
        <f t="shared" si="2"/>
        <v>0.17585495667896889</v>
      </c>
      <c r="K6" s="40"/>
      <c r="L6" s="35">
        <f t="shared" si="3"/>
        <v>0.11272753633267237</v>
      </c>
      <c r="M6" s="72"/>
      <c r="N6" s="31"/>
      <c r="O6" s="71"/>
      <c r="P6" s="33">
        <f t="shared" si="4"/>
        <v>0.11272753633267237</v>
      </c>
      <c r="Q6" s="40"/>
      <c r="R6" s="115"/>
      <c r="S6" s="115"/>
      <c r="T6" s="116"/>
      <c r="U6" s="117"/>
      <c r="V6" s="118"/>
      <c r="W6" s="67"/>
      <c r="X6" s="68"/>
      <c r="Y6" s="69"/>
      <c r="Z6" s="70"/>
      <c r="AB6" s="167">
        <f t="shared" si="5"/>
        <v>0</v>
      </c>
    </row>
    <row r="7" spans="1:28" x14ac:dyDescent="0.3">
      <c r="A7" s="188">
        <v>4</v>
      </c>
      <c r="B7" s="161">
        <f t="shared" si="7"/>
        <v>2.1</v>
      </c>
      <c r="C7" s="157">
        <f t="shared" si="6"/>
        <v>0.15</v>
      </c>
      <c r="D7" s="232">
        <f t="shared" si="0"/>
        <v>1.8649776231508296E-3</v>
      </c>
      <c r="F7" s="126">
        <f t="shared" si="1"/>
        <v>0.33942592741345101</v>
      </c>
      <c r="G7" s="119"/>
      <c r="H7" s="31"/>
      <c r="I7" s="71"/>
      <c r="J7" s="33">
        <f t="shared" si="2"/>
        <v>0.33942592741345101</v>
      </c>
      <c r="K7" s="40"/>
      <c r="L7" s="35">
        <f t="shared" si="3"/>
        <v>0.21758072270093012</v>
      </c>
      <c r="M7" s="72"/>
      <c r="N7" s="31"/>
      <c r="O7" s="71"/>
      <c r="P7" s="33">
        <f t="shared" si="4"/>
        <v>0.21758072270093012</v>
      </c>
      <c r="Q7" s="40"/>
      <c r="R7" s="115"/>
      <c r="S7" s="115"/>
      <c r="T7" s="116"/>
      <c r="U7" s="117"/>
      <c r="V7" s="118"/>
      <c r="W7" s="67"/>
      <c r="X7" s="68"/>
      <c r="Y7" s="69"/>
      <c r="Z7" s="70"/>
      <c r="AB7" s="167">
        <f t="shared" si="5"/>
        <v>0</v>
      </c>
    </row>
    <row r="8" spans="1:28" x14ac:dyDescent="0.3">
      <c r="A8" s="188">
        <v>5</v>
      </c>
      <c r="B8" s="161">
        <f t="shared" si="7"/>
        <v>2.5</v>
      </c>
      <c r="C8" s="157">
        <f t="shared" si="6"/>
        <v>0.18</v>
      </c>
      <c r="D8" s="232">
        <f t="shared" si="0"/>
        <v>3.197104496829993E-3</v>
      </c>
      <c r="F8" s="126">
        <f t="shared" si="1"/>
        <v>0.58187301842305872</v>
      </c>
      <c r="G8" s="119"/>
      <c r="H8" s="31"/>
      <c r="I8" s="71"/>
      <c r="J8" s="33">
        <f t="shared" si="2"/>
        <v>0.58187301842305872</v>
      </c>
      <c r="K8" s="40"/>
      <c r="L8" s="35">
        <f t="shared" si="3"/>
        <v>0.37299552463016583</v>
      </c>
      <c r="M8" s="72"/>
      <c r="N8" s="31"/>
      <c r="O8" s="71"/>
      <c r="P8" s="33">
        <f t="shared" si="4"/>
        <v>0.37299552463016583</v>
      </c>
      <c r="Q8" s="40"/>
      <c r="R8" s="115"/>
      <c r="S8" s="115"/>
      <c r="T8" s="116"/>
      <c r="U8" s="117"/>
      <c r="V8" s="118"/>
      <c r="W8" s="67"/>
      <c r="X8" s="68"/>
      <c r="Y8" s="69"/>
      <c r="Z8" s="70"/>
      <c r="AB8" s="167">
        <f t="shared" si="5"/>
        <v>0</v>
      </c>
    </row>
    <row r="9" spans="1:28" x14ac:dyDescent="0.3">
      <c r="A9" s="188">
        <v>6</v>
      </c>
      <c r="B9" s="161">
        <f t="shared" si="7"/>
        <v>2.9</v>
      </c>
      <c r="C9" s="157">
        <f t="shared" si="6"/>
        <v>0.21</v>
      </c>
      <c r="D9" s="232">
        <f t="shared" si="0"/>
        <v>5.0478727666615781E-3</v>
      </c>
      <c r="F9" s="126">
        <f t="shared" si="1"/>
        <v>0.91871284353240723</v>
      </c>
      <c r="G9" s="119"/>
      <c r="H9" s="31"/>
      <c r="I9" s="71"/>
      <c r="J9" s="33">
        <f t="shared" si="2"/>
        <v>0.91871284353240723</v>
      </c>
      <c r="K9" s="40"/>
      <c r="L9" s="35">
        <f t="shared" si="3"/>
        <v>0.58891848944385072</v>
      </c>
      <c r="M9" s="72"/>
      <c r="N9" s="31"/>
      <c r="O9" s="71"/>
      <c r="P9" s="33">
        <f t="shared" si="4"/>
        <v>0.58891848944385072</v>
      </c>
      <c r="Q9" s="40"/>
      <c r="R9" s="115"/>
      <c r="S9" s="115"/>
      <c r="T9" s="116"/>
      <c r="U9" s="117"/>
      <c r="V9" s="118"/>
      <c r="W9" s="67"/>
      <c r="X9" s="68"/>
      <c r="Y9" s="69"/>
      <c r="Z9" s="70"/>
      <c r="AB9" s="167">
        <f t="shared" si="5"/>
        <v>0</v>
      </c>
    </row>
    <row r="10" spans="1:28" x14ac:dyDescent="0.3">
      <c r="A10" s="188">
        <v>7</v>
      </c>
      <c r="B10" s="161">
        <f t="shared" si="7"/>
        <v>3.3</v>
      </c>
      <c r="C10" s="157">
        <f t="shared" si="6"/>
        <v>0.24</v>
      </c>
      <c r="D10" s="232">
        <f t="shared" si="0"/>
        <v>7.5025385525610512E-3</v>
      </c>
      <c r="F10" s="126">
        <f t="shared" si="1"/>
        <v>1.3654620165661113</v>
      </c>
      <c r="G10" s="119"/>
      <c r="H10" s="31"/>
      <c r="I10" s="71"/>
      <c r="J10" s="33">
        <f t="shared" si="2"/>
        <v>1.3654620165661113</v>
      </c>
      <c r="K10" s="40"/>
      <c r="L10" s="35">
        <f t="shared" si="3"/>
        <v>0.87529616446545599</v>
      </c>
      <c r="M10" s="72"/>
      <c r="N10" s="31"/>
      <c r="O10" s="71"/>
      <c r="P10" s="33">
        <f t="shared" si="4"/>
        <v>0.87529616446545599</v>
      </c>
      <c r="Q10" s="40"/>
      <c r="R10" s="115"/>
      <c r="S10" s="115"/>
      <c r="T10" s="116"/>
      <c r="U10" s="117"/>
      <c r="V10" s="118"/>
      <c r="W10" s="67"/>
      <c r="X10" s="68"/>
      <c r="Y10" s="69"/>
      <c r="Z10" s="70"/>
      <c r="AB10" s="167">
        <f t="shared" si="5"/>
        <v>0</v>
      </c>
    </row>
    <row r="11" spans="1:28" x14ac:dyDescent="0.3">
      <c r="A11" s="188">
        <v>8</v>
      </c>
      <c r="B11" s="161">
        <f t="shared" si="7"/>
        <v>3.6999999999999997</v>
      </c>
      <c r="C11" s="157">
        <f t="shared" si="6"/>
        <v>0.27</v>
      </c>
      <c r="D11" s="232">
        <f t="shared" si="0"/>
        <v>1.0646357974443878E-2</v>
      </c>
      <c r="F11" s="126">
        <f t="shared" si="1"/>
        <v>1.9376371513487858</v>
      </c>
      <c r="G11" s="119"/>
      <c r="H11" s="31"/>
      <c r="I11" s="71"/>
      <c r="J11" s="33">
        <f t="shared" si="2"/>
        <v>1.9376371513487858</v>
      </c>
      <c r="K11" s="40"/>
      <c r="L11" s="35">
        <f t="shared" si="3"/>
        <v>1.2420750970184524</v>
      </c>
      <c r="M11" s="72"/>
      <c r="N11" s="31"/>
      <c r="O11" s="71"/>
      <c r="P11" s="33">
        <f t="shared" si="4"/>
        <v>1.2420750970184524</v>
      </c>
      <c r="Q11" s="40"/>
      <c r="R11" s="115"/>
      <c r="S11" s="115"/>
      <c r="T11" s="116"/>
      <c r="U11" s="117"/>
      <c r="V11" s="118"/>
      <c r="W11" s="67"/>
      <c r="X11" s="68"/>
      <c r="Y11" s="69"/>
      <c r="Z11" s="70"/>
      <c r="AB11" s="167">
        <f t="shared" si="5"/>
        <v>0</v>
      </c>
    </row>
    <row r="12" spans="1:28" x14ac:dyDescent="0.3">
      <c r="A12" s="188">
        <v>9</v>
      </c>
      <c r="B12" s="161">
        <f t="shared" si="7"/>
        <v>4.0999999999999996</v>
      </c>
      <c r="C12" s="157">
        <f t="shared" si="6"/>
        <v>0.30000000000000004</v>
      </c>
      <c r="D12" s="232">
        <f t="shared" si="0"/>
        <v>1.4564587152225529E-2</v>
      </c>
      <c r="F12" s="126">
        <f t="shared" si="1"/>
        <v>2.6507548617050465</v>
      </c>
      <c r="G12" s="119"/>
      <c r="H12" s="31"/>
      <c r="I12" s="71"/>
      <c r="J12" s="33">
        <f t="shared" si="2"/>
        <v>2.6507548617050465</v>
      </c>
      <c r="K12" s="40"/>
      <c r="L12" s="35">
        <f t="shared" si="3"/>
        <v>1.6992018344263118</v>
      </c>
      <c r="M12" s="72"/>
      <c r="N12" s="31"/>
      <c r="O12" s="71"/>
      <c r="P12" s="33">
        <f t="shared" si="4"/>
        <v>1.6992018344263118</v>
      </c>
      <c r="Q12" s="40"/>
      <c r="R12" s="115"/>
      <c r="S12" s="115"/>
      <c r="T12" s="116"/>
      <c r="U12" s="117"/>
      <c r="V12" s="118"/>
      <c r="W12" s="67"/>
      <c r="X12" s="68"/>
      <c r="Y12" s="69"/>
      <c r="Z12" s="70"/>
      <c r="AB12" s="167">
        <f t="shared" si="5"/>
        <v>0</v>
      </c>
    </row>
    <row r="13" spans="1:28" x14ac:dyDescent="0.3">
      <c r="A13" s="188">
        <v>10</v>
      </c>
      <c r="B13" s="161">
        <f t="shared" si="7"/>
        <v>4.5</v>
      </c>
      <c r="C13" s="157">
        <f t="shared" si="6"/>
        <v>0.33000000000000007</v>
      </c>
      <c r="D13" s="232">
        <f t="shared" si="0"/>
        <v>1.9342482205821472E-2</v>
      </c>
      <c r="F13" s="126">
        <f t="shared" si="1"/>
        <v>3.520331761459508</v>
      </c>
      <c r="G13" s="119"/>
      <c r="H13" s="31"/>
      <c r="I13" s="71"/>
      <c r="J13" s="33">
        <f t="shared" si="2"/>
        <v>3.520331761459508</v>
      </c>
      <c r="K13" s="40"/>
      <c r="L13" s="35">
        <f t="shared" si="3"/>
        <v>2.2566229240125049</v>
      </c>
      <c r="M13" s="72"/>
      <c r="N13" s="31"/>
      <c r="O13" s="71"/>
      <c r="P13" s="33">
        <f t="shared" si="4"/>
        <v>2.2566229240125049</v>
      </c>
      <c r="Q13" s="40"/>
      <c r="R13" s="115"/>
      <c r="S13" s="115"/>
      <c r="T13" s="116"/>
      <c r="U13" s="117"/>
      <c r="V13" s="118"/>
      <c r="W13" s="67"/>
      <c r="X13" s="68"/>
      <c r="Y13" s="69"/>
      <c r="Z13" s="70"/>
      <c r="AB13" s="167">
        <f t="shared" si="5"/>
        <v>0</v>
      </c>
    </row>
    <row r="14" spans="1:28" x14ac:dyDescent="0.3">
      <c r="A14" s="188">
        <v>11</v>
      </c>
      <c r="B14" s="161">
        <f t="shared" si="7"/>
        <v>4.9000000000000004</v>
      </c>
      <c r="C14" s="157">
        <f t="shared" si="6"/>
        <v>0.3600000000000001</v>
      </c>
      <c r="D14" s="232">
        <f t="shared" si="0"/>
        <v>2.5065299255147167E-2</v>
      </c>
      <c r="F14" s="126">
        <f t="shared" si="1"/>
        <v>4.5618844644367842</v>
      </c>
      <c r="G14" s="119"/>
      <c r="H14" s="31"/>
      <c r="I14" s="71"/>
      <c r="J14" s="33">
        <f t="shared" si="2"/>
        <v>4.5618844644367842</v>
      </c>
      <c r="K14" s="40"/>
      <c r="L14" s="35">
        <f t="shared" si="3"/>
        <v>2.9242849131005024</v>
      </c>
      <c r="M14" s="72"/>
      <c r="N14" s="31"/>
      <c r="O14" s="71"/>
      <c r="P14" s="33">
        <f t="shared" si="4"/>
        <v>2.9242849131005024</v>
      </c>
      <c r="Q14" s="40"/>
      <c r="R14" s="115"/>
      <c r="S14" s="115"/>
      <c r="T14" s="116"/>
      <c r="U14" s="117"/>
      <c r="V14" s="118"/>
      <c r="W14" s="67"/>
      <c r="X14" s="68"/>
      <c r="Y14" s="69"/>
      <c r="Z14" s="70"/>
      <c r="AB14" s="167">
        <f t="shared" si="5"/>
        <v>0</v>
      </c>
    </row>
    <row r="15" spans="1:28" x14ac:dyDescent="0.3">
      <c r="A15" s="188">
        <v>12</v>
      </c>
      <c r="B15" s="161">
        <f t="shared" si="7"/>
        <v>5.3000000000000007</v>
      </c>
      <c r="C15" s="157">
        <f t="shared" si="6"/>
        <v>0.39000000000000012</v>
      </c>
      <c r="D15" s="232">
        <f t="shared" si="0"/>
        <v>3.1818294420118083E-2</v>
      </c>
      <c r="F15" s="126">
        <f t="shared" si="1"/>
        <v>5.790929584461491</v>
      </c>
      <c r="G15" s="119"/>
      <c r="H15" s="31"/>
      <c r="I15" s="71"/>
      <c r="J15" s="33">
        <f t="shared" si="2"/>
        <v>5.790929584461491</v>
      </c>
      <c r="K15" s="40"/>
      <c r="L15" s="35">
        <f t="shared" si="3"/>
        <v>3.7121343490137759</v>
      </c>
      <c r="M15" s="72"/>
      <c r="N15" s="31"/>
      <c r="O15" s="71"/>
      <c r="P15" s="33">
        <f t="shared" si="4"/>
        <v>3.7121343490137759</v>
      </c>
      <c r="Q15" s="40"/>
      <c r="R15" s="115"/>
      <c r="S15" s="115"/>
      <c r="T15" s="116"/>
      <c r="U15" s="117"/>
      <c r="V15" s="118"/>
      <c r="W15" s="67"/>
      <c r="X15" s="68"/>
      <c r="Y15" s="69"/>
      <c r="Z15" s="70"/>
      <c r="AB15" s="167">
        <f t="shared" si="5"/>
        <v>0</v>
      </c>
    </row>
    <row r="16" spans="1:28" x14ac:dyDescent="0.3">
      <c r="A16" s="188">
        <v>13</v>
      </c>
      <c r="B16" s="161">
        <f t="shared" si="7"/>
        <v>5.7000000000000011</v>
      </c>
      <c r="C16" s="157">
        <f t="shared" si="6"/>
        <v>0.42000000000000015</v>
      </c>
      <c r="D16" s="232">
        <f t="shared" si="0"/>
        <v>3.9686723820649694E-2</v>
      </c>
      <c r="F16" s="126">
        <f t="shared" si="1"/>
        <v>7.2229837353582447</v>
      </c>
      <c r="G16" s="119"/>
      <c r="H16" s="31"/>
      <c r="I16" s="71"/>
      <c r="J16" s="33">
        <f t="shared" si="2"/>
        <v>7.2229837353582447</v>
      </c>
      <c r="K16" s="40"/>
      <c r="L16" s="35">
        <f t="shared" si="3"/>
        <v>4.6301177790757979</v>
      </c>
      <c r="M16" s="72"/>
      <c r="N16" s="31"/>
      <c r="O16" s="71"/>
      <c r="P16" s="33">
        <f t="shared" si="4"/>
        <v>4.6301177790757979</v>
      </c>
      <c r="Q16" s="40"/>
      <c r="R16" s="115"/>
      <c r="S16" s="115"/>
      <c r="T16" s="116"/>
      <c r="U16" s="117"/>
      <c r="V16" s="118"/>
      <c r="W16" s="67"/>
      <c r="X16" s="68"/>
      <c r="Y16" s="69"/>
      <c r="Z16" s="70"/>
      <c r="AB16" s="167">
        <f t="shared" si="5"/>
        <v>0</v>
      </c>
    </row>
    <row r="17" spans="1:28" x14ac:dyDescent="0.3">
      <c r="A17" s="188">
        <v>14</v>
      </c>
      <c r="B17" s="161">
        <f t="shared" si="7"/>
        <v>6.1000000000000014</v>
      </c>
      <c r="C17" s="157">
        <f t="shared" si="6"/>
        <v>0.45000000000000018</v>
      </c>
      <c r="D17" s="232">
        <f t="shared" si="0"/>
        <v>4.8755843576657451E-2</v>
      </c>
      <c r="F17" s="126">
        <f t="shared" si="1"/>
        <v>8.8735635309516567</v>
      </c>
      <c r="G17" s="119"/>
      <c r="H17" s="31"/>
      <c r="I17" s="71"/>
      <c r="J17" s="33">
        <f t="shared" si="2"/>
        <v>8.8735635309516567</v>
      </c>
      <c r="K17" s="40"/>
      <c r="L17" s="35">
        <f t="shared" si="3"/>
        <v>5.6881817506100365</v>
      </c>
      <c r="M17" s="72"/>
      <c r="N17" s="31"/>
      <c r="O17" s="71"/>
      <c r="P17" s="33">
        <f t="shared" si="4"/>
        <v>5.6881817506100365</v>
      </c>
      <c r="Q17" s="40"/>
      <c r="R17" s="115"/>
      <c r="S17" s="115"/>
      <c r="T17" s="116"/>
      <c r="U17" s="117"/>
      <c r="V17" s="118"/>
      <c r="W17" s="67"/>
      <c r="X17" s="68"/>
      <c r="Y17" s="69"/>
      <c r="Z17" s="70"/>
      <c r="AB17" s="167">
        <f t="shared" si="5"/>
        <v>0</v>
      </c>
    </row>
    <row r="18" spans="1:28" x14ac:dyDescent="0.3">
      <c r="A18" s="188">
        <v>15</v>
      </c>
      <c r="B18" s="161">
        <f t="shared" si="7"/>
        <v>6.5000000000000018</v>
      </c>
      <c r="C18" s="157">
        <f t="shared" si="6"/>
        <v>0.4800000000000002</v>
      </c>
      <c r="D18" s="232">
        <f t="shared" si="0"/>
        <v>5.911090980805684E-2</v>
      </c>
      <c r="F18" s="126">
        <f t="shared" si="1"/>
        <v>10.758185585066345</v>
      </c>
      <c r="G18" s="119"/>
      <c r="H18" s="31"/>
      <c r="I18" s="71"/>
      <c r="J18" s="33">
        <f t="shared" si="2"/>
        <v>10.758185585066345</v>
      </c>
      <c r="K18" s="40"/>
      <c r="L18" s="35">
        <f t="shared" si="3"/>
        <v>6.8962728109399647</v>
      </c>
      <c r="M18" s="72"/>
      <c r="N18" s="31"/>
      <c r="O18" s="71"/>
      <c r="P18" s="33">
        <f t="shared" si="4"/>
        <v>6.8962728109399647</v>
      </c>
      <c r="Q18" s="40"/>
      <c r="R18" s="115"/>
      <c r="S18" s="115"/>
      <c r="T18" s="116"/>
      <c r="U18" s="117"/>
      <c r="V18" s="118"/>
      <c r="W18" s="67"/>
      <c r="X18" s="68"/>
      <c r="Y18" s="69"/>
      <c r="Z18" s="70"/>
      <c r="AB18" s="167">
        <f t="shared" si="5"/>
        <v>0</v>
      </c>
    </row>
    <row r="19" spans="1:28" x14ac:dyDescent="0.3">
      <c r="A19" s="188">
        <v>16</v>
      </c>
      <c r="B19" s="161">
        <f t="shared" si="7"/>
        <v>6.9000000000000021</v>
      </c>
      <c r="C19" s="157">
        <f t="shared" si="6"/>
        <v>0.51000000000000023</v>
      </c>
      <c r="D19" s="232">
        <f t="shared" si="0"/>
        <v>7.0837178634763298E-2</v>
      </c>
      <c r="F19" s="126">
        <f t="shared" si="1"/>
        <v>12.892366511526919</v>
      </c>
      <c r="G19" s="119"/>
      <c r="H19" s="31"/>
      <c r="I19" s="71"/>
      <c r="J19" s="33">
        <f t="shared" si="2"/>
        <v>12.892366511526919</v>
      </c>
      <c r="K19" s="40"/>
      <c r="L19" s="35">
        <f t="shared" si="3"/>
        <v>8.264337507389051</v>
      </c>
      <c r="M19" s="72"/>
      <c r="N19" s="31"/>
      <c r="O19" s="71"/>
      <c r="P19" s="33">
        <f t="shared" si="4"/>
        <v>8.264337507389051</v>
      </c>
      <c r="Q19" s="40"/>
      <c r="R19" s="115"/>
      <c r="S19" s="115"/>
      <c r="T19" s="116"/>
      <c r="U19" s="117"/>
      <c r="V19" s="118"/>
      <c r="W19" s="67"/>
      <c r="X19" s="68"/>
      <c r="Y19" s="69"/>
      <c r="Z19" s="70"/>
      <c r="AB19" s="167">
        <f t="shared" si="5"/>
        <v>0</v>
      </c>
    </row>
    <row r="20" spans="1:28" x14ac:dyDescent="0.3">
      <c r="A20" s="188">
        <v>17</v>
      </c>
      <c r="B20" s="161">
        <f t="shared" si="7"/>
        <v>7.3000000000000025</v>
      </c>
      <c r="C20" s="157">
        <f t="shared" si="6"/>
        <v>0.54000000000000026</v>
      </c>
      <c r="D20" s="232">
        <f t="shared" si="0"/>
        <v>8.4019906176692347E-2</v>
      </c>
      <c r="F20" s="126">
        <f t="shared" si="1"/>
        <v>15.291622924158007</v>
      </c>
      <c r="G20" s="119"/>
      <c r="H20" s="31"/>
      <c r="I20" s="71"/>
      <c r="J20" s="33">
        <f t="shared" si="2"/>
        <v>15.291622924158007</v>
      </c>
      <c r="K20" s="40"/>
      <c r="L20" s="35">
        <f t="shared" si="3"/>
        <v>9.802322387280773</v>
      </c>
      <c r="M20" s="72"/>
      <c r="N20" s="31"/>
      <c r="O20" s="71"/>
      <c r="P20" s="33">
        <f t="shared" si="4"/>
        <v>9.802322387280773</v>
      </c>
      <c r="Q20" s="40"/>
      <c r="R20" s="115"/>
      <c r="S20" s="115"/>
      <c r="T20" s="116"/>
      <c r="U20" s="117"/>
      <c r="V20" s="118"/>
      <c r="W20" s="67"/>
      <c r="X20" s="68"/>
      <c r="Y20" s="69"/>
      <c r="Z20" s="70"/>
      <c r="AB20" s="167">
        <f t="shared" si="5"/>
        <v>0</v>
      </c>
    </row>
    <row r="21" spans="1:28" x14ac:dyDescent="0.3">
      <c r="A21" s="188">
        <v>18</v>
      </c>
      <c r="B21" s="161">
        <f t="shared" si="7"/>
        <v>7.7000000000000028</v>
      </c>
      <c r="C21" s="157">
        <f t="shared" si="6"/>
        <v>0.57000000000000028</v>
      </c>
      <c r="D21" s="232">
        <f t="shared" si="0"/>
        <v>9.8744348553759381E-2</v>
      </c>
      <c r="F21" s="126">
        <f t="shared" si="1"/>
        <v>17.971471436784206</v>
      </c>
      <c r="G21" s="119"/>
      <c r="H21" s="31"/>
      <c r="I21" s="71"/>
      <c r="J21" s="33">
        <f t="shared" si="2"/>
        <v>17.971471436784206</v>
      </c>
      <c r="K21" s="40"/>
      <c r="L21" s="35">
        <f t="shared" si="3"/>
        <v>11.520173997938594</v>
      </c>
      <c r="M21" s="72"/>
      <c r="N21" s="31"/>
      <c r="O21" s="71"/>
      <c r="P21" s="33">
        <f t="shared" si="4"/>
        <v>11.520173997938594</v>
      </c>
      <c r="Q21" s="40"/>
      <c r="R21" s="115"/>
      <c r="S21" s="115"/>
      <c r="T21" s="116"/>
      <c r="U21" s="117"/>
      <c r="V21" s="118"/>
      <c r="W21" s="67"/>
      <c r="X21" s="68"/>
      <c r="Y21" s="69"/>
      <c r="Z21" s="70"/>
      <c r="AB21" s="167">
        <f t="shared" si="5"/>
        <v>0</v>
      </c>
    </row>
    <row r="22" spans="1:28" x14ac:dyDescent="0.3">
      <c r="A22" s="188">
        <v>19</v>
      </c>
      <c r="B22" s="161">
        <f t="shared" si="7"/>
        <v>8.1000000000000032</v>
      </c>
      <c r="C22" s="157">
        <f t="shared" si="6"/>
        <v>0.60000000000000031</v>
      </c>
      <c r="D22" s="232">
        <f t="shared" si="0"/>
        <v>0.11509576188587993</v>
      </c>
      <c r="F22" s="126">
        <f t="shared" si="1"/>
        <v>20.947428663230149</v>
      </c>
      <c r="G22" s="119"/>
      <c r="H22" s="31"/>
      <c r="I22" s="71"/>
      <c r="J22" s="33">
        <f t="shared" si="2"/>
        <v>20.947428663230149</v>
      </c>
      <c r="K22" s="40"/>
      <c r="L22" s="35">
        <f t="shared" si="3"/>
        <v>13.427838886685992</v>
      </c>
      <c r="M22" s="72"/>
      <c r="N22" s="31"/>
      <c r="O22" s="71"/>
      <c r="P22" s="33">
        <f t="shared" si="4"/>
        <v>13.427838886685992</v>
      </c>
      <c r="Q22" s="40"/>
      <c r="R22" s="115"/>
      <c r="S22" s="115"/>
      <c r="T22" s="116"/>
      <c r="U22" s="117"/>
      <c r="V22" s="118"/>
      <c r="W22" s="67"/>
      <c r="X22" s="68"/>
      <c r="Y22" s="69"/>
      <c r="Z22" s="70"/>
      <c r="AB22" s="167">
        <f t="shared" si="5"/>
        <v>0</v>
      </c>
    </row>
    <row r="23" spans="1:28" x14ac:dyDescent="0.3">
      <c r="A23" s="188">
        <v>20</v>
      </c>
      <c r="B23" s="161">
        <f t="shared" si="7"/>
        <v>8.5000000000000036</v>
      </c>
      <c r="C23" s="157">
        <f t="shared" si="6"/>
        <v>0.63000000000000034</v>
      </c>
      <c r="D23" s="232">
        <f t="shared" si="0"/>
        <v>0.13315940229296941</v>
      </c>
      <c r="F23" s="126">
        <f t="shared" si="1"/>
        <v>24.235011217320434</v>
      </c>
      <c r="G23" s="119"/>
      <c r="H23" s="31"/>
      <c r="I23" s="71"/>
      <c r="J23" s="33">
        <f t="shared" si="2"/>
        <v>24.235011217320434</v>
      </c>
      <c r="K23" s="40"/>
      <c r="L23" s="35">
        <f t="shared" si="3"/>
        <v>15.535263600846431</v>
      </c>
      <c r="M23" s="72"/>
      <c r="N23" s="31"/>
      <c r="O23" s="71"/>
      <c r="P23" s="33">
        <f t="shared" si="4"/>
        <v>15.535263600846431</v>
      </c>
      <c r="Q23" s="40"/>
      <c r="R23" s="115"/>
      <c r="S23" s="115"/>
      <c r="T23" s="116"/>
      <c r="U23" s="117"/>
      <c r="V23" s="118"/>
      <c r="W23" s="67"/>
      <c r="X23" s="68"/>
      <c r="Y23" s="69"/>
      <c r="Z23" s="70"/>
      <c r="AB23" s="167">
        <f t="shared" si="5"/>
        <v>0</v>
      </c>
    </row>
    <row r="24" spans="1:28" x14ac:dyDescent="0.3">
      <c r="A24" s="188">
        <v>21</v>
      </c>
      <c r="B24" s="161">
        <f t="shared" si="7"/>
        <v>8.9000000000000039</v>
      </c>
      <c r="C24" s="157">
        <f t="shared" si="6"/>
        <v>0.66000000000000036</v>
      </c>
      <c r="D24" s="232">
        <f t="shared" si="0"/>
        <v>0.15302052589494336</v>
      </c>
      <c r="F24" s="126">
        <f t="shared" si="1"/>
        <v>27.849735712879692</v>
      </c>
      <c r="G24" s="119"/>
      <c r="H24" s="31"/>
      <c r="I24" s="71"/>
      <c r="J24" s="33">
        <f t="shared" si="2"/>
        <v>27.849735712879692</v>
      </c>
      <c r="K24" s="40"/>
      <c r="L24" s="35">
        <f t="shared" si="3"/>
        <v>17.852394687743391</v>
      </c>
      <c r="M24" s="72"/>
      <c r="N24" s="31"/>
      <c r="O24" s="71"/>
      <c r="P24" s="33">
        <f t="shared" si="4"/>
        <v>17.852394687743391</v>
      </c>
      <c r="Q24" s="40"/>
      <c r="R24" s="115"/>
      <c r="S24" s="115"/>
      <c r="T24" s="116"/>
      <c r="U24" s="117"/>
      <c r="V24" s="118"/>
      <c r="W24" s="67"/>
      <c r="X24" s="68"/>
      <c r="Y24" s="69"/>
      <c r="Z24" s="70"/>
      <c r="AB24" s="167">
        <f t="shared" si="5"/>
        <v>0</v>
      </c>
    </row>
    <row r="25" spans="1:28" x14ac:dyDescent="0.3">
      <c r="A25" s="188">
        <v>22</v>
      </c>
      <c r="B25" s="161">
        <f t="shared" si="7"/>
        <v>9.3000000000000043</v>
      </c>
      <c r="C25" s="157">
        <f t="shared" si="6"/>
        <v>0.69000000000000039</v>
      </c>
      <c r="D25" s="232">
        <f t="shared" si="0"/>
        <v>0.17476438881171716</v>
      </c>
      <c r="F25" s="126">
        <f t="shared" si="1"/>
        <v>31.807118763732522</v>
      </c>
      <c r="G25" s="119"/>
      <c r="H25" s="31"/>
      <c r="I25" s="71"/>
      <c r="J25" s="33">
        <f t="shared" si="2"/>
        <v>31.807118763732522</v>
      </c>
      <c r="K25" s="40"/>
      <c r="L25" s="35">
        <f t="shared" si="3"/>
        <v>20.389178694700334</v>
      </c>
      <c r="M25" s="72"/>
      <c r="N25" s="31"/>
      <c r="O25" s="71"/>
      <c r="P25" s="33">
        <f t="shared" si="4"/>
        <v>20.389178694700334</v>
      </c>
      <c r="Q25" s="40"/>
      <c r="R25" s="115"/>
      <c r="S25" s="115"/>
      <c r="T25" s="116"/>
      <c r="U25" s="117"/>
      <c r="V25" s="118"/>
      <c r="W25" s="67"/>
      <c r="X25" s="68"/>
      <c r="Y25" s="69"/>
      <c r="Z25" s="70"/>
      <c r="AB25" s="167">
        <f t="shared" si="5"/>
        <v>0</v>
      </c>
    </row>
    <row r="26" spans="1:28" x14ac:dyDescent="0.3">
      <c r="A26" s="188">
        <v>23</v>
      </c>
      <c r="B26" s="161">
        <f t="shared" si="7"/>
        <v>9.7000000000000046</v>
      </c>
      <c r="C26" s="157">
        <f t="shared" si="6"/>
        <v>0.72000000000000042</v>
      </c>
      <c r="D26" s="232">
        <f t="shared" si="0"/>
        <v>0.19847624716320633</v>
      </c>
      <c r="F26" s="126">
        <f t="shared" si="1"/>
        <v>36.122676983703549</v>
      </c>
      <c r="G26" s="119"/>
      <c r="H26" s="31"/>
      <c r="I26" s="71"/>
      <c r="J26" s="33">
        <f t="shared" si="2"/>
        <v>36.122676983703549</v>
      </c>
      <c r="K26" s="40"/>
      <c r="L26" s="35">
        <f t="shared" si="3"/>
        <v>23.155562169040735</v>
      </c>
      <c r="M26" s="72"/>
      <c r="N26" s="31"/>
      <c r="O26" s="71"/>
      <c r="P26" s="33">
        <f t="shared" si="4"/>
        <v>23.155562169040735</v>
      </c>
      <c r="Q26" s="40"/>
      <c r="R26" s="115"/>
      <c r="S26" s="115"/>
      <c r="T26" s="116"/>
      <c r="U26" s="117"/>
      <c r="V26" s="118"/>
      <c r="W26" s="67"/>
      <c r="X26" s="68"/>
      <c r="Y26" s="69"/>
      <c r="Z26" s="70"/>
      <c r="AB26" s="167">
        <f t="shared" si="5"/>
        <v>0</v>
      </c>
    </row>
    <row r="27" spans="1:28" x14ac:dyDescent="0.3">
      <c r="A27" s="188">
        <v>24</v>
      </c>
      <c r="B27" s="161">
        <f t="shared" si="7"/>
        <v>10.100000000000005</v>
      </c>
      <c r="C27" s="157">
        <f t="shared" si="6"/>
        <v>0.75000000000000044</v>
      </c>
      <c r="D27" s="232">
        <f t="shared" si="0"/>
        <v>0.2242413570693263</v>
      </c>
      <c r="F27" s="126">
        <f t="shared" si="1"/>
        <v>40.811926986617387</v>
      </c>
      <c r="G27" s="119"/>
      <c r="H27" s="31"/>
      <c r="I27" s="71"/>
      <c r="J27" s="33">
        <f t="shared" si="2"/>
        <v>40.811926986617387</v>
      </c>
      <c r="K27" s="40"/>
      <c r="L27" s="35">
        <f t="shared" si="3"/>
        <v>26.161491658088067</v>
      </c>
      <c r="M27" s="72"/>
      <c r="N27" s="31"/>
      <c r="O27" s="71"/>
      <c r="P27" s="33">
        <f t="shared" si="4"/>
        <v>26.161491658088067</v>
      </c>
      <c r="Q27" s="40"/>
      <c r="R27" s="115"/>
      <c r="S27" s="115"/>
      <c r="T27" s="116"/>
      <c r="U27" s="117"/>
      <c r="V27" s="118"/>
      <c r="W27" s="67"/>
      <c r="X27" s="68"/>
      <c r="Y27" s="69"/>
      <c r="Z27" s="70"/>
      <c r="AB27" s="167">
        <f t="shared" si="5"/>
        <v>0</v>
      </c>
    </row>
    <row r="28" spans="1:28" x14ac:dyDescent="0.3">
      <c r="A28" s="188">
        <v>25</v>
      </c>
      <c r="B28" s="161">
        <f t="shared" si="7"/>
        <v>10.500000000000005</v>
      </c>
      <c r="C28" s="157">
        <f t="shared" si="6"/>
        <v>0.78000000000000047</v>
      </c>
      <c r="D28" s="232">
        <f t="shared" si="0"/>
        <v>0.25214497464999264</v>
      </c>
      <c r="F28" s="126">
        <f t="shared" si="1"/>
        <v>45.890385386298661</v>
      </c>
      <c r="G28" s="119"/>
      <c r="H28" s="31"/>
      <c r="I28" s="71"/>
      <c r="J28" s="33">
        <f t="shared" si="2"/>
        <v>45.890385386298661</v>
      </c>
      <c r="K28" s="40"/>
      <c r="L28" s="35">
        <f t="shared" si="3"/>
        <v>29.416913709165808</v>
      </c>
      <c r="M28" s="72"/>
      <c r="N28" s="31"/>
      <c r="O28" s="71"/>
      <c r="P28" s="33">
        <f t="shared" si="4"/>
        <v>29.416913709165808</v>
      </c>
      <c r="Q28" s="40"/>
      <c r="R28" s="115"/>
      <c r="S28" s="115"/>
      <c r="T28" s="116"/>
      <c r="U28" s="117"/>
      <c r="V28" s="118"/>
      <c r="W28" s="67"/>
      <c r="X28" s="68"/>
      <c r="Y28" s="69"/>
      <c r="Z28" s="70"/>
      <c r="AB28" s="167">
        <f t="shared" si="5"/>
        <v>0</v>
      </c>
    </row>
    <row r="29" spans="1:28" x14ac:dyDescent="0.3">
      <c r="A29" s="188">
        <v>26</v>
      </c>
      <c r="B29" s="161">
        <f t="shared" si="7"/>
        <v>10.900000000000006</v>
      </c>
      <c r="C29" s="157">
        <f t="shared" si="6"/>
        <v>0.8100000000000005</v>
      </c>
      <c r="D29" s="232">
        <f t="shared" si="0"/>
        <v>0.28227235602512057</v>
      </c>
      <c r="F29" s="126">
        <f t="shared" si="1"/>
        <v>51.373568796571945</v>
      </c>
      <c r="G29" s="119"/>
      <c r="H29" s="31"/>
      <c r="I29" s="71"/>
      <c r="J29" s="33">
        <f t="shared" si="2"/>
        <v>51.373568796571945</v>
      </c>
      <c r="K29" s="40"/>
      <c r="L29" s="35">
        <f t="shared" si="3"/>
        <v>32.931774869597398</v>
      </c>
      <c r="M29" s="72"/>
      <c r="N29" s="31"/>
      <c r="O29" s="71"/>
      <c r="P29" s="33">
        <f t="shared" si="4"/>
        <v>32.931774869597398</v>
      </c>
      <c r="Q29" s="40"/>
      <c r="R29" s="115"/>
      <c r="S29" s="115"/>
      <c r="T29" s="116"/>
      <c r="U29" s="117"/>
      <c r="V29" s="118"/>
      <c r="W29" s="67"/>
      <c r="X29" s="68"/>
      <c r="Y29" s="69"/>
      <c r="Z29" s="70"/>
      <c r="AB29" s="167">
        <f t="shared" si="5"/>
        <v>0</v>
      </c>
    </row>
    <row r="30" spans="1:28" x14ac:dyDescent="0.3">
      <c r="A30" s="188">
        <v>27</v>
      </c>
      <c r="B30" s="161">
        <f t="shared" si="7"/>
        <v>11.300000000000006</v>
      </c>
      <c r="C30" s="157">
        <f t="shared" si="6"/>
        <v>0.84000000000000052</v>
      </c>
      <c r="D30" s="232">
        <f t="shared" si="0"/>
        <v>0.31470875731462589</v>
      </c>
      <c r="F30" s="126">
        <f t="shared" si="1"/>
        <v>57.276993831261912</v>
      </c>
      <c r="G30" s="119"/>
      <c r="H30" s="31"/>
      <c r="I30" s="71"/>
      <c r="J30" s="33">
        <f t="shared" si="2"/>
        <v>57.276993831261912</v>
      </c>
      <c r="K30" s="40"/>
      <c r="L30" s="35">
        <f t="shared" si="3"/>
        <v>36.716021686706355</v>
      </c>
      <c r="M30" s="72"/>
      <c r="N30" s="31"/>
      <c r="O30" s="71"/>
      <c r="P30" s="33">
        <f t="shared" si="4"/>
        <v>36.716021686706355</v>
      </c>
      <c r="Q30" s="40"/>
      <c r="R30" s="115"/>
      <c r="S30" s="115"/>
      <c r="T30" s="116"/>
      <c r="U30" s="117"/>
      <c r="V30" s="118"/>
      <c r="W30" s="67"/>
      <c r="X30" s="68"/>
      <c r="Y30" s="69"/>
      <c r="Z30" s="70"/>
      <c r="AB30" s="167">
        <f t="shared" si="5"/>
        <v>0</v>
      </c>
    </row>
    <row r="31" spans="1:28" x14ac:dyDescent="0.3">
      <c r="A31" s="188">
        <v>28</v>
      </c>
      <c r="B31" s="161">
        <f t="shared" si="7"/>
        <v>11.700000000000006</v>
      </c>
      <c r="C31" s="157">
        <f t="shared" si="6"/>
        <v>0.87000000000000055</v>
      </c>
      <c r="D31" s="232">
        <f t="shared" si="0"/>
        <v>0.3495394346384238</v>
      </c>
      <c r="F31" s="126">
        <f t="shared" si="1"/>
        <v>63.616177104193127</v>
      </c>
      <c r="G31" s="119"/>
      <c r="H31" s="31"/>
      <c r="I31" s="71"/>
      <c r="J31" s="33">
        <f t="shared" si="2"/>
        <v>63.616177104193127</v>
      </c>
      <c r="K31" s="40"/>
      <c r="L31" s="35">
        <f t="shared" si="3"/>
        <v>40.779600707816108</v>
      </c>
      <c r="M31" s="72"/>
      <c r="N31" s="31"/>
      <c r="O31" s="71"/>
      <c r="P31" s="33">
        <f t="shared" si="4"/>
        <v>40.779600707816108</v>
      </c>
      <c r="Q31" s="40"/>
      <c r="R31" s="120"/>
      <c r="S31" s="115"/>
      <c r="T31" s="116"/>
      <c r="U31" s="117"/>
      <c r="V31" s="118"/>
      <c r="W31" s="67"/>
      <c r="X31" s="68"/>
      <c r="Y31" s="83"/>
      <c r="Z31" s="70"/>
      <c r="AB31" s="167">
        <f t="shared" si="5"/>
        <v>0</v>
      </c>
    </row>
    <row r="32" spans="1:28" x14ac:dyDescent="0.3">
      <c r="A32" s="188">
        <v>29</v>
      </c>
      <c r="B32" s="161">
        <f t="shared" si="7"/>
        <v>12.100000000000007</v>
      </c>
      <c r="C32" s="157">
        <f t="shared" si="6"/>
        <v>0.90000000000000058</v>
      </c>
      <c r="D32" s="232">
        <f t="shared" si="0"/>
        <v>0.38684964411642997</v>
      </c>
      <c r="F32" s="126">
        <f t="shared" si="1"/>
        <v>70.406635229190258</v>
      </c>
      <c r="G32" s="119"/>
      <c r="H32" s="31"/>
      <c r="I32" s="71"/>
      <c r="J32" s="33">
        <f t="shared" si="2"/>
        <v>70.406635229190258</v>
      </c>
      <c r="K32" s="40"/>
      <c r="L32" s="35">
        <f t="shared" si="3"/>
        <v>45.132458480250165</v>
      </c>
      <c r="M32" s="72"/>
      <c r="N32" s="31"/>
      <c r="O32" s="71"/>
      <c r="P32" s="33">
        <f t="shared" si="4"/>
        <v>45.132458480250165</v>
      </c>
      <c r="Q32" s="40"/>
      <c r="R32" s="120"/>
      <c r="S32" s="115"/>
      <c r="T32" s="116"/>
      <c r="U32" s="117"/>
      <c r="V32" s="118"/>
      <c r="W32" s="67"/>
      <c r="X32" s="68"/>
      <c r="Y32" s="83"/>
      <c r="Z32" s="70"/>
      <c r="AB32" s="167">
        <f t="shared" si="5"/>
        <v>0</v>
      </c>
    </row>
    <row r="33" spans="1:28" x14ac:dyDescent="0.3">
      <c r="A33" s="188">
        <v>30</v>
      </c>
      <c r="B33" s="161">
        <f t="shared" si="7"/>
        <v>12.500000000000007</v>
      </c>
      <c r="C33" s="157">
        <f t="shared" si="6"/>
        <v>0.9300000000000006</v>
      </c>
      <c r="D33" s="232">
        <f t="shared" si="0"/>
        <v>0.42672464186855968</v>
      </c>
      <c r="F33" s="126">
        <f t="shared" si="1"/>
        <v>77.663884820077868</v>
      </c>
      <c r="G33" s="119"/>
      <c r="H33" s="31"/>
      <c r="I33" s="71"/>
      <c r="J33" s="33">
        <f t="shared" si="2"/>
        <v>77.663884820077868</v>
      </c>
      <c r="K33" s="121"/>
      <c r="L33" s="35">
        <f t="shared" si="3"/>
        <v>49.784541551331962</v>
      </c>
      <c r="M33" s="72"/>
      <c r="N33" s="31"/>
      <c r="O33" s="71"/>
      <c r="P33" s="33">
        <f t="shared" si="4"/>
        <v>49.784541551331962</v>
      </c>
      <c r="Q33" s="40"/>
      <c r="R33" s="120"/>
      <c r="S33" s="115"/>
      <c r="T33" s="116"/>
      <c r="U33" s="117"/>
      <c r="V33" s="118"/>
      <c r="W33" s="67"/>
      <c r="X33" s="68"/>
      <c r="Y33" s="83"/>
      <c r="Z33" s="70"/>
      <c r="AB33" s="167">
        <f t="shared" si="5"/>
        <v>0</v>
      </c>
    </row>
    <row r="34" spans="1:28" x14ac:dyDescent="0.3">
      <c r="A34" s="188">
        <v>31</v>
      </c>
      <c r="B34" s="161">
        <f t="shared" si="7"/>
        <v>12.900000000000007</v>
      </c>
      <c r="C34" s="157">
        <f t="shared" si="6"/>
        <v>0.96000000000000063</v>
      </c>
      <c r="D34" s="232">
        <f t="shared" si="0"/>
        <v>0.46924968401472844</v>
      </c>
      <c r="F34" s="126">
        <f t="shared" si="1"/>
        <v>85.403442490680575</v>
      </c>
      <c r="G34" s="119"/>
      <c r="H34" s="31"/>
      <c r="I34" s="71"/>
      <c r="J34" s="33">
        <f t="shared" si="2"/>
        <v>85.403442490680575</v>
      </c>
      <c r="K34" s="40"/>
      <c r="L34" s="35">
        <f t="shared" si="3"/>
        <v>54.745796468384981</v>
      </c>
      <c r="M34" s="72"/>
      <c r="N34" s="31"/>
      <c r="O34" s="71"/>
      <c r="P34" s="33">
        <f t="shared" si="4"/>
        <v>54.745796468384981</v>
      </c>
      <c r="Q34" s="40"/>
      <c r="R34" s="120"/>
      <c r="S34" s="115"/>
      <c r="T34" s="116"/>
      <c r="U34" s="117"/>
      <c r="V34" s="118"/>
      <c r="W34" s="67"/>
      <c r="X34" s="68"/>
      <c r="Y34" s="83"/>
      <c r="Z34" s="70"/>
      <c r="AB34" s="167">
        <f t="shared" si="5"/>
        <v>0</v>
      </c>
    </row>
    <row r="35" spans="1:28" x14ac:dyDescent="0.3">
      <c r="A35" s="188">
        <v>32</v>
      </c>
      <c r="B35" s="161">
        <f t="shared" si="7"/>
        <v>13.300000000000008</v>
      </c>
      <c r="C35" s="157">
        <f t="shared" si="6"/>
        <v>0.99000000000000066</v>
      </c>
      <c r="D35" s="232">
        <f t="shared" si="0"/>
        <v>0.51451002667485179</v>
      </c>
      <c r="F35" s="126">
        <f t="shared" si="1"/>
        <v>93.640824854823023</v>
      </c>
      <c r="G35" s="119"/>
      <c r="H35" s="31"/>
      <c r="I35" s="71"/>
      <c r="J35" s="33">
        <f t="shared" si="2"/>
        <v>93.640824854823023</v>
      </c>
      <c r="K35" s="40"/>
      <c r="L35" s="35">
        <f t="shared" si="3"/>
        <v>60.026169778732708</v>
      </c>
      <c r="M35" s="72"/>
      <c r="N35" s="31"/>
      <c r="O35" s="71"/>
      <c r="P35" s="33">
        <f t="shared" si="4"/>
        <v>60.026169778732708</v>
      </c>
      <c r="Q35" s="40"/>
      <c r="R35" s="120"/>
      <c r="S35" s="115"/>
      <c r="T35" s="116"/>
      <c r="U35" s="117"/>
      <c r="V35" s="118"/>
      <c r="W35" s="67"/>
      <c r="X35" s="68"/>
      <c r="Y35" s="83"/>
      <c r="Z35" s="70"/>
      <c r="AB35" s="167">
        <f t="shared" si="5"/>
        <v>0</v>
      </c>
    </row>
    <row r="36" spans="1:28" x14ac:dyDescent="0.3">
      <c r="A36" s="188">
        <v>33</v>
      </c>
      <c r="B36" s="161">
        <f t="shared" si="7"/>
        <v>13.700000000000008</v>
      </c>
      <c r="C36" s="157">
        <f t="shared" si="6"/>
        <v>1.0200000000000007</v>
      </c>
      <c r="D36" s="232">
        <f t="shared" si="0"/>
        <v>0.56259092596884519</v>
      </c>
      <c r="F36" s="126">
        <f t="shared" si="1"/>
        <v>102.39154852632983</v>
      </c>
      <c r="G36" s="86">
        <v>0.15</v>
      </c>
      <c r="H36" s="31">
        <f>G36*F36</f>
        <v>15.358732278949473</v>
      </c>
      <c r="I36" s="71">
        <f>H36</f>
        <v>15.358732278949473</v>
      </c>
      <c r="J36" s="33">
        <f>F36-I36</f>
        <v>87.032816247380353</v>
      </c>
      <c r="K36" s="40"/>
      <c r="L36" s="35">
        <f t="shared" si="3"/>
        <v>65.635608029698602</v>
      </c>
      <c r="M36" s="87">
        <v>0.15</v>
      </c>
      <c r="N36" s="31">
        <f>M36*L36</f>
        <v>9.8453412044547903</v>
      </c>
      <c r="O36" s="71">
        <f>N36</f>
        <v>9.8453412044547903</v>
      </c>
      <c r="P36" s="33">
        <f>L36-O36</f>
        <v>55.790266825243812</v>
      </c>
      <c r="Q36" s="40"/>
      <c r="R36" s="120">
        <f>N36*80%</f>
        <v>7.8762729635638324</v>
      </c>
      <c r="S36" s="115">
        <f>H36-N36</f>
        <v>5.5133910744946828</v>
      </c>
      <c r="T36" s="116">
        <f t="shared" ref="T36:T53" si="8">R36/0.6</f>
        <v>13.12712160593972</v>
      </c>
      <c r="U36" s="117">
        <v>8</v>
      </c>
      <c r="V36" s="118">
        <f t="shared" ref="V36:V53" si="9">T36*U36</f>
        <v>105.01697284751776</v>
      </c>
      <c r="W36" s="67"/>
      <c r="X36" s="68">
        <f>N36*20%</f>
        <v>1.9690682408909581</v>
      </c>
      <c r="Y36" s="83">
        <v>40</v>
      </c>
      <c r="Z36" s="70">
        <f t="shared" ref="Z36:Z53" si="10">X36*Y36</f>
        <v>78.762729635638323</v>
      </c>
      <c r="AB36" s="167">
        <f t="shared" si="5"/>
        <v>183.77970248315609</v>
      </c>
    </row>
    <row r="37" spans="1:28" x14ac:dyDescent="0.3">
      <c r="A37" s="188">
        <v>34</v>
      </c>
      <c r="B37" s="161">
        <f t="shared" si="7"/>
        <v>14.100000000000009</v>
      </c>
      <c r="C37" s="157">
        <f t="shared" si="6"/>
        <v>1.0500000000000007</v>
      </c>
      <c r="D37" s="232">
        <f t="shared" si="0"/>
        <v>0.61357763801662424</v>
      </c>
      <c r="F37" s="126">
        <f t="shared" si="1"/>
        <v>111.67113011902561</v>
      </c>
      <c r="G37" s="86"/>
      <c r="H37" s="31"/>
      <c r="I37" s="71"/>
      <c r="J37" s="33">
        <f>F37-I36</f>
        <v>96.31239784007613</v>
      </c>
      <c r="K37" s="40"/>
      <c r="L37" s="35">
        <f t="shared" si="3"/>
        <v>71.584057768606158</v>
      </c>
      <c r="M37" s="87"/>
      <c r="N37" s="31"/>
      <c r="O37" s="71"/>
      <c r="P37" s="33">
        <f>L37-O36</f>
        <v>61.738716564151368</v>
      </c>
      <c r="Q37" s="40"/>
      <c r="R37" s="120"/>
      <c r="S37" s="115"/>
      <c r="T37" s="116"/>
      <c r="U37" s="117"/>
      <c r="V37" s="118"/>
      <c r="W37" s="67"/>
      <c r="X37" s="68"/>
      <c r="Y37" s="83"/>
      <c r="Z37" s="70"/>
      <c r="AB37" s="167">
        <f t="shared" si="5"/>
        <v>0</v>
      </c>
    </row>
    <row r="38" spans="1:28" x14ac:dyDescent="0.3">
      <c r="A38" s="188">
        <v>35</v>
      </c>
      <c r="B38" s="161">
        <f t="shared" si="7"/>
        <v>14.500000000000009</v>
      </c>
      <c r="C38" s="157">
        <f t="shared" si="6"/>
        <v>1.0800000000000007</v>
      </c>
      <c r="D38" s="232">
        <f t="shared" si="0"/>
        <v>0.66755541893810399</v>
      </c>
      <c r="F38" s="126">
        <f t="shared" si="1"/>
        <v>121.49508624673493</v>
      </c>
      <c r="G38" s="86"/>
      <c r="H38" s="31"/>
      <c r="I38" s="71"/>
      <c r="J38" s="33">
        <f>F38-I36</f>
        <v>106.13635396778545</v>
      </c>
      <c r="K38" s="40"/>
      <c r="L38" s="35">
        <f t="shared" si="3"/>
        <v>77.881465542778798</v>
      </c>
      <c r="M38" s="87"/>
      <c r="N38" s="31"/>
      <c r="O38" s="71"/>
      <c r="P38" s="33">
        <f>L38-O36</f>
        <v>68.036124338324015</v>
      </c>
      <c r="Q38" s="40"/>
      <c r="R38" s="120"/>
      <c r="S38" s="115"/>
      <c r="T38" s="116"/>
      <c r="U38" s="117"/>
      <c r="V38" s="118"/>
      <c r="W38" s="67"/>
      <c r="X38" s="68"/>
      <c r="Y38" s="83"/>
      <c r="Z38" s="70"/>
      <c r="AB38" s="167">
        <f t="shared" si="5"/>
        <v>0</v>
      </c>
    </row>
    <row r="39" spans="1:28" x14ac:dyDescent="0.3">
      <c r="A39" s="188">
        <v>36</v>
      </c>
      <c r="B39" s="161">
        <f t="shared" si="7"/>
        <v>14.900000000000009</v>
      </c>
      <c r="C39" s="157">
        <f t="shared" si="6"/>
        <v>1.1100000000000008</v>
      </c>
      <c r="D39" s="232">
        <f t="shared" si="0"/>
        <v>0.72460952485320029</v>
      </c>
      <c r="F39" s="126">
        <f t="shared" si="1"/>
        <v>131.87893352328246</v>
      </c>
      <c r="G39" s="86"/>
      <c r="H39" s="31"/>
      <c r="I39" s="71"/>
      <c r="J39" s="33">
        <f>F39-I36</f>
        <v>116.52020124433298</v>
      </c>
      <c r="K39" s="40"/>
      <c r="L39" s="35">
        <f t="shared" si="3"/>
        <v>84.537777899540032</v>
      </c>
      <c r="M39" s="87"/>
      <c r="N39" s="31"/>
      <c r="O39" s="71"/>
      <c r="P39" s="33">
        <f>L39-O36</f>
        <v>74.692436695085235</v>
      </c>
      <c r="Q39" s="40"/>
      <c r="R39" s="120"/>
      <c r="S39" s="115"/>
      <c r="T39" s="116"/>
      <c r="U39" s="117"/>
      <c r="V39" s="118"/>
      <c r="W39" s="67"/>
      <c r="X39" s="68"/>
      <c r="Y39" s="83"/>
      <c r="Z39" s="70"/>
      <c r="AB39" s="167">
        <f t="shared" si="5"/>
        <v>0</v>
      </c>
    </row>
    <row r="40" spans="1:28" x14ac:dyDescent="0.3">
      <c r="A40" s="188">
        <v>37</v>
      </c>
      <c r="B40" s="161">
        <f t="shared" si="7"/>
        <v>15.30000000000001</v>
      </c>
      <c r="C40" s="157">
        <f t="shared" si="6"/>
        <v>1.1400000000000008</v>
      </c>
      <c r="D40" s="232">
        <f t="shared" si="0"/>
        <v>0.78482521188182852</v>
      </c>
      <c r="F40" s="126">
        <f t="shared" si="1"/>
        <v>142.8381885624928</v>
      </c>
      <c r="G40" s="86"/>
      <c r="H40" s="31"/>
      <c r="I40" s="71"/>
      <c r="J40" s="33">
        <f>F40-I36</f>
        <v>127.47945628354333</v>
      </c>
      <c r="K40" s="40"/>
      <c r="L40" s="35">
        <f t="shared" si="3"/>
        <v>91.562941386213339</v>
      </c>
      <c r="M40" s="87"/>
      <c r="N40" s="31"/>
      <c r="O40" s="71"/>
      <c r="P40" s="33">
        <f>L40-O36</f>
        <v>81.717600181758542</v>
      </c>
      <c r="Q40" s="40"/>
      <c r="R40" s="120"/>
      <c r="S40" s="115"/>
      <c r="T40" s="116"/>
      <c r="U40" s="117"/>
      <c r="V40" s="118"/>
      <c r="W40" s="67"/>
      <c r="X40" s="68"/>
      <c r="Y40" s="83"/>
      <c r="Z40" s="70"/>
      <c r="AB40" s="167">
        <f t="shared" si="5"/>
        <v>0</v>
      </c>
    </row>
    <row r="41" spans="1:28" x14ac:dyDescent="0.3">
      <c r="A41" s="188">
        <v>38</v>
      </c>
      <c r="B41" s="161">
        <f t="shared" si="7"/>
        <v>15.70000000000001</v>
      </c>
      <c r="C41" s="157">
        <f t="shared" si="6"/>
        <v>1.1700000000000008</v>
      </c>
      <c r="D41" s="232">
        <f t="shared" si="0"/>
        <v>0.84828773614390396</v>
      </c>
      <c r="F41" s="126">
        <f t="shared" si="1"/>
        <v>154.38836797819053</v>
      </c>
      <c r="G41" s="86"/>
      <c r="H41" s="31"/>
      <c r="I41" s="71"/>
      <c r="J41" s="33">
        <f>F41-I36</f>
        <v>139.02963569924106</v>
      </c>
      <c r="K41" s="40"/>
      <c r="L41" s="35">
        <f t="shared" si="3"/>
        <v>98.966902550122128</v>
      </c>
      <c r="M41" s="87"/>
      <c r="N41" s="31"/>
      <c r="O41" s="71"/>
      <c r="P41" s="33">
        <f>L41-O36</f>
        <v>89.121561345667345</v>
      </c>
      <c r="Q41" s="40"/>
      <c r="R41" s="120"/>
      <c r="S41" s="115"/>
      <c r="T41" s="116"/>
      <c r="U41" s="117"/>
      <c r="V41" s="118"/>
      <c r="W41" s="67"/>
      <c r="X41" s="68"/>
      <c r="Y41" s="83"/>
      <c r="Z41" s="70"/>
      <c r="AB41" s="167">
        <f t="shared" si="5"/>
        <v>0</v>
      </c>
    </row>
    <row r="42" spans="1:28" x14ac:dyDescent="0.3">
      <c r="A42" s="188">
        <v>39</v>
      </c>
      <c r="B42" s="161">
        <f t="shared" si="7"/>
        <v>16.100000000000009</v>
      </c>
      <c r="C42" s="157">
        <f t="shared" si="6"/>
        <v>1.2000000000000008</v>
      </c>
      <c r="D42" s="232">
        <f t="shared" si="0"/>
        <v>0.9150823537593421</v>
      </c>
      <c r="F42" s="126">
        <f t="shared" si="1"/>
        <v>166.54498838420025</v>
      </c>
      <c r="G42" s="86"/>
      <c r="H42" s="31"/>
      <c r="I42" s="71"/>
      <c r="J42" s="33">
        <f>F42-I36</f>
        <v>151.18625610525078</v>
      </c>
      <c r="K42" s="40"/>
      <c r="L42" s="35">
        <f t="shared" si="3"/>
        <v>106.75960793858989</v>
      </c>
      <c r="M42" s="87"/>
      <c r="N42" s="31"/>
      <c r="O42" s="71"/>
      <c r="P42" s="33">
        <f>L42-O36</f>
        <v>96.914266734135111</v>
      </c>
      <c r="Q42" s="40"/>
      <c r="R42" s="120"/>
      <c r="S42" s="115"/>
      <c r="T42" s="116"/>
      <c r="U42" s="117"/>
      <c r="V42" s="118"/>
      <c r="W42" s="67"/>
      <c r="X42" s="68"/>
      <c r="Y42" s="83"/>
      <c r="Z42" s="70"/>
      <c r="AB42" s="167">
        <f t="shared" si="5"/>
        <v>0</v>
      </c>
    </row>
    <row r="43" spans="1:28" x14ac:dyDescent="0.3">
      <c r="A43" s="188">
        <v>40</v>
      </c>
      <c r="B43" s="161">
        <f t="shared" si="7"/>
        <v>16.500000000000007</v>
      </c>
      <c r="C43" s="157">
        <f t="shared" si="6"/>
        <v>1.2300000000000009</v>
      </c>
      <c r="D43" s="232">
        <f t="shared" si="0"/>
        <v>0.98529432084805879</v>
      </c>
      <c r="F43" s="126">
        <f t="shared" si="1"/>
        <v>179.3235663943467</v>
      </c>
      <c r="G43" s="86"/>
      <c r="H43" s="31"/>
      <c r="I43" s="71"/>
      <c r="J43" s="33">
        <f>F43-I36</f>
        <v>163.96483411539722</v>
      </c>
      <c r="K43" s="40"/>
      <c r="L43" s="35">
        <f t="shared" si="3"/>
        <v>114.95100409894019</v>
      </c>
      <c r="M43" s="87"/>
      <c r="N43" s="31"/>
      <c r="O43" s="71"/>
      <c r="P43" s="33">
        <f>L43-O36</f>
        <v>105.10566289448539</v>
      </c>
      <c r="Q43" s="40"/>
      <c r="R43" s="120"/>
      <c r="S43" s="115"/>
      <c r="T43" s="116"/>
      <c r="U43" s="117"/>
      <c r="V43" s="118"/>
      <c r="W43" s="67"/>
      <c r="X43" s="68"/>
      <c r="Y43" s="83"/>
      <c r="Z43" s="70"/>
      <c r="AB43" s="167">
        <f t="shared" si="5"/>
        <v>0</v>
      </c>
    </row>
    <row r="44" spans="1:28" x14ac:dyDescent="0.3">
      <c r="A44" s="188">
        <v>41</v>
      </c>
      <c r="B44" s="161">
        <f t="shared" si="7"/>
        <v>16.900000000000006</v>
      </c>
      <c r="C44" s="157">
        <f t="shared" si="6"/>
        <v>1.2600000000000009</v>
      </c>
      <c r="D44" s="232">
        <f t="shared" si="0"/>
        <v>1.0590088935299691</v>
      </c>
      <c r="F44" s="126">
        <f t="shared" si="1"/>
        <v>192.73961862245437</v>
      </c>
      <c r="G44" s="86">
        <v>0.2</v>
      </c>
      <c r="H44" s="225">
        <f>G44*(F44-I36)</f>
        <v>35.47617726870098</v>
      </c>
      <c r="I44" s="71">
        <f>H44+I36</f>
        <v>50.834909547650454</v>
      </c>
      <c r="J44" s="33">
        <f>F44-I44</f>
        <v>141.90470907480392</v>
      </c>
      <c r="K44" s="40"/>
      <c r="L44" s="35">
        <f t="shared" si="3"/>
        <v>123.55103757849639</v>
      </c>
      <c r="M44" s="87">
        <v>0.2</v>
      </c>
      <c r="N44" s="225">
        <f>M44*(L44-O36)</f>
        <v>22.741139274808319</v>
      </c>
      <c r="O44" s="71">
        <f>N44+O36</f>
        <v>32.586480479263109</v>
      </c>
      <c r="P44" s="33">
        <f>L44-O44</f>
        <v>90.964557099233275</v>
      </c>
      <c r="Q44" s="40"/>
      <c r="R44" s="120">
        <f>N44*70%</f>
        <v>15.918797492365822</v>
      </c>
      <c r="S44" s="115">
        <f>H44-N44</f>
        <v>12.735037993892661</v>
      </c>
      <c r="T44" s="116">
        <f t="shared" si="8"/>
        <v>26.531329153943037</v>
      </c>
      <c r="U44" s="117">
        <v>8</v>
      </c>
      <c r="V44" s="118">
        <f t="shared" si="9"/>
        <v>212.2506332315443</v>
      </c>
      <c r="W44" s="67"/>
      <c r="X44" s="68">
        <f>N44*30%</f>
        <v>6.8223417824424955</v>
      </c>
      <c r="Y44" s="83">
        <v>60</v>
      </c>
      <c r="Z44" s="70">
        <f t="shared" si="10"/>
        <v>409.34050694654974</v>
      </c>
      <c r="AB44" s="167">
        <f t="shared" si="5"/>
        <v>621.59114017809407</v>
      </c>
    </row>
    <row r="45" spans="1:28" x14ac:dyDescent="0.3">
      <c r="A45" s="188">
        <v>42</v>
      </c>
      <c r="B45" s="161">
        <f t="shared" si="7"/>
        <v>17.300000000000004</v>
      </c>
      <c r="C45" s="157">
        <f t="shared" si="6"/>
        <v>1.2900000000000009</v>
      </c>
      <c r="D45" s="232">
        <f t="shared" si="0"/>
        <v>1.1363113279249886</v>
      </c>
      <c r="F45" s="126">
        <f t="shared" si="1"/>
        <v>206.80866168234792</v>
      </c>
      <c r="G45" s="86"/>
      <c r="H45" s="225"/>
      <c r="I45" s="71"/>
      <c r="J45" s="33">
        <f>F45-I44</f>
        <v>155.97375213469746</v>
      </c>
      <c r="K45" s="40"/>
      <c r="L45" s="35">
        <f t="shared" si="3"/>
        <v>132.56965492458198</v>
      </c>
      <c r="M45" s="87"/>
      <c r="N45" s="225"/>
      <c r="O45" s="71"/>
      <c r="P45" s="33">
        <f>L45-O44</f>
        <v>99.983174445318866</v>
      </c>
      <c r="Q45" s="40"/>
      <c r="R45" s="120"/>
      <c r="S45" s="115"/>
      <c r="T45" s="116"/>
      <c r="U45" s="117"/>
      <c r="V45" s="118"/>
      <c r="W45" s="67"/>
      <c r="X45" s="68"/>
      <c r="Y45" s="83"/>
      <c r="Z45" s="70"/>
      <c r="AB45" s="167">
        <f t="shared" si="5"/>
        <v>0</v>
      </c>
    </row>
    <row r="46" spans="1:28" x14ac:dyDescent="0.3">
      <c r="A46" s="188">
        <v>43</v>
      </c>
      <c r="B46" s="161">
        <f t="shared" si="7"/>
        <v>17.700000000000003</v>
      </c>
      <c r="C46" s="157">
        <f t="shared" si="6"/>
        <v>1.320000000000001</v>
      </c>
      <c r="D46" s="232">
        <f t="shared" si="0"/>
        <v>1.2172868801530325</v>
      </c>
      <c r="F46" s="126">
        <f t="shared" si="1"/>
        <v>221.54621218785192</v>
      </c>
      <c r="G46" s="86"/>
      <c r="H46" s="225"/>
      <c r="I46" s="71"/>
      <c r="J46" s="33">
        <f>F46-I44</f>
        <v>170.71130264020147</v>
      </c>
      <c r="K46" s="40"/>
      <c r="L46" s="35">
        <f t="shared" si="3"/>
        <v>142.01680268452046</v>
      </c>
      <c r="M46" s="87"/>
      <c r="N46" s="225"/>
      <c r="O46" s="71"/>
      <c r="P46" s="33">
        <f>L46-O44</f>
        <v>109.43032220525734</v>
      </c>
      <c r="Q46" s="40"/>
      <c r="R46" s="120"/>
      <c r="S46" s="115"/>
      <c r="T46" s="116"/>
      <c r="U46" s="117"/>
      <c r="V46" s="118"/>
      <c r="W46" s="67"/>
      <c r="X46" s="68"/>
      <c r="Y46" s="83"/>
      <c r="Z46" s="70"/>
      <c r="AB46" s="167">
        <f t="shared" si="5"/>
        <v>0</v>
      </c>
    </row>
    <row r="47" spans="1:28" x14ac:dyDescent="0.3">
      <c r="A47" s="188">
        <v>44</v>
      </c>
      <c r="B47" s="161">
        <f t="shared" si="7"/>
        <v>18.100000000000001</v>
      </c>
      <c r="C47" s="157">
        <f t="shared" si="6"/>
        <v>1.350000000000001</v>
      </c>
      <c r="D47" s="232">
        <f t="shared" si="0"/>
        <v>1.3020208063340171</v>
      </c>
      <c r="F47" s="126">
        <f t="shared" si="1"/>
        <v>236.96778675279111</v>
      </c>
      <c r="G47" s="86"/>
      <c r="H47" s="225"/>
      <c r="I47" s="71"/>
      <c r="J47" s="33">
        <f>F47-I44</f>
        <v>186.13287720514066</v>
      </c>
      <c r="K47" s="40"/>
      <c r="L47" s="35">
        <f t="shared" si="3"/>
        <v>151.90242740563534</v>
      </c>
      <c r="M47" s="87"/>
      <c r="N47" s="225"/>
      <c r="O47" s="71"/>
      <c r="P47" s="33">
        <f>L47-O44</f>
        <v>119.31594692637222</v>
      </c>
      <c r="Q47" s="40"/>
      <c r="R47" s="120"/>
      <c r="S47" s="115"/>
      <c r="T47" s="116"/>
      <c r="U47" s="117"/>
      <c r="V47" s="118"/>
      <c r="W47" s="67"/>
      <c r="X47" s="68"/>
      <c r="Y47" s="83"/>
      <c r="Z47" s="70"/>
      <c r="AB47" s="167">
        <f t="shared" si="5"/>
        <v>0</v>
      </c>
    </row>
    <row r="48" spans="1:28" x14ac:dyDescent="0.3">
      <c r="A48" s="188">
        <v>45</v>
      </c>
      <c r="B48" s="161">
        <f t="shared" si="7"/>
        <v>18.5</v>
      </c>
      <c r="C48" s="157">
        <f t="shared" si="6"/>
        <v>1.380000000000001</v>
      </c>
      <c r="D48" s="232">
        <f t="shared" si="0"/>
        <v>1.3905983625878569</v>
      </c>
      <c r="F48" s="126">
        <f t="shared" si="1"/>
        <v>253.08890199098994</v>
      </c>
      <c r="G48" s="86"/>
      <c r="H48" s="225"/>
      <c r="I48" s="71"/>
      <c r="J48" s="33">
        <f>F48-I44</f>
        <v>202.25399244333948</v>
      </c>
      <c r="K48" s="40"/>
      <c r="L48" s="35">
        <f t="shared" si="3"/>
        <v>162.23647563524995</v>
      </c>
      <c r="M48" s="87"/>
      <c r="N48" s="225"/>
      <c r="O48" s="71"/>
      <c r="P48" s="33">
        <f>L48-O44</f>
        <v>129.64999515598683</v>
      </c>
      <c r="Q48" s="40"/>
      <c r="R48" s="120" t="s">
        <v>7</v>
      </c>
      <c r="S48" s="115"/>
      <c r="T48" s="116"/>
      <c r="U48" s="117"/>
      <c r="V48" s="118"/>
      <c r="W48" s="67"/>
      <c r="X48" s="68"/>
      <c r="Y48" s="83"/>
      <c r="Z48" s="70"/>
      <c r="AB48" s="167">
        <f t="shared" si="5"/>
        <v>0</v>
      </c>
    </row>
    <row r="49" spans="1:28" x14ac:dyDescent="0.3">
      <c r="A49" s="188">
        <v>46</v>
      </c>
      <c r="B49" s="161">
        <f t="shared" si="7"/>
        <v>18.899999999999999</v>
      </c>
      <c r="C49" s="157">
        <f t="shared" si="6"/>
        <v>1.410000000000001</v>
      </c>
      <c r="D49" s="232">
        <f t="shared" si="0"/>
        <v>1.4831048050344675</v>
      </c>
      <c r="F49" s="126">
        <f t="shared" si="1"/>
        <v>269.92507451627307</v>
      </c>
      <c r="G49" s="86"/>
      <c r="H49" s="225"/>
      <c r="I49" s="71"/>
      <c r="J49" s="33">
        <f>F49-I44</f>
        <v>219.09016496862262</v>
      </c>
      <c r="K49" s="40"/>
      <c r="L49" s="35">
        <f t="shared" si="3"/>
        <v>173.02889392068786</v>
      </c>
      <c r="M49" s="87"/>
      <c r="N49" s="225"/>
      <c r="O49" s="71"/>
      <c r="P49" s="33">
        <f>L49-O44</f>
        <v>140.44241344142475</v>
      </c>
      <c r="Q49" s="40"/>
      <c r="R49" s="120"/>
      <c r="S49" s="115"/>
      <c r="T49" s="116"/>
      <c r="U49" s="117"/>
      <c r="V49" s="118"/>
      <c r="W49" s="67"/>
      <c r="X49" s="68"/>
      <c r="Y49" s="83"/>
      <c r="Z49" s="70"/>
      <c r="AB49" s="167">
        <f t="shared" si="5"/>
        <v>0</v>
      </c>
    </row>
    <row r="50" spans="1:28" x14ac:dyDescent="0.3">
      <c r="A50" s="188">
        <v>47</v>
      </c>
      <c r="B50" s="161">
        <f t="shared" si="7"/>
        <v>19.299999999999997</v>
      </c>
      <c r="C50" s="157">
        <f t="shared" si="6"/>
        <v>1.4400000000000011</v>
      </c>
      <c r="D50" s="232">
        <f t="shared" si="0"/>
        <v>1.5796253897937651</v>
      </c>
      <c r="F50" s="126">
        <f t="shared" si="1"/>
        <v>287.49182094246527</v>
      </c>
      <c r="G50" s="86"/>
      <c r="H50" s="225"/>
      <c r="I50" s="71"/>
      <c r="J50" s="33">
        <f>F50-I44</f>
        <v>236.65691139481481</v>
      </c>
      <c r="K50" s="40"/>
      <c r="L50" s="35">
        <f t="shared" si="3"/>
        <v>184.28962880927261</v>
      </c>
      <c r="M50" s="87"/>
      <c r="N50" s="225"/>
      <c r="O50" s="71"/>
      <c r="P50" s="33">
        <f>L50-O44</f>
        <v>151.7031483300095</v>
      </c>
      <c r="Q50" s="40"/>
      <c r="R50" s="120"/>
      <c r="S50" s="115"/>
      <c r="T50" s="116"/>
      <c r="U50" s="117"/>
      <c r="V50" s="118"/>
      <c r="W50" s="67"/>
      <c r="X50" s="68"/>
      <c r="Y50" s="83"/>
      <c r="Z50" s="70"/>
      <c r="AB50" s="167">
        <f t="shared" si="5"/>
        <v>0</v>
      </c>
    </row>
    <row r="51" spans="1:28" x14ac:dyDescent="0.3">
      <c r="A51" s="188">
        <v>48</v>
      </c>
      <c r="B51" s="161">
        <f t="shared" si="7"/>
        <v>19.699999999999996</v>
      </c>
      <c r="C51" s="157">
        <f t="shared" si="6"/>
        <v>1.4700000000000011</v>
      </c>
      <c r="D51" s="232">
        <f t="shared" si="0"/>
        <v>1.680245372985665</v>
      </c>
      <c r="F51" s="126">
        <f t="shared" si="1"/>
        <v>305.80465788339103</v>
      </c>
      <c r="G51" s="86"/>
      <c r="H51" s="225"/>
      <c r="I51" s="71"/>
      <c r="J51" s="33">
        <f>F51-I44</f>
        <v>254.96974833574058</v>
      </c>
      <c r="K51" s="40"/>
      <c r="L51" s="35">
        <f t="shared" si="3"/>
        <v>196.02862684832758</v>
      </c>
      <c r="M51" s="87"/>
      <c r="N51" s="225"/>
      <c r="O51" s="71"/>
      <c r="P51" s="33">
        <f>L51-O44</f>
        <v>163.44214636906446</v>
      </c>
      <c r="Q51" s="40"/>
      <c r="R51" s="120"/>
      <c r="S51" s="115"/>
      <c r="T51" s="116"/>
      <c r="U51" s="117"/>
      <c r="V51" s="118"/>
      <c r="W51" s="67"/>
      <c r="X51" s="68"/>
      <c r="Y51" s="83"/>
      <c r="Z51" s="70"/>
      <c r="AB51" s="167">
        <f t="shared" si="5"/>
        <v>0</v>
      </c>
    </row>
    <row r="52" spans="1:28" x14ac:dyDescent="0.3">
      <c r="A52" s="188">
        <v>49</v>
      </c>
      <c r="B52" s="161">
        <f t="shared" si="7"/>
        <v>20.099999999999994</v>
      </c>
      <c r="C52" s="157">
        <f t="shared" si="6"/>
        <v>1.5000000000000011</v>
      </c>
      <c r="D52" s="232">
        <f t="shared" si="0"/>
        <v>1.785050010730082</v>
      </c>
      <c r="F52" s="126">
        <f t="shared" si="1"/>
        <v>324.87910195287492</v>
      </c>
      <c r="G52" s="86"/>
      <c r="H52" s="225"/>
      <c r="I52" s="71"/>
      <c r="J52" s="33">
        <f>F52-I44</f>
        <v>274.04419240522446</v>
      </c>
      <c r="K52" s="40"/>
      <c r="L52" s="35">
        <f t="shared" si="3"/>
        <v>208.25583458517622</v>
      </c>
      <c r="M52" s="87"/>
      <c r="N52" s="225"/>
      <c r="O52" s="71"/>
      <c r="P52" s="33">
        <f>L52-O44</f>
        <v>175.6693541059131</v>
      </c>
      <c r="Q52" s="40"/>
      <c r="R52" s="120"/>
      <c r="S52" s="115"/>
      <c r="T52" s="116"/>
      <c r="U52" s="117"/>
      <c r="V52" s="118"/>
      <c r="W52" s="67"/>
      <c r="X52" s="68"/>
      <c r="Y52" s="83"/>
      <c r="Z52" s="70"/>
      <c r="AB52" s="167">
        <f t="shared" si="5"/>
        <v>0</v>
      </c>
    </row>
    <row r="53" spans="1:28" ht="15" thickBot="1" x14ac:dyDescent="0.35">
      <c r="A53" s="189">
        <v>50</v>
      </c>
      <c r="B53" s="3">
        <f t="shared" si="7"/>
        <v>20.499999999999993</v>
      </c>
      <c r="C53" s="4">
        <f t="shared" si="6"/>
        <v>1.5300000000000011</v>
      </c>
      <c r="D53" s="232">
        <f t="shared" si="0"/>
        <v>1.8941245591469318</v>
      </c>
      <c r="F53" s="185">
        <f t="shared" si="1"/>
        <v>344.73066976474161</v>
      </c>
      <c r="G53" s="182">
        <v>1</v>
      </c>
      <c r="H53" s="244">
        <f>G53*(F53-I44)</f>
        <v>293.89576021709115</v>
      </c>
      <c r="I53" s="183">
        <f>H53+I44</f>
        <v>344.73066976474161</v>
      </c>
      <c r="J53" s="184">
        <f>F53-I53</f>
        <v>0</v>
      </c>
      <c r="K53" s="40"/>
      <c r="L53" s="35">
        <f t="shared" si="3"/>
        <v>220.98119856714206</v>
      </c>
      <c r="M53" s="87">
        <v>1</v>
      </c>
      <c r="N53" s="225">
        <f>M53*(L53-O44)</f>
        <v>188.39471808787894</v>
      </c>
      <c r="O53" s="71">
        <f>N53+O44</f>
        <v>220.98119856714206</v>
      </c>
      <c r="P53" s="33">
        <f>L53-O53</f>
        <v>0</v>
      </c>
      <c r="Q53" s="40"/>
      <c r="R53" s="120">
        <f>N53*50%</f>
        <v>94.197359043939471</v>
      </c>
      <c r="S53" s="115">
        <f>H53-N53</f>
        <v>105.50104212921221</v>
      </c>
      <c r="T53" s="116">
        <f t="shared" si="8"/>
        <v>156.99559840656579</v>
      </c>
      <c r="U53" s="117">
        <v>8</v>
      </c>
      <c r="V53" s="118">
        <f t="shared" si="9"/>
        <v>1255.9647872525263</v>
      </c>
      <c r="W53" s="67"/>
      <c r="X53" s="165">
        <f>N53*50%</f>
        <v>94.197359043939471</v>
      </c>
      <c r="Y53" s="100">
        <v>80</v>
      </c>
      <c r="Z53" s="166">
        <f t="shared" si="10"/>
        <v>7535.7887235151575</v>
      </c>
      <c r="AB53" s="167">
        <f t="shared" si="5"/>
        <v>8791.7535107676831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8C788-9A59-4B2C-92AE-122238291350}">
  <dimension ref="A1:AB75"/>
  <sheetViews>
    <sheetView workbookViewId="0">
      <pane ySplit="2" topLeftCell="A56" activePane="bottomLeft" state="frozen"/>
      <selection pane="bottomLeft" activeCell="AB3" sqref="AB3:AB73"/>
    </sheetView>
  </sheetViews>
  <sheetFormatPr baseColWidth="10" defaultRowHeight="14.4" x14ac:dyDescent="0.3"/>
  <cols>
    <col min="3" max="3" width="13" customWidth="1"/>
    <col min="6" max="6" width="13.44140625" customWidth="1"/>
    <col min="9" max="9" width="12.44140625" customWidth="1"/>
  </cols>
  <sheetData>
    <row r="1" spans="1:28" ht="15" thickBot="1" x14ac:dyDescent="0.35">
      <c r="O1" s="7" t="s">
        <v>63</v>
      </c>
    </row>
    <row r="2" spans="1:28" ht="72.599999999999994" thickBot="1" x14ac:dyDescent="0.35">
      <c r="A2" s="181" t="s">
        <v>1</v>
      </c>
      <c r="B2" s="162" t="s">
        <v>26</v>
      </c>
      <c r="C2" s="163" t="s">
        <v>27</v>
      </c>
      <c r="D2" s="164" t="s">
        <v>25</v>
      </c>
      <c r="F2" s="16" t="s">
        <v>61</v>
      </c>
      <c r="G2" s="17" t="s">
        <v>2</v>
      </c>
      <c r="H2" s="18" t="s">
        <v>52</v>
      </c>
      <c r="I2" s="18" t="s">
        <v>57</v>
      </c>
      <c r="J2" s="19" t="s">
        <v>56</v>
      </c>
      <c r="K2" s="22"/>
      <c r="L2" s="16" t="s">
        <v>58</v>
      </c>
      <c r="M2" s="17" t="s">
        <v>2</v>
      </c>
      <c r="N2" s="18" t="s">
        <v>54</v>
      </c>
      <c r="O2" s="18" t="s">
        <v>55</v>
      </c>
      <c r="P2" s="21" t="s">
        <v>59</v>
      </c>
      <c r="Q2" s="22"/>
      <c r="R2" s="108" t="s">
        <v>42</v>
      </c>
      <c r="S2" s="108" t="s">
        <v>46</v>
      </c>
      <c r="T2" s="25" t="s">
        <v>6</v>
      </c>
      <c r="U2" s="25" t="s">
        <v>47</v>
      </c>
      <c r="V2" s="109" t="s">
        <v>48</v>
      </c>
      <c r="W2" s="22"/>
      <c r="X2" s="28" t="s">
        <v>43</v>
      </c>
      <c r="Y2" s="29" t="s">
        <v>49</v>
      </c>
      <c r="Z2" s="30" t="s">
        <v>50</v>
      </c>
      <c r="AB2" s="153" t="s">
        <v>51</v>
      </c>
    </row>
    <row r="3" spans="1:28" x14ac:dyDescent="0.3">
      <c r="A3" s="190">
        <v>0</v>
      </c>
      <c r="B3" s="159">
        <v>0.5</v>
      </c>
      <c r="C3" s="158">
        <v>0.03</v>
      </c>
      <c r="D3" s="160">
        <f>(C3^2/(4*PI()))*B3*0.496</f>
        <v>1.7761691649055518E-5</v>
      </c>
      <c r="F3" s="170">
        <f>D3*61</f>
        <v>1.0834631905923867E-3</v>
      </c>
      <c r="G3" s="110"/>
      <c r="H3" s="31"/>
      <c r="I3" s="32"/>
      <c r="J3" s="33">
        <f>F3</f>
        <v>1.0834631905923867E-3</v>
      </c>
      <c r="K3" s="40"/>
      <c r="L3" s="35">
        <f>F3/1.56</f>
        <v>6.9452768627717096E-4</v>
      </c>
      <c r="M3" s="36"/>
      <c r="N3" s="37"/>
      <c r="O3" s="38"/>
      <c r="P3" s="39">
        <f>L3</f>
        <v>6.9452768627717096E-4</v>
      </c>
      <c r="Q3" s="40"/>
      <c r="R3" s="111"/>
      <c r="S3" s="111"/>
      <c r="T3" s="112"/>
      <c r="U3" s="113"/>
      <c r="V3" s="114"/>
      <c r="W3" s="53"/>
      <c r="X3" s="54"/>
      <c r="Y3" s="55"/>
      <c r="Z3" s="56"/>
      <c r="AB3" s="171"/>
    </row>
    <row r="4" spans="1:28" x14ac:dyDescent="0.3">
      <c r="A4" s="191">
        <v>1</v>
      </c>
      <c r="B4" s="161">
        <f>B3+0.4</f>
        <v>0.9</v>
      </c>
      <c r="C4" s="157">
        <f>C3+0.03</f>
        <v>0.06</v>
      </c>
      <c r="D4" s="160">
        <f t="shared" ref="D4:D53" si="0">(C4^2/(4*PI()))*B4*0.496</f>
        <v>1.2788417987319973E-4</v>
      </c>
      <c r="F4" s="170">
        <f t="shared" ref="F4:F67" si="1">D4*61</f>
        <v>7.800934972265184E-3</v>
      </c>
      <c r="G4" s="110"/>
      <c r="H4" s="31"/>
      <c r="I4" s="32"/>
      <c r="J4" s="33">
        <f t="shared" ref="J4:J27" si="2">F4</f>
        <v>7.800934972265184E-3</v>
      </c>
      <c r="K4" s="40"/>
      <c r="L4" s="35">
        <f t="shared" ref="L4:L67" si="3">F4/1.56</f>
        <v>5.0005993411956304E-3</v>
      </c>
      <c r="M4" s="36"/>
      <c r="N4" s="37"/>
      <c r="O4" s="38"/>
      <c r="P4" s="39">
        <f t="shared" ref="P4:P27" si="4">L4</f>
        <v>5.0005993411956304E-3</v>
      </c>
      <c r="Q4" s="40"/>
      <c r="R4" s="115"/>
      <c r="S4" s="115"/>
      <c r="T4" s="116"/>
      <c r="U4" s="117"/>
      <c r="V4" s="118"/>
      <c r="W4" s="67"/>
      <c r="X4" s="68"/>
      <c r="Y4" s="69"/>
      <c r="Z4" s="70"/>
      <c r="AB4" s="171"/>
    </row>
    <row r="5" spans="1:28" x14ac:dyDescent="0.3">
      <c r="A5" s="192">
        <v>2</v>
      </c>
      <c r="B5" s="161">
        <f>B4+0.4</f>
        <v>1.3</v>
      </c>
      <c r="C5" s="157">
        <f t="shared" ref="C5:C53" si="5">C4+0.03</f>
        <v>0.09</v>
      </c>
      <c r="D5" s="160">
        <f t="shared" si="0"/>
        <v>4.1562358458789914E-4</v>
      </c>
      <c r="F5" s="170">
        <f t="shared" si="1"/>
        <v>2.5353038659861847E-2</v>
      </c>
      <c r="G5" s="119"/>
      <c r="H5" s="31"/>
      <c r="I5" s="71"/>
      <c r="J5" s="33">
        <f t="shared" si="2"/>
        <v>2.5353038659861847E-2</v>
      </c>
      <c r="K5" s="40"/>
      <c r="L5" s="35">
        <f t="shared" si="3"/>
        <v>1.6251947858885799E-2</v>
      </c>
      <c r="M5" s="72"/>
      <c r="N5" s="37"/>
      <c r="O5" s="73"/>
      <c r="P5" s="39">
        <f t="shared" si="4"/>
        <v>1.6251947858885799E-2</v>
      </c>
      <c r="Q5" s="40"/>
      <c r="R5" s="115"/>
      <c r="S5" s="115"/>
      <c r="T5" s="116"/>
      <c r="U5" s="117"/>
      <c r="V5" s="118"/>
      <c r="W5" s="67"/>
      <c r="X5" s="68"/>
      <c r="Y5" s="69"/>
      <c r="Z5" s="70"/>
      <c r="AB5" s="171"/>
    </row>
    <row r="6" spans="1:28" x14ac:dyDescent="0.3">
      <c r="A6" s="192">
        <v>3</v>
      </c>
      <c r="B6" s="161">
        <f t="shared" ref="B6:B53" si="6">B5+0.4</f>
        <v>1.7000000000000002</v>
      </c>
      <c r="C6" s="157">
        <f t="shared" si="5"/>
        <v>0.12</v>
      </c>
      <c r="D6" s="160">
        <f t="shared" si="0"/>
        <v>9.6623602570862033E-4</v>
      </c>
      <c r="F6" s="170">
        <f t="shared" si="1"/>
        <v>5.894039756822584E-2</v>
      </c>
      <c r="G6" s="119"/>
      <c r="H6" s="31"/>
      <c r="I6" s="71"/>
      <c r="J6" s="33">
        <f t="shared" si="2"/>
        <v>5.894039756822584E-2</v>
      </c>
      <c r="K6" s="40"/>
      <c r="L6" s="35">
        <f t="shared" si="3"/>
        <v>3.7782306133478098E-2</v>
      </c>
      <c r="M6" s="72"/>
      <c r="N6" s="37"/>
      <c r="O6" s="73"/>
      <c r="P6" s="39">
        <f t="shared" si="4"/>
        <v>3.7782306133478098E-2</v>
      </c>
      <c r="Q6" s="40"/>
      <c r="R6" s="115"/>
      <c r="S6" s="115"/>
      <c r="T6" s="116"/>
      <c r="U6" s="117"/>
      <c r="V6" s="118"/>
      <c r="W6" s="67"/>
      <c r="X6" s="68"/>
      <c r="Y6" s="69"/>
      <c r="Z6" s="70"/>
      <c r="AB6" s="171"/>
    </row>
    <row r="7" spans="1:28" x14ac:dyDescent="0.3">
      <c r="A7" s="192">
        <v>4</v>
      </c>
      <c r="B7" s="161">
        <f t="shared" si="6"/>
        <v>2.1</v>
      </c>
      <c r="C7" s="157">
        <f t="shared" si="5"/>
        <v>0.15</v>
      </c>
      <c r="D7" s="160">
        <f t="shared" si="0"/>
        <v>1.8649776231508296E-3</v>
      </c>
      <c r="F7" s="170">
        <f t="shared" si="1"/>
        <v>0.1137636350122006</v>
      </c>
      <c r="G7" s="119"/>
      <c r="H7" s="31"/>
      <c r="I7" s="71"/>
      <c r="J7" s="33">
        <f t="shared" si="2"/>
        <v>0.1137636350122006</v>
      </c>
      <c r="K7" s="40"/>
      <c r="L7" s="35">
        <f t="shared" si="3"/>
        <v>7.2925407059102942E-2</v>
      </c>
      <c r="M7" s="72"/>
      <c r="N7" s="37"/>
      <c r="O7" s="73"/>
      <c r="P7" s="39">
        <f t="shared" si="4"/>
        <v>7.2925407059102942E-2</v>
      </c>
      <c r="Q7" s="40"/>
      <c r="R7" s="115"/>
      <c r="S7" s="115"/>
      <c r="T7" s="116"/>
      <c r="U7" s="117"/>
      <c r="V7" s="118"/>
      <c r="W7" s="67"/>
      <c r="X7" s="68"/>
      <c r="Y7" s="69"/>
      <c r="Z7" s="70"/>
      <c r="AB7" s="171"/>
    </row>
    <row r="8" spans="1:28" x14ac:dyDescent="0.3">
      <c r="A8" s="192">
        <v>5</v>
      </c>
      <c r="B8" s="161">
        <f t="shared" si="6"/>
        <v>2.5</v>
      </c>
      <c r="C8" s="157">
        <f t="shared" si="5"/>
        <v>0.18</v>
      </c>
      <c r="D8" s="160">
        <f t="shared" si="0"/>
        <v>3.197104496829993E-3</v>
      </c>
      <c r="F8" s="170">
        <f t="shared" si="1"/>
        <v>0.19502337430662958</v>
      </c>
      <c r="G8" s="119"/>
      <c r="H8" s="31"/>
      <c r="I8" s="71"/>
      <c r="J8" s="33">
        <f t="shared" si="2"/>
        <v>0.19502337430662958</v>
      </c>
      <c r="K8" s="40"/>
      <c r="L8" s="35">
        <f t="shared" si="3"/>
        <v>0.12501498352989077</v>
      </c>
      <c r="M8" s="72"/>
      <c r="N8" s="37"/>
      <c r="O8" s="73"/>
      <c r="P8" s="39">
        <f t="shared" si="4"/>
        <v>0.12501498352989077</v>
      </c>
      <c r="Q8" s="40"/>
      <c r="R8" s="115"/>
      <c r="S8" s="115"/>
      <c r="T8" s="116"/>
      <c r="U8" s="117"/>
      <c r="V8" s="118"/>
      <c r="W8" s="67"/>
      <c r="X8" s="68"/>
      <c r="Y8" s="69"/>
      <c r="Z8" s="70"/>
      <c r="AB8" s="171"/>
    </row>
    <row r="9" spans="1:28" x14ac:dyDescent="0.3">
      <c r="A9" s="192">
        <v>6</v>
      </c>
      <c r="B9" s="161">
        <f t="shared" si="6"/>
        <v>2.9</v>
      </c>
      <c r="C9" s="157">
        <f t="shared" si="5"/>
        <v>0.21</v>
      </c>
      <c r="D9" s="160">
        <f t="shared" si="0"/>
        <v>5.0478727666615781E-3</v>
      </c>
      <c r="F9" s="170">
        <f t="shared" si="1"/>
        <v>0.30792023876635627</v>
      </c>
      <c r="G9" s="119"/>
      <c r="H9" s="31"/>
      <c r="I9" s="71"/>
      <c r="J9" s="33">
        <f t="shared" si="2"/>
        <v>0.30792023876635627</v>
      </c>
      <c r="K9" s="40"/>
      <c r="L9" s="35">
        <f t="shared" si="3"/>
        <v>0.19738476843997196</v>
      </c>
      <c r="M9" s="72"/>
      <c r="N9" s="37"/>
      <c r="O9" s="73"/>
      <c r="P9" s="39">
        <f t="shared" si="4"/>
        <v>0.19738476843997196</v>
      </c>
      <c r="Q9" s="40"/>
      <c r="R9" s="115"/>
      <c r="S9" s="115"/>
      <c r="T9" s="116"/>
      <c r="U9" s="117"/>
      <c r="V9" s="118"/>
      <c r="W9" s="67"/>
      <c r="X9" s="68"/>
      <c r="Y9" s="69"/>
      <c r="Z9" s="70"/>
      <c r="AB9" s="171"/>
    </row>
    <row r="10" spans="1:28" x14ac:dyDescent="0.3">
      <c r="A10" s="192">
        <v>7</v>
      </c>
      <c r="B10" s="161">
        <f t="shared" si="6"/>
        <v>3.3</v>
      </c>
      <c r="C10" s="157">
        <f t="shared" si="5"/>
        <v>0.24</v>
      </c>
      <c r="D10" s="160">
        <f t="shared" si="0"/>
        <v>7.5025385525610512E-3</v>
      </c>
      <c r="F10" s="170">
        <f t="shared" si="1"/>
        <v>0.45765485170622411</v>
      </c>
      <c r="G10" s="119"/>
      <c r="H10" s="31"/>
      <c r="I10" s="71"/>
      <c r="J10" s="33">
        <f t="shared" si="2"/>
        <v>0.45765485170622411</v>
      </c>
      <c r="K10" s="40"/>
      <c r="L10" s="35">
        <f t="shared" si="3"/>
        <v>0.29336849468347698</v>
      </c>
      <c r="M10" s="72"/>
      <c r="N10" s="37"/>
      <c r="O10" s="73"/>
      <c r="P10" s="39">
        <f t="shared" si="4"/>
        <v>0.29336849468347698</v>
      </c>
      <c r="Q10" s="40"/>
      <c r="R10" s="115"/>
      <c r="S10" s="115"/>
      <c r="T10" s="116"/>
      <c r="U10" s="117"/>
      <c r="V10" s="118"/>
      <c r="W10" s="67"/>
      <c r="X10" s="68"/>
      <c r="Y10" s="69"/>
      <c r="Z10" s="70"/>
      <c r="AB10" s="171"/>
    </row>
    <row r="11" spans="1:28" x14ac:dyDescent="0.3">
      <c r="A11" s="192">
        <v>8</v>
      </c>
      <c r="B11" s="161">
        <f t="shared" si="6"/>
        <v>3.6999999999999997</v>
      </c>
      <c r="C11" s="157">
        <f t="shared" si="5"/>
        <v>0.27</v>
      </c>
      <c r="D11" s="160">
        <f t="shared" si="0"/>
        <v>1.0646357974443878E-2</v>
      </c>
      <c r="F11" s="170">
        <f t="shared" si="1"/>
        <v>0.6494278364410766</v>
      </c>
      <c r="G11" s="119"/>
      <c r="H11" s="31"/>
      <c r="I11" s="71"/>
      <c r="J11" s="33">
        <f t="shared" si="2"/>
        <v>0.6494278364410766</v>
      </c>
      <c r="K11" s="40"/>
      <c r="L11" s="35">
        <f t="shared" si="3"/>
        <v>0.41629989515453625</v>
      </c>
      <c r="M11" s="72"/>
      <c r="N11" s="37"/>
      <c r="O11" s="73"/>
      <c r="P11" s="39">
        <f t="shared" si="4"/>
        <v>0.41629989515453625</v>
      </c>
      <c r="Q11" s="40"/>
      <c r="R11" s="115"/>
      <c r="S11" s="115"/>
      <c r="T11" s="116"/>
      <c r="U11" s="117"/>
      <c r="V11" s="118"/>
      <c r="W11" s="67"/>
      <c r="X11" s="68"/>
      <c r="Y11" s="69"/>
      <c r="Z11" s="70"/>
      <c r="AB11" s="171"/>
    </row>
    <row r="12" spans="1:28" x14ac:dyDescent="0.3">
      <c r="A12" s="192">
        <v>9</v>
      </c>
      <c r="B12" s="161">
        <f t="shared" si="6"/>
        <v>4.0999999999999996</v>
      </c>
      <c r="C12" s="157">
        <f t="shared" si="5"/>
        <v>0.30000000000000004</v>
      </c>
      <c r="D12" s="160">
        <f t="shared" si="0"/>
        <v>1.4564587152225529E-2</v>
      </c>
      <c r="F12" s="170">
        <f t="shared" si="1"/>
        <v>0.8884398162857573</v>
      </c>
      <c r="G12" s="119"/>
      <c r="H12" s="31"/>
      <c r="I12" s="71"/>
      <c r="J12" s="33">
        <f t="shared" si="2"/>
        <v>0.8884398162857573</v>
      </c>
      <c r="K12" s="40"/>
      <c r="L12" s="35">
        <f t="shared" si="3"/>
        <v>0.56951270274728027</v>
      </c>
      <c r="M12" s="72"/>
      <c r="N12" s="37"/>
      <c r="O12" s="73"/>
      <c r="P12" s="39">
        <f t="shared" si="4"/>
        <v>0.56951270274728027</v>
      </c>
      <c r="Q12" s="40"/>
      <c r="R12" s="115"/>
      <c r="S12" s="115"/>
      <c r="T12" s="116"/>
      <c r="U12" s="117"/>
      <c r="V12" s="118"/>
      <c r="W12" s="67"/>
      <c r="X12" s="68"/>
      <c r="Y12" s="69"/>
      <c r="Z12" s="70"/>
      <c r="AB12" s="171"/>
    </row>
    <row r="13" spans="1:28" x14ac:dyDescent="0.3">
      <c r="A13" s="192">
        <v>10</v>
      </c>
      <c r="B13" s="161">
        <f t="shared" si="6"/>
        <v>4.5</v>
      </c>
      <c r="C13" s="157">
        <f t="shared" si="5"/>
        <v>0.33000000000000007</v>
      </c>
      <c r="D13" s="160">
        <f t="shared" si="0"/>
        <v>1.9342482205821472E-2</v>
      </c>
      <c r="F13" s="170">
        <f t="shared" si="1"/>
        <v>1.1798914145551098</v>
      </c>
      <c r="G13" s="119"/>
      <c r="H13" s="31"/>
      <c r="I13" s="71"/>
      <c r="J13" s="33">
        <f t="shared" si="2"/>
        <v>1.1798914145551098</v>
      </c>
      <c r="K13" s="40"/>
      <c r="L13" s="35">
        <f t="shared" si="3"/>
        <v>0.75634065035583964</v>
      </c>
      <c r="M13" s="72"/>
      <c r="N13" s="37"/>
      <c r="O13" s="73"/>
      <c r="P13" s="39">
        <f t="shared" si="4"/>
        <v>0.75634065035583964</v>
      </c>
      <c r="Q13" s="40"/>
      <c r="R13" s="115"/>
      <c r="S13" s="115"/>
      <c r="T13" s="116"/>
      <c r="U13" s="117"/>
      <c r="V13" s="118"/>
      <c r="W13" s="67"/>
      <c r="X13" s="68"/>
      <c r="Y13" s="69"/>
      <c r="Z13" s="70"/>
      <c r="AB13" s="171"/>
    </row>
    <row r="14" spans="1:28" x14ac:dyDescent="0.3">
      <c r="A14" s="192">
        <v>11</v>
      </c>
      <c r="B14" s="161">
        <f t="shared" si="6"/>
        <v>4.9000000000000004</v>
      </c>
      <c r="C14" s="157">
        <f t="shared" si="5"/>
        <v>0.3600000000000001</v>
      </c>
      <c r="D14" s="160">
        <f t="shared" si="0"/>
        <v>2.5065299255147167E-2</v>
      </c>
      <c r="F14" s="170">
        <f t="shared" si="1"/>
        <v>1.5289832545639772</v>
      </c>
      <c r="G14" s="119"/>
      <c r="H14" s="31"/>
      <c r="I14" s="71"/>
      <c r="J14" s="33">
        <f t="shared" si="2"/>
        <v>1.5289832545639772</v>
      </c>
      <c r="K14" s="40"/>
      <c r="L14" s="35">
        <f t="shared" si="3"/>
        <v>0.98011747087434431</v>
      </c>
      <c r="M14" s="72"/>
      <c r="N14" s="37"/>
      <c r="O14" s="73"/>
      <c r="P14" s="39">
        <f t="shared" si="4"/>
        <v>0.98011747087434431</v>
      </c>
      <c r="Q14" s="40"/>
      <c r="R14" s="115"/>
      <c r="S14" s="115"/>
      <c r="T14" s="116"/>
      <c r="U14" s="117"/>
      <c r="V14" s="118"/>
      <c r="W14" s="67"/>
      <c r="X14" s="68"/>
      <c r="Y14" s="69"/>
      <c r="Z14" s="70"/>
      <c r="AB14" s="171"/>
    </row>
    <row r="15" spans="1:28" x14ac:dyDescent="0.3">
      <c r="A15" s="192">
        <v>12</v>
      </c>
      <c r="B15" s="161">
        <f t="shared" si="6"/>
        <v>5.3000000000000007</v>
      </c>
      <c r="C15" s="157">
        <f t="shared" si="5"/>
        <v>0.39000000000000012</v>
      </c>
      <c r="D15" s="160">
        <f t="shared" si="0"/>
        <v>3.1818294420118083E-2</v>
      </c>
      <c r="F15" s="170">
        <f t="shared" si="1"/>
        <v>1.940915959627203</v>
      </c>
      <c r="G15" s="119"/>
      <c r="H15" s="31"/>
      <c r="I15" s="71"/>
      <c r="J15" s="33">
        <f t="shared" si="2"/>
        <v>1.940915959627203</v>
      </c>
      <c r="K15" s="40"/>
      <c r="L15" s="35">
        <f t="shared" si="3"/>
        <v>1.2441768971969249</v>
      </c>
      <c r="M15" s="72"/>
      <c r="N15" s="37"/>
      <c r="O15" s="73"/>
      <c r="P15" s="39">
        <f t="shared" si="4"/>
        <v>1.2441768971969249</v>
      </c>
      <c r="Q15" s="40"/>
      <c r="R15" s="115"/>
      <c r="S15" s="115"/>
      <c r="T15" s="116"/>
      <c r="U15" s="117"/>
      <c r="V15" s="118"/>
      <c r="W15" s="67"/>
      <c r="X15" s="68"/>
      <c r="Y15" s="69"/>
      <c r="Z15" s="70"/>
      <c r="AB15" s="171"/>
    </row>
    <row r="16" spans="1:28" x14ac:dyDescent="0.3">
      <c r="A16" s="192">
        <v>13</v>
      </c>
      <c r="B16" s="161">
        <f t="shared" si="6"/>
        <v>5.7000000000000011</v>
      </c>
      <c r="C16" s="157">
        <f t="shared" si="5"/>
        <v>0.42000000000000015</v>
      </c>
      <c r="D16" s="160">
        <f t="shared" si="0"/>
        <v>3.9686723820649694E-2</v>
      </c>
      <c r="F16" s="170">
        <f t="shared" si="1"/>
        <v>2.4208901530596312</v>
      </c>
      <c r="G16" s="119"/>
      <c r="H16" s="31"/>
      <c r="I16" s="71"/>
      <c r="J16" s="33">
        <f t="shared" si="2"/>
        <v>2.4208901530596312</v>
      </c>
      <c r="K16" s="40"/>
      <c r="L16" s="35">
        <f t="shared" si="3"/>
        <v>1.5518526622177122</v>
      </c>
      <c r="M16" s="72"/>
      <c r="N16" s="37"/>
      <c r="O16" s="73"/>
      <c r="P16" s="39">
        <f t="shared" si="4"/>
        <v>1.5518526622177122</v>
      </c>
      <c r="Q16" s="40"/>
      <c r="R16" s="115"/>
      <c r="S16" s="115"/>
      <c r="T16" s="116"/>
      <c r="U16" s="117"/>
      <c r="V16" s="118"/>
      <c r="W16" s="67"/>
      <c r="X16" s="68"/>
      <c r="Y16" s="69"/>
      <c r="Z16" s="70"/>
      <c r="AB16" s="171"/>
    </row>
    <row r="17" spans="1:28" x14ac:dyDescent="0.3">
      <c r="A17" s="192">
        <v>14</v>
      </c>
      <c r="B17" s="161">
        <f t="shared" si="6"/>
        <v>6.1000000000000014</v>
      </c>
      <c r="C17" s="157">
        <f t="shared" si="5"/>
        <v>0.45000000000000018</v>
      </c>
      <c r="D17" s="160">
        <f t="shared" si="0"/>
        <v>4.8755843576657451E-2</v>
      </c>
      <c r="F17" s="170">
        <f t="shared" si="1"/>
        <v>2.9741064581761045</v>
      </c>
      <c r="G17" s="119"/>
      <c r="H17" s="31"/>
      <c r="I17" s="71"/>
      <c r="J17" s="33">
        <f t="shared" si="2"/>
        <v>2.9741064581761045</v>
      </c>
      <c r="K17" s="40"/>
      <c r="L17" s="35">
        <f t="shared" si="3"/>
        <v>1.9064784988308361</v>
      </c>
      <c r="M17" s="72"/>
      <c r="N17" s="37"/>
      <c r="O17" s="73"/>
      <c r="P17" s="39">
        <f t="shared" si="4"/>
        <v>1.9064784988308361</v>
      </c>
      <c r="Q17" s="40"/>
      <c r="R17" s="115"/>
      <c r="S17" s="115"/>
      <c r="T17" s="116"/>
      <c r="U17" s="117"/>
      <c r="V17" s="118"/>
      <c r="W17" s="67"/>
      <c r="X17" s="68"/>
      <c r="Y17" s="69"/>
      <c r="Z17" s="70"/>
      <c r="AB17" s="171"/>
    </row>
    <row r="18" spans="1:28" x14ac:dyDescent="0.3">
      <c r="A18" s="192">
        <v>15</v>
      </c>
      <c r="B18" s="161">
        <f t="shared" si="6"/>
        <v>6.5000000000000018</v>
      </c>
      <c r="C18" s="157">
        <f t="shared" si="5"/>
        <v>0.4800000000000002</v>
      </c>
      <c r="D18" s="160">
        <f t="shared" si="0"/>
        <v>5.911090980805684E-2</v>
      </c>
      <c r="F18" s="170">
        <f t="shared" si="1"/>
        <v>3.6057654982914671</v>
      </c>
      <c r="G18" s="119"/>
      <c r="H18" s="31"/>
      <c r="I18" s="71"/>
      <c r="J18" s="33">
        <f t="shared" si="2"/>
        <v>3.6057654982914671</v>
      </c>
      <c r="K18" s="40"/>
      <c r="L18" s="35">
        <f t="shared" si="3"/>
        <v>2.3113881399304277</v>
      </c>
      <c r="M18" s="72"/>
      <c r="N18" s="37"/>
      <c r="O18" s="73"/>
      <c r="P18" s="39">
        <f t="shared" si="4"/>
        <v>2.3113881399304277</v>
      </c>
      <c r="Q18" s="40"/>
      <c r="R18" s="115"/>
      <c r="S18" s="115"/>
      <c r="T18" s="116"/>
      <c r="U18" s="117"/>
      <c r="V18" s="118"/>
      <c r="W18" s="67"/>
      <c r="X18" s="68"/>
      <c r="Y18" s="69"/>
      <c r="Z18" s="70"/>
      <c r="AB18" s="171"/>
    </row>
    <row r="19" spans="1:28" x14ac:dyDescent="0.3">
      <c r="A19" s="192">
        <v>16</v>
      </c>
      <c r="B19" s="161">
        <f t="shared" si="6"/>
        <v>6.9000000000000021</v>
      </c>
      <c r="C19" s="157">
        <f t="shared" si="5"/>
        <v>0.51000000000000023</v>
      </c>
      <c r="D19" s="160">
        <f t="shared" si="0"/>
        <v>7.0837178634763298E-2</v>
      </c>
      <c r="F19" s="170">
        <f t="shared" si="1"/>
        <v>4.3210678967205611</v>
      </c>
      <c r="G19" s="119"/>
      <c r="H19" s="31"/>
      <c r="I19" s="71"/>
      <c r="J19" s="33">
        <f t="shared" si="2"/>
        <v>4.3210678967205611</v>
      </c>
      <c r="K19" s="40"/>
      <c r="L19" s="35">
        <f t="shared" si="3"/>
        <v>2.7699153184106162</v>
      </c>
      <c r="M19" s="72"/>
      <c r="N19" s="37"/>
      <c r="O19" s="73"/>
      <c r="P19" s="39">
        <f t="shared" si="4"/>
        <v>2.7699153184106162</v>
      </c>
      <c r="Q19" s="40"/>
      <c r="R19" s="115"/>
      <c r="S19" s="115"/>
      <c r="T19" s="116"/>
      <c r="U19" s="117"/>
      <c r="V19" s="118"/>
      <c r="W19" s="67"/>
      <c r="X19" s="68"/>
      <c r="Y19" s="69"/>
      <c r="Z19" s="70"/>
      <c r="AB19" s="171"/>
    </row>
    <row r="20" spans="1:28" x14ac:dyDescent="0.3">
      <c r="A20" s="192">
        <v>17</v>
      </c>
      <c r="B20" s="161">
        <f t="shared" si="6"/>
        <v>7.3000000000000025</v>
      </c>
      <c r="C20" s="157">
        <f t="shared" si="5"/>
        <v>0.54000000000000026</v>
      </c>
      <c r="D20" s="160">
        <f t="shared" si="0"/>
        <v>8.4019906176692347E-2</v>
      </c>
      <c r="F20" s="170">
        <f t="shared" si="1"/>
        <v>5.1252142767782329</v>
      </c>
      <c r="G20" s="119"/>
      <c r="H20" s="31"/>
      <c r="I20" s="71"/>
      <c r="J20" s="33">
        <f t="shared" si="2"/>
        <v>5.1252142767782329</v>
      </c>
      <c r="K20" s="40"/>
      <c r="L20" s="35">
        <f t="shared" si="3"/>
        <v>3.2853937671655338</v>
      </c>
      <c r="M20" s="72"/>
      <c r="N20" s="37"/>
      <c r="O20" s="73"/>
      <c r="P20" s="39">
        <f t="shared" si="4"/>
        <v>3.2853937671655338</v>
      </c>
      <c r="Q20" s="40"/>
      <c r="R20" s="115"/>
      <c r="S20" s="115"/>
      <c r="T20" s="116"/>
      <c r="U20" s="117"/>
      <c r="V20" s="118"/>
      <c r="W20" s="67"/>
      <c r="X20" s="68"/>
      <c r="Y20" s="69"/>
      <c r="Z20" s="70"/>
      <c r="AB20" s="171"/>
    </row>
    <row r="21" spans="1:28" x14ac:dyDescent="0.3">
      <c r="A21" s="192">
        <v>18</v>
      </c>
      <c r="B21" s="161">
        <f t="shared" si="6"/>
        <v>7.7000000000000028</v>
      </c>
      <c r="C21" s="157">
        <f t="shared" si="5"/>
        <v>0.57000000000000028</v>
      </c>
      <c r="D21" s="160">
        <f t="shared" si="0"/>
        <v>9.8744348553759381E-2</v>
      </c>
      <c r="F21" s="170">
        <f t="shared" si="1"/>
        <v>6.0234052617793221</v>
      </c>
      <c r="G21" s="119"/>
      <c r="H21" s="31"/>
      <c r="I21" s="71"/>
      <c r="J21" s="33">
        <f t="shared" si="2"/>
        <v>6.0234052617793221</v>
      </c>
      <c r="K21" s="40"/>
      <c r="L21" s="35">
        <f t="shared" si="3"/>
        <v>3.8611572190893089</v>
      </c>
      <c r="M21" s="72"/>
      <c r="N21" s="37"/>
      <c r="O21" s="73"/>
      <c r="P21" s="39">
        <f t="shared" si="4"/>
        <v>3.8611572190893089</v>
      </c>
      <c r="Q21" s="40"/>
      <c r="R21" s="115"/>
      <c r="S21" s="115"/>
      <c r="T21" s="116"/>
      <c r="U21" s="117"/>
      <c r="V21" s="118"/>
      <c r="W21" s="67"/>
      <c r="X21" s="68"/>
      <c r="Y21" s="69"/>
      <c r="Z21" s="70"/>
      <c r="AB21" s="171"/>
    </row>
    <row r="22" spans="1:28" x14ac:dyDescent="0.3">
      <c r="A22" s="192">
        <v>19</v>
      </c>
      <c r="B22" s="161">
        <f t="shared" si="6"/>
        <v>8.1000000000000032</v>
      </c>
      <c r="C22" s="157">
        <f t="shared" si="5"/>
        <v>0.60000000000000031</v>
      </c>
      <c r="D22" s="160">
        <f t="shared" si="0"/>
        <v>0.11509576188587993</v>
      </c>
      <c r="F22" s="170">
        <f t="shared" si="1"/>
        <v>7.0208414750386758</v>
      </c>
      <c r="G22" s="119"/>
      <c r="H22" s="31"/>
      <c r="I22" s="71"/>
      <c r="J22" s="33">
        <f t="shared" si="2"/>
        <v>7.0208414750386758</v>
      </c>
      <c r="K22" s="40"/>
      <c r="L22" s="35">
        <f t="shared" si="3"/>
        <v>4.500539407076074</v>
      </c>
      <c r="M22" s="72"/>
      <c r="N22" s="37"/>
      <c r="O22" s="73"/>
      <c r="P22" s="39">
        <f t="shared" si="4"/>
        <v>4.500539407076074</v>
      </c>
      <c r="Q22" s="40"/>
      <c r="R22" s="115"/>
      <c r="S22" s="115"/>
      <c r="T22" s="116"/>
      <c r="U22" s="117"/>
      <c r="V22" s="118"/>
      <c r="W22" s="67"/>
      <c r="X22" s="68"/>
      <c r="Y22" s="69"/>
      <c r="Z22" s="70"/>
      <c r="AB22" s="171"/>
    </row>
    <row r="23" spans="1:28" x14ac:dyDescent="0.3">
      <c r="A23" s="192">
        <v>20</v>
      </c>
      <c r="B23" s="161">
        <f t="shared" si="6"/>
        <v>8.5000000000000036</v>
      </c>
      <c r="C23" s="157">
        <f t="shared" si="5"/>
        <v>0.63000000000000034</v>
      </c>
      <c r="D23" s="160">
        <f t="shared" si="0"/>
        <v>0.13315940229296941</v>
      </c>
      <c r="F23" s="170">
        <f t="shared" si="1"/>
        <v>8.1227235398711333</v>
      </c>
      <c r="G23" s="119"/>
      <c r="H23" s="31"/>
      <c r="I23" s="71"/>
      <c r="J23" s="33">
        <f t="shared" si="2"/>
        <v>8.1227235398711333</v>
      </c>
      <c r="K23" s="40"/>
      <c r="L23" s="35">
        <f t="shared" si="3"/>
        <v>5.2068740640199573</v>
      </c>
      <c r="M23" s="72"/>
      <c r="N23" s="37"/>
      <c r="O23" s="73"/>
      <c r="P23" s="39">
        <f t="shared" si="4"/>
        <v>5.2068740640199573</v>
      </c>
      <c r="Q23" s="40"/>
      <c r="R23" s="115"/>
      <c r="S23" s="115"/>
      <c r="T23" s="116"/>
      <c r="U23" s="117"/>
      <c r="V23" s="118"/>
      <c r="W23" s="67"/>
      <c r="X23" s="68"/>
      <c r="Y23" s="69"/>
      <c r="Z23" s="70"/>
      <c r="AB23" s="171"/>
    </row>
    <row r="24" spans="1:28" x14ac:dyDescent="0.3">
      <c r="A24" s="192">
        <v>21</v>
      </c>
      <c r="B24" s="161">
        <f t="shared" si="6"/>
        <v>8.9000000000000039</v>
      </c>
      <c r="C24" s="157">
        <f t="shared" si="5"/>
        <v>0.66000000000000036</v>
      </c>
      <c r="D24" s="160">
        <f t="shared" si="0"/>
        <v>0.15302052589494336</v>
      </c>
      <c r="F24" s="170">
        <f t="shared" si="1"/>
        <v>9.3342520795915451</v>
      </c>
      <c r="G24" s="119"/>
      <c r="H24" s="31"/>
      <c r="I24" s="71"/>
      <c r="J24" s="33">
        <f t="shared" si="2"/>
        <v>9.3342520795915451</v>
      </c>
      <c r="K24" s="40"/>
      <c r="L24" s="35">
        <f t="shared" si="3"/>
        <v>5.9834949228150931</v>
      </c>
      <c r="M24" s="72"/>
      <c r="N24" s="37"/>
      <c r="O24" s="73"/>
      <c r="P24" s="39">
        <f t="shared" si="4"/>
        <v>5.9834949228150931</v>
      </c>
      <c r="Q24" s="40"/>
      <c r="R24" s="115"/>
      <c r="S24" s="115"/>
      <c r="T24" s="116"/>
      <c r="U24" s="117"/>
      <c r="V24" s="118"/>
      <c r="W24" s="67"/>
      <c r="X24" s="68"/>
      <c r="Y24" s="69"/>
      <c r="Z24" s="70"/>
      <c r="AB24" s="171"/>
    </row>
    <row r="25" spans="1:28" x14ac:dyDescent="0.3">
      <c r="A25" s="192">
        <v>22</v>
      </c>
      <c r="B25" s="161">
        <f t="shared" si="6"/>
        <v>9.3000000000000043</v>
      </c>
      <c r="C25" s="157">
        <f t="shared" si="5"/>
        <v>0.69000000000000039</v>
      </c>
      <c r="D25" s="160">
        <f t="shared" si="0"/>
        <v>0.17476438881171716</v>
      </c>
      <c r="F25" s="170">
        <f t="shared" si="1"/>
        <v>10.660627717514746</v>
      </c>
      <c r="G25" s="119"/>
      <c r="H25" s="31"/>
      <c r="I25" s="71"/>
      <c r="J25" s="33">
        <f t="shared" si="2"/>
        <v>10.660627717514746</v>
      </c>
      <c r="K25" s="40"/>
      <c r="L25" s="35">
        <f t="shared" si="3"/>
        <v>6.8337357163556058</v>
      </c>
      <c r="M25" s="72"/>
      <c r="N25" s="37"/>
      <c r="O25" s="73"/>
      <c r="P25" s="39">
        <f t="shared" si="4"/>
        <v>6.8337357163556058</v>
      </c>
      <c r="Q25" s="40"/>
      <c r="R25" s="115"/>
      <c r="S25" s="115"/>
      <c r="T25" s="116"/>
      <c r="U25" s="117"/>
      <c r="V25" s="118"/>
      <c r="W25" s="67"/>
      <c r="X25" s="68"/>
      <c r="Y25" s="69"/>
      <c r="Z25" s="70"/>
      <c r="AB25" s="171"/>
    </row>
    <row r="26" spans="1:28" x14ac:dyDescent="0.3">
      <c r="A26" s="192">
        <v>23</v>
      </c>
      <c r="B26" s="161">
        <f t="shared" si="6"/>
        <v>9.7000000000000046</v>
      </c>
      <c r="C26" s="157">
        <f t="shared" si="5"/>
        <v>0.72000000000000042</v>
      </c>
      <c r="D26" s="160">
        <f t="shared" si="0"/>
        <v>0.19847624716320633</v>
      </c>
      <c r="F26" s="170">
        <f t="shared" si="1"/>
        <v>12.107051076955587</v>
      </c>
      <c r="G26" s="119"/>
      <c r="H26" s="31"/>
      <c r="I26" s="71"/>
      <c r="J26" s="33">
        <f t="shared" si="2"/>
        <v>12.107051076955587</v>
      </c>
      <c r="K26" s="40"/>
      <c r="L26" s="35">
        <f t="shared" si="3"/>
        <v>7.7609301775356325</v>
      </c>
      <c r="M26" s="72"/>
      <c r="N26" s="37"/>
      <c r="O26" s="73"/>
      <c r="P26" s="39">
        <f t="shared" si="4"/>
        <v>7.7609301775356325</v>
      </c>
      <c r="Q26" s="40"/>
      <c r="R26" s="115"/>
      <c r="S26" s="115"/>
      <c r="T26" s="116"/>
      <c r="U26" s="117"/>
      <c r="V26" s="118"/>
      <c r="W26" s="67"/>
      <c r="X26" s="68"/>
      <c r="Y26" s="69"/>
      <c r="Z26" s="70"/>
      <c r="AB26" s="171"/>
    </row>
    <row r="27" spans="1:28" x14ac:dyDescent="0.3">
      <c r="A27" s="192">
        <v>24</v>
      </c>
      <c r="B27" s="161">
        <f t="shared" si="6"/>
        <v>10.100000000000005</v>
      </c>
      <c r="C27" s="157">
        <f t="shared" si="5"/>
        <v>0.75000000000000044</v>
      </c>
      <c r="D27" s="160">
        <f t="shared" si="0"/>
        <v>0.2242413570693263</v>
      </c>
      <c r="F27" s="170">
        <f t="shared" si="1"/>
        <v>13.678722781228904</v>
      </c>
      <c r="G27" s="119"/>
      <c r="H27" s="31"/>
      <c r="I27" s="71"/>
      <c r="J27" s="33">
        <f t="shared" si="2"/>
        <v>13.678722781228904</v>
      </c>
      <c r="K27" s="40"/>
      <c r="L27" s="35">
        <f t="shared" si="3"/>
        <v>8.7684120392492968</v>
      </c>
      <c r="M27" s="72"/>
      <c r="N27" s="37"/>
      <c r="O27" s="73"/>
      <c r="P27" s="39">
        <f t="shared" si="4"/>
        <v>8.7684120392492968</v>
      </c>
      <c r="Q27" s="40"/>
      <c r="R27" s="115"/>
      <c r="S27" s="115"/>
      <c r="T27" s="116"/>
      <c r="U27" s="117"/>
      <c r="V27" s="118"/>
      <c r="W27" s="67"/>
      <c r="X27" s="68"/>
      <c r="Y27" s="69"/>
      <c r="Z27" s="70"/>
      <c r="AB27" s="171"/>
    </row>
    <row r="28" spans="1:28" x14ac:dyDescent="0.3">
      <c r="A28" s="192">
        <v>25</v>
      </c>
      <c r="B28" s="161">
        <f t="shared" si="6"/>
        <v>10.500000000000005</v>
      </c>
      <c r="C28" s="157">
        <f t="shared" si="5"/>
        <v>0.78000000000000047</v>
      </c>
      <c r="D28" s="160">
        <f t="shared" si="0"/>
        <v>0.25214497464999264</v>
      </c>
      <c r="F28" s="170">
        <f t="shared" si="1"/>
        <v>15.38084345364955</v>
      </c>
      <c r="G28" s="119">
        <v>0.15</v>
      </c>
      <c r="H28" s="31">
        <f>G28*F28</f>
        <v>2.3071265180474323</v>
      </c>
      <c r="I28" s="71">
        <f>H28</f>
        <v>2.3071265180474323</v>
      </c>
      <c r="J28" s="33">
        <f>F28-I28</f>
        <v>13.073716935602118</v>
      </c>
      <c r="K28" s="40"/>
      <c r="L28" s="35">
        <f t="shared" si="3"/>
        <v>9.8595150343907374</v>
      </c>
      <c r="M28" s="72">
        <v>0.15</v>
      </c>
      <c r="N28" s="238">
        <f>M28*L28</f>
        <v>1.4789272551586106</v>
      </c>
      <c r="O28" s="239">
        <f>N28</f>
        <v>1.4789272551586106</v>
      </c>
      <c r="P28" s="240">
        <f>L28-O28</f>
        <v>8.3805877792321262</v>
      </c>
      <c r="Q28" s="40"/>
      <c r="R28" s="115">
        <f>N28</f>
        <v>1.4789272551586106</v>
      </c>
      <c r="S28" s="115">
        <f>H28-N28</f>
        <v>0.82819926288882173</v>
      </c>
      <c r="T28" s="116">
        <f>R28/0.6</f>
        <v>2.4648787585976843</v>
      </c>
      <c r="U28" s="117">
        <v>8</v>
      </c>
      <c r="V28" s="118">
        <f>T28*U28</f>
        <v>19.719030068781475</v>
      </c>
      <c r="W28" s="67"/>
      <c r="X28" s="68"/>
      <c r="Y28" s="69"/>
      <c r="Z28" s="70"/>
      <c r="AB28" s="171">
        <f t="shared" ref="AB28:AB58" si="7">V28+Z28</f>
        <v>19.719030068781475</v>
      </c>
    </row>
    <row r="29" spans="1:28" x14ac:dyDescent="0.3">
      <c r="A29" s="192">
        <v>26</v>
      </c>
      <c r="B29" s="161">
        <f t="shared" si="6"/>
        <v>10.900000000000006</v>
      </c>
      <c r="C29" s="157">
        <f t="shared" si="5"/>
        <v>0.8100000000000005</v>
      </c>
      <c r="D29" s="160">
        <f t="shared" si="0"/>
        <v>0.28227235602512057</v>
      </c>
      <c r="F29" s="170">
        <f t="shared" si="1"/>
        <v>17.218613717532357</v>
      </c>
      <c r="G29" s="119"/>
      <c r="H29" s="31"/>
      <c r="I29" s="71"/>
      <c r="J29" s="33">
        <f>F29-I28</f>
        <v>14.911487199484924</v>
      </c>
      <c r="K29" s="40"/>
      <c r="L29" s="35">
        <f t="shared" si="3"/>
        <v>11.037572895854074</v>
      </c>
      <c r="M29" s="72"/>
      <c r="N29" s="238"/>
      <c r="O29" s="239"/>
      <c r="P29" s="240">
        <f>L29-O28</f>
        <v>9.5586456406954632</v>
      </c>
      <c r="Q29" s="40"/>
      <c r="R29" s="115"/>
      <c r="S29" s="115"/>
      <c r="T29" s="116"/>
      <c r="U29" s="117"/>
      <c r="V29" s="118"/>
      <c r="W29" s="67"/>
      <c r="X29" s="68"/>
      <c r="Y29" s="69"/>
      <c r="Z29" s="70"/>
      <c r="AB29" s="171"/>
    </row>
    <row r="30" spans="1:28" x14ac:dyDescent="0.3">
      <c r="A30" s="192">
        <v>27</v>
      </c>
      <c r="B30" s="161">
        <f t="shared" si="6"/>
        <v>11.300000000000006</v>
      </c>
      <c r="C30" s="157">
        <f t="shared" si="5"/>
        <v>0.84000000000000052</v>
      </c>
      <c r="D30" s="160">
        <f t="shared" si="0"/>
        <v>0.31470875731462589</v>
      </c>
      <c r="F30" s="170">
        <f t="shared" si="1"/>
        <v>19.197234196192181</v>
      </c>
      <c r="G30" s="119"/>
      <c r="H30" s="31"/>
      <c r="I30" s="71"/>
      <c r="J30" s="33">
        <f>F30-I28</f>
        <v>16.890107678144748</v>
      </c>
      <c r="K30" s="40"/>
      <c r="L30" s="35">
        <f t="shared" si="3"/>
        <v>12.305919356533449</v>
      </c>
      <c r="M30" s="72"/>
      <c r="N30" s="238"/>
      <c r="O30" s="239"/>
      <c r="P30" s="240">
        <f>L30-O28</f>
        <v>10.826992101374838</v>
      </c>
      <c r="Q30" s="40"/>
      <c r="R30" s="115"/>
      <c r="S30" s="115"/>
      <c r="T30" s="116"/>
      <c r="U30" s="117"/>
      <c r="V30" s="118"/>
      <c r="W30" s="67"/>
      <c r="X30" s="68"/>
      <c r="Y30" s="69"/>
      <c r="Z30" s="70"/>
      <c r="AB30" s="171"/>
    </row>
    <row r="31" spans="1:28" x14ac:dyDescent="0.3">
      <c r="A31" s="192">
        <v>28</v>
      </c>
      <c r="B31" s="161">
        <f t="shared" si="6"/>
        <v>11.700000000000006</v>
      </c>
      <c r="C31" s="157">
        <f t="shared" si="5"/>
        <v>0.87000000000000055</v>
      </c>
      <c r="D31" s="160">
        <f t="shared" si="0"/>
        <v>0.3495394346384238</v>
      </c>
      <c r="F31" s="170">
        <f t="shared" si="1"/>
        <v>21.32190551294385</v>
      </c>
      <c r="G31" s="119"/>
      <c r="H31" s="31"/>
      <c r="I31" s="71"/>
      <c r="J31" s="33">
        <f>F31-I28</f>
        <v>19.014778994896417</v>
      </c>
      <c r="K31" s="40"/>
      <c r="L31" s="35">
        <f t="shared" si="3"/>
        <v>13.66788814932298</v>
      </c>
      <c r="M31" s="72"/>
      <c r="N31" s="238"/>
      <c r="O31" s="239"/>
      <c r="P31" s="240">
        <f>L31-O28</f>
        <v>12.188960894164369</v>
      </c>
      <c r="Q31" s="40"/>
      <c r="R31" s="120"/>
      <c r="S31" s="115"/>
      <c r="T31" s="116"/>
      <c r="U31" s="125"/>
      <c r="V31" s="118"/>
      <c r="W31" s="67"/>
      <c r="X31" s="82"/>
      <c r="Y31" s="83"/>
      <c r="Z31" s="84"/>
      <c r="AB31" s="171"/>
    </row>
    <row r="32" spans="1:28" x14ac:dyDescent="0.3">
      <c r="A32" s="192">
        <v>29</v>
      </c>
      <c r="B32" s="161">
        <f t="shared" si="6"/>
        <v>12.100000000000007</v>
      </c>
      <c r="C32" s="157">
        <f t="shared" si="5"/>
        <v>0.90000000000000058</v>
      </c>
      <c r="D32" s="160">
        <f t="shared" si="0"/>
        <v>0.38684964411642997</v>
      </c>
      <c r="F32" s="170">
        <f t="shared" si="1"/>
        <v>23.597828291102228</v>
      </c>
      <c r="G32" s="119"/>
      <c r="H32" s="31"/>
      <c r="I32" s="71"/>
      <c r="J32" s="33">
        <f>F32-I28</f>
        <v>21.290701773054796</v>
      </c>
      <c r="K32" s="40"/>
      <c r="L32" s="35">
        <f t="shared" si="3"/>
        <v>15.126813007116812</v>
      </c>
      <c r="M32" s="72"/>
      <c r="N32" s="238"/>
      <c r="O32" s="239"/>
      <c r="P32" s="240">
        <f>L32-O28</f>
        <v>13.647885751958201</v>
      </c>
      <c r="Q32" s="40"/>
      <c r="R32" s="120"/>
      <c r="S32" s="115"/>
      <c r="T32" s="116"/>
      <c r="U32" s="125"/>
      <c r="V32" s="118"/>
      <c r="W32" s="67"/>
      <c r="X32" s="82"/>
      <c r="Y32" s="83"/>
      <c r="Z32" s="84"/>
      <c r="AB32" s="171"/>
    </row>
    <row r="33" spans="1:28" x14ac:dyDescent="0.3">
      <c r="A33" s="192">
        <v>30</v>
      </c>
      <c r="B33" s="161">
        <f t="shared" si="6"/>
        <v>12.500000000000007</v>
      </c>
      <c r="C33" s="157">
        <f t="shared" si="5"/>
        <v>0.9300000000000006</v>
      </c>
      <c r="D33" s="160">
        <f t="shared" si="0"/>
        <v>0.42672464186855968</v>
      </c>
      <c r="F33" s="170">
        <f t="shared" si="1"/>
        <v>26.030203153982139</v>
      </c>
      <c r="G33" s="119"/>
      <c r="H33" s="31"/>
      <c r="I33" s="71"/>
      <c r="J33" s="33">
        <f>F33-I28</f>
        <v>23.723076635934707</v>
      </c>
      <c r="K33" s="121"/>
      <c r="L33" s="35">
        <f t="shared" si="3"/>
        <v>16.686027662809064</v>
      </c>
      <c r="M33" s="72"/>
      <c r="N33" s="238"/>
      <c r="O33" s="239"/>
      <c r="P33" s="240">
        <f>L33-O28</f>
        <v>15.207100407650453</v>
      </c>
      <c r="Q33" s="40"/>
      <c r="R33" s="120"/>
      <c r="S33" s="115"/>
      <c r="T33" s="116"/>
      <c r="U33" s="125"/>
      <c r="V33" s="118"/>
      <c r="W33" s="67"/>
      <c r="X33" s="82"/>
      <c r="Y33" s="83"/>
      <c r="Z33" s="84"/>
      <c r="AB33" s="171"/>
    </row>
    <row r="34" spans="1:28" x14ac:dyDescent="0.3">
      <c r="A34" s="192">
        <v>31</v>
      </c>
      <c r="B34" s="161">
        <f t="shared" si="6"/>
        <v>12.900000000000007</v>
      </c>
      <c r="C34" s="157">
        <f t="shared" si="5"/>
        <v>0.96000000000000063</v>
      </c>
      <c r="D34" s="160">
        <f t="shared" si="0"/>
        <v>0.46924968401472844</v>
      </c>
      <c r="F34" s="170">
        <f t="shared" si="1"/>
        <v>28.624230724898435</v>
      </c>
      <c r="G34" s="119"/>
      <c r="H34" s="31"/>
      <c r="I34" s="71"/>
      <c r="J34" s="33">
        <f>F34-I28</f>
        <v>26.317104206851003</v>
      </c>
      <c r="K34" s="40"/>
      <c r="L34" s="35">
        <f t="shared" si="3"/>
        <v>18.348865849293869</v>
      </c>
      <c r="M34" s="72"/>
      <c r="N34" s="238"/>
      <c r="O34" s="239"/>
      <c r="P34" s="240">
        <f>L34-O28</f>
        <v>16.86993859413526</v>
      </c>
      <c r="Q34" s="40"/>
      <c r="R34" s="120"/>
      <c r="S34" s="115"/>
      <c r="T34" s="116"/>
      <c r="U34" s="125"/>
      <c r="V34" s="118"/>
      <c r="W34" s="67"/>
      <c r="X34" s="82"/>
      <c r="Y34" s="83"/>
      <c r="Z34" s="84"/>
      <c r="AB34" s="171"/>
    </row>
    <row r="35" spans="1:28" x14ac:dyDescent="0.3">
      <c r="A35" s="192">
        <v>32</v>
      </c>
      <c r="B35" s="161">
        <f t="shared" si="6"/>
        <v>13.300000000000008</v>
      </c>
      <c r="C35" s="157">
        <f t="shared" si="5"/>
        <v>0.99000000000000066</v>
      </c>
      <c r="D35" s="160">
        <f t="shared" si="0"/>
        <v>0.51451002667485179</v>
      </c>
      <c r="F35" s="170">
        <f t="shared" si="1"/>
        <v>31.385111627165958</v>
      </c>
      <c r="G35" s="119"/>
      <c r="H35" s="31"/>
      <c r="I35" s="71"/>
      <c r="J35" s="33">
        <f>F35-I28</f>
        <v>29.077985109118526</v>
      </c>
      <c r="K35" s="40"/>
      <c r="L35" s="35">
        <f t="shared" si="3"/>
        <v>20.118661299465359</v>
      </c>
      <c r="M35" s="72"/>
      <c r="N35" s="238"/>
      <c r="O35" s="239"/>
      <c r="P35" s="240">
        <f>L35-O28</f>
        <v>18.639734044306749</v>
      </c>
      <c r="Q35" s="40"/>
      <c r="R35" s="120"/>
      <c r="S35" s="115"/>
      <c r="T35" s="116"/>
      <c r="U35" s="125"/>
      <c r="V35" s="118"/>
      <c r="W35" s="67"/>
      <c r="X35" s="82"/>
      <c r="Y35" s="83"/>
      <c r="Z35" s="84"/>
      <c r="AB35" s="171"/>
    </row>
    <row r="36" spans="1:28" x14ac:dyDescent="0.3">
      <c r="A36" s="192">
        <v>33</v>
      </c>
      <c r="B36" s="161">
        <f t="shared" si="6"/>
        <v>13.700000000000008</v>
      </c>
      <c r="C36" s="157">
        <f t="shared" si="5"/>
        <v>1.0200000000000007</v>
      </c>
      <c r="D36" s="160">
        <f t="shared" si="0"/>
        <v>0.56259092596884519</v>
      </c>
      <c r="F36" s="170">
        <f t="shared" si="1"/>
        <v>34.318046484099554</v>
      </c>
      <c r="G36" s="86">
        <v>0.15</v>
      </c>
      <c r="H36" s="31">
        <f>G36*(F36-I28)</f>
        <v>4.8016379949078178</v>
      </c>
      <c r="I36" s="71">
        <f>H36+I28</f>
        <v>7.1087645129552506</v>
      </c>
      <c r="J36" s="33">
        <f>F36-I36</f>
        <v>27.209281971144303</v>
      </c>
      <c r="K36" s="40"/>
      <c r="L36" s="35">
        <f t="shared" si="3"/>
        <v>21.998747746217663</v>
      </c>
      <c r="M36" s="87">
        <v>0.15</v>
      </c>
      <c r="N36" s="238">
        <f>M36*(L36-O28)</f>
        <v>3.0779730736588582</v>
      </c>
      <c r="O36" s="239">
        <f>N36+O28</f>
        <v>4.556900328817469</v>
      </c>
      <c r="P36" s="240">
        <f>L36-O36</f>
        <v>17.441847417400194</v>
      </c>
      <c r="Q36" s="40"/>
      <c r="R36" s="120">
        <f>N36</f>
        <v>3.0779730736588582</v>
      </c>
      <c r="S36" s="115">
        <f>H36-N36</f>
        <v>1.7236649212489596</v>
      </c>
      <c r="T36" s="116">
        <f t="shared" ref="T36:T58" si="8">R36/0.6</f>
        <v>5.1299551227647635</v>
      </c>
      <c r="U36" s="125">
        <v>8</v>
      </c>
      <c r="V36" s="118">
        <f t="shared" ref="V36:V73" si="9">T36*U36</f>
        <v>41.039640982118108</v>
      </c>
      <c r="W36" s="67"/>
      <c r="X36" s="82"/>
      <c r="Y36" s="83"/>
      <c r="Z36" s="84"/>
      <c r="AB36" s="171">
        <f t="shared" si="7"/>
        <v>41.039640982118108</v>
      </c>
    </row>
    <row r="37" spans="1:28" x14ac:dyDescent="0.3">
      <c r="A37" s="192">
        <v>34</v>
      </c>
      <c r="B37" s="161">
        <f t="shared" si="6"/>
        <v>14.100000000000009</v>
      </c>
      <c r="C37" s="157">
        <f t="shared" si="5"/>
        <v>1.0500000000000007</v>
      </c>
      <c r="D37" s="160">
        <f t="shared" si="0"/>
        <v>0.61357763801662424</v>
      </c>
      <c r="F37" s="170">
        <f t="shared" si="1"/>
        <v>37.428235919014078</v>
      </c>
      <c r="G37" s="86"/>
      <c r="H37" s="31"/>
      <c r="I37" s="71"/>
      <c r="J37" s="33">
        <f>F37-I36</f>
        <v>30.319471406058828</v>
      </c>
      <c r="K37" s="40"/>
      <c r="L37" s="35">
        <f t="shared" si="3"/>
        <v>23.992458922444921</v>
      </c>
      <c r="M37" s="87"/>
      <c r="N37" s="238"/>
      <c r="O37" s="239"/>
      <c r="P37" s="240">
        <f>L37-O36</f>
        <v>19.435558593627452</v>
      </c>
      <c r="Q37" s="40"/>
      <c r="R37" s="120"/>
      <c r="S37" s="115"/>
      <c r="T37" s="116"/>
      <c r="U37" s="125"/>
      <c r="V37" s="118"/>
      <c r="W37" s="67"/>
      <c r="X37" s="82"/>
      <c r="Y37" s="83"/>
      <c r="Z37" s="84"/>
      <c r="AB37" s="171"/>
    </row>
    <row r="38" spans="1:28" x14ac:dyDescent="0.3">
      <c r="A38" s="192">
        <v>35</v>
      </c>
      <c r="B38" s="161">
        <f t="shared" si="6"/>
        <v>14.500000000000009</v>
      </c>
      <c r="C38" s="157">
        <f t="shared" si="5"/>
        <v>1.0800000000000007</v>
      </c>
      <c r="D38" s="160">
        <f t="shared" si="0"/>
        <v>0.66755541893810399</v>
      </c>
      <c r="F38" s="170">
        <f t="shared" si="1"/>
        <v>40.72088055522434</v>
      </c>
      <c r="G38" s="86"/>
      <c r="H38" s="31"/>
      <c r="I38" s="71"/>
      <c r="J38" s="33">
        <f>F38-I36</f>
        <v>33.612116042269093</v>
      </c>
      <c r="K38" s="40"/>
      <c r="L38" s="35">
        <f t="shared" si="3"/>
        <v>26.103128561041242</v>
      </c>
      <c r="M38" s="87"/>
      <c r="N38" s="238"/>
      <c r="O38" s="239"/>
      <c r="P38" s="240">
        <f>L38-O36</f>
        <v>21.546228232223772</v>
      </c>
      <c r="Q38" s="40"/>
      <c r="R38" s="120"/>
      <c r="S38" s="115"/>
      <c r="T38" s="116"/>
      <c r="U38" s="125"/>
      <c r="V38" s="118"/>
      <c r="W38" s="67"/>
      <c r="X38" s="82"/>
      <c r="Y38" s="83"/>
      <c r="Z38" s="84"/>
      <c r="AB38" s="171"/>
    </row>
    <row r="39" spans="1:28" x14ac:dyDescent="0.3">
      <c r="A39" s="192">
        <v>36</v>
      </c>
      <c r="B39" s="161">
        <f t="shared" si="6"/>
        <v>14.900000000000009</v>
      </c>
      <c r="C39" s="157">
        <f t="shared" si="5"/>
        <v>1.1100000000000008</v>
      </c>
      <c r="D39" s="160">
        <f t="shared" si="0"/>
        <v>0.72460952485320029</v>
      </c>
      <c r="F39" s="170">
        <f t="shared" si="1"/>
        <v>44.201181016045219</v>
      </c>
      <c r="G39" s="86"/>
      <c r="H39" s="31"/>
      <c r="I39" s="71"/>
      <c r="J39" s="33">
        <f>F39-I36</f>
        <v>37.092416503089964</v>
      </c>
      <c r="K39" s="40"/>
      <c r="L39" s="35">
        <f t="shared" si="3"/>
        <v>28.33409039490078</v>
      </c>
      <c r="M39" s="87"/>
      <c r="N39" s="238"/>
      <c r="O39" s="239"/>
      <c r="P39" s="240">
        <f>L39-O36</f>
        <v>23.77719006608331</v>
      </c>
      <c r="Q39" s="40"/>
      <c r="R39" s="120"/>
      <c r="S39" s="115"/>
      <c r="T39" s="116"/>
      <c r="U39" s="125"/>
      <c r="V39" s="118"/>
      <c r="W39" s="67"/>
      <c r="X39" s="82"/>
      <c r="Y39" s="83"/>
      <c r="Z39" s="84"/>
      <c r="AB39" s="171"/>
    </row>
    <row r="40" spans="1:28" x14ac:dyDescent="0.3">
      <c r="A40" s="192">
        <v>37</v>
      </c>
      <c r="B40" s="161">
        <f t="shared" si="6"/>
        <v>15.30000000000001</v>
      </c>
      <c r="C40" s="157">
        <f t="shared" si="5"/>
        <v>1.1400000000000008</v>
      </c>
      <c r="D40" s="160">
        <f t="shared" si="0"/>
        <v>0.78482521188182852</v>
      </c>
      <c r="F40" s="170">
        <f t="shared" si="1"/>
        <v>47.87433792479154</v>
      </c>
      <c r="G40" s="86"/>
      <c r="H40" s="31"/>
      <c r="I40" s="71"/>
      <c r="J40" s="33">
        <f>F40-I36</f>
        <v>40.765573411836286</v>
      </c>
      <c r="K40" s="40"/>
      <c r="L40" s="35">
        <f t="shared" si="3"/>
        <v>30.688678156917653</v>
      </c>
      <c r="M40" s="87"/>
      <c r="N40" s="238"/>
      <c r="O40" s="239"/>
      <c r="P40" s="240">
        <f>L40-O36</f>
        <v>26.131777828100184</v>
      </c>
      <c r="Q40" s="40"/>
      <c r="R40" s="120"/>
      <c r="S40" s="115"/>
      <c r="T40" s="116"/>
      <c r="U40" s="125"/>
      <c r="V40" s="118"/>
      <c r="W40" s="67"/>
      <c r="X40" s="82"/>
      <c r="Y40" s="83"/>
      <c r="Z40" s="84"/>
      <c r="AB40" s="171"/>
    </row>
    <row r="41" spans="1:28" x14ac:dyDescent="0.3">
      <c r="A41" s="192">
        <v>38</v>
      </c>
      <c r="B41" s="161">
        <f t="shared" si="6"/>
        <v>15.70000000000001</v>
      </c>
      <c r="C41" s="157">
        <f t="shared" si="5"/>
        <v>1.1700000000000008</v>
      </c>
      <c r="D41" s="160">
        <f t="shared" si="0"/>
        <v>0.84828773614390396</v>
      </c>
      <c r="F41" s="170">
        <f t="shared" si="1"/>
        <v>51.745551904778139</v>
      </c>
      <c r="G41" s="86"/>
      <c r="H41" s="31"/>
      <c r="I41" s="71"/>
      <c r="J41" s="33">
        <f>F41-I36</f>
        <v>44.636787391822892</v>
      </c>
      <c r="K41" s="40"/>
      <c r="L41" s="35">
        <f t="shared" si="3"/>
        <v>33.170225579985988</v>
      </c>
      <c r="M41" s="87"/>
      <c r="N41" s="238"/>
      <c r="O41" s="239"/>
      <c r="P41" s="240">
        <f>L41-O36</f>
        <v>28.613325251168519</v>
      </c>
      <c r="Q41" s="40"/>
      <c r="R41" s="120"/>
      <c r="S41" s="115"/>
      <c r="T41" s="116"/>
      <c r="U41" s="125"/>
      <c r="V41" s="118"/>
      <c r="W41" s="67"/>
      <c r="X41" s="82"/>
      <c r="Y41" s="83"/>
      <c r="Z41" s="84"/>
      <c r="AB41" s="171"/>
    </row>
    <row r="42" spans="1:28" x14ac:dyDescent="0.3">
      <c r="A42" s="192">
        <v>39</v>
      </c>
      <c r="B42" s="161">
        <f t="shared" si="6"/>
        <v>16.100000000000009</v>
      </c>
      <c r="C42" s="157">
        <f t="shared" si="5"/>
        <v>1.2000000000000008</v>
      </c>
      <c r="D42" s="160">
        <f t="shared" si="0"/>
        <v>0.9150823537593421</v>
      </c>
      <c r="F42" s="170">
        <f t="shared" si="1"/>
        <v>55.820023579319866</v>
      </c>
      <c r="G42" s="86"/>
      <c r="H42" s="31"/>
      <c r="I42" s="71"/>
      <c r="J42" s="33">
        <f>F42-I36</f>
        <v>48.711259066364619</v>
      </c>
      <c r="K42" s="40"/>
      <c r="L42" s="35">
        <f t="shared" si="3"/>
        <v>35.782066396999916</v>
      </c>
      <c r="M42" s="87"/>
      <c r="N42" s="238"/>
      <c r="O42" s="239"/>
      <c r="P42" s="240">
        <f>L42-O36</f>
        <v>31.225166068182446</v>
      </c>
      <c r="Q42" s="40"/>
      <c r="R42" s="120"/>
      <c r="S42" s="115"/>
      <c r="T42" s="116"/>
      <c r="U42" s="125"/>
      <c r="V42" s="118"/>
      <c r="W42" s="67"/>
      <c r="X42" s="82"/>
      <c r="Y42" s="83"/>
      <c r="Z42" s="84"/>
      <c r="AB42" s="171"/>
    </row>
    <row r="43" spans="1:28" x14ac:dyDescent="0.3">
      <c r="A43" s="192">
        <v>40</v>
      </c>
      <c r="B43" s="161">
        <f t="shared" si="6"/>
        <v>16.500000000000007</v>
      </c>
      <c r="C43" s="157">
        <f t="shared" si="5"/>
        <v>1.2300000000000009</v>
      </c>
      <c r="D43" s="160">
        <f t="shared" si="0"/>
        <v>0.98529432084805879</v>
      </c>
      <c r="F43" s="170">
        <f t="shared" si="1"/>
        <v>60.102953571731589</v>
      </c>
      <c r="G43" s="86"/>
      <c r="H43" s="31"/>
      <c r="I43" s="71"/>
      <c r="J43" s="33">
        <f>F43-I36</f>
        <v>52.994189058776342</v>
      </c>
      <c r="K43" s="40"/>
      <c r="L43" s="35">
        <f t="shared" si="3"/>
        <v>38.527534340853585</v>
      </c>
      <c r="M43" s="87"/>
      <c r="N43" s="238"/>
      <c r="O43" s="239"/>
      <c r="P43" s="240">
        <f>L43-O36</f>
        <v>33.970634012036115</v>
      </c>
      <c r="Q43" s="40"/>
      <c r="R43" s="120"/>
      <c r="S43" s="115"/>
      <c r="T43" s="116"/>
      <c r="U43" s="125"/>
      <c r="V43" s="118"/>
      <c r="W43" s="67"/>
      <c r="X43" s="82"/>
      <c r="Y43" s="83"/>
      <c r="Z43" s="84"/>
      <c r="AB43" s="171"/>
    </row>
    <row r="44" spans="1:28" x14ac:dyDescent="0.3">
      <c r="A44" s="192">
        <v>41</v>
      </c>
      <c r="B44" s="161">
        <f t="shared" si="6"/>
        <v>16.900000000000006</v>
      </c>
      <c r="C44" s="157">
        <f t="shared" si="5"/>
        <v>1.2600000000000009</v>
      </c>
      <c r="D44" s="160">
        <f t="shared" si="0"/>
        <v>1.0590088935299691</v>
      </c>
      <c r="F44" s="170">
        <f t="shared" si="1"/>
        <v>64.599542505328117</v>
      </c>
      <c r="G44" s="86">
        <v>0.2</v>
      </c>
      <c r="H44" s="225">
        <f>G44*(F44-I36)</f>
        <v>11.498155598474575</v>
      </c>
      <c r="I44" s="71">
        <f>H44+I36</f>
        <v>18.606920111429826</v>
      </c>
      <c r="J44" s="33">
        <f>F44-I44</f>
        <v>45.992622393898287</v>
      </c>
      <c r="K44" s="40"/>
      <c r="L44" s="35">
        <f t="shared" si="3"/>
        <v>41.4099631444411</v>
      </c>
      <c r="M44" s="87">
        <v>0.2</v>
      </c>
      <c r="N44" s="241">
        <f>M44*(L44-O36)</f>
        <v>7.3706125631247268</v>
      </c>
      <c r="O44" s="239">
        <f>N44+O36</f>
        <v>11.927512891942197</v>
      </c>
      <c r="P44" s="240">
        <f>L44-O44</f>
        <v>29.482450252498904</v>
      </c>
      <c r="Q44" s="40"/>
      <c r="R44" s="120">
        <f>N44</f>
        <v>7.3706125631247268</v>
      </c>
      <c r="S44" s="115">
        <f>H44-N44</f>
        <v>4.1275430353498486</v>
      </c>
      <c r="T44" s="116">
        <f t="shared" si="8"/>
        <v>12.284354271874545</v>
      </c>
      <c r="U44" s="125">
        <v>8</v>
      </c>
      <c r="V44" s="118">
        <f t="shared" si="9"/>
        <v>98.274834174996357</v>
      </c>
      <c r="W44" s="67"/>
      <c r="X44" s="82"/>
      <c r="Y44" s="83"/>
      <c r="Z44" s="84"/>
      <c r="AB44" s="171">
        <f t="shared" si="7"/>
        <v>98.274834174996357</v>
      </c>
    </row>
    <row r="45" spans="1:28" x14ac:dyDescent="0.3">
      <c r="A45" s="192">
        <v>42</v>
      </c>
      <c r="B45" s="161">
        <f t="shared" si="6"/>
        <v>17.300000000000004</v>
      </c>
      <c r="C45" s="157">
        <f t="shared" si="5"/>
        <v>1.2900000000000009</v>
      </c>
      <c r="D45" s="160">
        <f t="shared" si="0"/>
        <v>1.1363113279249886</v>
      </c>
      <c r="F45" s="170">
        <f t="shared" si="1"/>
        <v>69.314991003424296</v>
      </c>
      <c r="G45" s="86"/>
      <c r="H45" s="225"/>
      <c r="I45" s="71"/>
      <c r="J45" s="33">
        <f>F45-I44</f>
        <v>50.708070891994467</v>
      </c>
      <c r="K45" s="40"/>
      <c r="L45" s="35">
        <f t="shared" si="3"/>
        <v>44.432686540656597</v>
      </c>
      <c r="M45" s="87"/>
      <c r="N45" s="241"/>
      <c r="O45" s="239"/>
      <c r="P45" s="240">
        <f>L45-O44</f>
        <v>32.505173648714404</v>
      </c>
      <c r="Q45" s="40"/>
      <c r="R45" s="120"/>
      <c r="S45" s="115"/>
      <c r="T45" s="116"/>
      <c r="U45" s="125"/>
      <c r="V45" s="118"/>
      <c r="W45" s="67"/>
      <c r="X45" s="82"/>
      <c r="Y45" s="83"/>
      <c r="Z45" s="84"/>
      <c r="AB45" s="171"/>
    </row>
    <row r="46" spans="1:28" x14ac:dyDescent="0.3">
      <c r="A46" s="192">
        <v>43</v>
      </c>
      <c r="B46" s="161">
        <f t="shared" si="6"/>
        <v>17.700000000000003</v>
      </c>
      <c r="C46" s="157">
        <f t="shared" si="5"/>
        <v>1.320000000000001</v>
      </c>
      <c r="D46" s="160">
        <f t="shared" si="0"/>
        <v>1.2172868801530325</v>
      </c>
      <c r="F46" s="170">
        <f t="shared" si="1"/>
        <v>74.254499689334992</v>
      </c>
      <c r="G46" s="86"/>
      <c r="H46" s="225"/>
      <c r="I46" s="71"/>
      <c r="J46" s="33">
        <f>F46-I44</f>
        <v>55.647579577905162</v>
      </c>
      <c r="K46" s="40"/>
      <c r="L46" s="35">
        <f t="shared" si="3"/>
        <v>47.599038262394224</v>
      </c>
      <c r="M46" s="87"/>
      <c r="N46" s="241"/>
      <c r="O46" s="239"/>
      <c r="P46" s="240">
        <f>L46-O44</f>
        <v>35.671525370452031</v>
      </c>
      <c r="Q46" s="40"/>
      <c r="R46" s="120"/>
      <c r="S46" s="115"/>
      <c r="T46" s="116"/>
      <c r="U46" s="125"/>
      <c r="V46" s="118"/>
      <c r="W46" s="67"/>
      <c r="X46" s="82"/>
      <c r="Y46" s="83"/>
      <c r="Z46" s="84"/>
      <c r="AB46" s="171"/>
    </row>
    <row r="47" spans="1:28" x14ac:dyDescent="0.3">
      <c r="A47" s="192">
        <v>44</v>
      </c>
      <c r="B47" s="161">
        <f t="shared" si="6"/>
        <v>18.100000000000001</v>
      </c>
      <c r="C47" s="157">
        <f t="shared" si="5"/>
        <v>1.350000000000001</v>
      </c>
      <c r="D47" s="160">
        <f t="shared" si="0"/>
        <v>1.3020208063340171</v>
      </c>
      <c r="F47" s="170">
        <f t="shared" si="1"/>
        <v>79.423269186375038</v>
      </c>
      <c r="G47" s="86"/>
      <c r="H47" s="225"/>
      <c r="I47" s="71"/>
      <c r="J47" s="33">
        <f>F47-I44</f>
        <v>60.816349074945208</v>
      </c>
      <c r="K47" s="40"/>
      <c r="L47" s="35">
        <f t="shared" si="3"/>
        <v>50.9123520425481</v>
      </c>
      <c r="M47" s="87"/>
      <c r="N47" s="241"/>
      <c r="O47" s="239"/>
      <c r="P47" s="240">
        <f>L47-O44</f>
        <v>38.984839150605907</v>
      </c>
      <c r="Q47" s="40"/>
      <c r="R47" s="120"/>
      <c r="S47" s="115"/>
      <c r="T47" s="116"/>
      <c r="U47" s="125"/>
      <c r="V47" s="118"/>
      <c r="W47" s="67"/>
      <c r="X47" s="82"/>
      <c r="Y47" s="83"/>
      <c r="Z47" s="84"/>
      <c r="AB47" s="171"/>
    </row>
    <row r="48" spans="1:28" x14ac:dyDescent="0.3">
      <c r="A48" s="192">
        <v>45</v>
      </c>
      <c r="B48" s="161">
        <f t="shared" si="6"/>
        <v>18.5</v>
      </c>
      <c r="C48" s="157">
        <f t="shared" si="5"/>
        <v>1.380000000000001</v>
      </c>
      <c r="D48" s="160">
        <f t="shared" si="0"/>
        <v>1.3905983625878569</v>
      </c>
      <c r="F48" s="170">
        <f t="shared" si="1"/>
        <v>84.826500117859268</v>
      </c>
      <c r="G48" s="86"/>
      <c r="H48" s="225"/>
      <c r="I48" s="71"/>
      <c r="J48" s="33">
        <f>F48-I44</f>
        <v>66.219580006429439</v>
      </c>
      <c r="K48" s="40"/>
      <c r="L48" s="35">
        <f t="shared" si="3"/>
        <v>54.375961614012347</v>
      </c>
      <c r="M48" s="87"/>
      <c r="N48" s="241"/>
      <c r="O48" s="239"/>
      <c r="P48" s="240">
        <f>L48-O44</f>
        <v>42.448448722070154</v>
      </c>
      <c r="Q48" s="40"/>
      <c r="R48" s="120"/>
      <c r="S48" s="115"/>
      <c r="T48" s="116"/>
      <c r="U48" s="125"/>
      <c r="V48" s="118"/>
      <c r="W48" s="67"/>
      <c r="X48" s="82"/>
      <c r="Y48" s="83"/>
      <c r="Z48" s="84"/>
      <c r="AB48" s="171"/>
    </row>
    <row r="49" spans="1:28" x14ac:dyDescent="0.3">
      <c r="A49" s="192">
        <v>46</v>
      </c>
      <c r="B49" s="161">
        <f t="shared" si="6"/>
        <v>18.899999999999999</v>
      </c>
      <c r="C49" s="157">
        <f t="shared" si="5"/>
        <v>1.410000000000001</v>
      </c>
      <c r="D49" s="160">
        <f t="shared" si="0"/>
        <v>1.4831048050344675</v>
      </c>
      <c r="F49" s="170">
        <f t="shared" si="1"/>
        <v>90.469393107102519</v>
      </c>
      <c r="G49" s="86"/>
      <c r="H49" s="225"/>
      <c r="I49" s="71"/>
      <c r="J49" s="33">
        <f>F49-I44</f>
        <v>71.86247299567269</v>
      </c>
      <c r="K49" s="40"/>
      <c r="L49" s="35">
        <f t="shared" si="3"/>
        <v>57.993200709681098</v>
      </c>
      <c r="M49" s="87"/>
      <c r="N49" s="241"/>
      <c r="O49" s="239"/>
      <c r="P49" s="240">
        <f>L49-O44</f>
        <v>46.065687817738905</v>
      </c>
      <c r="Q49" s="40"/>
      <c r="R49" s="120"/>
      <c r="S49" s="115"/>
      <c r="T49" s="116"/>
      <c r="U49" s="125"/>
      <c r="V49" s="118"/>
      <c r="W49" s="67"/>
      <c r="X49" s="82"/>
      <c r="Y49" s="83"/>
      <c r="Z49" s="84"/>
      <c r="AB49" s="171"/>
    </row>
    <row r="50" spans="1:28" x14ac:dyDescent="0.3">
      <c r="A50" s="192">
        <v>47</v>
      </c>
      <c r="B50" s="161">
        <f t="shared" si="6"/>
        <v>19.299999999999997</v>
      </c>
      <c r="C50" s="157">
        <f t="shared" si="5"/>
        <v>1.4400000000000011</v>
      </c>
      <c r="D50" s="160">
        <f t="shared" si="0"/>
        <v>1.5796253897937651</v>
      </c>
      <c r="F50" s="170">
        <f t="shared" si="1"/>
        <v>96.357148777419667</v>
      </c>
      <c r="G50" s="86"/>
      <c r="H50" s="225"/>
      <c r="I50" s="71"/>
      <c r="J50" s="33">
        <f>F50-I44</f>
        <v>77.750228665989837</v>
      </c>
      <c r="K50" s="40"/>
      <c r="L50" s="35">
        <f t="shared" si="3"/>
        <v>61.767403062448501</v>
      </c>
      <c r="M50" s="87"/>
      <c r="N50" s="241"/>
      <c r="O50" s="239"/>
      <c r="P50" s="240">
        <f>L50-O44</f>
        <v>49.839890170506308</v>
      </c>
      <c r="Q50" s="40"/>
      <c r="R50" s="120"/>
      <c r="S50" s="115"/>
      <c r="T50" s="116"/>
      <c r="U50" s="125"/>
      <c r="V50" s="118"/>
      <c r="W50" s="67"/>
      <c r="X50" s="82"/>
      <c r="Y50" s="83"/>
      <c r="Z50" s="84"/>
      <c r="AB50" s="171"/>
    </row>
    <row r="51" spans="1:28" x14ac:dyDescent="0.3">
      <c r="A51" s="192">
        <v>48</v>
      </c>
      <c r="B51" s="161">
        <f t="shared" si="6"/>
        <v>19.699999999999996</v>
      </c>
      <c r="C51" s="157">
        <f t="shared" si="5"/>
        <v>1.4700000000000011</v>
      </c>
      <c r="D51" s="160">
        <f t="shared" si="0"/>
        <v>1.680245372985665</v>
      </c>
      <c r="F51" s="170">
        <f t="shared" si="1"/>
        <v>102.49496775212556</v>
      </c>
      <c r="G51" s="86"/>
      <c r="H51" s="225"/>
      <c r="I51" s="71"/>
      <c r="J51" s="33">
        <f>F51-I44</f>
        <v>83.888047640695731</v>
      </c>
      <c r="K51" s="40"/>
      <c r="L51" s="35">
        <f t="shared" si="3"/>
        <v>65.701902405208685</v>
      </c>
      <c r="M51" s="87"/>
      <c r="N51" s="241"/>
      <c r="O51" s="239"/>
      <c r="P51" s="240">
        <f>L51-O44</f>
        <v>53.774389513266485</v>
      </c>
      <c r="Q51" s="40"/>
      <c r="R51" s="120"/>
      <c r="S51" s="115"/>
      <c r="T51" s="116"/>
      <c r="U51" s="125"/>
      <c r="V51" s="118"/>
      <c r="W51" s="67"/>
      <c r="X51" s="82"/>
      <c r="Y51" s="83"/>
      <c r="Z51" s="84"/>
      <c r="AB51" s="171"/>
    </row>
    <row r="52" spans="1:28" x14ac:dyDescent="0.3">
      <c r="A52" s="192">
        <v>49</v>
      </c>
      <c r="B52" s="161">
        <f t="shared" si="6"/>
        <v>20.099999999999994</v>
      </c>
      <c r="C52" s="157">
        <f t="shared" si="5"/>
        <v>1.5000000000000011</v>
      </c>
      <c r="D52" s="160">
        <f t="shared" si="0"/>
        <v>1.785050010730082</v>
      </c>
      <c r="F52" s="170">
        <f t="shared" si="1"/>
        <v>108.88805065453499</v>
      </c>
      <c r="G52" s="86"/>
      <c r="H52" s="225"/>
      <c r="I52" s="71"/>
      <c r="J52" s="33">
        <f>F52-I44</f>
        <v>90.281130543105164</v>
      </c>
      <c r="K52" s="40"/>
      <c r="L52" s="35">
        <f t="shared" si="3"/>
        <v>69.800032470855768</v>
      </c>
      <c r="M52" s="87"/>
      <c r="N52" s="241"/>
      <c r="O52" s="239"/>
      <c r="P52" s="240">
        <f>L52-O44</f>
        <v>57.872519578913568</v>
      </c>
      <c r="Q52" s="40"/>
      <c r="R52" s="120"/>
      <c r="S52" s="115"/>
      <c r="T52" s="116"/>
      <c r="U52" s="125"/>
      <c r="V52" s="118"/>
      <c r="W52" s="67"/>
      <c r="X52" s="82"/>
      <c r="Y52" s="83"/>
      <c r="Z52" s="84"/>
      <c r="AB52" s="171"/>
    </row>
    <row r="53" spans="1:28" x14ac:dyDescent="0.3">
      <c r="A53" s="192">
        <v>50</v>
      </c>
      <c r="B53" s="193">
        <f t="shared" si="6"/>
        <v>20.499999999999993</v>
      </c>
      <c r="C53" s="194">
        <f t="shared" si="5"/>
        <v>1.5300000000000011</v>
      </c>
      <c r="D53" s="160">
        <f t="shared" si="0"/>
        <v>1.8941245591469318</v>
      </c>
      <c r="F53" s="170">
        <f t="shared" si="1"/>
        <v>115.54159810796284</v>
      </c>
      <c r="G53" s="86"/>
      <c r="H53" s="225"/>
      <c r="I53" s="71"/>
      <c r="J53" s="33">
        <f>F53-I44</f>
        <v>96.934677996533011</v>
      </c>
      <c r="K53" s="40"/>
      <c r="L53" s="35">
        <f t="shared" si="3"/>
        <v>74.065126992283865</v>
      </c>
      <c r="M53" s="87"/>
      <c r="N53" s="241"/>
      <c r="O53" s="239"/>
      <c r="P53" s="240">
        <f>L53-O44</f>
        <v>62.137614100341665</v>
      </c>
      <c r="Q53" s="40"/>
      <c r="R53" s="120"/>
      <c r="S53" s="115"/>
      <c r="T53" s="116"/>
      <c r="U53" s="125"/>
      <c r="V53" s="118"/>
      <c r="W53" s="67"/>
      <c r="X53" s="82"/>
      <c r="Y53" s="83"/>
      <c r="Z53" s="84"/>
      <c r="AB53" s="171"/>
    </row>
    <row r="54" spans="1:28" x14ac:dyDescent="0.3">
      <c r="A54" s="192">
        <v>51</v>
      </c>
      <c r="B54" s="161">
        <f t="shared" ref="B54:B73" si="10">B53+0.2</f>
        <v>20.699999999999992</v>
      </c>
      <c r="C54" s="157">
        <f t="shared" ref="C54:C73" si="11">C53+0.01</f>
        <v>1.5400000000000011</v>
      </c>
      <c r="D54" s="168">
        <f t="shared" ref="D54:D73" si="12">0.496*((B54*C54^2)/4*PI())</f>
        <v>19.12420299910244</v>
      </c>
      <c r="F54" s="170">
        <f t="shared" si="1"/>
        <v>1166.576382945249</v>
      </c>
      <c r="G54" s="86"/>
      <c r="H54" s="31"/>
      <c r="I54" s="71"/>
      <c r="J54" s="33">
        <f>F54-I44</f>
        <v>1147.9694628338191</v>
      </c>
      <c r="K54" s="40"/>
      <c r="L54" s="35">
        <f t="shared" si="3"/>
        <v>747.80537368285184</v>
      </c>
      <c r="M54" s="87"/>
      <c r="N54" s="238"/>
      <c r="O54" s="239"/>
      <c r="P54" s="240">
        <f>L54-O44</f>
        <v>735.87786079090961</v>
      </c>
      <c r="Q54" s="40"/>
      <c r="R54" s="120"/>
      <c r="S54" s="115"/>
      <c r="T54" s="116"/>
      <c r="U54" s="125"/>
      <c r="V54" s="118"/>
      <c r="W54" s="67"/>
      <c r="X54" s="82"/>
      <c r="Y54" s="83"/>
      <c r="Z54" s="84"/>
      <c r="AB54" s="171"/>
    </row>
    <row r="55" spans="1:28" x14ac:dyDescent="0.3">
      <c r="A55" s="192">
        <v>52</v>
      </c>
      <c r="B55" s="161">
        <f t="shared" si="10"/>
        <v>20.899999999999991</v>
      </c>
      <c r="C55" s="157">
        <f t="shared" si="11"/>
        <v>1.5500000000000012</v>
      </c>
      <c r="D55" s="168">
        <f t="shared" si="12"/>
        <v>19.56055802930657</v>
      </c>
      <c r="F55" s="170">
        <f t="shared" si="1"/>
        <v>1193.1940397877008</v>
      </c>
      <c r="G55" s="86"/>
      <c r="H55" s="31"/>
      <c r="I55" s="71"/>
      <c r="J55" s="33">
        <f>F55-I44</f>
        <v>1174.587119676271</v>
      </c>
      <c r="K55" s="40"/>
      <c r="L55" s="35">
        <f t="shared" si="3"/>
        <v>764.8679742228851</v>
      </c>
      <c r="M55" s="87"/>
      <c r="N55" s="238"/>
      <c r="O55" s="239"/>
      <c r="P55" s="240">
        <f>L55-O44</f>
        <v>752.94046133094287</v>
      </c>
      <c r="Q55" s="40"/>
      <c r="R55" s="120"/>
      <c r="S55" s="115"/>
      <c r="T55" s="116"/>
      <c r="U55" s="125"/>
      <c r="V55" s="118"/>
      <c r="W55" s="67"/>
      <c r="X55" s="82"/>
      <c r="Y55" s="83"/>
      <c r="Z55" s="84"/>
      <c r="AB55" s="171"/>
    </row>
    <row r="56" spans="1:28" x14ac:dyDescent="0.3">
      <c r="A56" s="192">
        <v>53</v>
      </c>
      <c r="B56" s="161">
        <f t="shared" si="10"/>
        <v>21.099999999999991</v>
      </c>
      <c r="C56" s="157">
        <f t="shared" si="11"/>
        <v>1.5600000000000012</v>
      </c>
      <c r="D56" s="168">
        <f t="shared" si="12"/>
        <v>20.003371922679062</v>
      </c>
      <c r="F56" s="170">
        <f t="shared" si="1"/>
        <v>1220.2056872834228</v>
      </c>
      <c r="G56" s="86"/>
      <c r="H56" s="31"/>
      <c r="I56" s="71"/>
      <c r="J56" s="33">
        <f>F56-I44</f>
        <v>1201.5987671719929</v>
      </c>
      <c r="K56" s="40"/>
      <c r="L56" s="35">
        <f t="shared" si="3"/>
        <v>782.18313287398894</v>
      </c>
      <c r="M56" s="87"/>
      <c r="N56" s="238"/>
      <c r="O56" s="239"/>
      <c r="P56" s="240">
        <f>L56-O44</f>
        <v>770.25561998204671</v>
      </c>
      <c r="Q56" s="40"/>
      <c r="R56" s="120"/>
      <c r="S56" s="115"/>
      <c r="T56" s="116"/>
      <c r="U56" s="125"/>
      <c r="V56" s="118"/>
      <c r="W56" s="67"/>
      <c r="X56" s="82"/>
      <c r="Y56" s="83"/>
      <c r="Z56" s="84"/>
      <c r="AB56" s="171"/>
    </row>
    <row r="57" spans="1:28" x14ac:dyDescent="0.3">
      <c r="A57" s="192">
        <v>54</v>
      </c>
      <c r="B57" s="161">
        <f t="shared" si="10"/>
        <v>21.29999999999999</v>
      </c>
      <c r="C57" s="157">
        <f t="shared" si="11"/>
        <v>1.5700000000000012</v>
      </c>
      <c r="D57" s="168">
        <f t="shared" si="12"/>
        <v>20.452691426118612</v>
      </c>
      <c r="F57" s="170">
        <f t="shared" si="1"/>
        <v>1247.6141769932353</v>
      </c>
      <c r="G57" s="86"/>
      <c r="H57" s="31"/>
      <c r="I57" s="71"/>
      <c r="J57" s="33">
        <f>F57-I44</f>
        <v>1229.0072568818055</v>
      </c>
      <c r="K57" s="40"/>
      <c r="L57" s="35">
        <f t="shared" si="3"/>
        <v>799.7526775597662</v>
      </c>
      <c r="M57" s="87"/>
      <c r="N57" s="238"/>
      <c r="O57" s="239"/>
      <c r="P57" s="240">
        <f>L57-O44</f>
        <v>787.82516466782397</v>
      </c>
      <c r="Q57" s="40"/>
      <c r="R57" s="120"/>
      <c r="S57" s="115"/>
      <c r="T57" s="116"/>
      <c r="U57" s="125"/>
      <c r="V57" s="118"/>
      <c r="W57" s="67"/>
      <c r="X57" s="82"/>
      <c r="Y57" s="83"/>
      <c r="Z57" s="84"/>
      <c r="AB57" s="171"/>
    </row>
    <row r="58" spans="1:28" x14ac:dyDescent="0.3">
      <c r="A58" s="192">
        <v>55</v>
      </c>
      <c r="B58" s="161">
        <f t="shared" si="10"/>
        <v>21.499999999999989</v>
      </c>
      <c r="C58" s="157">
        <f t="shared" si="11"/>
        <v>1.5800000000000012</v>
      </c>
      <c r="D58" s="168">
        <f t="shared" si="12"/>
        <v>20.908563286523901</v>
      </c>
      <c r="F58" s="170">
        <f t="shared" si="1"/>
        <v>1275.4223604779579</v>
      </c>
      <c r="G58" s="86">
        <v>0.2</v>
      </c>
      <c r="H58" s="31">
        <f>G58*(F58-I44)</f>
        <v>251.36308807330562</v>
      </c>
      <c r="I58" s="71">
        <f>H58+I44</f>
        <v>269.97000818473543</v>
      </c>
      <c r="J58" s="33">
        <f t="shared" ref="J58" si="13">F58-I58</f>
        <v>1005.4523522932225</v>
      </c>
      <c r="K58" s="40"/>
      <c r="L58" s="35">
        <f t="shared" si="3"/>
        <v>817.57843620381914</v>
      </c>
      <c r="M58" s="87">
        <v>0.2</v>
      </c>
      <c r="N58" s="238">
        <f>M58*(L58-O44)</f>
        <v>161.1301846623754</v>
      </c>
      <c r="O58" s="239">
        <f>N58+O44</f>
        <v>173.0576975543176</v>
      </c>
      <c r="P58" s="240">
        <f t="shared" ref="P58" si="14">L58-O58</f>
        <v>644.52073864950148</v>
      </c>
      <c r="Q58" s="40"/>
      <c r="R58" s="120">
        <f>N58*63%</f>
        <v>101.5120163372965</v>
      </c>
      <c r="S58" s="115">
        <f>H58-N58</f>
        <v>90.23290341093022</v>
      </c>
      <c r="T58" s="116">
        <f t="shared" si="8"/>
        <v>169.18669389549419</v>
      </c>
      <c r="U58" s="125">
        <v>8</v>
      </c>
      <c r="V58" s="118">
        <f t="shared" si="9"/>
        <v>1353.4935511639535</v>
      </c>
      <c r="W58" s="67"/>
      <c r="X58" s="82">
        <f>N58*37%</f>
        <v>59.618168325078898</v>
      </c>
      <c r="Y58" s="83">
        <v>40</v>
      </c>
      <c r="Z58" s="84">
        <f>X58*Y58</f>
        <v>2384.7267330031559</v>
      </c>
      <c r="AB58" s="171">
        <f t="shared" si="7"/>
        <v>3738.2202841671096</v>
      </c>
    </row>
    <row r="59" spans="1:28" x14ac:dyDescent="0.3">
      <c r="A59" s="192">
        <v>56</v>
      </c>
      <c r="B59" s="161">
        <f t="shared" si="10"/>
        <v>21.699999999999989</v>
      </c>
      <c r="C59" s="157">
        <f t="shared" si="11"/>
        <v>1.5900000000000012</v>
      </c>
      <c r="D59" s="168">
        <f t="shared" si="12"/>
        <v>21.37103425079361</v>
      </c>
      <c r="F59" s="170">
        <f t="shared" si="1"/>
        <v>1303.6330892984101</v>
      </c>
      <c r="G59" s="86"/>
      <c r="H59" s="31"/>
      <c r="I59" s="71"/>
      <c r="J59" s="33">
        <f>F59-I58</f>
        <v>1033.6630811136747</v>
      </c>
      <c r="K59" s="40"/>
      <c r="L59" s="35">
        <f t="shared" si="3"/>
        <v>835.66223672975002</v>
      </c>
      <c r="M59" s="87"/>
      <c r="N59" s="238"/>
      <c r="O59" s="239"/>
      <c r="P59" s="240">
        <f>L59-O58</f>
        <v>662.60453917543236</v>
      </c>
      <c r="Q59" s="40"/>
      <c r="R59" s="120"/>
      <c r="S59" s="115"/>
      <c r="T59" s="116"/>
      <c r="U59" s="125"/>
      <c r="V59" s="118"/>
      <c r="W59" s="67"/>
      <c r="X59" s="82"/>
      <c r="Y59" s="83"/>
      <c r="Z59" s="84"/>
      <c r="AB59" s="171"/>
    </row>
    <row r="60" spans="1:28" x14ac:dyDescent="0.3">
      <c r="A60" s="192">
        <v>57</v>
      </c>
      <c r="B60" s="161">
        <f t="shared" si="10"/>
        <v>21.899999999999988</v>
      </c>
      <c r="C60" s="157">
        <f t="shared" si="11"/>
        <v>1.6000000000000012</v>
      </c>
      <c r="D60" s="168">
        <f t="shared" si="12"/>
        <v>21.840151065826436</v>
      </c>
      <c r="F60" s="170">
        <f t="shared" si="1"/>
        <v>1332.2492150154126</v>
      </c>
      <c r="G60" s="86"/>
      <c r="H60" s="31"/>
      <c r="I60" s="71"/>
      <c r="J60" s="33">
        <f>F60-I58</f>
        <v>1062.2792068306771</v>
      </c>
      <c r="K60" s="40"/>
      <c r="L60" s="35">
        <f t="shared" si="3"/>
        <v>854.00590706116191</v>
      </c>
      <c r="M60" s="87"/>
      <c r="N60" s="238"/>
      <c r="O60" s="239"/>
      <c r="P60" s="240">
        <f>L60-O58</f>
        <v>680.94820950684425</v>
      </c>
      <c r="Q60" s="40"/>
      <c r="R60" s="120"/>
      <c r="S60" s="115"/>
      <c r="T60" s="116"/>
      <c r="U60" s="125"/>
      <c r="V60" s="118"/>
      <c r="W60" s="67"/>
      <c r="X60" s="82"/>
      <c r="Y60" s="83"/>
      <c r="Z60" s="84"/>
      <c r="AB60" s="171"/>
    </row>
    <row r="61" spans="1:28" x14ac:dyDescent="0.3">
      <c r="A61" s="192">
        <v>58</v>
      </c>
      <c r="B61" s="161">
        <f t="shared" si="10"/>
        <v>22.099999999999987</v>
      </c>
      <c r="C61" s="157">
        <f t="shared" si="11"/>
        <v>1.6100000000000012</v>
      </c>
      <c r="D61" s="168">
        <f t="shared" si="12"/>
        <v>22.315960478521045</v>
      </c>
      <c r="F61" s="170">
        <f t="shared" si="1"/>
        <v>1361.2735891897837</v>
      </c>
      <c r="G61" s="86"/>
      <c r="H61" s="31"/>
      <c r="I61" s="71"/>
      <c r="J61" s="33">
        <f>F61-I58</f>
        <v>1091.3035810050483</v>
      </c>
      <c r="K61" s="40"/>
      <c r="L61" s="35">
        <f t="shared" si="3"/>
        <v>872.61127512165615</v>
      </c>
      <c r="M61" s="87"/>
      <c r="N61" s="238"/>
      <c r="O61" s="239"/>
      <c r="P61" s="240">
        <f>L61-O58</f>
        <v>699.55357756733861</v>
      </c>
      <c r="Q61" s="40"/>
      <c r="R61" s="120"/>
      <c r="S61" s="115"/>
      <c r="T61" s="116"/>
      <c r="U61" s="125"/>
      <c r="V61" s="118"/>
      <c r="W61" s="67"/>
      <c r="X61" s="82"/>
      <c r="Y61" s="83"/>
      <c r="Z61" s="84"/>
      <c r="AB61" s="171"/>
    </row>
    <row r="62" spans="1:28" x14ac:dyDescent="0.3">
      <c r="A62" s="192">
        <v>59</v>
      </c>
      <c r="B62" s="161">
        <f t="shared" si="10"/>
        <v>22.299999999999986</v>
      </c>
      <c r="C62" s="157">
        <f t="shared" si="11"/>
        <v>1.6200000000000012</v>
      </c>
      <c r="D62" s="168">
        <f t="shared" si="12"/>
        <v>22.798509235776152</v>
      </c>
      <c r="F62" s="170">
        <f t="shared" si="1"/>
        <v>1390.7090633823452</v>
      </c>
      <c r="G62" s="86"/>
      <c r="H62" s="31"/>
      <c r="I62" s="71"/>
      <c r="J62" s="33">
        <f>F62-I58</f>
        <v>1120.7390551976098</v>
      </c>
      <c r="K62" s="40"/>
      <c r="L62" s="35">
        <f t="shared" si="3"/>
        <v>891.4801688348366</v>
      </c>
      <c r="M62" s="87"/>
      <c r="N62" s="238"/>
      <c r="O62" s="239"/>
      <c r="P62" s="240">
        <f>L62-O58</f>
        <v>718.42247128051895</v>
      </c>
      <c r="Q62" s="40"/>
      <c r="R62" s="120"/>
      <c r="S62" s="115"/>
      <c r="T62" s="116"/>
      <c r="U62" s="125"/>
      <c r="V62" s="118"/>
      <c r="W62" s="67"/>
      <c r="X62" s="82"/>
      <c r="Y62" s="83"/>
      <c r="Z62" s="84"/>
      <c r="AB62" s="171"/>
    </row>
    <row r="63" spans="1:28" x14ac:dyDescent="0.3">
      <c r="A63" s="192">
        <v>60</v>
      </c>
      <c r="B63" s="161">
        <f t="shared" si="10"/>
        <v>22.499999999999986</v>
      </c>
      <c r="C63" s="157">
        <f t="shared" si="11"/>
        <v>1.6300000000000012</v>
      </c>
      <c r="D63" s="168">
        <f t="shared" si="12"/>
        <v>23.287844084490413</v>
      </c>
      <c r="F63" s="170">
        <f t="shared" si="1"/>
        <v>1420.5584891539152</v>
      </c>
      <c r="G63" s="86"/>
      <c r="H63" s="31"/>
      <c r="I63" s="71"/>
      <c r="J63" s="33">
        <f>F63-I58</f>
        <v>1150.5884809691797</v>
      </c>
      <c r="K63" s="40"/>
      <c r="L63" s="35">
        <f t="shared" si="3"/>
        <v>910.61441612430451</v>
      </c>
      <c r="M63" s="87"/>
      <c r="N63" s="238"/>
      <c r="O63" s="239"/>
      <c r="P63" s="240">
        <f>L63-O58</f>
        <v>737.55671856998697</v>
      </c>
      <c r="Q63" s="40"/>
      <c r="R63" s="120"/>
      <c r="S63" s="115"/>
      <c r="T63" s="116"/>
      <c r="U63" s="125"/>
      <c r="V63" s="118"/>
      <c r="W63" s="67"/>
      <c r="X63" s="82"/>
      <c r="Y63" s="83"/>
      <c r="Z63" s="84"/>
      <c r="AB63" s="171"/>
    </row>
    <row r="64" spans="1:28" x14ac:dyDescent="0.3">
      <c r="A64" s="192">
        <v>61</v>
      </c>
      <c r="B64" s="161">
        <f t="shared" si="10"/>
        <v>22.699999999999985</v>
      </c>
      <c r="C64" s="157">
        <f t="shared" si="11"/>
        <v>1.6400000000000012</v>
      </c>
      <c r="D64" s="168">
        <f t="shared" si="12"/>
        <v>23.784011771562525</v>
      </c>
      <c r="F64" s="170">
        <f t="shared" si="1"/>
        <v>1450.8247180653141</v>
      </c>
      <c r="G64" s="86"/>
      <c r="H64" s="31"/>
      <c r="I64" s="71"/>
      <c r="J64" s="33">
        <f>F64-I58</f>
        <v>1180.8547098805786</v>
      </c>
      <c r="K64" s="40"/>
      <c r="L64" s="35">
        <f t="shared" si="3"/>
        <v>930.01584491366282</v>
      </c>
      <c r="M64" s="87"/>
      <c r="N64" s="238"/>
      <c r="O64" s="239"/>
      <c r="P64" s="240">
        <f>L64-O58</f>
        <v>756.95814735934528</v>
      </c>
      <c r="Q64" s="40"/>
      <c r="R64" s="120"/>
      <c r="S64" s="115"/>
      <c r="T64" s="116"/>
      <c r="U64" s="125"/>
      <c r="V64" s="118"/>
      <c r="W64" s="67"/>
      <c r="X64" s="82"/>
      <c r="Y64" s="83"/>
      <c r="Z64" s="84"/>
      <c r="AB64" s="171"/>
    </row>
    <row r="65" spans="1:28" x14ac:dyDescent="0.3">
      <c r="A65" s="192">
        <v>62</v>
      </c>
      <c r="B65" s="161">
        <f t="shared" si="10"/>
        <v>22.899999999999984</v>
      </c>
      <c r="C65" s="157">
        <f t="shared" si="11"/>
        <v>1.6500000000000012</v>
      </c>
      <c r="D65" s="168">
        <f t="shared" si="12"/>
        <v>24.287059043891183</v>
      </c>
      <c r="F65" s="170">
        <f t="shared" si="1"/>
        <v>1481.5106016773623</v>
      </c>
      <c r="G65" s="86"/>
      <c r="H65" s="31"/>
      <c r="I65" s="71"/>
      <c r="J65" s="33">
        <f>F65-I58</f>
        <v>1211.5405934926268</v>
      </c>
      <c r="K65" s="40"/>
      <c r="L65" s="35">
        <f t="shared" si="3"/>
        <v>949.68628312651424</v>
      </c>
      <c r="M65" s="87"/>
      <c r="N65" s="238"/>
      <c r="O65" s="239"/>
      <c r="P65" s="240">
        <f>L65-O58</f>
        <v>776.6285855721967</v>
      </c>
      <c r="Q65" s="40"/>
      <c r="R65" s="120"/>
      <c r="S65" s="115"/>
      <c r="T65" s="116"/>
      <c r="U65" s="125"/>
      <c r="V65" s="118"/>
      <c r="W65" s="67"/>
      <c r="X65" s="82"/>
      <c r="Y65" s="83"/>
      <c r="Z65" s="84"/>
      <c r="AB65" s="171"/>
    </row>
    <row r="66" spans="1:28" x14ac:dyDescent="0.3">
      <c r="A66" s="192">
        <v>63</v>
      </c>
      <c r="B66" s="161">
        <f t="shared" si="10"/>
        <v>23.099999999999984</v>
      </c>
      <c r="C66" s="157">
        <f t="shared" si="11"/>
        <v>1.6600000000000013</v>
      </c>
      <c r="D66" s="168">
        <f t="shared" si="12"/>
        <v>24.797032648375058</v>
      </c>
      <c r="F66" s="170">
        <f t="shared" si="1"/>
        <v>1512.6189915508785</v>
      </c>
      <c r="G66" s="86"/>
      <c r="H66" s="31"/>
      <c r="I66" s="71"/>
      <c r="J66" s="33">
        <f>F66-I58</f>
        <v>1242.6489833661431</v>
      </c>
      <c r="K66" s="40"/>
      <c r="L66" s="35">
        <f t="shared" si="3"/>
        <v>969.62755868646059</v>
      </c>
      <c r="M66" s="87"/>
      <c r="N66" s="238"/>
      <c r="O66" s="239"/>
      <c r="P66" s="240">
        <f>L66-O58</f>
        <v>796.56986113214293</v>
      </c>
      <c r="Q66" s="40"/>
      <c r="R66" s="120"/>
      <c r="S66" s="115"/>
      <c r="T66" s="116"/>
      <c r="U66" s="125"/>
      <c r="V66" s="118"/>
      <c r="W66" s="67"/>
      <c r="X66" s="82"/>
      <c r="Y66" s="83"/>
      <c r="Z66" s="84"/>
      <c r="AB66" s="171"/>
    </row>
    <row r="67" spans="1:28" x14ac:dyDescent="0.3">
      <c r="A67" s="192">
        <v>64</v>
      </c>
      <c r="B67" s="161">
        <f t="shared" si="10"/>
        <v>23.299999999999983</v>
      </c>
      <c r="C67" s="157">
        <f t="shared" si="11"/>
        <v>1.6700000000000013</v>
      </c>
      <c r="D67" s="168">
        <f t="shared" si="12"/>
        <v>25.313979331912844</v>
      </c>
      <c r="F67" s="170">
        <f t="shared" si="1"/>
        <v>1544.1527392466835</v>
      </c>
      <c r="G67" s="86"/>
      <c r="H67" s="31"/>
      <c r="I67" s="71"/>
      <c r="J67" s="33">
        <f>F67-I58</f>
        <v>1274.1827310619481</v>
      </c>
      <c r="K67" s="40"/>
      <c r="L67" s="35">
        <f t="shared" si="3"/>
        <v>989.84149951710481</v>
      </c>
      <c r="M67" s="87"/>
      <c r="N67" s="238"/>
      <c r="O67" s="239"/>
      <c r="P67" s="240">
        <f>L67-O58</f>
        <v>816.78380196278727</v>
      </c>
      <c r="Q67" s="40"/>
      <c r="R67" s="120"/>
      <c r="S67" s="115"/>
      <c r="T67" s="116"/>
      <c r="U67" s="125"/>
      <c r="V67" s="118"/>
      <c r="W67" s="67"/>
      <c r="X67" s="82"/>
      <c r="Y67" s="83"/>
      <c r="Z67" s="84"/>
      <c r="AB67" s="171"/>
    </row>
    <row r="68" spans="1:28" x14ac:dyDescent="0.3">
      <c r="A68" s="192">
        <v>65</v>
      </c>
      <c r="B68" s="161">
        <f t="shared" si="10"/>
        <v>23.499999999999982</v>
      </c>
      <c r="C68" s="157">
        <f t="shared" si="11"/>
        <v>1.6800000000000013</v>
      </c>
      <c r="D68" s="168">
        <f t="shared" si="12"/>
        <v>25.837945841403219</v>
      </c>
      <c r="F68" s="170">
        <f t="shared" ref="F68:F73" si="15">D68*61</f>
        <v>1576.1146963255962</v>
      </c>
      <c r="G68" s="86"/>
      <c r="H68" s="31"/>
      <c r="I68" s="71"/>
      <c r="J68" s="33">
        <f>F68-I58</f>
        <v>1306.1446881408608</v>
      </c>
      <c r="K68" s="40"/>
      <c r="L68" s="35">
        <f t="shared" ref="L68:L73" si="16">F68/1.56</f>
        <v>1010.3299335420488</v>
      </c>
      <c r="M68" s="87"/>
      <c r="N68" s="238"/>
      <c r="O68" s="239"/>
      <c r="P68" s="240">
        <f>L68-O58</f>
        <v>837.27223598773116</v>
      </c>
      <c r="Q68" s="40"/>
      <c r="R68" s="120"/>
      <c r="S68" s="115"/>
      <c r="T68" s="116"/>
      <c r="U68" s="125"/>
      <c r="V68" s="118"/>
      <c r="W68" s="67"/>
      <c r="X68" s="82"/>
      <c r="Y68" s="83"/>
      <c r="Z68" s="84"/>
      <c r="AB68" s="171"/>
    </row>
    <row r="69" spans="1:28" x14ac:dyDescent="0.3">
      <c r="A69" s="192">
        <v>66</v>
      </c>
      <c r="B69" s="161">
        <f t="shared" si="10"/>
        <v>23.699999999999982</v>
      </c>
      <c r="C69" s="157">
        <f t="shared" si="11"/>
        <v>1.6900000000000013</v>
      </c>
      <c r="D69" s="168">
        <f t="shared" si="12"/>
        <v>26.368978923744876</v>
      </c>
      <c r="F69" s="170">
        <f t="shared" si="15"/>
        <v>1608.5077143484375</v>
      </c>
      <c r="G69" s="86"/>
      <c r="H69" s="31"/>
      <c r="I69" s="71"/>
      <c r="J69" s="33">
        <f>F69-I58</f>
        <v>1338.5377061637021</v>
      </c>
      <c r="K69" s="40"/>
      <c r="L69" s="35">
        <f t="shared" si="16"/>
        <v>1031.0946886848958</v>
      </c>
      <c r="M69" s="87"/>
      <c r="N69" s="238"/>
      <c r="O69" s="239"/>
      <c r="P69" s="240">
        <f>L69-O58</f>
        <v>858.03699113057814</v>
      </c>
      <c r="Q69" s="40"/>
      <c r="R69" s="120"/>
      <c r="S69" s="115"/>
      <c r="T69" s="116"/>
      <c r="U69" s="125"/>
      <c r="V69" s="118"/>
      <c r="W69" s="67"/>
      <c r="X69" s="82"/>
      <c r="Y69" s="83"/>
      <c r="Z69" s="84"/>
      <c r="AB69" s="171"/>
    </row>
    <row r="70" spans="1:28" x14ac:dyDescent="0.3">
      <c r="A70" s="192">
        <v>67</v>
      </c>
      <c r="B70" s="161">
        <f t="shared" si="10"/>
        <v>23.899999999999981</v>
      </c>
      <c r="C70" s="157">
        <f t="shared" si="11"/>
        <v>1.7000000000000013</v>
      </c>
      <c r="D70" s="168">
        <f t="shared" si="12"/>
        <v>26.907125325836493</v>
      </c>
      <c r="F70" s="170">
        <f t="shared" si="15"/>
        <v>1641.334644876026</v>
      </c>
      <c r="G70" s="86"/>
      <c r="H70" s="31"/>
      <c r="I70" s="71"/>
      <c r="J70" s="33">
        <f>F70-I58</f>
        <v>1371.3646366912906</v>
      </c>
      <c r="K70" s="40"/>
      <c r="L70" s="35">
        <f t="shared" si="16"/>
        <v>1052.1375928692473</v>
      </c>
      <c r="M70" s="87"/>
      <c r="N70" s="238"/>
      <c r="O70" s="239"/>
      <c r="P70" s="240">
        <f>L70-O58</f>
        <v>879.07989531492967</v>
      </c>
      <c r="Q70" s="40"/>
      <c r="R70" s="120"/>
      <c r="S70" s="115"/>
      <c r="T70" s="116"/>
      <c r="U70" s="125"/>
      <c r="V70" s="118"/>
      <c r="W70" s="67"/>
      <c r="X70" s="82"/>
      <c r="Y70" s="83"/>
      <c r="Z70" s="84"/>
      <c r="AB70" s="171"/>
    </row>
    <row r="71" spans="1:28" x14ac:dyDescent="0.3">
      <c r="A71" s="192">
        <v>68</v>
      </c>
      <c r="B71" s="161">
        <f t="shared" si="10"/>
        <v>24.09999999999998</v>
      </c>
      <c r="C71" s="157">
        <f t="shared" si="11"/>
        <v>1.7100000000000013</v>
      </c>
      <c r="D71" s="168">
        <f t="shared" si="12"/>
        <v>27.452431794576768</v>
      </c>
      <c r="F71" s="170">
        <f t="shared" si="15"/>
        <v>1674.5983394691827</v>
      </c>
      <c r="G71" s="86"/>
      <c r="H71" s="31"/>
      <c r="I71" s="71"/>
      <c r="J71" s="33">
        <f>F71-I58</f>
        <v>1404.6283312844473</v>
      </c>
      <c r="K71" s="40"/>
      <c r="L71" s="35">
        <f t="shared" si="16"/>
        <v>1073.4604740187069</v>
      </c>
      <c r="M71" s="87"/>
      <c r="N71" s="238"/>
      <c r="O71" s="239"/>
      <c r="P71" s="240">
        <f>L71-O58</f>
        <v>900.40277646438926</v>
      </c>
      <c r="Q71" s="40"/>
      <c r="R71" s="120"/>
      <c r="S71" s="115"/>
      <c r="T71" s="116"/>
      <c r="U71" s="125"/>
      <c r="V71" s="118"/>
      <c r="W71" s="67"/>
      <c r="X71" s="82"/>
      <c r="Y71" s="83"/>
      <c r="Z71" s="84"/>
      <c r="AB71" s="171"/>
    </row>
    <row r="72" spans="1:28" x14ac:dyDescent="0.3">
      <c r="A72" s="192">
        <v>69</v>
      </c>
      <c r="B72" s="161">
        <f t="shared" si="10"/>
        <v>24.299999999999979</v>
      </c>
      <c r="C72" s="157">
        <f t="shared" si="11"/>
        <v>1.7200000000000013</v>
      </c>
      <c r="D72" s="168">
        <f t="shared" si="12"/>
        <v>28.004945076864367</v>
      </c>
      <c r="F72" s="170">
        <f t="shared" si="15"/>
        <v>1708.3016496887265</v>
      </c>
      <c r="G72" s="86"/>
      <c r="H72" s="31"/>
      <c r="I72" s="71"/>
      <c r="J72" s="33">
        <f>F72-I58</f>
        <v>1438.331641503991</v>
      </c>
      <c r="K72" s="40"/>
      <c r="L72" s="35">
        <f t="shared" si="16"/>
        <v>1095.0651600568758</v>
      </c>
      <c r="M72" s="87"/>
      <c r="N72" s="238"/>
      <c r="O72" s="239"/>
      <c r="P72" s="240">
        <f>L72-O58</f>
        <v>922.00746250255816</v>
      </c>
      <c r="Q72" s="40"/>
      <c r="R72" s="120"/>
      <c r="S72" s="115"/>
      <c r="T72" s="116"/>
      <c r="U72" s="125"/>
      <c r="V72" s="118"/>
      <c r="W72" s="67"/>
      <c r="X72" s="82"/>
      <c r="Y72" s="83"/>
      <c r="Z72" s="84"/>
      <c r="AB72" s="171"/>
    </row>
    <row r="73" spans="1:28" ht="15" thickBot="1" x14ac:dyDescent="0.35">
      <c r="A73" s="192">
        <v>70</v>
      </c>
      <c r="B73" s="3">
        <f t="shared" si="10"/>
        <v>24.499999999999979</v>
      </c>
      <c r="C73" s="4">
        <f t="shared" si="11"/>
        <v>1.7300000000000013</v>
      </c>
      <c r="D73" s="169">
        <f t="shared" si="12"/>
        <v>28.564711919597993</v>
      </c>
      <c r="F73" s="170">
        <f t="shared" si="15"/>
        <v>1742.4474270954777</v>
      </c>
      <c r="G73" s="182">
        <v>1</v>
      </c>
      <c r="H73" s="31">
        <f>G73*(F73-I58)</f>
        <v>1472.4774189107422</v>
      </c>
      <c r="I73" s="183">
        <f>H73+I58</f>
        <v>1742.4474270954777</v>
      </c>
      <c r="J73" s="184">
        <f t="shared" ref="J73" si="17">F73-I73</f>
        <v>0</v>
      </c>
      <c r="K73" s="40"/>
      <c r="L73" s="35">
        <f t="shared" si="16"/>
        <v>1116.9534789073575</v>
      </c>
      <c r="M73" s="87">
        <v>1</v>
      </c>
      <c r="N73" s="238">
        <f>M73*(L73-O58)</f>
        <v>943.89578135303987</v>
      </c>
      <c r="O73" s="242">
        <f>N73+O58</f>
        <v>1116.9534789073575</v>
      </c>
      <c r="P73" s="243">
        <f t="shared" ref="P73" si="18">L73-O73</f>
        <v>0</v>
      </c>
      <c r="Q73" s="40"/>
      <c r="R73" s="120">
        <f>N73*50%</f>
        <v>471.94789067651993</v>
      </c>
      <c r="S73" s="115">
        <f>H73-N73</f>
        <v>528.58163755770238</v>
      </c>
      <c r="T73" s="116">
        <f>R73*50%</f>
        <v>235.97394533825997</v>
      </c>
      <c r="U73" s="125">
        <v>8</v>
      </c>
      <c r="V73" s="118">
        <f t="shared" si="9"/>
        <v>1887.7915627060797</v>
      </c>
      <c r="W73" s="67"/>
      <c r="X73" s="99">
        <f>N73*50%</f>
        <v>471.94789067651993</v>
      </c>
      <c r="Y73" s="100">
        <v>40</v>
      </c>
      <c r="Z73" s="101">
        <f t="shared" ref="Z73" si="19">X73*Y73</f>
        <v>18877.915627060796</v>
      </c>
      <c r="AB73" s="171">
        <f t="shared" ref="AB73" si="20">V73+Z73</f>
        <v>20765.707189766876</v>
      </c>
    </row>
    <row r="74" spans="1:28" ht="15" thickBot="1" x14ac:dyDescent="0.35">
      <c r="A74" s="195"/>
      <c r="F74" s="135"/>
      <c r="G74" s="103"/>
      <c r="H74" s="103"/>
      <c r="I74" s="103"/>
      <c r="J74" s="147"/>
      <c r="K74" s="40"/>
      <c r="L74" s="103"/>
      <c r="M74" s="103"/>
      <c r="N74" s="103"/>
      <c r="O74" s="103"/>
      <c r="P74" s="104"/>
      <c r="Q74" s="40"/>
      <c r="R74" s="122"/>
      <c r="S74" s="122"/>
      <c r="T74" s="107"/>
      <c r="U74" s="14"/>
      <c r="V74" s="123"/>
      <c r="W74" s="124"/>
      <c r="X74" s="122"/>
      <c r="Y74" s="14"/>
      <c r="Z74" s="15"/>
      <c r="AB74" s="88"/>
    </row>
    <row r="75" spans="1:28" x14ac:dyDescent="0.3">
      <c r="A75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FBDE2-9194-4ADE-97FE-52E3FE3E2919}">
  <dimension ref="A1:AB75"/>
  <sheetViews>
    <sheetView topLeftCell="L1" workbookViewId="0">
      <pane ySplit="2" topLeftCell="A56" activePane="bottomLeft" state="frozen"/>
      <selection pane="bottomLeft" activeCell="AB3" sqref="AB3:AB73"/>
    </sheetView>
  </sheetViews>
  <sheetFormatPr baseColWidth="10" defaultRowHeight="14.4" x14ac:dyDescent="0.3"/>
  <cols>
    <col min="3" max="3" width="13" customWidth="1"/>
    <col min="6" max="6" width="13.44140625" customWidth="1"/>
    <col min="9" max="9" width="12.44140625" customWidth="1"/>
  </cols>
  <sheetData>
    <row r="1" spans="1:28" ht="15" thickBot="1" x14ac:dyDescent="0.35">
      <c r="C1" s="7" t="s">
        <v>62</v>
      </c>
    </row>
    <row r="2" spans="1:28" ht="72.599999999999994" thickBot="1" x14ac:dyDescent="0.35">
      <c r="A2" s="181" t="s">
        <v>1</v>
      </c>
      <c r="B2" s="162" t="s">
        <v>26</v>
      </c>
      <c r="C2" s="163" t="s">
        <v>27</v>
      </c>
      <c r="D2" s="164" t="s">
        <v>25</v>
      </c>
      <c r="F2" s="16" t="s">
        <v>61</v>
      </c>
      <c r="G2" s="17" t="s">
        <v>2</v>
      </c>
      <c r="H2" s="18" t="s">
        <v>52</v>
      </c>
      <c r="I2" s="18" t="s">
        <v>57</v>
      </c>
      <c r="J2" s="19" t="s">
        <v>56</v>
      </c>
      <c r="K2" s="22"/>
      <c r="L2" s="16" t="s">
        <v>58</v>
      </c>
      <c r="M2" s="17" t="s">
        <v>2</v>
      </c>
      <c r="N2" s="18" t="s">
        <v>54</v>
      </c>
      <c r="O2" s="18" t="s">
        <v>55</v>
      </c>
      <c r="P2" s="21" t="s">
        <v>59</v>
      </c>
      <c r="Q2" s="22"/>
      <c r="R2" s="108" t="s">
        <v>42</v>
      </c>
      <c r="S2" s="108" t="s">
        <v>46</v>
      </c>
      <c r="T2" s="25" t="s">
        <v>6</v>
      </c>
      <c r="U2" s="25" t="s">
        <v>47</v>
      </c>
      <c r="V2" s="109" t="s">
        <v>48</v>
      </c>
      <c r="W2" s="22"/>
      <c r="X2" s="28" t="s">
        <v>43</v>
      </c>
      <c r="Y2" s="29" t="s">
        <v>49</v>
      </c>
      <c r="Z2" s="30" t="s">
        <v>50</v>
      </c>
      <c r="AB2" s="153" t="s">
        <v>51</v>
      </c>
    </row>
    <row r="3" spans="1:28" x14ac:dyDescent="0.3">
      <c r="A3" s="190">
        <v>0</v>
      </c>
      <c r="B3" s="159">
        <v>0.5</v>
      </c>
      <c r="C3" s="158">
        <v>0.03</v>
      </c>
      <c r="D3" s="160">
        <f>(C3^2/(4*PI()))*B3*0.496</f>
        <v>1.7761691649055518E-5</v>
      </c>
      <c r="F3" s="170">
        <f>D3*61</f>
        <v>1.0834631905923867E-3</v>
      </c>
      <c r="G3" s="110"/>
      <c r="H3" s="31"/>
      <c r="I3" s="32"/>
      <c r="J3" s="33">
        <f>F3</f>
        <v>1.0834631905923867E-3</v>
      </c>
      <c r="K3" s="40"/>
      <c r="L3" s="35">
        <f>F3/1.56</f>
        <v>6.9452768627717096E-4</v>
      </c>
      <c r="M3" s="36"/>
      <c r="N3" s="37"/>
      <c r="O3" s="38"/>
      <c r="P3" s="39">
        <f>L3</f>
        <v>6.9452768627717096E-4</v>
      </c>
      <c r="Q3" s="40"/>
      <c r="R3" s="111"/>
      <c r="S3" s="111"/>
      <c r="T3" s="112"/>
      <c r="U3" s="113"/>
      <c r="V3" s="114"/>
      <c r="W3" s="53"/>
      <c r="X3" s="54"/>
      <c r="Y3" s="55"/>
      <c r="Z3" s="56"/>
      <c r="AB3" s="171"/>
    </row>
    <row r="4" spans="1:28" x14ac:dyDescent="0.3">
      <c r="A4" s="191">
        <v>1</v>
      </c>
      <c r="B4" s="161">
        <f>B3+0.4</f>
        <v>0.9</v>
      </c>
      <c r="C4" s="157">
        <f>C3+0.03</f>
        <v>0.06</v>
      </c>
      <c r="D4" s="160">
        <f t="shared" ref="D4:D53" si="0">(C4^2/(4*PI()))*B4*0.496</f>
        <v>1.2788417987319973E-4</v>
      </c>
      <c r="F4" s="170">
        <f t="shared" ref="F4:F67" si="1">D4*61</f>
        <v>7.800934972265184E-3</v>
      </c>
      <c r="G4" s="110"/>
      <c r="H4" s="31"/>
      <c r="I4" s="32"/>
      <c r="J4" s="33">
        <f t="shared" ref="J4:J27" si="2">F4</f>
        <v>7.800934972265184E-3</v>
      </c>
      <c r="K4" s="40"/>
      <c r="L4" s="35">
        <f t="shared" ref="L4:L67" si="3">F4/1.56</f>
        <v>5.0005993411956304E-3</v>
      </c>
      <c r="M4" s="36"/>
      <c r="N4" s="37"/>
      <c r="O4" s="38"/>
      <c r="P4" s="39">
        <f t="shared" ref="P4:P27" si="4">L4</f>
        <v>5.0005993411956304E-3</v>
      </c>
      <c r="Q4" s="40"/>
      <c r="R4" s="115"/>
      <c r="S4" s="115"/>
      <c r="T4" s="116"/>
      <c r="U4" s="117"/>
      <c r="V4" s="118"/>
      <c r="W4" s="67"/>
      <c r="X4" s="68"/>
      <c r="Y4" s="69"/>
      <c r="Z4" s="70"/>
      <c r="AB4" s="171"/>
    </row>
    <row r="5" spans="1:28" x14ac:dyDescent="0.3">
      <c r="A5" s="192">
        <v>2</v>
      </c>
      <c r="B5" s="161">
        <f>B4+0.4</f>
        <v>1.3</v>
      </c>
      <c r="C5" s="157">
        <f t="shared" ref="C5:C53" si="5">C4+0.03</f>
        <v>0.09</v>
      </c>
      <c r="D5" s="160">
        <f t="shared" si="0"/>
        <v>4.1562358458789914E-4</v>
      </c>
      <c r="F5" s="170">
        <f t="shared" si="1"/>
        <v>2.5353038659861847E-2</v>
      </c>
      <c r="G5" s="119"/>
      <c r="H5" s="31"/>
      <c r="I5" s="71"/>
      <c r="J5" s="33">
        <f t="shared" si="2"/>
        <v>2.5353038659861847E-2</v>
      </c>
      <c r="K5" s="40"/>
      <c r="L5" s="35">
        <f t="shared" si="3"/>
        <v>1.6251947858885799E-2</v>
      </c>
      <c r="M5" s="72"/>
      <c r="N5" s="37"/>
      <c r="O5" s="73"/>
      <c r="P5" s="39">
        <f t="shared" si="4"/>
        <v>1.6251947858885799E-2</v>
      </c>
      <c r="Q5" s="40"/>
      <c r="R5" s="115"/>
      <c r="S5" s="115"/>
      <c r="T5" s="116"/>
      <c r="U5" s="117"/>
      <c r="V5" s="118"/>
      <c r="W5" s="67"/>
      <c r="X5" s="68"/>
      <c r="Y5" s="69"/>
      <c r="Z5" s="70"/>
      <c r="AB5" s="171"/>
    </row>
    <row r="6" spans="1:28" x14ac:dyDescent="0.3">
      <c r="A6" s="192">
        <v>3</v>
      </c>
      <c r="B6" s="161">
        <f t="shared" ref="B6:B53" si="6">B5+0.4</f>
        <v>1.7000000000000002</v>
      </c>
      <c r="C6" s="157">
        <f t="shared" si="5"/>
        <v>0.12</v>
      </c>
      <c r="D6" s="160">
        <f t="shared" si="0"/>
        <v>9.6623602570862033E-4</v>
      </c>
      <c r="F6" s="170">
        <f t="shared" si="1"/>
        <v>5.894039756822584E-2</v>
      </c>
      <c r="G6" s="119"/>
      <c r="H6" s="31"/>
      <c r="I6" s="71"/>
      <c r="J6" s="33">
        <f t="shared" si="2"/>
        <v>5.894039756822584E-2</v>
      </c>
      <c r="K6" s="40"/>
      <c r="L6" s="35">
        <f t="shared" si="3"/>
        <v>3.7782306133478098E-2</v>
      </c>
      <c r="M6" s="72"/>
      <c r="N6" s="37"/>
      <c r="O6" s="73"/>
      <c r="P6" s="39">
        <f t="shared" si="4"/>
        <v>3.7782306133478098E-2</v>
      </c>
      <c r="Q6" s="40"/>
      <c r="R6" s="115"/>
      <c r="S6" s="115"/>
      <c r="T6" s="116"/>
      <c r="U6" s="117"/>
      <c r="V6" s="118"/>
      <c r="W6" s="67"/>
      <c r="X6" s="68"/>
      <c r="Y6" s="69"/>
      <c r="Z6" s="70"/>
      <c r="AB6" s="171"/>
    </row>
    <row r="7" spans="1:28" x14ac:dyDescent="0.3">
      <c r="A7" s="192">
        <v>4</v>
      </c>
      <c r="B7" s="161">
        <f t="shared" si="6"/>
        <v>2.1</v>
      </c>
      <c r="C7" s="157">
        <f t="shared" si="5"/>
        <v>0.15</v>
      </c>
      <c r="D7" s="160">
        <f t="shared" si="0"/>
        <v>1.8649776231508296E-3</v>
      </c>
      <c r="F7" s="170">
        <f t="shared" si="1"/>
        <v>0.1137636350122006</v>
      </c>
      <c r="G7" s="119"/>
      <c r="H7" s="31"/>
      <c r="I7" s="71"/>
      <c r="J7" s="33">
        <f t="shared" si="2"/>
        <v>0.1137636350122006</v>
      </c>
      <c r="K7" s="40"/>
      <c r="L7" s="35">
        <f t="shared" si="3"/>
        <v>7.2925407059102942E-2</v>
      </c>
      <c r="M7" s="72"/>
      <c r="N7" s="37"/>
      <c r="O7" s="73"/>
      <c r="P7" s="39">
        <f t="shared" si="4"/>
        <v>7.2925407059102942E-2</v>
      </c>
      <c r="Q7" s="40"/>
      <c r="R7" s="115"/>
      <c r="S7" s="115"/>
      <c r="T7" s="116"/>
      <c r="U7" s="117"/>
      <c r="V7" s="118"/>
      <c r="W7" s="67"/>
      <c r="X7" s="68"/>
      <c r="Y7" s="69"/>
      <c r="Z7" s="70"/>
      <c r="AB7" s="171"/>
    </row>
    <row r="8" spans="1:28" x14ac:dyDescent="0.3">
      <c r="A8" s="192">
        <v>5</v>
      </c>
      <c r="B8" s="161">
        <f t="shared" si="6"/>
        <v>2.5</v>
      </c>
      <c r="C8" s="157">
        <f t="shared" si="5"/>
        <v>0.18</v>
      </c>
      <c r="D8" s="160">
        <f t="shared" si="0"/>
        <v>3.197104496829993E-3</v>
      </c>
      <c r="F8" s="170">
        <f t="shared" si="1"/>
        <v>0.19502337430662958</v>
      </c>
      <c r="G8" s="119"/>
      <c r="H8" s="31"/>
      <c r="I8" s="71"/>
      <c r="J8" s="33">
        <f t="shared" si="2"/>
        <v>0.19502337430662958</v>
      </c>
      <c r="K8" s="40"/>
      <c r="L8" s="35">
        <f t="shared" si="3"/>
        <v>0.12501498352989077</v>
      </c>
      <c r="M8" s="72"/>
      <c r="N8" s="37"/>
      <c r="O8" s="73"/>
      <c r="P8" s="39">
        <f t="shared" si="4"/>
        <v>0.12501498352989077</v>
      </c>
      <c r="Q8" s="40"/>
      <c r="R8" s="115"/>
      <c r="S8" s="115"/>
      <c r="T8" s="116"/>
      <c r="U8" s="117"/>
      <c r="V8" s="118"/>
      <c r="W8" s="67"/>
      <c r="X8" s="68"/>
      <c r="Y8" s="69"/>
      <c r="Z8" s="70"/>
      <c r="AB8" s="171"/>
    </row>
    <row r="9" spans="1:28" x14ac:dyDescent="0.3">
      <c r="A9" s="192">
        <v>6</v>
      </c>
      <c r="B9" s="161">
        <f t="shared" si="6"/>
        <v>2.9</v>
      </c>
      <c r="C9" s="157">
        <f t="shared" si="5"/>
        <v>0.21</v>
      </c>
      <c r="D9" s="160">
        <f t="shared" si="0"/>
        <v>5.0478727666615781E-3</v>
      </c>
      <c r="F9" s="170">
        <f t="shared" si="1"/>
        <v>0.30792023876635627</v>
      </c>
      <c r="G9" s="119"/>
      <c r="H9" s="31"/>
      <c r="I9" s="71"/>
      <c r="J9" s="33">
        <f t="shared" si="2"/>
        <v>0.30792023876635627</v>
      </c>
      <c r="K9" s="40"/>
      <c r="L9" s="35">
        <f t="shared" si="3"/>
        <v>0.19738476843997196</v>
      </c>
      <c r="M9" s="72"/>
      <c r="N9" s="37"/>
      <c r="O9" s="73"/>
      <c r="P9" s="39">
        <f t="shared" si="4"/>
        <v>0.19738476843997196</v>
      </c>
      <c r="Q9" s="40"/>
      <c r="R9" s="115"/>
      <c r="S9" s="115"/>
      <c r="T9" s="116"/>
      <c r="U9" s="117"/>
      <c r="V9" s="118"/>
      <c r="W9" s="67"/>
      <c r="X9" s="68"/>
      <c r="Y9" s="69"/>
      <c r="Z9" s="70"/>
      <c r="AB9" s="171"/>
    </row>
    <row r="10" spans="1:28" x14ac:dyDescent="0.3">
      <c r="A10" s="192">
        <v>7</v>
      </c>
      <c r="B10" s="161">
        <f t="shared" si="6"/>
        <v>3.3</v>
      </c>
      <c r="C10" s="157">
        <f t="shared" si="5"/>
        <v>0.24</v>
      </c>
      <c r="D10" s="160">
        <f t="shared" si="0"/>
        <v>7.5025385525610512E-3</v>
      </c>
      <c r="F10" s="170">
        <f t="shared" si="1"/>
        <v>0.45765485170622411</v>
      </c>
      <c r="G10" s="119"/>
      <c r="H10" s="31"/>
      <c r="I10" s="71"/>
      <c r="J10" s="33">
        <f t="shared" si="2"/>
        <v>0.45765485170622411</v>
      </c>
      <c r="K10" s="40"/>
      <c r="L10" s="35">
        <f t="shared" si="3"/>
        <v>0.29336849468347698</v>
      </c>
      <c r="M10" s="72"/>
      <c r="N10" s="37"/>
      <c r="O10" s="73"/>
      <c r="P10" s="39">
        <f t="shared" si="4"/>
        <v>0.29336849468347698</v>
      </c>
      <c r="Q10" s="40"/>
      <c r="R10" s="115"/>
      <c r="S10" s="115"/>
      <c r="T10" s="116"/>
      <c r="U10" s="117"/>
      <c r="V10" s="118"/>
      <c r="W10" s="67"/>
      <c r="X10" s="68"/>
      <c r="Y10" s="69"/>
      <c r="Z10" s="70"/>
      <c r="AB10" s="171"/>
    </row>
    <row r="11" spans="1:28" x14ac:dyDescent="0.3">
      <c r="A11" s="192">
        <v>8</v>
      </c>
      <c r="B11" s="161">
        <f t="shared" si="6"/>
        <v>3.6999999999999997</v>
      </c>
      <c r="C11" s="157">
        <f t="shared" si="5"/>
        <v>0.27</v>
      </c>
      <c r="D11" s="160">
        <f t="shared" si="0"/>
        <v>1.0646357974443878E-2</v>
      </c>
      <c r="F11" s="170">
        <f t="shared" si="1"/>
        <v>0.6494278364410766</v>
      </c>
      <c r="G11" s="119"/>
      <c r="H11" s="31"/>
      <c r="I11" s="71"/>
      <c r="J11" s="33">
        <f t="shared" si="2"/>
        <v>0.6494278364410766</v>
      </c>
      <c r="K11" s="40"/>
      <c r="L11" s="35">
        <f t="shared" si="3"/>
        <v>0.41629989515453625</v>
      </c>
      <c r="M11" s="72"/>
      <c r="N11" s="37"/>
      <c r="O11" s="73"/>
      <c r="P11" s="39">
        <f t="shared" si="4"/>
        <v>0.41629989515453625</v>
      </c>
      <c r="Q11" s="40"/>
      <c r="R11" s="115"/>
      <c r="S11" s="115"/>
      <c r="T11" s="116"/>
      <c r="U11" s="117"/>
      <c r="V11" s="118"/>
      <c r="W11" s="67"/>
      <c r="X11" s="68"/>
      <c r="Y11" s="69"/>
      <c r="Z11" s="70"/>
      <c r="AB11" s="171"/>
    </row>
    <row r="12" spans="1:28" x14ac:dyDescent="0.3">
      <c r="A12" s="192">
        <v>9</v>
      </c>
      <c r="B12" s="161">
        <f t="shared" si="6"/>
        <v>4.0999999999999996</v>
      </c>
      <c r="C12" s="157">
        <f t="shared" si="5"/>
        <v>0.30000000000000004</v>
      </c>
      <c r="D12" s="160">
        <f t="shared" si="0"/>
        <v>1.4564587152225529E-2</v>
      </c>
      <c r="F12" s="170">
        <f t="shared" si="1"/>
        <v>0.8884398162857573</v>
      </c>
      <c r="G12" s="119"/>
      <c r="H12" s="31"/>
      <c r="I12" s="71"/>
      <c r="J12" s="33">
        <f t="shared" si="2"/>
        <v>0.8884398162857573</v>
      </c>
      <c r="K12" s="40"/>
      <c r="L12" s="35">
        <f t="shared" si="3"/>
        <v>0.56951270274728027</v>
      </c>
      <c r="M12" s="72"/>
      <c r="N12" s="37"/>
      <c r="O12" s="73"/>
      <c r="P12" s="39">
        <f t="shared" si="4"/>
        <v>0.56951270274728027</v>
      </c>
      <c r="Q12" s="40"/>
      <c r="R12" s="115"/>
      <c r="S12" s="115"/>
      <c r="T12" s="116"/>
      <c r="U12" s="117"/>
      <c r="V12" s="118"/>
      <c r="W12" s="67"/>
      <c r="X12" s="68"/>
      <c r="Y12" s="69"/>
      <c r="Z12" s="70"/>
      <c r="AB12" s="171"/>
    </row>
    <row r="13" spans="1:28" x14ac:dyDescent="0.3">
      <c r="A13" s="192">
        <v>10</v>
      </c>
      <c r="B13" s="161">
        <f t="shared" si="6"/>
        <v>4.5</v>
      </c>
      <c r="C13" s="157">
        <f t="shared" si="5"/>
        <v>0.33000000000000007</v>
      </c>
      <c r="D13" s="160">
        <f t="shared" si="0"/>
        <v>1.9342482205821472E-2</v>
      </c>
      <c r="F13" s="170">
        <f t="shared" si="1"/>
        <v>1.1798914145551098</v>
      </c>
      <c r="G13" s="119"/>
      <c r="H13" s="31"/>
      <c r="I13" s="71"/>
      <c r="J13" s="33">
        <f t="shared" si="2"/>
        <v>1.1798914145551098</v>
      </c>
      <c r="K13" s="40"/>
      <c r="L13" s="35">
        <f t="shared" si="3"/>
        <v>0.75634065035583964</v>
      </c>
      <c r="M13" s="72"/>
      <c r="N13" s="37"/>
      <c r="O13" s="73"/>
      <c r="P13" s="39">
        <f t="shared" si="4"/>
        <v>0.75634065035583964</v>
      </c>
      <c r="Q13" s="40"/>
      <c r="R13" s="115"/>
      <c r="S13" s="115"/>
      <c r="T13" s="116"/>
      <c r="U13" s="117"/>
      <c r="V13" s="118"/>
      <c r="W13" s="67"/>
      <c r="X13" s="68"/>
      <c r="Y13" s="69"/>
      <c r="Z13" s="70"/>
      <c r="AB13" s="171"/>
    </row>
    <row r="14" spans="1:28" x14ac:dyDescent="0.3">
      <c r="A14" s="192">
        <v>11</v>
      </c>
      <c r="B14" s="161">
        <f t="shared" si="6"/>
        <v>4.9000000000000004</v>
      </c>
      <c r="C14" s="157">
        <f t="shared" si="5"/>
        <v>0.3600000000000001</v>
      </c>
      <c r="D14" s="160">
        <f t="shared" si="0"/>
        <v>2.5065299255147167E-2</v>
      </c>
      <c r="F14" s="170">
        <f t="shared" si="1"/>
        <v>1.5289832545639772</v>
      </c>
      <c r="G14" s="119"/>
      <c r="H14" s="31"/>
      <c r="I14" s="71"/>
      <c r="J14" s="33">
        <f t="shared" si="2"/>
        <v>1.5289832545639772</v>
      </c>
      <c r="K14" s="40"/>
      <c r="L14" s="35">
        <f t="shared" si="3"/>
        <v>0.98011747087434431</v>
      </c>
      <c r="M14" s="72"/>
      <c r="N14" s="37"/>
      <c r="O14" s="73"/>
      <c r="P14" s="39">
        <f t="shared" si="4"/>
        <v>0.98011747087434431</v>
      </c>
      <c r="Q14" s="40"/>
      <c r="R14" s="115"/>
      <c r="S14" s="115"/>
      <c r="T14" s="116"/>
      <c r="U14" s="117"/>
      <c r="V14" s="118"/>
      <c r="W14" s="67"/>
      <c r="X14" s="68"/>
      <c r="Y14" s="69"/>
      <c r="Z14" s="70"/>
      <c r="AB14" s="171"/>
    </row>
    <row r="15" spans="1:28" x14ac:dyDescent="0.3">
      <c r="A15" s="192">
        <v>12</v>
      </c>
      <c r="B15" s="161">
        <f t="shared" si="6"/>
        <v>5.3000000000000007</v>
      </c>
      <c r="C15" s="157">
        <f t="shared" si="5"/>
        <v>0.39000000000000012</v>
      </c>
      <c r="D15" s="160">
        <f t="shared" si="0"/>
        <v>3.1818294420118083E-2</v>
      </c>
      <c r="F15" s="170">
        <f t="shared" si="1"/>
        <v>1.940915959627203</v>
      </c>
      <c r="G15" s="119"/>
      <c r="H15" s="31"/>
      <c r="I15" s="71"/>
      <c r="J15" s="33">
        <f t="shared" si="2"/>
        <v>1.940915959627203</v>
      </c>
      <c r="K15" s="40"/>
      <c r="L15" s="35">
        <f t="shared" si="3"/>
        <v>1.2441768971969249</v>
      </c>
      <c r="M15" s="72"/>
      <c r="N15" s="37"/>
      <c r="O15" s="73"/>
      <c r="P15" s="39">
        <f t="shared" si="4"/>
        <v>1.2441768971969249</v>
      </c>
      <c r="Q15" s="40"/>
      <c r="R15" s="115"/>
      <c r="S15" s="115"/>
      <c r="T15" s="116"/>
      <c r="U15" s="117"/>
      <c r="V15" s="118"/>
      <c r="W15" s="67"/>
      <c r="X15" s="68"/>
      <c r="Y15" s="69"/>
      <c r="Z15" s="70"/>
      <c r="AB15" s="171"/>
    </row>
    <row r="16" spans="1:28" x14ac:dyDescent="0.3">
      <c r="A16" s="192">
        <v>13</v>
      </c>
      <c r="B16" s="161">
        <f t="shared" si="6"/>
        <v>5.7000000000000011</v>
      </c>
      <c r="C16" s="157">
        <f t="shared" si="5"/>
        <v>0.42000000000000015</v>
      </c>
      <c r="D16" s="160">
        <f t="shared" si="0"/>
        <v>3.9686723820649694E-2</v>
      </c>
      <c r="F16" s="170">
        <f t="shared" si="1"/>
        <v>2.4208901530596312</v>
      </c>
      <c r="G16" s="119"/>
      <c r="H16" s="31"/>
      <c r="I16" s="71"/>
      <c r="J16" s="33">
        <f t="shared" si="2"/>
        <v>2.4208901530596312</v>
      </c>
      <c r="K16" s="40"/>
      <c r="L16" s="35">
        <f t="shared" si="3"/>
        <v>1.5518526622177122</v>
      </c>
      <c r="M16" s="72"/>
      <c r="N16" s="37"/>
      <c r="O16" s="73"/>
      <c r="P16" s="39">
        <f t="shared" si="4"/>
        <v>1.5518526622177122</v>
      </c>
      <c r="Q16" s="40"/>
      <c r="R16" s="115"/>
      <c r="S16" s="115"/>
      <c r="T16" s="116"/>
      <c r="U16" s="117"/>
      <c r="V16" s="118"/>
      <c r="W16" s="67"/>
      <c r="X16" s="68"/>
      <c r="Y16" s="69"/>
      <c r="Z16" s="70"/>
      <c r="AB16" s="171"/>
    </row>
    <row r="17" spans="1:28" x14ac:dyDescent="0.3">
      <c r="A17" s="192">
        <v>14</v>
      </c>
      <c r="B17" s="161">
        <f t="shared" si="6"/>
        <v>6.1000000000000014</v>
      </c>
      <c r="C17" s="157">
        <f t="shared" si="5"/>
        <v>0.45000000000000018</v>
      </c>
      <c r="D17" s="160">
        <f t="shared" si="0"/>
        <v>4.8755843576657451E-2</v>
      </c>
      <c r="F17" s="170">
        <f t="shared" si="1"/>
        <v>2.9741064581761045</v>
      </c>
      <c r="G17" s="119"/>
      <c r="H17" s="31"/>
      <c r="I17" s="71"/>
      <c r="J17" s="33">
        <f t="shared" si="2"/>
        <v>2.9741064581761045</v>
      </c>
      <c r="K17" s="40"/>
      <c r="L17" s="35">
        <f t="shared" si="3"/>
        <v>1.9064784988308361</v>
      </c>
      <c r="M17" s="72"/>
      <c r="N17" s="37"/>
      <c r="O17" s="73"/>
      <c r="P17" s="39">
        <f t="shared" si="4"/>
        <v>1.9064784988308361</v>
      </c>
      <c r="Q17" s="40"/>
      <c r="R17" s="115"/>
      <c r="S17" s="115"/>
      <c r="T17" s="116"/>
      <c r="U17" s="117"/>
      <c r="V17" s="118"/>
      <c r="W17" s="67"/>
      <c r="X17" s="68"/>
      <c r="Y17" s="69"/>
      <c r="Z17" s="70"/>
      <c r="AB17" s="171"/>
    </row>
    <row r="18" spans="1:28" x14ac:dyDescent="0.3">
      <c r="A18" s="192">
        <v>15</v>
      </c>
      <c r="B18" s="161">
        <f t="shared" si="6"/>
        <v>6.5000000000000018</v>
      </c>
      <c r="C18" s="157">
        <f t="shared" si="5"/>
        <v>0.4800000000000002</v>
      </c>
      <c r="D18" s="160">
        <f t="shared" si="0"/>
        <v>5.911090980805684E-2</v>
      </c>
      <c r="F18" s="170">
        <f t="shared" si="1"/>
        <v>3.6057654982914671</v>
      </c>
      <c r="G18" s="119"/>
      <c r="H18" s="31"/>
      <c r="I18" s="71"/>
      <c r="J18" s="33">
        <f t="shared" si="2"/>
        <v>3.6057654982914671</v>
      </c>
      <c r="K18" s="40"/>
      <c r="L18" s="35">
        <f t="shared" si="3"/>
        <v>2.3113881399304277</v>
      </c>
      <c r="M18" s="72"/>
      <c r="N18" s="37"/>
      <c r="O18" s="73"/>
      <c r="P18" s="39">
        <f t="shared" si="4"/>
        <v>2.3113881399304277</v>
      </c>
      <c r="Q18" s="40"/>
      <c r="R18" s="115"/>
      <c r="S18" s="115"/>
      <c r="T18" s="116"/>
      <c r="U18" s="117"/>
      <c r="V18" s="118"/>
      <c r="W18" s="67"/>
      <c r="X18" s="68"/>
      <c r="Y18" s="69"/>
      <c r="Z18" s="70"/>
      <c r="AB18" s="171"/>
    </row>
    <row r="19" spans="1:28" x14ac:dyDescent="0.3">
      <c r="A19" s="192">
        <v>16</v>
      </c>
      <c r="B19" s="161">
        <f t="shared" si="6"/>
        <v>6.9000000000000021</v>
      </c>
      <c r="C19" s="157">
        <f t="shared" si="5"/>
        <v>0.51000000000000023</v>
      </c>
      <c r="D19" s="160">
        <f t="shared" si="0"/>
        <v>7.0837178634763298E-2</v>
      </c>
      <c r="F19" s="170">
        <f t="shared" si="1"/>
        <v>4.3210678967205611</v>
      </c>
      <c r="G19" s="119"/>
      <c r="H19" s="31"/>
      <c r="I19" s="71"/>
      <c r="J19" s="33">
        <f t="shared" si="2"/>
        <v>4.3210678967205611</v>
      </c>
      <c r="K19" s="40"/>
      <c r="L19" s="35">
        <f t="shared" si="3"/>
        <v>2.7699153184106162</v>
      </c>
      <c r="M19" s="72"/>
      <c r="N19" s="37"/>
      <c r="O19" s="73"/>
      <c r="P19" s="39">
        <f t="shared" si="4"/>
        <v>2.7699153184106162</v>
      </c>
      <c r="Q19" s="40"/>
      <c r="R19" s="115"/>
      <c r="S19" s="115"/>
      <c r="T19" s="116"/>
      <c r="U19" s="117"/>
      <c r="V19" s="118"/>
      <c r="W19" s="67"/>
      <c r="X19" s="68"/>
      <c r="Y19" s="69"/>
      <c r="Z19" s="70"/>
      <c r="AB19" s="171"/>
    </row>
    <row r="20" spans="1:28" x14ac:dyDescent="0.3">
      <c r="A20" s="192">
        <v>17</v>
      </c>
      <c r="B20" s="161">
        <f t="shared" si="6"/>
        <v>7.3000000000000025</v>
      </c>
      <c r="C20" s="157">
        <f t="shared" si="5"/>
        <v>0.54000000000000026</v>
      </c>
      <c r="D20" s="160">
        <f t="shared" si="0"/>
        <v>8.4019906176692347E-2</v>
      </c>
      <c r="F20" s="170">
        <f t="shared" si="1"/>
        <v>5.1252142767782329</v>
      </c>
      <c r="G20" s="119"/>
      <c r="H20" s="31"/>
      <c r="I20" s="71"/>
      <c r="J20" s="33">
        <f t="shared" si="2"/>
        <v>5.1252142767782329</v>
      </c>
      <c r="K20" s="40"/>
      <c r="L20" s="35">
        <f t="shared" si="3"/>
        <v>3.2853937671655338</v>
      </c>
      <c r="M20" s="72"/>
      <c r="N20" s="37"/>
      <c r="O20" s="73"/>
      <c r="P20" s="39">
        <f t="shared" si="4"/>
        <v>3.2853937671655338</v>
      </c>
      <c r="Q20" s="40"/>
      <c r="R20" s="115"/>
      <c r="S20" s="115"/>
      <c r="T20" s="116"/>
      <c r="U20" s="117"/>
      <c r="V20" s="118"/>
      <c r="W20" s="67"/>
      <c r="X20" s="68"/>
      <c r="Y20" s="69"/>
      <c r="Z20" s="70"/>
      <c r="AB20" s="171"/>
    </row>
    <row r="21" spans="1:28" x14ac:dyDescent="0.3">
      <c r="A21" s="192">
        <v>18</v>
      </c>
      <c r="B21" s="161">
        <f t="shared" si="6"/>
        <v>7.7000000000000028</v>
      </c>
      <c r="C21" s="157">
        <f t="shared" si="5"/>
        <v>0.57000000000000028</v>
      </c>
      <c r="D21" s="160">
        <f t="shared" si="0"/>
        <v>9.8744348553759381E-2</v>
      </c>
      <c r="F21" s="170">
        <f t="shared" si="1"/>
        <v>6.0234052617793221</v>
      </c>
      <c r="G21" s="119"/>
      <c r="H21" s="31"/>
      <c r="I21" s="71"/>
      <c r="J21" s="33">
        <f t="shared" si="2"/>
        <v>6.0234052617793221</v>
      </c>
      <c r="K21" s="40"/>
      <c r="L21" s="35">
        <f t="shared" si="3"/>
        <v>3.8611572190893089</v>
      </c>
      <c r="M21" s="72"/>
      <c r="N21" s="37"/>
      <c r="O21" s="73"/>
      <c r="P21" s="39">
        <f t="shared" si="4"/>
        <v>3.8611572190893089</v>
      </c>
      <c r="Q21" s="40"/>
      <c r="R21" s="115"/>
      <c r="S21" s="115"/>
      <c r="T21" s="116"/>
      <c r="U21" s="117"/>
      <c r="V21" s="118"/>
      <c r="W21" s="67"/>
      <c r="X21" s="68"/>
      <c r="Y21" s="69"/>
      <c r="Z21" s="70"/>
      <c r="AB21" s="171"/>
    </row>
    <row r="22" spans="1:28" x14ac:dyDescent="0.3">
      <c r="A22" s="192">
        <v>19</v>
      </c>
      <c r="B22" s="161">
        <f t="shared" si="6"/>
        <v>8.1000000000000032</v>
      </c>
      <c r="C22" s="157">
        <f t="shared" si="5"/>
        <v>0.60000000000000031</v>
      </c>
      <c r="D22" s="160">
        <f t="shared" si="0"/>
        <v>0.11509576188587993</v>
      </c>
      <c r="F22" s="170">
        <f t="shared" si="1"/>
        <v>7.0208414750386758</v>
      </c>
      <c r="G22" s="119"/>
      <c r="H22" s="31"/>
      <c r="I22" s="71"/>
      <c r="J22" s="33">
        <f t="shared" si="2"/>
        <v>7.0208414750386758</v>
      </c>
      <c r="K22" s="40"/>
      <c r="L22" s="35">
        <f t="shared" si="3"/>
        <v>4.500539407076074</v>
      </c>
      <c r="M22" s="72"/>
      <c r="N22" s="37"/>
      <c r="O22" s="73"/>
      <c r="P22" s="39">
        <f t="shared" si="4"/>
        <v>4.500539407076074</v>
      </c>
      <c r="Q22" s="40"/>
      <c r="R22" s="115"/>
      <c r="S22" s="115"/>
      <c r="T22" s="116"/>
      <c r="U22" s="117"/>
      <c r="V22" s="118"/>
      <c r="W22" s="67"/>
      <c r="X22" s="68"/>
      <c r="Y22" s="69"/>
      <c r="Z22" s="70"/>
      <c r="AB22" s="171"/>
    </row>
    <row r="23" spans="1:28" x14ac:dyDescent="0.3">
      <c r="A23" s="192">
        <v>20</v>
      </c>
      <c r="B23" s="161">
        <f t="shared" si="6"/>
        <v>8.5000000000000036</v>
      </c>
      <c r="C23" s="157">
        <f t="shared" si="5"/>
        <v>0.63000000000000034</v>
      </c>
      <c r="D23" s="160">
        <f t="shared" si="0"/>
        <v>0.13315940229296941</v>
      </c>
      <c r="F23" s="170">
        <f t="shared" si="1"/>
        <v>8.1227235398711333</v>
      </c>
      <c r="G23" s="119"/>
      <c r="H23" s="31"/>
      <c r="I23" s="71"/>
      <c r="J23" s="33">
        <f t="shared" si="2"/>
        <v>8.1227235398711333</v>
      </c>
      <c r="K23" s="40"/>
      <c r="L23" s="35">
        <f t="shared" si="3"/>
        <v>5.2068740640199573</v>
      </c>
      <c r="M23" s="72"/>
      <c r="N23" s="37"/>
      <c r="O23" s="73"/>
      <c r="P23" s="39">
        <f t="shared" si="4"/>
        <v>5.2068740640199573</v>
      </c>
      <c r="Q23" s="40"/>
      <c r="R23" s="115"/>
      <c r="S23" s="115"/>
      <c r="T23" s="116"/>
      <c r="U23" s="117"/>
      <c r="V23" s="118"/>
      <c r="W23" s="67"/>
      <c r="X23" s="68"/>
      <c r="Y23" s="69"/>
      <c r="Z23" s="70"/>
      <c r="AB23" s="171"/>
    </row>
    <row r="24" spans="1:28" x14ac:dyDescent="0.3">
      <c r="A24" s="192">
        <v>21</v>
      </c>
      <c r="B24" s="161">
        <f t="shared" si="6"/>
        <v>8.9000000000000039</v>
      </c>
      <c r="C24" s="157">
        <f t="shared" si="5"/>
        <v>0.66000000000000036</v>
      </c>
      <c r="D24" s="160">
        <f t="shared" si="0"/>
        <v>0.15302052589494336</v>
      </c>
      <c r="F24" s="170">
        <f t="shared" si="1"/>
        <v>9.3342520795915451</v>
      </c>
      <c r="G24" s="119"/>
      <c r="H24" s="31"/>
      <c r="I24" s="71"/>
      <c r="J24" s="33">
        <f t="shared" si="2"/>
        <v>9.3342520795915451</v>
      </c>
      <c r="K24" s="40"/>
      <c r="L24" s="35">
        <f t="shared" si="3"/>
        <v>5.9834949228150931</v>
      </c>
      <c r="M24" s="72"/>
      <c r="N24" s="37"/>
      <c r="O24" s="73"/>
      <c r="P24" s="39">
        <f t="shared" si="4"/>
        <v>5.9834949228150931</v>
      </c>
      <c r="Q24" s="40"/>
      <c r="R24" s="115"/>
      <c r="S24" s="115"/>
      <c r="T24" s="116"/>
      <c r="U24" s="117"/>
      <c r="V24" s="118"/>
      <c r="W24" s="67"/>
      <c r="X24" s="68"/>
      <c r="Y24" s="69"/>
      <c r="Z24" s="70"/>
      <c r="AB24" s="171"/>
    </row>
    <row r="25" spans="1:28" x14ac:dyDescent="0.3">
      <c r="A25" s="192">
        <v>22</v>
      </c>
      <c r="B25" s="161">
        <f t="shared" si="6"/>
        <v>9.3000000000000043</v>
      </c>
      <c r="C25" s="157">
        <f t="shared" si="5"/>
        <v>0.69000000000000039</v>
      </c>
      <c r="D25" s="160">
        <f t="shared" si="0"/>
        <v>0.17476438881171716</v>
      </c>
      <c r="F25" s="170">
        <f t="shared" si="1"/>
        <v>10.660627717514746</v>
      </c>
      <c r="G25" s="119"/>
      <c r="H25" s="31"/>
      <c r="I25" s="71"/>
      <c r="J25" s="33">
        <f t="shared" si="2"/>
        <v>10.660627717514746</v>
      </c>
      <c r="K25" s="40"/>
      <c r="L25" s="35">
        <f t="shared" si="3"/>
        <v>6.8337357163556058</v>
      </c>
      <c r="M25" s="72"/>
      <c r="N25" s="37"/>
      <c r="O25" s="73"/>
      <c r="P25" s="39">
        <f t="shared" si="4"/>
        <v>6.8337357163556058</v>
      </c>
      <c r="Q25" s="40"/>
      <c r="R25" s="115"/>
      <c r="S25" s="115"/>
      <c r="T25" s="116"/>
      <c r="U25" s="117"/>
      <c r="V25" s="118"/>
      <c r="W25" s="67"/>
      <c r="X25" s="68"/>
      <c r="Y25" s="69"/>
      <c r="Z25" s="70"/>
      <c r="AB25" s="171"/>
    </row>
    <row r="26" spans="1:28" x14ac:dyDescent="0.3">
      <c r="A26" s="192">
        <v>23</v>
      </c>
      <c r="B26" s="161">
        <f t="shared" si="6"/>
        <v>9.7000000000000046</v>
      </c>
      <c r="C26" s="157">
        <f t="shared" si="5"/>
        <v>0.72000000000000042</v>
      </c>
      <c r="D26" s="160">
        <f t="shared" si="0"/>
        <v>0.19847624716320633</v>
      </c>
      <c r="F26" s="170">
        <f t="shared" si="1"/>
        <v>12.107051076955587</v>
      </c>
      <c r="G26" s="119"/>
      <c r="H26" s="31"/>
      <c r="I26" s="71"/>
      <c r="J26" s="33">
        <f t="shared" si="2"/>
        <v>12.107051076955587</v>
      </c>
      <c r="K26" s="40"/>
      <c r="L26" s="35">
        <f t="shared" si="3"/>
        <v>7.7609301775356325</v>
      </c>
      <c r="M26" s="72"/>
      <c r="N26" s="37"/>
      <c r="O26" s="73"/>
      <c r="P26" s="39">
        <f t="shared" si="4"/>
        <v>7.7609301775356325</v>
      </c>
      <c r="Q26" s="40"/>
      <c r="R26" s="115"/>
      <c r="S26" s="115"/>
      <c r="T26" s="116"/>
      <c r="U26" s="117"/>
      <c r="V26" s="118"/>
      <c r="W26" s="67"/>
      <c r="X26" s="68"/>
      <c r="Y26" s="69"/>
      <c r="Z26" s="70"/>
      <c r="AB26" s="171"/>
    </row>
    <row r="27" spans="1:28" x14ac:dyDescent="0.3">
      <c r="A27" s="192">
        <v>24</v>
      </c>
      <c r="B27" s="161">
        <f t="shared" si="6"/>
        <v>10.100000000000005</v>
      </c>
      <c r="C27" s="157">
        <f t="shared" si="5"/>
        <v>0.75000000000000044</v>
      </c>
      <c r="D27" s="160">
        <f t="shared" si="0"/>
        <v>0.2242413570693263</v>
      </c>
      <c r="F27" s="170">
        <f t="shared" si="1"/>
        <v>13.678722781228904</v>
      </c>
      <c r="G27" s="119"/>
      <c r="H27" s="31"/>
      <c r="I27" s="71"/>
      <c r="J27" s="33">
        <f t="shared" si="2"/>
        <v>13.678722781228904</v>
      </c>
      <c r="K27" s="40"/>
      <c r="L27" s="35">
        <f t="shared" si="3"/>
        <v>8.7684120392492968</v>
      </c>
      <c r="M27" s="72"/>
      <c r="N27" s="37"/>
      <c r="O27" s="73"/>
      <c r="P27" s="39">
        <f t="shared" si="4"/>
        <v>8.7684120392492968</v>
      </c>
      <c r="Q27" s="40"/>
      <c r="R27" s="115"/>
      <c r="S27" s="115"/>
      <c r="T27" s="116"/>
      <c r="U27" s="117"/>
      <c r="V27" s="118"/>
      <c r="W27" s="67"/>
      <c r="X27" s="68"/>
      <c r="Y27" s="69"/>
      <c r="Z27" s="70"/>
      <c r="AB27" s="171"/>
    </row>
    <row r="28" spans="1:28" x14ac:dyDescent="0.3">
      <c r="A28" s="192">
        <v>25</v>
      </c>
      <c r="B28" s="161">
        <f t="shared" si="6"/>
        <v>10.500000000000005</v>
      </c>
      <c r="C28" s="157">
        <f t="shared" si="5"/>
        <v>0.78000000000000047</v>
      </c>
      <c r="D28" s="160">
        <f t="shared" si="0"/>
        <v>0.25214497464999264</v>
      </c>
      <c r="F28" s="170">
        <f t="shared" si="1"/>
        <v>15.38084345364955</v>
      </c>
      <c r="G28" s="119">
        <v>0.15</v>
      </c>
      <c r="H28" s="31">
        <f>G28*F28</f>
        <v>2.3071265180474323</v>
      </c>
      <c r="I28" s="71">
        <f>H28</f>
        <v>2.3071265180474323</v>
      </c>
      <c r="J28" s="33">
        <f>F28-I28</f>
        <v>13.073716935602118</v>
      </c>
      <c r="K28" s="40"/>
      <c r="L28" s="35">
        <f t="shared" si="3"/>
        <v>9.8595150343907374</v>
      </c>
      <c r="M28" s="72">
        <v>0.15</v>
      </c>
      <c r="N28" s="238">
        <f>M28*L28</f>
        <v>1.4789272551586106</v>
      </c>
      <c r="O28" s="239">
        <f>N28</f>
        <v>1.4789272551586106</v>
      </c>
      <c r="P28" s="240">
        <f>L28-O28</f>
        <v>8.3805877792321262</v>
      </c>
      <c r="Q28" s="40"/>
      <c r="R28" s="115">
        <f>N28</f>
        <v>1.4789272551586106</v>
      </c>
      <c r="S28" s="115">
        <f>H28-N28</f>
        <v>0.82819926288882173</v>
      </c>
      <c r="T28" s="116">
        <f>R28/0.6</f>
        <v>2.4648787585976843</v>
      </c>
      <c r="U28" s="117">
        <v>8</v>
      </c>
      <c r="V28" s="118">
        <f>T28*U28</f>
        <v>19.719030068781475</v>
      </c>
      <c r="W28" s="67"/>
      <c r="X28" s="68"/>
      <c r="Y28" s="69"/>
      <c r="Z28" s="70"/>
      <c r="AB28" s="171">
        <f t="shared" ref="AB28:AB58" si="7">V28+Z28</f>
        <v>19.719030068781475</v>
      </c>
    </row>
    <row r="29" spans="1:28" x14ac:dyDescent="0.3">
      <c r="A29" s="192">
        <v>26</v>
      </c>
      <c r="B29" s="161">
        <f t="shared" si="6"/>
        <v>10.900000000000006</v>
      </c>
      <c r="C29" s="157">
        <f t="shared" si="5"/>
        <v>0.8100000000000005</v>
      </c>
      <c r="D29" s="160">
        <f t="shared" si="0"/>
        <v>0.28227235602512057</v>
      </c>
      <c r="F29" s="170">
        <f t="shared" si="1"/>
        <v>17.218613717532357</v>
      </c>
      <c r="G29" s="119"/>
      <c r="H29" s="31"/>
      <c r="I29" s="71"/>
      <c r="J29" s="33">
        <f>F29-I28</f>
        <v>14.911487199484924</v>
      </c>
      <c r="K29" s="40"/>
      <c r="L29" s="35">
        <f t="shared" si="3"/>
        <v>11.037572895854074</v>
      </c>
      <c r="M29" s="72"/>
      <c r="N29" s="238"/>
      <c r="O29" s="239"/>
      <c r="P29" s="240">
        <f>L29-O28</f>
        <v>9.5586456406954632</v>
      </c>
      <c r="Q29" s="40"/>
      <c r="R29" s="115"/>
      <c r="S29" s="115"/>
      <c r="T29" s="116"/>
      <c r="U29" s="117"/>
      <c r="V29" s="118"/>
      <c r="W29" s="67"/>
      <c r="X29" s="68"/>
      <c r="Y29" s="69"/>
      <c r="Z29" s="70"/>
      <c r="AB29" s="171"/>
    </row>
    <row r="30" spans="1:28" x14ac:dyDescent="0.3">
      <c r="A30" s="192">
        <v>27</v>
      </c>
      <c r="B30" s="161">
        <f t="shared" si="6"/>
        <v>11.300000000000006</v>
      </c>
      <c r="C30" s="157">
        <f t="shared" si="5"/>
        <v>0.84000000000000052</v>
      </c>
      <c r="D30" s="160">
        <f t="shared" si="0"/>
        <v>0.31470875731462589</v>
      </c>
      <c r="F30" s="170">
        <f t="shared" si="1"/>
        <v>19.197234196192181</v>
      </c>
      <c r="G30" s="119"/>
      <c r="H30" s="31"/>
      <c r="I30" s="71"/>
      <c r="J30" s="33">
        <f>F30-I28</f>
        <v>16.890107678144748</v>
      </c>
      <c r="K30" s="40"/>
      <c r="L30" s="35">
        <f t="shared" si="3"/>
        <v>12.305919356533449</v>
      </c>
      <c r="M30" s="72"/>
      <c r="N30" s="238"/>
      <c r="O30" s="239"/>
      <c r="P30" s="240">
        <f>L30-O28</f>
        <v>10.826992101374838</v>
      </c>
      <c r="Q30" s="40"/>
      <c r="R30" s="115"/>
      <c r="S30" s="115"/>
      <c r="T30" s="116"/>
      <c r="U30" s="117"/>
      <c r="V30" s="118"/>
      <c r="W30" s="67"/>
      <c r="X30" s="68"/>
      <c r="Y30" s="69"/>
      <c r="Z30" s="70"/>
      <c r="AB30" s="171"/>
    </row>
    <row r="31" spans="1:28" x14ac:dyDescent="0.3">
      <c r="A31" s="192">
        <v>28</v>
      </c>
      <c r="B31" s="161">
        <f t="shared" si="6"/>
        <v>11.700000000000006</v>
      </c>
      <c r="C31" s="157">
        <f t="shared" si="5"/>
        <v>0.87000000000000055</v>
      </c>
      <c r="D31" s="160">
        <f t="shared" si="0"/>
        <v>0.3495394346384238</v>
      </c>
      <c r="F31" s="170">
        <f t="shared" si="1"/>
        <v>21.32190551294385</v>
      </c>
      <c r="G31" s="119"/>
      <c r="H31" s="31"/>
      <c r="I31" s="71"/>
      <c r="J31" s="33">
        <f>F31-I28</f>
        <v>19.014778994896417</v>
      </c>
      <c r="K31" s="40"/>
      <c r="L31" s="35">
        <f t="shared" si="3"/>
        <v>13.66788814932298</v>
      </c>
      <c r="M31" s="72"/>
      <c r="N31" s="238"/>
      <c r="O31" s="239"/>
      <c r="P31" s="240">
        <f>L31-O28</f>
        <v>12.188960894164369</v>
      </c>
      <c r="Q31" s="40"/>
      <c r="R31" s="120"/>
      <c r="S31" s="115"/>
      <c r="T31" s="116"/>
      <c r="U31" s="125"/>
      <c r="V31" s="118"/>
      <c r="W31" s="67"/>
      <c r="X31" s="82"/>
      <c r="Y31" s="83"/>
      <c r="Z31" s="84"/>
      <c r="AB31" s="171"/>
    </row>
    <row r="32" spans="1:28" x14ac:dyDescent="0.3">
      <c r="A32" s="192">
        <v>29</v>
      </c>
      <c r="B32" s="161">
        <f t="shared" si="6"/>
        <v>12.100000000000007</v>
      </c>
      <c r="C32" s="157">
        <f t="shared" si="5"/>
        <v>0.90000000000000058</v>
      </c>
      <c r="D32" s="160">
        <f t="shared" si="0"/>
        <v>0.38684964411642997</v>
      </c>
      <c r="F32" s="170">
        <f t="shared" si="1"/>
        <v>23.597828291102228</v>
      </c>
      <c r="G32" s="119"/>
      <c r="H32" s="31"/>
      <c r="I32" s="71"/>
      <c r="J32" s="33">
        <f>F32-I28</f>
        <v>21.290701773054796</v>
      </c>
      <c r="K32" s="40"/>
      <c r="L32" s="35">
        <f t="shared" si="3"/>
        <v>15.126813007116812</v>
      </c>
      <c r="M32" s="72"/>
      <c r="N32" s="238"/>
      <c r="O32" s="239"/>
      <c r="P32" s="240">
        <f>L32-O28</f>
        <v>13.647885751958201</v>
      </c>
      <c r="Q32" s="40"/>
      <c r="R32" s="120"/>
      <c r="S32" s="115"/>
      <c r="T32" s="116"/>
      <c r="U32" s="125"/>
      <c r="V32" s="118"/>
      <c r="W32" s="67"/>
      <c r="X32" s="82"/>
      <c r="Y32" s="83"/>
      <c r="Z32" s="84"/>
      <c r="AB32" s="171"/>
    </row>
    <row r="33" spans="1:28" x14ac:dyDescent="0.3">
      <c r="A33" s="192">
        <v>30</v>
      </c>
      <c r="B33" s="161">
        <f t="shared" si="6"/>
        <v>12.500000000000007</v>
      </c>
      <c r="C33" s="157">
        <f t="shared" si="5"/>
        <v>0.9300000000000006</v>
      </c>
      <c r="D33" s="160">
        <f t="shared" si="0"/>
        <v>0.42672464186855968</v>
      </c>
      <c r="F33" s="170">
        <f t="shared" si="1"/>
        <v>26.030203153982139</v>
      </c>
      <c r="G33" s="119"/>
      <c r="H33" s="31"/>
      <c r="I33" s="71"/>
      <c r="J33" s="33">
        <f>F33-I28</f>
        <v>23.723076635934707</v>
      </c>
      <c r="K33" s="121"/>
      <c r="L33" s="35">
        <f t="shared" si="3"/>
        <v>16.686027662809064</v>
      </c>
      <c r="M33" s="72"/>
      <c r="N33" s="238"/>
      <c r="O33" s="239"/>
      <c r="P33" s="240">
        <f>L33-O28</f>
        <v>15.207100407650453</v>
      </c>
      <c r="Q33" s="40"/>
      <c r="R33" s="120"/>
      <c r="S33" s="115"/>
      <c r="T33" s="116"/>
      <c r="U33" s="125"/>
      <c r="V33" s="118"/>
      <c r="W33" s="67"/>
      <c r="X33" s="82"/>
      <c r="Y33" s="83"/>
      <c r="Z33" s="84"/>
      <c r="AB33" s="171"/>
    </row>
    <row r="34" spans="1:28" x14ac:dyDescent="0.3">
      <c r="A34" s="192">
        <v>31</v>
      </c>
      <c r="B34" s="161">
        <f t="shared" si="6"/>
        <v>12.900000000000007</v>
      </c>
      <c r="C34" s="157">
        <f t="shared" si="5"/>
        <v>0.96000000000000063</v>
      </c>
      <c r="D34" s="160">
        <f t="shared" si="0"/>
        <v>0.46924968401472844</v>
      </c>
      <c r="F34" s="170">
        <f t="shared" si="1"/>
        <v>28.624230724898435</v>
      </c>
      <c r="G34" s="119"/>
      <c r="H34" s="31"/>
      <c r="I34" s="71"/>
      <c r="J34" s="33">
        <f>F34-I28</f>
        <v>26.317104206851003</v>
      </c>
      <c r="K34" s="40"/>
      <c r="L34" s="35">
        <f t="shared" si="3"/>
        <v>18.348865849293869</v>
      </c>
      <c r="M34" s="72"/>
      <c r="N34" s="238"/>
      <c r="O34" s="239"/>
      <c r="P34" s="240">
        <f>L34-O28</f>
        <v>16.86993859413526</v>
      </c>
      <c r="Q34" s="40"/>
      <c r="R34" s="120"/>
      <c r="S34" s="115"/>
      <c r="T34" s="116"/>
      <c r="U34" s="125"/>
      <c r="V34" s="118"/>
      <c r="W34" s="67"/>
      <c r="X34" s="82"/>
      <c r="Y34" s="83"/>
      <c r="Z34" s="84"/>
      <c r="AB34" s="171"/>
    </row>
    <row r="35" spans="1:28" x14ac:dyDescent="0.3">
      <c r="A35" s="192">
        <v>32</v>
      </c>
      <c r="B35" s="161">
        <f t="shared" si="6"/>
        <v>13.300000000000008</v>
      </c>
      <c r="C35" s="157">
        <f t="shared" si="5"/>
        <v>0.99000000000000066</v>
      </c>
      <c r="D35" s="160">
        <f t="shared" si="0"/>
        <v>0.51451002667485179</v>
      </c>
      <c r="F35" s="170">
        <f t="shared" si="1"/>
        <v>31.385111627165958</v>
      </c>
      <c r="G35" s="119"/>
      <c r="H35" s="31"/>
      <c r="I35" s="71"/>
      <c r="J35" s="33">
        <f>F35-I28</f>
        <v>29.077985109118526</v>
      </c>
      <c r="K35" s="40"/>
      <c r="L35" s="35">
        <f t="shared" si="3"/>
        <v>20.118661299465359</v>
      </c>
      <c r="M35" s="72"/>
      <c r="N35" s="238"/>
      <c r="O35" s="239"/>
      <c r="P35" s="240">
        <f>L35-O28</f>
        <v>18.639734044306749</v>
      </c>
      <c r="Q35" s="40"/>
      <c r="R35" s="120"/>
      <c r="S35" s="115"/>
      <c r="T35" s="116"/>
      <c r="U35" s="125"/>
      <c r="V35" s="118"/>
      <c r="W35" s="67"/>
      <c r="X35" s="82"/>
      <c r="Y35" s="83"/>
      <c r="Z35" s="84"/>
      <c r="AB35" s="171"/>
    </row>
    <row r="36" spans="1:28" x14ac:dyDescent="0.3">
      <c r="A36" s="192">
        <v>33</v>
      </c>
      <c r="B36" s="161">
        <f t="shared" si="6"/>
        <v>13.700000000000008</v>
      </c>
      <c r="C36" s="157">
        <f t="shared" si="5"/>
        <v>1.0200000000000007</v>
      </c>
      <c r="D36" s="160">
        <f t="shared" si="0"/>
        <v>0.56259092596884519</v>
      </c>
      <c r="F36" s="170">
        <f t="shared" si="1"/>
        <v>34.318046484099554</v>
      </c>
      <c r="G36" s="86">
        <v>0.15</v>
      </c>
      <c r="H36" s="31">
        <f>G36*(F36-I28)</f>
        <v>4.8016379949078178</v>
      </c>
      <c r="I36" s="71">
        <f>H36+I28</f>
        <v>7.1087645129552506</v>
      </c>
      <c r="J36" s="33">
        <f>F36-I36</f>
        <v>27.209281971144303</v>
      </c>
      <c r="K36" s="40"/>
      <c r="L36" s="35">
        <f t="shared" si="3"/>
        <v>21.998747746217663</v>
      </c>
      <c r="M36" s="87">
        <v>0.15</v>
      </c>
      <c r="N36" s="238">
        <f>M36*(L36-O28)</f>
        <v>3.0779730736588582</v>
      </c>
      <c r="O36" s="239">
        <f>N36+O28</f>
        <v>4.556900328817469</v>
      </c>
      <c r="P36" s="240">
        <f>L36-O36</f>
        <v>17.441847417400194</v>
      </c>
      <c r="Q36" s="40"/>
      <c r="R36" s="120">
        <f>N36</f>
        <v>3.0779730736588582</v>
      </c>
      <c r="S36" s="115">
        <f>H36-N36</f>
        <v>1.7236649212489596</v>
      </c>
      <c r="T36" s="116">
        <f t="shared" ref="T36:T58" si="8">R36/0.6</f>
        <v>5.1299551227647635</v>
      </c>
      <c r="U36" s="125">
        <v>8</v>
      </c>
      <c r="V36" s="118">
        <f t="shared" ref="V36:V73" si="9">T36*U36</f>
        <v>41.039640982118108</v>
      </c>
      <c r="W36" s="67"/>
      <c r="X36" s="82"/>
      <c r="Y36" s="83"/>
      <c r="Z36" s="84"/>
      <c r="AB36" s="171">
        <f t="shared" si="7"/>
        <v>41.039640982118108</v>
      </c>
    </row>
    <row r="37" spans="1:28" x14ac:dyDescent="0.3">
      <c r="A37" s="192">
        <v>34</v>
      </c>
      <c r="B37" s="161">
        <f t="shared" si="6"/>
        <v>14.100000000000009</v>
      </c>
      <c r="C37" s="157">
        <f t="shared" si="5"/>
        <v>1.0500000000000007</v>
      </c>
      <c r="D37" s="160">
        <f t="shared" si="0"/>
        <v>0.61357763801662424</v>
      </c>
      <c r="F37" s="170">
        <f t="shared" si="1"/>
        <v>37.428235919014078</v>
      </c>
      <c r="G37" s="86"/>
      <c r="H37" s="31"/>
      <c r="I37" s="71"/>
      <c r="J37" s="33">
        <f>F37-I36</f>
        <v>30.319471406058828</v>
      </c>
      <c r="K37" s="40"/>
      <c r="L37" s="35">
        <f t="shared" si="3"/>
        <v>23.992458922444921</v>
      </c>
      <c r="M37" s="87"/>
      <c r="N37" s="238"/>
      <c r="O37" s="239"/>
      <c r="P37" s="240">
        <f>L37-O36</f>
        <v>19.435558593627452</v>
      </c>
      <c r="Q37" s="40"/>
      <c r="R37" s="120"/>
      <c r="S37" s="115"/>
      <c r="T37" s="116"/>
      <c r="U37" s="125"/>
      <c r="V37" s="118"/>
      <c r="W37" s="67"/>
      <c r="X37" s="82"/>
      <c r="Y37" s="83"/>
      <c r="Z37" s="84"/>
      <c r="AB37" s="171"/>
    </row>
    <row r="38" spans="1:28" x14ac:dyDescent="0.3">
      <c r="A38" s="192">
        <v>35</v>
      </c>
      <c r="B38" s="161">
        <f t="shared" si="6"/>
        <v>14.500000000000009</v>
      </c>
      <c r="C38" s="157">
        <f t="shared" si="5"/>
        <v>1.0800000000000007</v>
      </c>
      <c r="D38" s="160">
        <f t="shared" si="0"/>
        <v>0.66755541893810399</v>
      </c>
      <c r="F38" s="170">
        <f t="shared" si="1"/>
        <v>40.72088055522434</v>
      </c>
      <c r="G38" s="86"/>
      <c r="H38" s="31"/>
      <c r="I38" s="71"/>
      <c r="J38" s="33">
        <f>F38-I36</f>
        <v>33.612116042269093</v>
      </c>
      <c r="K38" s="40"/>
      <c r="L38" s="35">
        <f t="shared" si="3"/>
        <v>26.103128561041242</v>
      </c>
      <c r="M38" s="87"/>
      <c r="N38" s="238"/>
      <c r="O38" s="239"/>
      <c r="P38" s="240">
        <f>L38-O36</f>
        <v>21.546228232223772</v>
      </c>
      <c r="Q38" s="40"/>
      <c r="R38" s="120"/>
      <c r="S38" s="115"/>
      <c r="T38" s="116"/>
      <c r="U38" s="125"/>
      <c r="V38" s="118"/>
      <c r="W38" s="67"/>
      <c r="X38" s="82"/>
      <c r="Y38" s="83"/>
      <c r="Z38" s="84"/>
      <c r="AB38" s="171"/>
    </row>
    <row r="39" spans="1:28" x14ac:dyDescent="0.3">
      <c r="A39" s="192">
        <v>36</v>
      </c>
      <c r="B39" s="161">
        <f t="shared" si="6"/>
        <v>14.900000000000009</v>
      </c>
      <c r="C39" s="157">
        <f t="shared" si="5"/>
        <v>1.1100000000000008</v>
      </c>
      <c r="D39" s="160">
        <f t="shared" si="0"/>
        <v>0.72460952485320029</v>
      </c>
      <c r="F39" s="170">
        <f t="shared" si="1"/>
        <v>44.201181016045219</v>
      </c>
      <c r="G39" s="86"/>
      <c r="H39" s="31"/>
      <c r="I39" s="71"/>
      <c r="J39" s="33">
        <f>F39-I36</f>
        <v>37.092416503089964</v>
      </c>
      <c r="K39" s="40"/>
      <c r="L39" s="35">
        <f t="shared" si="3"/>
        <v>28.33409039490078</v>
      </c>
      <c r="M39" s="87"/>
      <c r="N39" s="238"/>
      <c r="O39" s="239"/>
      <c r="P39" s="240">
        <f>L39-O36</f>
        <v>23.77719006608331</v>
      </c>
      <c r="Q39" s="40"/>
      <c r="R39" s="120"/>
      <c r="S39" s="115"/>
      <c r="T39" s="116"/>
      <c r="U39" s="125"/>
      <c r="V39" s="118"/>
      <c r="W39" s="67"/>
      <c r="X39" s="82"/>
      <c r="Y39" s="83"/>
      <c r="Z39" s="84"/>
      <c r="AB39" s="171"/>
    </row>
    <row r="40" spans="1:28" x14ac:dyDescent="0.3">
      <c r="A40" s="192">
        <v>37</v>
      </c>
      <c r="B40" s="161">
        <f t="shared" si="6"/>
        <v>15.30000000000001</v>
      </c>
      <c r="C40" s="157">
        <f t="shared" si="5"/>
        <v>1.1400000000000008</v>
      </c>
      <c r="D40" s="160">
        <f t="shared" si="0"/>
        <v>0.78482521188182852</v>
      </c>
      <c r="F40" s="170">
        <f t="shared" si="1"/>
        <v>47.87433792479154</v>
      </c>
      <c r="G40" s="86"/>
      <c r="H40" s="31"/>
      <c r="I40" s="71"/>
      <c r="J40" s="33">
        <f>F40-I36</f>
        <v>40.765573411836286</v>
      </c>
      <c r="K40" s="40"/>
      <c r="L40" s="35">
        <f t="shared" si="3"/>
        <v>30.688678156917653</v>
      </c>
      <c r="M40" s="87"/>
      <c r="N40" s="238"/>
      <c r="O40" s="239"/>
      <c r="P40" s="240">
        <f>L40-O36</f>
        <v>26.131777828100184</v>
      </c>
      <c r="Q40" s="40"/>
      <c r="R40" s="120"/>
      <c r="S40" s="115"/>
      <c r="T40" s="116"/>
      <c r="U40" s="125"/>
      <c r="V40" s="118"/>
      <c r="W40" s="67"/>
      <c r="X40" s="82"/>
      <c r="Y40" s="83"/>
      <c r="Z40" s="84"/>
      <c r="AB40" s="171"/>
    </row>
    <row r="41" spans="1:28" x14ac:dyDescent="0.3">
      <c r="A41" s="192">
        <v>38</v>
      </c>
      <c r="B41" s="161">
        <f t="shared" si="6"/>
        <v>15.70000000000001</v>
      </c>
      <c r="C41" s="157">
        <f t="shared" si="5"/>
        <v>1.1700000000000008</v>
      </c>
      <c r="D41" s="160">
        <f t="shared" si="0"/>
        <v>0.84828773614390396</v>
      </c>
      <c r="F41" s="170">
        <f t="shared" si="1"/>
        <v>51.745551904778139</v>
      </c>
      <c r="G41" s="86"/>
      <c r="H41" s="31"/>
      <c r="I41" s="71"/>
      <c r="J41" s="33">
        <f>F41-I36</f>
        <v>44.636787391822892</v>
      </c>
      <c r="K41" s="40"/>
      <c r="L41" s="35">
        <f t="shared" si="3"/>
        <v>33.170225579985988</v>
      </c>
      <c r="M41" s="87"/>
      <c r="N41" s="238"/>
      <c r="O41" s="239"/>
      <c r="P41" s="240">
        <f>L41-O36</f>
        <v>28.613325251168519</v>
      </c>
      <c r="Q41" s="40"/>
      <c r="R41" s="120"/>
      <c r="S41" s="115"/>
      <c r="T41" s="116"/>
      <c r="U41" s="125"/>
      <c r="V41" s="118"/>
      <c r="W41" s="67"/>
      <c r="X41" s="82"/>
      <c r="Y41" s="83"/>
      <c r="Z41" s="84"/>
      <c r="AB41" s="171"/>
    </row>
    <row r="42" spans="1:28" x14ac:dyDescent="0.3">
      <c r="A42" s="192">
        <v>39</v>
      </c>
      <c r="B42" s="161">
        <f t="shared" si="6"/>
        <v>16.100000000000009</v>
      </c>
      <c r="C42" s="157">
        <f t="shared" si="5"/>
        <v>1.2000000000000008</v>
      </c>
      <c r="D42" s="160">
        <f t="shared" si="0"/>
        <v>0.9150823537593421</v>
      </c>
      <c r="F42" s="170">
        <f t="shared" si="1"/>
        <v>55.820023579319866</v>
      </c>
      <c r="G42" s="86"/>
      <c r="H42" s="31"/>
      <c r="I42" s="71"/>
      <c r="J42" s="33">
        <f>F42-I36</f>
        <v>48.711259066364619</v>
      </c>
      <c r="K42" s="40"/>
      <c r="L42" s="35">
        <f t="shared" si="3"/>
        <v>35.782066396999916</v>
      </c>
      <c r="M42" s="87"/>
      <c r="N42" s="238"/>
      <c r="O42" s="239"/>
      <c r="P42" s="240">
        <f>L42-O36</f>
        <v>31.225166068182446</v>
      </c>
      <c r="Q42" s="40"/>
      <c r="R42" s="120"/>
      <c r="S42" s="115"/>
      <c r="T42" s="116"/>
      <c r="U42" s="125"/>
      <c r="V42" s="118"/>
      <c r="W42" s="67"/>
      <c r="X42" s="82"/>
      <c r="Y42" s="83"/>
      <c r="Z42" s="84"/>
      <c r="AB42" s="171"/>
    </row>
    <row r="43" spans="1:28" x14ac:dyDescent="0.3">
      <c r="A43" s="192">
        <v>40</v>
      </c>
      <c r="B43" s="161">
        <f t="shared" si="6"/>
        <v>16.500000000000007</v>
      </c>
      <c r="C43" s="157">
        <f t="shared" si="5"/>
        <v>1.2300000000000009</v>
      </c>
      <c r="D43" s="160">
        <f t="shared" si="0"/>
        <v>0.98529432084805879</v>
      </c>
      <c r="F43" s="170">
        <f t="shared" si="1"/>
        <v>60.102953571731589</v>
      </c>
      <c r="G43" s="86"/>
      <c r="H43" s="31"/>
      <c r="I43" s="71"/>
      <c r="J43" s="33">
        <f>F43-I36</f>
        <v>52.994189058776342</v>
      </c>
      <c r="K43" s="40"/>
      <c r="L43" s="35">
        <f t="shared" si="3"/>
        <v>38.527534340853585</v>
      </c>
      <c r="M43" s="87"/>
      <c r="N43" s="238"/>
      <c r="O43" s="239"/>
      <c r="P43" s="240">
        <f>L43-O36</f>
        <v>33.970634012036115</v>
      </c>
      <c r="Q43" s="40"/>
      <c r="R43" s="120"/>
      <c r="S43" s="115"/>
      <c r="T43" s="116"/>
      <c r="U43" s="125"/>
      <c r="V43" s="118"/>
      <c r="W43" s="67"/>
      <c r="X43" s="82"/>
      <c r="Y43" s="83"/>
      <c r="Z43" s="84"/>
      <c r="AB43" s="171"/>
    </row>
    <row r="44" spans="1:28" x14ac:dyDescent="0.3">
      <c r="A44" s="192">
        <v>41</v>
      </c>
      <c r="B44" s="161">
        <f t="shared" si="6"/>
        <v>16.900000000000006</v>
      </c>
      <c r="C44" s="157">
        <f t="shared" si="5"/>
        <v>1.2600000000000009</v>
      </c>
      <c r="D44" s="160">
        <f t="shared" si="0"/>
        <v>1.0590088935299691</v>
      </c>
      <c r="F44" s="170">
        <f t="shared" si="1"/>
        <v>64.599542505328117</v>
      </c>
      <c r="G44" s="86">
        <v>0.2</v>
      </c>
      <c r="H44" s="225">
        <f>G44*(F44-I36)</f>
        <v>11.498155598474575</v>
      </c>
      <c r="I44" s="71">
        <f>H44+I36</f>
        <v>18.606920111429826</v>
      </c>
      <c r="J44" s="33">
        <f>F44-I44</f>
        <v>45.992622393898287</v>
      </c>
      <c r="K44" s="40"/>
      <c r="L44" s="35">
        <f t="shared" si="3"/>
        <v>41.4099631444411</v>
      </c>
      <c r="M44" s="87">
        <v>0.2</v>
      </c>
      <c r="N44" s="241">
        <f>M44*(L44-O36)</f>
        <v>7.3706125631247268</v>
      </c>
      <c r="O44" s="239">
        <f>N44+O36</f>
        <v>11.927512891942197</v>
      </c>
      <c r="P44" s="240">
        <f>L44-O44</f>
        <v>29.482450252498904</v>
      </c>
      <c r="Q44" s="40"/>
      <c r="R44" s="120">
        <f>N44</f>
        <v>7.3706125631247268</v>
      </c>
      <c r="S44" s="115">
        <f>H44-N44</f>
        <v>4.1275430353498486</v>
      </c>
      <c r="T44" s="116">
        <f t="shared" si="8"/>
        <v>12.284354271874545</v>
      </c>
      <c r="U44" s="125">
        <v>8</v>
      </c>
      <c r="V44" s="118">
        <f t="shared" si="9"/>
        <v>98.274834174996357</v>
      </c>
      <c r="W44" s="67"/>
      <c r="X44" s="82"/>
      <c r="Y44" s="83"/>
      <c r="Z44" s="84"/>
      <c r="AB44" s="171">
        <f t="shared" si="7"/>
        <v>98.274834174996357</v>
      </c>
    </row>
    <row r="45" spans="1:28" x14ac:dyDescent="0.3">
      <c r="A45" s="192">
        <v>42</v>
      </c>
      <c r="B45" s="161">
        <f t="shared" si="6"/>
        <v>17.300000000000004</v>
      </c>
      <c r="C45" s="157">
        <f t="shared" si="5"/>
        <v>1.2900000000000009</v>
      </c>
      <c r="D45" s="160">
        <f t="shared" si="0"/>
        <v>1.1363113279249886</v>
      </c>
      <c r="F45" s="170">
        <f t="shared" si="1"/>
        <v>69.314991003424296</v>
      </c>
      <c r="G45" s="86"/>
      <c r="H45" s="225"/>
      <c r="I45" s="71"/>
      <c r="J45" s="33">
        <f>F45-I44</f>
        <v>50.708070891994467</v>
      </c>
      <c r="K45" s="40"/>
      <c r="L45" s="35">
        <f t="shared" si="3"/>
        <v>44.432686540656597</v>
      </c>
      <c r="M45" s="87"/>
      <c r="N45" s="241"/>
      <c r="O45" s="239"/>
      <c r="P45" s="240">
        <f>L45-O44</f>
        <v>32.505173648714404</v>
      </c>
      <c r="Q45" s="40"/>
      <c r="R45" s="120"/>
      <c r="S45" s="115"/>
      <c r="T45" s="116"/>
      <c r="U45" s="125"/>
      <c r="V45" s="118"/>
      <c r="W45" s="67"/>
      <c r="X45" s="82"/>
      <c r="Y45" s="83"/>
      <c r="Z45" s="84"/>
      <c r="AB45" s="171"/>
    </row>
    <row r="46" spans="1:28" x14ac:dyDescent="0.3">
      <c r="A46" s="192">
        <v>43</v>
      </c>
      <c r="B46" s="161">
        <f t="shared" si="6"/>
        <v>17.700000000000003</v>
      </c>
      <c r="C46" s="157">
        <f t="shared" si="5"/>
        <v>1.320000000000001</v>
      </c>
      <c r="D46" s="160">
        <f t="shared" si="0"/>
        <v>1.2172868801530325</v>
      </c>
      <c r="F46" s="170">
        <f t="shared" si="1"/>
        <v>74.254499689334992</v>
      </c>
      <c r="G46" s="86"/>
      <c r="H46" s="225"/>
      <c r="I46" s="71"/>
      <c r="J46" s="33">
        <f>F46-I44</f>
        <v>55.647579577905162</v>
      </c>
      <c r="K46" s="40"/>
      <c r="L46" s="35">
        <f t="shared" si="3"/>
        <v>47.599038262394224</v>
      </c>
      <c r="M46" s="87"/>
      <c r="N46" s="241"/>
      <c r="O46" s="239"/>
      <c r="P46" s="240">
        <f>L46-O44</f>
        <v>35.671525370452031</v>
      </c>
      <c r="Q46" s="40"/>
      <c r="R46" s="120"/>
      <c r="S46" s="115"/>
      <c r="T46" s="116"/>
      <c r="U46" s="125"/>
      <c r="V46" s="118"/>
      <c r="W46" s="67"/>
      <c r="X46" s="82"/>
      <c r="Y46" s="83"/>
      <c r="Z46" s="84"/>
      <c r="AB46" s="171"/>
    </row>
    <row r="47" spans="1:28" x14ac:dyDescent="0.3">
      <c r="A47" s="192">
        <v>44</v>
      </c>
      <c r="B47" s="161">
        <f t="shared" si="6"/>
        <v>18.100000000000001</v>
      </c>
      <c r="C47" s="157">
        <f t="shared" si="5"/>
        <v>1.350000000000001</v>
      </c>
      <c r="D47" s="160">
        <f t="shared" si="0"/>
        <v>1.3020208063340171</v>
      </c>
      <c r="F47" s="170">
        <f t="shared" si="1"/>
        <v>79.423269186375038</v>
      </c>
      <c r="G47" s="86"/>
      <c r="H47" s="225"/>
      <c r="I47" s="71"/>
      <c r="J47" s="33">
        <f>F47-I44</f>
        <v>60.816349074945208</v>
      </c>
      <c r="K47" s="40"/>
      <c r="L47" s="35">
        <f t="shared" si="3"/>
        <v>50.9123520425481</v>
      </c>
      <c r="M47" s="87"/>
      <c r="N47" s="241"/>
      <c r="O47" s="239"/>
      <c r="P47" s="240">
        <f>L47-O44</f>
        <v>38.984839150605907</v>
      </c>
      <c r="Q47" s="40"/>
      <c r="R47" s="120"/>
      <c r="S47" s="115"/>
      <c r="T47" s="116"/>
      <c r="U47" s="125"/>
      <c r="V47" s="118"/>
      <c r="W47" s="67"/>
      <c r="X47" s="82"/>
      <c r="Y47" s="83"/>
      <c r="Z47" s="84"/>
      <c r="AB47" s="171"/>
    </row>
    <row r="48" spans="1:28" x14ac:dyDescent="0.3">
      <c r="A48" s="192">
        <v>45</v>
      </c>
      <c r="B48" s="161">
        <f t="shared" si="6"/>
        <v>18.5</v>
      </c>
      <c r="C48" s="157">
        <f t="shared" si="5"/>
        <v>1.380000000000001</v>
      </c>
      <c r="D48" s="160">
        <f t="shared" si="0"/>
        <v>1.3905983625878569</v>
      </c>
      <c r="F48" s="170">
        <f t="shared" si="1"/>
        <v>84.826500117859268</v>
      </c>
      <c r="G48" s="86"/>
      <c r="H48" s="225"/>
      <c r="I48" s="71"/>
      <c r="J48" s="33">
        <f>F48-I44</f>
        <v>66.219580006429439</v>
      </c>
      <c r="K48" s="40"/>
      <c r="L48" s="35">
        <f t="shared" si="3"/>
        <v>54.375961614012347</v>
      </c>
      <c r="M48" s="87"/>
      <c r="N48" s="241"/>
      <c r="O48" s="239"/>
      <c r="P48" s="240">
        <f>L48-O44</f>
        <v>42.448448722070154</v>
      </c>
      <c r="Q48" s="40"/>
      <c r="R48" s="120"/>
      <c r="S48" s="115"/>
      <c r="T48" s="116"/>
      <c r="U48" s="125"/>
      <c r="V48" s="118"/>
      <c r="W48" s="67"/>
      <c r="X48" s="82"/>
      <c r="Y48" s="83"/>
      <c r="Z48" s="84"/>
      <c r="AB48" s="171"/>
    </row>
    <row r="49" spans="1:28" x14ac:dyDescent="0.3">
      <c r="A49" s="192">
        <v>46</v>
      </c>
      <c r="B49" s="161">
        <f t="shared" si="6"/>
        <v>18.899999999999999</v>
      </c>
      <c r="C49" s="157">
        <f t="shared" si="5"/>
        <v>1.410000000000001</v>
      </c>
      <c r="D49" s="160">
        <f t="shared" si="0"/>
        <v>1.4831048050344675</v>
      </c>
      <c r="F49" s="170">
        <f t="shared" si="1"/>
        <v>90.469393107102519</v>
      </c>
      <c r="G49" s="86"/>
      <c r="H49" s="225"/>
      <c r="I49" s="71"/>
      <c r="J49" s="33">
        <f>F49-I44</f>
        <v>71.86247299567269</v>
      </c>
      <c r="K49" s="40"/>
      <c r="L49" s="35">
        <f t="shared" si="3"/>
        <v>57.993200709681098</v>
      </c>
      <c r="M49" s="87"/>
      <c r="N49" s="241"/>
      <c r="O49" s="239"/>
      <c r="P49" s="240">
        <f>L49-O44</f>
        <v>46.065687817738905</v>
      </c>
      <c r="Q49" s="40"/>
      <c r="R49" s="120"/>
      <c r="S49" s="115"/>
      <c r="T49" s="116"/>
      <c r="U49" s="125"/>
      <c r="V49" s="118"/>
      <c r="W49" s="67"/>
      <c r="X49" s="82"/>
      <c r="Y49" s="83"/>
      <c r="Z49" s="84"/>
      <c r="AB49" s="171"/>
    </row>
    <row r="50" spans="1:28" x14ac:dyDescent="0.3">
      <c r="A50" s="192">
        <v>47</v>
      </c>
      <c r="B50" s="161">
        <f t="shared" si="6"/>
        <v>19.299999999999997</v>
      </c>
      <c r="C50" s="157">
        <f t="shared" si="5"/>
        <v>1.4400000000000011</v>
      </c>
      <c r="D50" s="160">
        <f t="shared" si="0"/>
        <v>1.5796253897937651</v>
      </c>
      <c r="F50" s="170">
        <f t="shared" si="1"/>
        <v>96.357148777419667</v>
      </c>
      <c r="G50" s="86"/>
      <c r="H50" s="225"/>
      <c r="I50" s="71"/>
      <c r="J50" s="33">
        <f>F50-I44</f>
        <v>77.750228665989837</v>
      </c>
      <c r="K50" s="40"/>
      <c r="L50" s="35">
        <f t="shared" si="3"/>
        <v>61.767403062448501</v>
      </c>
      <c r="M50" s="87"/>
      <c r="N50" s="241"/>
      <c r="O50" s="239"/>
      <c r="P50" s="240">
        <f>L50-O44</f>
        <v>49.839890170506308</v>
      </c>
      <c r="Q50" s="40"/>
      <c r="R50" s="120"/>
      <c r="S50" s="115"/>
      <c r="T50" s="116"/>
      <c r="U50" s="125"/>
      <c r="V50" s="118"/>
      <c r="W50" s="67"/>
      <c r="X50" s="82"/>
      <c r="Y50" s="83"/>
      <c r="Z50" s="84"/>
      <c r="AB50" s="171"/>
    </row>
    <row r="51" spans="1:28" x14ac:dyDescent="0.3">
      <c r="A51" s="192">
        <v>48</v>
      </c>
      <c r="B51" s="161">
        <f t="shared" si="6"/>
        <v>19.699999999999996</v>
      </c>
      <c r="C51" s="157">
        <f t="shared" si="5"/>
        <v>1.4700000000000011</v>
      </c>
      <c r="D51" s="160">
        <f t="shared" si="0"/>
        <v>1.680245372985665</v>
      </c>
      <c r="F51" s="170">
        <f t="shared" si="1"/>
        <v>102.49496775212556</v>
      </c>
      <c r="G51" s="86"/>
      <c r="H51" s="225"/>
      <c r="I51" s="71"/>
      <c r="J51" s="33">
        <f>F51-I44</f>
        <v>83.888047640695731</v>
      </c>
      <c r="K51" s="40"/>
      <c r="L51" s="35">
        <f t="shared" si="3"/>
        <v>65.701902405208685</v>
      </c>
      <c r="M51" s="87"/>
      <c r="N51" s="241"/>
      <c r="O51" s="239"/>
      <c r="P51" s="240">
        <f>L51-O44</f>
        <v>53.774389513266485</v>
      </c>
      <c r="Q51" s="40"/>
      <c r="R51" s="120"/>
      <c r="S51" s="115"/>
      <c r="T51" s="116"/>
      <c r="U51" s="125"/>
      <c r="V51" s="118"/>
      <c r="W51" s="67"/>
      <c r="X51" s="82"/>
      <c r="Y51" s="83"/>
      <c r="Z51" s="84"/>
      <c r="AB51" s="171"/>
    </row>
    <row r="52" spans="1:28" x14ac:dyDescent="0.3">
      <c r="A52" s="192">
        <v>49</v>
      </c>
      <c r="B52" s="161">
        <f t="shared" si="6"/>
        <v>20.099999999999994</v>
      </c>
      <c r="C52" s="157">
        <f t="shared" si="5"/>
        <v>1.5000000000000011</v>
      </c>
      <c r="D52" s="160">
        <f t="shared" si="0"/>
        <v>1.785050010730082</v>
      </c>
      <c r="F52" s="170">
        <f t="shared" si="1"/>
        <v>108.88805065453499</v>
      </c>
      <c r="G52" s="86"/>
      <c r="H52" s="225"/>
      <c r="I52" s="71"/>
      <c r="J52" s="33">
        <f>F52-I44</f>
        <v>90.281130543105164</v>
      </c>
      <c r="K52" s="40"/>
      <c r="L52" s="35">
        <f t="shared" si="3"/>
        <v>69.800032470855768</v>
      </c>
      <c r="M52" s="87"/>
      <c r="N52" s="241"/>
      <c r="O52" s="239"/>
      <c r="P52" s="240">
        <f>L52-O44</f>
        <v>57.872519578913568</v>
      </c>
      <c r="Q52" s="40"/>
      <c r="R52" s="120"/>
      <c r="S52" s="115"/>
      <c r="T52" s="116"/>
      <c r="U52" s="125"/>
      <c r="V52" s="118"/>
      <c r="W52" s="67"/>
      <c r="X52" s="82"/>
      <c r="Y52" s="83"/>
      <c r="Z52" s="84"/>
      <c r="AB52" s="171"/>
    </row>
    <row r="53" spans="1:28" x14ac:dyDescent="0.3">
      <c r="A53" s="192">
        <v>50</v>
      </c>
      <c r="B53" s="193">
        <f t="shared" si="6"/>
        <v>20.499999999999993</v>
      </c>
      <c r="C53" s="194">
        <f t="shared" si="5"/>
        <v>1.5300000000000011</v>
      </c>
      <c r="D53" s="160">
        <f t="shared" si="0"/>
        <v>1.8941245591469318</v>
      </c>
      <c r="F53" s="170">
        <f t="shared" si="1"/>
        <v>115.54159810796284</v>
      </c>
      <c r="G53" s="86"/>
      <c r="H53" s="225"/>
      <c r="I53" s="71"/>
      <c r="J53" s="33">
        <f>F53-I44</f>
        <v>96.934677996533011</v>
      </c>
      <c r="K53" s="40"/>
      <c r="L53" s="35">
        <f t="shared" si="3"/>
        <v>74.065126992283865</v>
      </c>
      <c r="M53" s="87"/>
      <c r="N53" s="241"/>
      <c r="O53" s="239"/>
      <c r="P53" s="240">
        <f>L53-O44</f>
        <v>62.137614100341665</v>
      </c>
      <c r="Q53" s="40"/>
      <c r="R53" s="120"/>
      <c r="S53" s="115"/>
      <c r="T53" s="116"/>
      <c r="U53" s="125"/>
      <c r="V53" s="118"/>
      <c r="W53" s="67"/>
      <c r="X53" s="82"/>
      <c r="Y53" s="83"/>
      <c r="Z53" s="84"/>
      <c r="AB53" s="171"/>
    </row>
    <row r="54" spans="1:28" x14ac:dyDescent="0.3">
      <c r="A54" s="192">
        <v>51</v>
      </c>
      <c r="B54" s="161">
        <f t="shared" ref="B54:B73" si="10">B53+0.2</f>
        <v>20.699999999999992</v>
      </c>
      <c r="C54" s="157">
        <f t="shared" ref="C54:C73" si="11">C53+0.01</f>
        <v>1.5400000000000011</v>
      </c>
      <c r="D54" s="168">
        <f t="shared" ref="D54:D73" si="12">0.496*((B54*C54^2)/4*PI())</f>
        <v>19.12420299910244</v>
      </c>
      <c r="F54" s="170">
        <f t="shared" si="1"/>
        <v>1166.576382945249</v>
      </c>
      <c r="G54" s="86"/>
      <c r="H54" s="31"/>
      <c r="I54" s="71"/>
      <c r="J54" s="33">
        <f>F54-I44</f>
        <v>1147.9694628338191</v>
      </c>
      <c r="K54" s="40"/>
      <c r="L54" s="35">
        <f t="shared" si="3"/>
        <v>747.80537368285184</v>
      </c>
      <c r="M54" s="87"/>
      <c r="N54" s="238"/>
      <c r="O54" s="239"/>
      <c r="P54" s="240">
        <f>L54-O44</f>
        <v>735.87786079090961</v>
      </c>
      <c r="Q54" s="40"/>
      <c r="R54" s="120"/>
      <c r="S54" s="115"/>
      <c r="T54" s="116"/>
      <c r="U54" s="125"/>
      <c r="V54" s="118"/>
      <c r="W54" s="67"/>
      <c r="X54" s="82"/>
      <c r="Y54" s="83"/>
      <c r="Z54" s="84"/>
      <c r="AB54" s="171"/>
    </row>
    <row r="55" spans="1:28" x14ac:dyDescent="0.3">
      <c r="A55" s="192">
        <v>52</v>
      </c>
      <c r="B55" s="161">
        <f t="shared" si="10"/>
        <v>20.899999999999991</v>
      </c>
      <c r="C55" s="157">
        <f t="shared" si="11"/>
        <v>1.5500000000000012</v>
      </c>
      <c r="D55" s="168">
        <f t="shared" si="12"/>
        <v>19.56055802930657</v>
      </c>
      <c r="F55" s="170">
        <f t="shared" si="1"/>
        <v>1193.1940397877008</v>
      </c>
      <c r="G55" s="86"/>
      <c r="H55" s="31"/>
      <c r="I55" s="71"/>
      <c r="J55" s="33">
        <f>F55-I44</f>
        <v>1174.587119676271</v>
      </c>
      <c r="K55" s="40"/>
      <c r="L55" s="35">
        <f t="shared" si="3"/>
        <v>764.8679742228851</v>
      </c>
      <c r="M55" s="87"/>
      <c r="N55" s="238"/>
      <c r="O55" s="239"/>
      <c r="P55" s="240">
        <f>L55-O44</f>
        <v>752.94046133094287</v>
      </c>
      <c r="Q55" s="40"/>
      <c r="R55" s="120"/>
      <c r="S55" s="115"/>
      <c r="T55" s="116"/>
      <c r="U55" s="125"/>
      <c r="V55" s="118"/>
      <c r="W55" s="67"/>
      <c r="X55" s="82"/>
      <c r="Y55" s="83"/>
      <c r="Z55" s="84"/>
      <c r="AB55" s="171"/>
    </row>
    <row r="56" spans="1:28" x14ac:dyDescent="0.3">
      <c r="A56" s="192">
        <v>53</v>
      </c>
      <c r="B56" s="161">
        <f t="shared" si="10"/>
        <v>21.099999999999991</v>
      </c>
      <c r="C56" s="157">
        <f t="shared" si="11"/>
        <v>1.5600000000000012</v>
      </c>
      <c r="D56" s="168">
        <f t="shared" si="12"/>
        <v>20.003371922679062</v>
      </c>
      <c r="F56" s="170">
        <f t="shared" si="1"/>
        <v>1220.2056872834228</v>
      </c>
      <c r="G56" s="86"/>
      <c r="H56" s="31"/>
      <c r="I56" s="71"/>
      <c r="J56" s="33">
        <f>F56-I44</f>
        <v>1201.5987671719929</v>
      </c>
      <c r="K56" s="40"/>
      <c r="L56" s="35">
        <f t="shared" si="3"/>
        <v>782.18313287398894</v>
      </c>
      <c r="M56" s="87"/>
      <c r="N56" s="238"/>
      <c r="O56" s="239"/>
      <c r="P56" s="240">
        <f>L56-O44</f>
        <v>770.25561998204671</v>
      </c>
      <c r="Q56" s="40"/>
      <c r="R56" s="120"/>
      <c r="S56" s="115"/>
      <c r="T56" s="116"/>
      <c r="U56" s="125"/>
      <c r="V56" s="118"/>
      <c r="W56" s="67"/>
      <c r="X56" s="82"/>
      <c r="Y56" s="83"/>
      <c r="Z56" s="84"/>
      <c r="AB56" s="171"/>
    </row>
    <row r="57" spans="1:28" x14ac:dyDescent="0.3">
      <c r="A57" s="192">
        <v>54</v>
      </c>
      <c r="B57" s="161">
        <f t="shared" si="10"/>
        <v>21.29999999999999</v>
      </c>
      <c r="C57" s="157">
        <f t="shared" si="11"/>
        <v>1.5700000000000012</v>
      </c>
      <c r="D57" s="168">
        <f t="shared" si="12"/>
        <v>20.452691426118612</v>
      </c>
      <c r="F57" s="170">
        <f t="shared" si="1"/>
        <v>1247.6141769932353</v>
      </c>
      <c r="G57" s="86"/>
      <c r="H57" s="31"/>
      <c r="I57" s="71"/>
      <c r="J57" s="33">
        <f>F57-I44</f>
        <v>1229.0072568818055</v>
      </c>
      <c r="K57" s="40"/>
      <c r="L57" s="35">
        <f t="shared" si="3"/>
        <v>799.7526775597662</v>
      </c>
      <c r="M57" s="87"/>
      <c r="N57" s="238"/>
      <c r="O57" s="239"/>
      <c r="P57" s="240">
        <f>L57-O44</f>
        <v>787.82516466782397</v>
      </c>
      <c r="Q57" s="40"/>
      <c r="R57" s="120"/>
      <c r="S57" s="115"/>
      <c r="T57" s="116"/>
      <c r="U57" s="125"/>
      <c r="V57" s="118"/>
      <c r="W57" s="67"/>
      <c r="X57" s="82"/>
      <c r="Y57" s="83"/>
      <c r="Z57" s="84"/>
      <c r="AB57" s="171"/>
    </row>
    <row r="58" spans="1:28" x14ac:dyDescent="0.3">
      <c r="A58" s="192">
        <v>55</v>
      </c>
      <c r="B58" s="161">
        <f t="shared" si="10"/>
        <v>21.499999999999989</v>
      </c>
      <c r="C58" s="157">
        <f t="shared" si="11"/>
        <v>1.5800000000000012</v>
      </c>
      <c r="D58" s="168">
        <f t="shared" si="12"/>
        <v>20.908563286523901</v>
      </c>
      <c r="F58" s="170">
        <f t="shared" si="1"/>
        <v>1275.4223604779579</v>
      </c>
      <c r="G58" s="86">
        <v>0.2</v>
      </c>
      <c r="H58" s="31">
        <f>G58*(F58-I44)</f>
        <v>251.36308807330562</v>
      </c>
      <c r="I58" s="71">
        <f>H58+I44</f>
        <v>269.97000818473543</v>
      </c>
      <c r="J58" s="33">
        <f t="shared" ref="J58" si="13">F58-I58</f>
        <v>1005.4523522932225</v>
      </c>
      <c r="K58" s="40"/>
      <c r="L58" s="35">
        <f t="shared" si="3"/>
        <v>817.57843620381914</v>
      </c>
      <c r="M58" s="87">
        <v>0.2</v>
      </c>
      <c r="N58" s="238">
        <f>M58*(L58-O44)</f>
        <v>161.1301846623754</v>
      </c>
      <c r="O58" s="239">
        <f>N58+O44</f>
        <v>173.0576975543176</v>
      </c>
      <c r="P58" s="240">
        <f t="shared" ref="P58" si="14">L58-O58</f>
        <v>644.52073864950148</v>
      </c>
      <c r="Q58" s="40"/>
      <c r="R58" s="120">
        <f>N58*63%</f>
        <v>101.5120163372965</v>
      </c>
      <c r="S58" s="115">
        <f>H58-N58</f>
        <v>90.23290341093022</v>
      </c>
      <c r="T58" s="116">
        <f t="shared" si="8"/>
        <v>169.18669389549419</v>
      </c>
      <c r="U58" s="125">
        <v>8</v>
      </c>
      <c r="V58" s="118">
        <f t="shared" si="9"/>
        <v>1353.4935511639535</v>
      </c>
      <c r="W58" s="67"/>
      <c r="X58" s="82">
        <f>N58*37%</f>
        <v>59.618168325078898</v>
      </c>
      <c r="Y58" s="83">
        <v>40</v>
      </c>
      <c r="Z58" s="84">
        <f>X58*Y58</f>
        <v>2384.7267330031559</v>
      </c>
      <c r="AB58" s="171">
        <f t="shared" si="7"/>
        <v>3738.2202841671096</v>
      </c>
    </row>
    <row r="59" spans="1:28" x14ac:dyDescent="0.3">
      <c r="A59" s="192">
        <v>56</v>
      </c>
      <c r="B59" s="161">
        <f t="shared" si="10"/>
        <v>21.699999999999989</v>
      </c>
      <c r="C59" s="157">
        <f t="shared" si="11"/>
        <v>1.5900000000000012</v>
      </c>
      <c r="D59" s="168">
        <f t="shared" si="12"/>
        <v>21.37103425079361</v>
      </c>
      <c r="F59" s="170">
        <f t="shared" si="1"/>
        <v>1303.6330892984101</v>
      </c>
      <c r="G59" s="86"/>
      <c r="H59" s="31"/>
      <c r="I59" s="71"/>
      <c r="J59" s="33">
        <f>F59-I58</f>
        <v>1033.6630811136747</v>
      </c>
      <c r="K59" s="40"/>
      <c r="L59" s="35">
        <f t="shared" si="3"/>
        <v>835.66223672975002</v>
      </c>
      <c r="M59" s="87"/>
      <c r="N59" s="238"/>
      <c r="O59" s="239"/>
      <c r="P59" s="240">
        <f>L59-O58</f>
        <v>662.60453917543236</v>
      </c>
      <c r="Q59" s="40"/>
      <c r="R59" s="120"/>
      <c r="S59" s="115"/>
      <c r="T59" s="116"/>
      <c r="U59" s="125"/>
      <c r="V59" s="118"/>
      <c r="W59" s="67"/>
      <c r="X59" s="82"/>
      <c r="Y59" s="83"/>
      <c r="Z59" s="84"/>
      <c r="AB59" s="171"/>
    </row>
    <row r="60" spans="1:28" x14ac:dyDescent="0.3">
      <c r="A60" s="192">
        <v>57</v>
      </c>
      <c r="B60" s="161">
        <f t="shared" si="10"/>
        <v>21.899999999999988</v>
      </c>
      <c r="C60" s="157">
        <f t="shared" si="11"/>
        <v>1.6000000000000012</v>
      </c>
      <c r="D60" s="168">
        <f t="shared" si="12"/>
        <v>21.840151065826436</v>
      </c>
      <c r="F60" s="170">
        <f t="shared" si="1"/>
        <v>1332.2492150154126</v>
      </c>
      <c r="G60" s="86"/>
      <c r="H60" s="31"/>
      <c r="I60" s="71"/>
      <c r="J60" s="33">
        <f>F60-I58</f>
        <v>1062.2792068306771</v>
      </c>
      <c r="K60" s="40"/>
      <c r="L60" s="35">
        <f t="shared" si="3"/>
        <v>854.00590706116191</v>
      </c>
      <c r="M60" s="87"/>
      <c r="N60" s="238"/>
      <c r="O60" s="239"/>
      <c r="P60" s="240">
        <f>L60-O58</f>
        <v>680.94820950684425</v>
      </c>
      <c r="Q60" s="40"/>
      <c r="R60" s="120"/>
      <c r="S60" s="115"/>
      <c r="T60" s="116"/>
      <c r="U60" s="125"/>
      <c r="V60" s="118"/>
      <c r="W60" s="67"/>
      <c r="X60" s="82"/>
      <c r="Y60" s="83"/>
      <c r="Z60" s="84"/>
      <c r="AB60" s="171"/>
    </row>
    <row r="61" spans="1:28" x14ac:dyDescent="0.3">
      <c r="A61" s="192">
        <v>58</v>
      </c>
      <c r="B61" s="161">
        <f t="shared" si="10"/>
        <v>22.099999999999987</v>
      </c>
      <c r="C61" s="157">
        <f t="shared" si="11"/>
        <v>1.6100000000000012</v>
      </c>
      <c r="D61" s="168">
        <f t="shared" si="12"/>
        <v>22.315960478521045</v>
      </c>
      <c r="F61" s="170">
        <f t="shared" si="1"/>
        <v>1361.2735891897837</v>
      </c>
      <c r="G61" s="86"/>
      <c r="H61" s="31"/>
      <c r="I61" s="71"/>
      <c r="J61" s="33">
        <f>F61-I58</f>
        <v>1091.3035810050483</v>
      </c>
      <c r="K61" s="40"/>
      <c r="L61" s="35">
        <f t="shared" si="3"/>
        <v>872.61127512165615</v>
      </c>
      <c r="M61" s="87"/>
      <c r="N61" s="238"/>
      <c r="O61" s="239"/>
      <c r="P61" s="240">
        <f>L61-O58</f>
        <v>699.55357756733861</v>
      </c>
      <c r="Q61" s="40"/>
      <c r="R61" s="120"/>
      <c r="S61" s="115"/>
      <c r="T61" s="116"/>
      <c r="U61" s="125"/>
      <c r="V61" s="118"/>
      <c r="W61" s="67"/>
      <c r="X61" s="82"/>
      <c r="Y61" s="83"/>
      <c r="Z61" s="84"/>
      <c r="AB61" s="171"/>
    </row>
    <row r="62" spans="1:28" x14ac:dyDescent="0.3">
      <c r="A62" s="192">
        <v>59</v>
      </c>
      <c r="B62" s="161">
        <f t="shared" si="10"/>
        <v>22.299999999999986</v>
      </c>
      <c r="C62" s="157">
        <f t="shared" si="11"/>
        <v>1.6200000000000012</v>
      </c>
      <c r="D62" s="168">
        <f t="shared" si="12"/>
        <v>22.798509235776152</v>
      </c>
      <c r="F62" s="170">
        <f t="shared" si="1"/>
        <v>1390.7090633823452</v>
      </c>
      <c r="G62" s="86"/>
      <c r="H62" s="31"/>
      <c r="I62" s="71"/>
      <c r="J62" s="33">
        <f>F62-I58</f>
        <v>1120.7390551976098</v>
      </c>
      <c r="K62" s="40"/>
      <c r="L62" s="35">
        <f t="shared" si="3"/>
        <v>891.4801688348366</v>
      </c>
      <c r="M62" s="87"/>
      <c r="N62" s="238"/>
      <c r="O62" s="239"/>
      <c r="P62" s="240">
        <f>L62-O58</f>
        <v>718.42247128051895</v>
      </c>
      <c r="Q62" s="40"/>
      <c r="R62" s="120"/>
      <c r="S62" s="115"/>
      <c r="T62" s="116"/>
      <c r="U62" s="125"/>
      <c r="V62" s="118"/>
      <c r="W62" s="67"/>
      <c r="X62" s="82"/>
      <c r="Y62" s="83"/>
      <c r="Z62" s="84"/>
      <c r="AB62" s="171"/>
    </row>
    <row r="63" spans="1:28" x14ac:dyDescent="0.3">
      <c r="A63" s="192">
        <v>60</v>
      </c>
      <c r="B63" s="161">
        <f t="shared" si="10"/>
        <v>22.499999999999986</v>
      </c>
      <c r="C63" s="157">
        <f t="shared" si="11"/>
        <v>1.6300000000000012</v>
      </c>
      <c r="D63" s="168">
        <f t="shared" si="12"/>
        <v>23.287844084490413</v>
      </c>
      <c r="F63" s="170">
        <f t="shared" si="1"/>
        <v>1420.5584891539152</v>
      </c>
      <c r="G63" s="86"/>
      <c r="H63" s="31"/>
      <c r="I63" s="71"/>
      <c r="J63" s="33">
        <f>F63-I58</f>
        <v>1150.5884809691797</v>
      </c>
      <c r="K63" s="40"/>
      <c r="L63" s="35">
        <f t="shared" si="3"/>
        <v>910.61441612430451</v>
      </c>
      <c r="M63" s="87"/>
      <c r="N63" s="238"/>
      <c r="O63" s="239"/>
      <c r="P63" s="240">
        <f>L63-O58</f>
        <v>737.55671856998697</v>
      </c>
      <c r="Q63" s="40"/>
      <c r="R63" s="120"/>
      <c r="S63" s="115"/>
      <c r="T63" s="116"/>
      <c r="U63" s="125"/>
      <c r="V63" s="118"/>
      <c r="W63" s="67"/>
      <c r="X63" s="82"/>
      <c r="Y63" s="83"/>
      <c r="Z63" s="84"/>
      <c r="AB63" s="171"/>
    </row>
    <row r="64" spans="1:28" x14ac:dyDescent="0.3">
      <c r="A64" s="192">
        <v>61</v>
      </c>
      <c r="B64" s="161">
        <f t="shared" si="10"/>
        <v>22.699999999999985</v>
      </c>
      <c r="C64" s="157">
        <f t="shared" si="11"/>
        <v>1.6400000000000012</v>
      </c>
      <c r="D64" s="168">
        <f t="shared" si="12"/>
        <v>23.784011771562525</v>
      </c>
      <c r="F64" s="170">
        <f t="shared" si="1"/>
        <v>1450.8247180653141</v>
      </c>
      <c r="G64" s="86"/>
      <c r="H64" s="31"/>
      <c r="I64" s="71"/>
      <c r="J64" s="33">
        <f>F64-I58</f>
        <v>1180.8547098805786</v>
      </c>
      <c r="K64" s="40"/>
      <c r="L64" s="35">
        <f t="shared" si="3"/>
        <v>930.01584491366282</v>
      </c>
      <c r="M64" s="87"/>
      <c r="N64" s="238"/>
      <c r="O64" s="239"/>
      <c r="P64" s="240">
        <f>L64-O58</f>
        <v>756.95814735934528</v>
      </c>
      <c r="Q64" s="40"/>
      <c r="R64" s="120"/>
      <c r="S64" s="115"/>
      <c r="T64" s="116"/>
      <c r="U64" s="125"/>
      <c r="V64" s="118"/>
      <c r="W64" s="67"/>
      <c r="X64" s="82"/>
      <c r="Y64" s="83"/>
      <c r="Z64" s="84"/>
      <c r="AB64" s="171"/>
    </row>
    <row r="65" spans="1:28" x14ac:dyDescent="0.3">
      <c r="A65" s="192">
        <v>62</v>
      </c>
      <c r="B65" s="161">
        <f t="shared" si="10"/>
        <v>22.899999999999984</v>
      </c>
      <c r="C65" s="157">
        <f t="shared" si="11"/>
        <v>1.6500000000000012</v>
      </c>
      <c r="D65" s="168">
        <f t="shared" si="12"/>
        <v>24.287059043891183</v>
      </c>
      <c r="F65" s="170">
        <f t="shared" si="1"/>
        <v>1481.5106016773623</v>
      </c>
      <c r="G65" s="86"/>
      <c r="H65" s="31"/>
      <c r="I65" s="71"/>
      <c r="J65" s="33">
        <f>F65-I58</f>
        <v>1211.5405934926268</v>
      </c>
      <c r="K65" s="40"/>
      <c r="L65" s="35">
        <f t="shared" si="3"/>
        <v>949.68628312651424</v>
      </c>
      <c r="M65" s="87"/>
      <c r="N65" s="238"/>
      <c r="O65" s="239"/>
      <c r="P65" s="240">
        <f>L65-O58</f>
        <v>776.6285855721967</v>
      </c>
      <c r="Q65" s="40"/>
      <c r="R65" s="120"/>
      <c r="S65" s="115"/>
      <c r="T65" s="116"/>
      <c r="U65" s="125"/>
      <c r="V65" s="118"/>
      <c r="W65" s="67"/>
      <c r="X65" s="82"/>
      <c r="Y65" s="83"/>
      <c r="Z65" s="84"/>
      <c r="AB65" s="171"/>
    </row>
    <row r="66" spans="1:28" x14ac:dyDescent="0.3">
      <c r="A66" s="192">
        <v>63</v>
      </c>
      <c r="B66" s="161">
        <f t="shared" si="10"/>
        <v>23.099999999999984</v>
      </c>
      <c r="C66" s="157">
        <f t="shared" si="11"/>
        <v>1.6600000000000013</v>
      </c>
      <c r="D66" s="168">
        <f t="shared" si="12"/>
        <v>24.797032648375058</v>
      </c>
      <c r="F66" s="170">
        <f t="shared" si="1"/>
        <v>1512.6189915508785</v>
      </c>
      <c r="G66" s="86"/>
      <c r="H66" s="31"/>
      <c r="I66" s="71"/>
      <c r="J66" s="33">
        <f>F66-I58</f>
        <v>1242.6489833661431</v>
      </c>
      <c r="K66" s="40"/>
      <c r="L66" s="35">
        <f t="shared" si="3"/>
        <v>969.62755868646059</v>
      </c>
      <c r="M66" s="87"/>
      <c r="N66" s="238"/>
      <c r="O66" s="239"/>
      <c r="P66" s="240">
        <f>L66-O58</f>
        <v>796.56986113214293</v>
      </c>
      <c r="Q66" s="40"/>
      <c r="R66" s="120"/>
      <c r="S66" s="115"/>
      <c r="T66" s="116"/>
      <c r="U66" s="125"/>
      <c r="V66" s="118"/>
      <c r="W66" s="67"/>
      <c r="X66" s="82"/>
      <c r="Y66" s="83"/>
      <c r="Z66" s="84"/>
      <c r="AB66" s="171"/>
    </row>
    <row r="67" spans="1:28" x14ac:dyDescent="0.3">
      <c r="A67" s="192">
        <v>64</v>
      </c>
      <c r="B67" s="161">
        <f t="shared" si="10"/>
        <v>23.299999999999983</v>
      </c>
      <c r="C67" s="157">
        <f t="shared" si="11"/>
        <v>1.6700000000000013</v>
      </c>
      <c r="D67" s="168">
        <f t="shared" si="12"/>
        <v>25.313979331912844</v>
      </c>
      <c r="F67" s="170">
        <f t="shared" si="1"/>
        <v>1544.1527392466835</v>
      </c>
      <c r="G67" s="86"/>
      <c r="H67" s="31"/>
      <c r="I67" s="71"/>
      <c r="J67" s="33">
        <f>F67-I58</f>
        <v>1274.1827310619481</v>
      </c>
      <c r="K67" s="40"/>
      <c r="L67" s="35">
        <f t="shared" si="3"/>
        <v>989.84149951710481</v>
      </c>
      <c r="M67" s="87"/>
      <c r="N67" s="238"/>
      <c r="O67" s="239"/>
      <c r="P67" s="240">
        <f>L67-O58</f>
        <v>816.78380196278727</v>
      </c>
      <c r="Q67" s="40"/>
      <c r="R67" s="120"/>
      <c r="S67" s="115"/>
      <c r="T67" s="116"/>
      <c r="U67" s="125"/>
      <c r="V67" s="118"/>
      <c r="W67" s="67"/>
      <c r="X67" s="82"/>
      <c r="Y67" s="83"/>
      <c r="Z67" s="84"/>
      <c r="AB67" s="171"/>
    </row>
    <row r="68" spans="1:28" x14ac:dyDescent="0.3">
      <c r="A68" s="192">
        <v>65</v>
      </c>
      <c r="B68" s="161">
        <f t="shared" si="10"/>
        <v>23.499999999999982</v>
      </c>
      <c r="C68" s="157">
        <f t="shared" si="11"/>
        <v>1.6800000000000013</v>
      </c>
      <c r="D68" s="168">
        <f t="shared" si="12"/>
        <v>25.837945841403219</v>
      </c>
      <c r="F68" s="170">
        <f t="shared" ref="F68:F73" si="15">D68*61</f>
        <v>1576.1146963255962</v>
      </c>
      <c r="G68" s="86"/>
      <c r="H68" s="31"/>
      <c r="I68" s="71"/>
      <c r="J68" s="33">
        <f>F68-I58</f>
        <v>1306.1446881408608</v>
      </c>
      <c r="K68" s="40"/>
      <c r="L68" s="35">
        <f t="shared" ref="L68:L73" si="16">F68/1.56</f>
        <v>1010.3299335420488</v>
      </c>
      <c r="M68" s="87"/>
      <c r="N68" s="238"/>
      <c r="O68" s="239"/>
      <c r="P68" s="240">
        <f>L68-O58</f>
        <v>837.27223598773116</v>
      </c>
      <c r="Q68" s="40"/>
      <c r="R68" s="120"/>
      <c r="S68" s="115"/>
      <c r="T68" s="116"/>
      <c r="U68" s="125"/>
      <c r="V68" s="118"/>
      <c r="W68" s="67"/>
      <c r="X68" s="82"/>
      <c r="Y68" s="83"/>
      <c r="Z68" s="84"/>
      <c r="AB68" s="171"/>
    </row>
    <row r="69" spans="1:28" x14ac:dyDescent="0.3">
      <c r="A69" s="192">
        <v>66</v>
      </c>
      <c r="B69" s="161">
        <f t="shared" si="10"/>
        <v>23.699999999999982</v>
      </c>
      <c r="C69" s="157">
        <f t="shared" si="11"/>
        <v>1.6900000000000013</v>
      </c>
      <c r="D69" s="168">
        <f t="shared" si="12"/>
        <v>26.368978923744876</v>
      </c>
      <c r="F69" s="170">
        <f t="shared" si="15"/>
        <v>1608.5077143484375</v>
      </c>
      <c r="G69" s="86"/>
      <c r="H69" s="31"/>
      <c r="I69" s="71"/>
      <c r="J69" s="33">
        <f>F69-I58</f>
        <v>1338.5377061637021</v>
      </c>
      <c r="K69" s="40"/>
      <c r="L69" s="35">
        <f t="shared" si="16"/>
        <v>1031.0946886848958</v>
      </c>
      <c r="M69" s="87"/>
      <c r="N69" s="238"/>
      <c r="O69" s="239"/>
      <c r="P69" s="240">
        <f>L69-O58</f>
        <v>858.03699113057814</v>
      </c>
      <c r="Q69" s="40"/>
      <c r="R69" s="120"/>
      <c r="S69" s="115"/>
      <c r="T69" s="116"/>
      <c r="U69" s="125"/>
      <c r="V69" s="118"/>
      <c r="W69" s="67"/>
      <c r="X69" s="82"/>
      <c r="Y69" s="83"/>
      <c r="Z69" s="84"/>
      <c r="AB69" s="171"/>
    </row>
    <row r="70" spans="1:28" x14ac:dyDescent="0.3">
      <c r="A70" s="192">
        <v>67</v>
      </c>
      <c r="B70" s="161">
        <f t="shared" si="10"/>
        <v>23.899999999999981</v>
      </c>
      <c r="C70" s="157">
        <f t="shared" si="11"/>
        <v>1.7000000000000013</v>
      </c>
      <c r="D70" s="168">
        <f t="shared" si="12"/>
        <v>26.907125325836493</v>
      </c>
      <c r="F70" s="170">
        <f t="shared" si="15"/>
        <v>1641.334644876026</v>
      </c>
      <c r="G70" s="86"/>
      <c r="H70" s="31"/>
      <c r="I70" s="71"/>
      <c r="J70" s="33">
        <f>F70-I58</f>
        <v>1371.3646366912906</v>
      </c>
      <c r="K70" s="40"/>
      <c r="L70" s="35">
        <f t="shared" si="16"/>
        <v>1052.1375928692473</v>
      </c>
      <c r="M70" s="87"/>
      <c r="N70" s="238"/>
      <c r="O70" s="239"/>
      <c r="P70" s="240">
        <f>L70-O58</f>
        <v>879.07989531492967</v>
      </c>
      <c r="Q70" s="40"/>
      <c r="R70" s="120"/>
      <c r="S70" s="115"/>
      <c r="T70" s="116"/>
      <c r="U70" s="125"/>
      <c r="V70" s="118"/>
      <c r="W70" s="67"/>
      <c r="X70" s="82"/>
      <c r="Y70" s="83"/>
      <c r="Z70" s="84"/>
      <c r="AB70" s="171"/>
    </row>
    <row r="71" spans="1:28" x14ac:dyDescent="0.3">
      <c r="A71" s="192">
        <v>68</v>
      </c>
      <c r="B71" s="161">
        <f t="shared" si="10"/>
        <v>24.09999999999998</v>
      </c>
      <c r="C71" s="157">
        <f t="shared" si="11"/>
        <v>1.7100000000000013</v>
      </c>
      <c r="D71" s="168">
        <f t="shared" si="12"/>
        <v>27.452431794576768</v>
      </c>
      <c r="F71" s="170">
        <f t="shared" si="15"/>
        <v>1674.5983394691827</v>
      </c>
      <c r="G71" s="86"/>
      <c r="H71" s="31"/>
      <c r="I71" s="71"/>
      <c r="J71" s="33">
        <f>F71-I58</f>
        <v>1404.6283312844473</v>
      </c>
      <c r="K71" s="40"/>
      <c r="L71" s="35">
        <f t="shared" si="16"/>
        <v>1073.4604740187069</v>
      </c>
      <c r="M71" s="87"/>
      <c r="N71" s="238"/>
      <c r="O71" s="239"/>
      <c r="P71" s="240">
        <f>L71-O58</f>
        <v>900.40277646438926</v>
      </c>
      <c r="Q71" s="40"/>
      <c r="R71" s="120"/>
      <c r="S71" s="115"/>
      <c r="T71" s="116"/>
      <c r="U71" s="125"/>
      <c r="V71" s="118"/>
      <c r="W71" s="67"/>
      <c r="X71" s="82"/>
      <c r="Y71" s="83"/>
      <c r="Z71" s="84"/>
      <c r="AB71" s="171"/>
    </row>
    <row r="72" spans="1:28" x14ac:dyDescent="0.3">
      <c r="A72" s="192">
        <v>69</v>
      </c>
      <c r="B72" s="161">
        <f t="shared" si="10"/>
        <v>24.299999999999979</v>
      </c>
      <c r="C72" s="157">
        <f t="shared" si="11"/>
        <v>1.7200000000000013</v>
      </c>
      <c r="D72" s="168">
        <f t="shared" si="12"/>
        <v>28.004945076864367</v>
      </c>
      <c r="F72" s="170">
        <f t="shared" si="15"/>
        <v>1708.3016496887265</v>
      </c>
      <c r="G72" s="86"/>
      <c r="H72" s="31"/>
      <c r="I72" s="71"/>
      <c r="J72" s="33">
        <f>F72-I58</f>
        <v>1438.331641503991</v>
      </c>
      <c r="K72" s="40"/>
      <c r="L72" s="35">
        <f t="shared" si="16"/>
        <v>1095.0651600568758</v>
      </c>
      <c r="M72" s="87"/>
      <c r="N72" s="238"/>
      <c r="O72" s="239"/>
      <c r="P72" s="240">
        <f>L72-O58</f>
        <v>922.00746250255816</v>
      </c>
      <c r="Q72" s="40"/>
      <c r="R72" s="120"/>
      <c r="S72" s="115"/>
      <c r="T72" s="116"/>
      <c r="U72" s="125"/>
      <c r="V72" s="118"/>
      <c r="W72" s="67"/>
      <c r="X72" s="82"/>
      <c r="Y72" s="83"/>
      <c r="Z72" s="84"/>
      <c r="AB72" s="171"/>
    </row>
    <row r="73" spans="1:28" ht="15" thickBot="1" x14ac:dyDescent="0.35">
      <c r="A73" s="192">
        <v>70</v>
      </c>
      <c r="B73" s="3">
        <f t="shared" si="10"/>
        <v>24.499999999999979</v>
      </c>
      <c r="C73" s="4">
        <f t="shared" si="11"/>
        <v>1.7300000000000013</v>
      </c>
      <c r="D73" s="169">
        <f t="shared" si="12"/>
        <v>28.564711919597993</v>
      </c>
      <c r="F73" s="170">
        <f t="shared" si="15"/>
        <v>1742.4474270954777</v>
      </c>
      <c r="G73" s="182">
        <v>1</v>
      </c>
      <c r="H73" s="31">
        <f>G73*(F73-I58)</f>
        <v>1472.4774189107422</v>
      </c>
      <c r="I73" s="183">
        <f>H73+I58</f>
        <v>1742.4474270954777</v>
      </c>
      <c r="J73" s="184">
        <f t="shared" ref="J73" si="17">F73-I73</f>
        <v>0</v>
      </c>
      <c r="K73" s="40"/>
      <c r="L73" s="35">
        <f t="shared" si="16"/>
        <v>1116.9534789073575</v>
      </c>
      <c r="M73" s="87">
        <v>1</v>
      </c>
      <c r="N73" s="238">
        <f>M73*(L73-O58)</f>
        <v>943.89578135303987</v>
      </c>
      <c r="O73" s="242">
        <f>N73+O58</f>
        <v>1116.9534789073575</v>
      </c>
      <c r="P73" s="243">
        <f t="shared" ref="P73" si="18">L73-O73</f>
        <v>0</v>
      </c>
      <c r="Q73" s="40"/>
      <c r="R73" s="120">
        <f>N73*50%</f>
        <v>471.94789067651993</v>
      </c>
      <c r="S73" s="115">
        <f>H73-N73</f>
        <v>528.58163755770238</v>
      </c>
      <c r="T73" s="116">
        <f>R73*50%</f>
        <v>235.97394533825997</v>
      </c>
      <c r="U73" s="125">
        <v>8</v>
      </c>
      <c r="V73" s="118">
        <f t="shared" si="9"/>
        <v>1887.7915627060797</v>
      </c>
      <c r="W73" s="67"/>
      <c r="X73" s="99">
        <f>N73*50%</f>
        <v>471.94789067651993</v>
      </c>
      <c r="Y73" s="100">
        <v>40</v>
      </c>
      <c r="Z73" s="101">
        <f t="shared" ref="Z73" si="19">X73*Y73</f>
        <v>18877.915627060796</v>
      </c>
      <c r="AB73" s="171">
        <f t="shared" ref="AB73" si="20">V73+Z73</f>
        <v>20765.707189766876</v>
      </c>
    </row>
    <row r="74" spans="1:28" ht="15" thickBot="1" x14ac:dyDescent="0.35">
      <c r="A74" s="195"/>
      <c r="F74" s="135"/>
      <c r="G74" s="103"/>
      <c r="H74" s="103"/>
      <c r="I74" s="103"/>
      <c r="J74" s="147"/>
      <c r="K74" s="40"/>
      <c r="L74" s="103"/>
      <c r="M74" s="103"/>
      <c r="N74" s="103"/>
      <c r="O74" s="103"/>
      <c r="P74" s="104"/>
      <c r="Q74" s="40"/>
      <c r="R74" s="122"/>
      <c r="S74" s="122"/>
      <c r="T74" s="107"/>
      <c r="U74" s="14"/>
      <c r="V74" s="123"/>
      <c r="W74" s="124"/>
      <c r="X74" s="122"/>
      <c r="Y74" s="14"/>
      <c r="Z74" s="15"/>
      <c r="AB74" s="88"/>
    </row>
    <row r="75" spans="1:28" x14ac:dyDescent="0.3">
      <c r="A75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Calcul RE 30 ans</vt:lpstr>
      <vt:lpstr>Calcul RE durée révolution</vt:lpstr>
      <vt:lpstr>Production Chêne</vt:lpstr>
      <vt:lpstr>Production Noyer</vt:lpstr>
      <vt:lpstr>Production Cormier</vt:lpstr>
      <vt:lpstr>Production Alisier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emilie Parthuisot</dc:creator>
  <cp:lastModifiedBy>emilie Parthuisot</cp:lastModifiedBy>
  <dcterms:created xsi:type="dcterms:W3CDTF">2021-03-24T14:06:17Z</dcterms:created>
  <dcterms:modified xsi:type="dcterms:W3CDTF">2021-04-20T13:19:15Z</dcterms:modified>
</cp:coreProperties>
</file>