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Contrats NIF/Contrats NIF - Propriétaires/2BOTH-121 - L. Dunoyer de Segonzac - Bothané/Administration/Label Bas Carbone/Avril 2022/"/>
    </mc:Choice>
  </mc:AlternateContent>
  <xr:revisionPtr revIDLastSave="33" documentId="8_{0E1ED566-C939-42D5-929B-2FC282667B71}" xr6:coauthVersionLast="47" xr6:coauthVersionMax="47" xr10:uidLastSave="{4483122F-44D3-4CA4-8979-FF18A789858C}"/>
  <bookViews>
    <workbookView xWindow="-108" yWindow="-108" windowWidth="23256" windowHeight="12576" tabRatio="647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0" i="6" l="1"/>
  <c r="H76" i="6"/>
  <c r="H77" i="6" s="1"/>
  <c r="H78" i="6" s="1"/>
  <c r="H79" i="6" s="1"/>
  <c r="H66" i="6"/>
  <c r="H67" i="6"/>
  <c r="H68" i="6"/>
  <c r="H69" i="6" s="1"/>
  <c r="H70" i="6" s="1"/>
  <c r="H71" i="6" s="1"/>
  <c r="H72" i="6" s="1"/>
  <c r="H73" i="6" s="1"/>
  <c r="H74" i="6" s="1"/>
  <c r="H75" i="6" s="1"/>
  <c r="E175" i="6" l="1"/>
  <c r="E173" i="6"/>
  <c r="E142" i="6"/>
  <c r="E111" i="6"/>
  <c r="E80" i="6"/>
  <c r="E51" i="6"/>
  <c r="E49" i="6"/>
  <c r="E18" i="6"/>
  <c r="H22" i="6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4" i="6" s="1"/>
  <c r="H35" i="6" s="1"/>
  <c r="H36" i="6" s="1"/>
  <c r="H37" i="6" s="1"/>
  <c r="H38" i="6" s="1"/>
  <c r="H39" i="6" s="1"/>
  <c r="H40" i="6" s="1"/>
  <c r="H41" i="6" s="1"/>
  <c r="H42" i="6" s="1"/>
  <c r="H43" i="6" s="1"/>
  <c r="H44" i="6" s="1"/>
  <c r="H45" i="6" s="1"/>
  <c r="H46" i="6" s="1"/>
  <c r="H47" i="6" s="1"/>
  <c r="H48" i="6" s="1"/>
  <c r="H49" i="6" s="1"/>
  <c r="H50" i="6" s="1"/>
  <c r="H51" i="6" s="1"/>
  <c r="H52" i="6" s="1"/>
  <c r="H53" i="6" s="1"/>
  <c r="H54" i="6" s="1"/>
  <c r="H55" i="6" s="1"/>
  <c r="H56" i="6" s="1"/>
  <c r="H57" i="6" s="1"/>
  <c r="H58" i="6" s="1"/>
  <c r="H59" i="6" s="1"/>
  <c r="H60" i="6" s="1"/>
  <c r="H61" i="6" s="1"/>
  <c r="H62" i="6" s="1"/>
  <c r="H63" i="6" s="1"/>
  <c r="H64" i="6" s="1"/>
  <c r="H65" i="6" s="1"/>
  <c r="I21" i="6"/>
  <c r="H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P67" i="6" l="1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CM4" i="2" l="1"/>
  <c r="EC4" i="2"/>
  <c r="GL4" i="2"/>
  <c r="FR4" i="2"/>
  <c r="BQ4" i="2"/>
  <c r="EA4" i="2"/>
  <c r="EX4" i="2"/>
  <c r="HI4" i="2"/>
  <c r="FQ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HI5" i="2" s="1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I6" i="2" s="1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C6" i="2" l="1"/>
  <c r="EA6" i="2"/>
  <c r="FR6" i="2"/>
  <c r="HH6" i="2"/>
  <c r="EV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FS7" i="2"/>
  <c r="EB7" i="2"/>
  <c r="EV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FS8" i="2" l="1"/>
  <c r="EC8" i="2"/>
  <c r="HG8" i="2"/>
  <c r="EX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A10" i="2"/>
  <c r="HH10" i="2"/>
  <c r="EB10" i="2"/>
  <c r="HG10" i="2"/>
  <c r="FS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EX11" i="2" s="1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HG11" i="2"/>
  <c r="EC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FS12" i="2" l="1"/>
  <c r="EV12" i="2"/>
  <c r="HI12" i="2"/>
  <c r="EW12" i="2"/>
  <c r="HH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I13" i="2" s="1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HI14" i="2"/>
  <c r="HG14" i="2"/>
  <c r="EB14" i="2"/>
  <c r="HH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V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FS16" i="2" l="1"/>
  <c r="HH16" i="2"/>
  <c r="EX16" i="2"/>
  <c r="HI16" i="2"/>
  <c r="EC16" i="2"/>
  <c r="EA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EC17" i="2" l="1"/>
  <c r="EX17" i="2"/>
  <c r="HI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V18" i="2"/>
  <c r="EW18" i="2"/>
  <c r="EC18" i="2"/>
  <c r="EX18" i="2"/>
  <c r="FS18" i="2"/>
  <c r="EA18" i="2"/>
  <c r="HG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EC19" i="2" l="1"/>
  <c r="FS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H20" i="2"/>
  <c r="HG20" i="2"/>
  <c r="EC20" i="2"/>
  <c r="HI20" i="2"/>
  <c r="EW20" i="2"/>
  <c r="EV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EB21" i="2"/>
  <c r="EV21" i="2"/>
  <c r="HH21" i="2"/>
  <c r="EW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EA22" i="2"/>
  <c r="HI22" i="2"/>
  <c r="EW22" i="2"/>
  <c r="HG22" i="2"/>
  <c r="EB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I24" i="2" s="1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H24" i="2"/>
  <c r="FR24" i="2"/>
  <c r="EW24" i="2"/>
  <c r="HG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FS25" i="2" l="1"/>
  <c r="EC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X28" i="2"/>
  <c r="HI28" i="2"/>
  <c r="EV28" i="2"/>
  <c r="EB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X30" i="2" l="1"/>
  <c r="HI30" i="2"/>
  <c r="EV30" i="2"/>
  <c r="EB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HG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FS32" i="2" s="1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C32" i="2" l="1"/>
  <c r="EX32" i="2"/>
  <c r="HI32" i="2"/>
  <c r="HH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GN34" i="2" l="1"/>
  <c r="EW34" i="2"/>
  <c r="CM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EB35" i="2"/>
  <c r="EA35" i="2"/>
  <c r="HI35" i="2"/>
  <c r="FQ35" i="2"/>
  <c r="HH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Q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HI37" i="2" s="1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HG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I39" i="2" s="1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FS40" i="2" s="1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HI40" i="2"/>
  <c r="HG40" i="2"/>
  <c r="HH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HI41" i="2" s="1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C42" i="2"/>
  <c r="EA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FS43" i="2" s="1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HI44" i="2" s="1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X45" i="2"/>
  <c r="HG45" i="2"/>
  <c r="EB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FS46" i="2"/>
  <c r="HG46" i="2"/>
  <c r="EW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EC47" i="2"/>
  <c r="FS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FS48" i="2" s="1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EX48" i="2"/>
  <c r="HH48" i="2"/>
  <c r="HG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X49" i="2" l="1"/>
  <c r="HI49" i="2"/>
  <c r="EC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EW50" i="2"/>
  <c r="HG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FS51" i="2" l="1"/>
  <c r="HI51" i="2"/>
  <c r="EA51" i="2"/>
  <c r="EB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C52" i="2"/>
  <c r="HI52" i="2"/>
  <c r="EB52" i="2"/>
  <c r="EX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A53" i="2"/>
  <c r="HG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FS55" i="2" s="1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A55" i="2" l="1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HG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EC57" i="2" s="1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I57" i="2"/>
  <c r="EB57" i="2"/>
  <c r="EV57" i="2"/>
  <c r="HH57" i="2"/>
  <c r="HG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FS58" i="2"/>
  <c r="EA58" i="2"/>
  <c r="EX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EX59" i="2" s="1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FS59" i="2"/>
  <c r="HI59" i="2"/>
  <c r="EC59" i="2"/>
  <c r="EB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EC60" i="2"/>
  <c r="FS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EX61" i="2"/>
  <c r="EA61" i="2"/>
  <c r="EV61" i="2"/>
  <c r="FS61" i="2"/>
  <c r="EW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I63" i="2" s="1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HI64" i="2" s="1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C64" i="2"/>
  <c r="HH64" i="2"/>
  <c r="EA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FS65" i="2" l="1"/>
  <c r="EX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H67" i="2"/>
  <c r="EV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EX68" i="2" l="1"/>
  <c r="FS68" i="2"/>
  <c r="HI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FS69" i="2"/>
  <c r="EC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EB70" i="2"/>
  <c r="FS70" i="2"/>
  <c r="HI70" i="2"/>
  <c r="EW70" i="2"/>
  <c r="HG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I71" i="2" s="1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EX71" i="2" s="1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FS71" i="2"/>
  <c r="EW71" i="2"/>
  <c r="HH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EB72" i="2"/>
  <c r="HH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HI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FS74" i="2"/>
  <c r="EW74" i="2"/>
  <c r="HG74" i="2"/>
  <c r="FR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I75" i="2" l="1"/>
  <c r="FS75" i="2"/>
  <c r="EB75" i="2"/>
  <c r="EX75" i="2"/>
  <c r="HG75" i="2"/>
  <c r="EA75" i="2"/>
  <c r="HH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HI76" i="2" s="1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X77" i="2" l="1"/>
  <c r="EA77" i="2"/>
  <c r="EW77" i="2"/>
  <c r="FS77" i="2"/>
  <c r="HI77" i="2"/>
  <c r="EB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HI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EX79" i="2" s="1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B79" i="2"/>
  <c r="HH79" i="2"/>
  <c r="HG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HG80" i="2"/>
  <c r="FS80" i="2"/>
  <c r="HH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C82" i="2" l="1"/>
  <c r="HH82" i="2"/>
  <c r="HG82" i="2"/>
  <c r="EV82" i="2"/>
  <c r="EX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C83" i="2" l="1"/>
  <c r="EX83" i="2"/>
  <c r="HI83" i="2"/>
  <c r="EV83" i="2"/>
  <c r="EW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HG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S85" i="2" s="1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I85" i="2"/>
  <c r="HH85" i="2"/>
  <c r="EV85" i="2"/>
  <c r="EW85" i="2"/>
  <c r="HG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X86" i="2"/>
  <c r="FS86" i="2"/>
  <c r="EA86" i="2"/>
  <c r="EB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FS87" i="2" l="1"/>
  <c r="HI87" i="2"/>
  <c r="EA87" i="2"/>
  <c r="EB87" i="2"/>
  <c r="HG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HG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EX89" i="2" l="1"/>
  <c r="FS89" i="2"/>
  <c r="EC89" i="2"/>
  <c r="HG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EX91" i="2" s="1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HI91" i="2" l="1"/>
  <c r="EA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FS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EX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HI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FS94" i="2" l="1"/>
  <c r="HG94" i="2"/>
  <c r="EC94" i="2"/>
  <c r="EX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S95" i="2" s="1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I95" i="2"/>
  <c r="FQ95" i="2"/>
  <c r="EB95" i="2"/>
  <c r="HG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FQ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EC97" i="2" l="1"/>
  <c r="HI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EC98" i="2"/>
  <c r="HI98" i="2"/>
  <c r="EW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FL99" i="2"/>
  <c r="FC99" i="2"/>
  <c r="FW99" i="2"/>
  <c r="FM99" i="2"/>
  <c r="FS99" i="2" s="1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EX99" i="2" s="1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I102" i="2" s="1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EX103" i="2" s="1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C104" i="2"/>
  <c r="HI104" i="2"/>
  <c r="EW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EX105" i="2"/>
  <c r="HH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HG106" i="2"/>
  <c r="EB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I107" i="2" s="1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G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X108" i="2"/>
  <c r="EB108" i="2"/>
  <c r="EA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HI109" i="2" s="1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C109" i="2"/>
  <c r="EB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I110" i="2"/>
  <c r="HG110" i="2"/>
  <c r="EB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S111" i="2" s="1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EX111" i="2" s="1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AW111" i="2" l="1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C112" i="2"/>
  <c r="FQ112" i="2"/>
  <c r="EX112" i="2"/>
  <c r="EB112" i="2"/>
  <c r="HI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C113" i="2"/>
  <c r="EX113" i="2"/>
  <c r="EW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EW114" i="2"/>
  <c r="HG114" i="2"/>
  <c r="EV114" i="2"/>
  <c r="HH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C115" i="2" l="1"/>
  <c r="FS115" i="2"/>
  <c r="HI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HI116" i="2"/>
  <c r="EV116" i="2"/>
  <c r="HG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C117" i="2"/>
  <c r="EX117" i="2"/>
  <c r="EA117" i="2"/>
  <c r="HG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I118" i="2" s="1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HH118" i="2"/>
  <c r="FQ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I119" i="2"/>
  <c r="HG119" i="2"/>
  <c r="FR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EC120" i="2"/>
  <c r="HI120" i="2"/>
  <c r="HH120" i="2"/>
  <c r="FQ120" i="2"/>
  <c r="FR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HH122" i="2"/>
  <c r="EW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EC123" i="2" l="1"/>
  <c r="HH123" i="2"/>
  <c r="FS123" i="2"/>
  <c r="HI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EW124" i="2"/>
  <c r="HH124" i="2"/>
  <c r="HI124" i="2"/>
  <c r="HG124" i="2"/>
  <c r="EX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HI125" i="2"/>
  <c r="EC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I126" i="2"/>
  <c r="EA126" i="2"/>
  <c r="HG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C127" i="2"/>
  <c r="FS127" i="2"/>
  <c r="EV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FS128" i="2"/>
  <c r="EX128" i="2"/>
  <c r="EB128" i="2"/>
  <c r="EV128" i="2"/>
  <c r="HG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HI129" i="2"/>
  <c r="EV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FS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EX131" i="2" s="1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C131" i="2" l="1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HG132" i="2"/>
  <c r="FS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HH133" i="2"/>
  <c r="EV133" i="2"/>
  <c r="EW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EC134" i="2" s="1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HI135" i="2"/>
  <c r="EA135" i="2"/>
  <c r="FS135" i="2"/>
  <c r="EW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I136" i="2" s="1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EC136" i="2" l="1"/>
  <c r="FS136" i="2"/>
  <c r="EX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V138" i="2"/>
  <c r="EC138" i="2"/>
  <c r="EB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EX139" i="2" s="1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FS139" i="2"/>
  <c r="HI139" i="2"/>
  <c r="HH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I140" i="2"/>
  <c r="HG140" i="2"/>
  <c r="FS140" i="2"/>
  <c r="EX140" i="2"/>
  <c r="EB140" i="2"/>
  <c r="FR140" i="2"/>
  <c r="HH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I141" i="2"/>
  <c r="EX141" i="2"/>
  <c r="EA141" i="2"/>
  <c r="HH141" i="2"/>
  <c r="EB141" i="2"/>
  <c r="HG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I142" i="2" l="1"/>
  <c r="EC142" i="2"/>
  <c r="EW142" i="2"/>
  <c r="FS142" i="2"/>
  <c r="HG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FS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I144" i="2"/>
  <c r="HG144" i="2"/>
  <c r="EX144" i="2"/>
  <c r="EB144" i="2"/>
  <c r="HH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HI145" i="2"/>
  <c r="HG145" i="2"/>
  <c r="EB145" i="2"/>
  <c r="HH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HH146" i="2"/>
  <c r="HI146" i="2"/>
  <c r="FR146" i="2"/>
  <c r="HG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EX148" i="2" l="1"/>
  <c r="HI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C149" i="2"/>
  <c r="EX149" i="2"/>
  <c r="HG149" i="2"/>
  <c r="HH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EC150" i="2"/>
  <c r="HG150" i="2"/>
  <c r="EV150" i="2"/>
  <c r="FS150" i="2"/>
  <c r="HH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C151" i="2"/>
  <c r="EV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FS152" i="2" s="1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HI152" i="2"/>
  <c r="EB152" i="2"/>
  <c r="EV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EA153" i="2"/>
  <c r="EB153" i="2"/>
  <c r="EX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B154" i="2"/>
  <c r="EX154" i="2"/>
  <c r="HG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I155" i="2" s="1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AC154" i="2"/>
  <c r="EC155" i="2"/>
  <c r="EA155" i="2"/>
  <c r="EW155" i="2"/>
  <c r="HG155" i="2"/>
  <c r="EX155" i="2"/>
  <c r="HH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B156" i="2" l="1"/>
  <c r="EX156" i="2"/>
  <c r="DH156" i="2"/>
  <c r="ED155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FS157" i="2" s="1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EC157" i="2"/>
  <c r="EX157" i="2"/>
  <c r="HH157" i="2"/>
  <c r="EB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EX159" i="2" s="1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H159" i="2"/>
  <c r="FS159" i="2"/>
  <c r="EA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G160" i="2"/>
  <c r="DG160" i="2"/>
  <c r="EC160" i="2"/>
  <c r="EX160" i="2"/>
  <c r="HH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A161" i="2" l="1"/>
  <c r="ED160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C162" i="2"/>
  <c r="DI161" i="2"/>
  <c r="HG162" i="2"/>
  <c r="FS162" i="2"/>
  <c r="EB162" i="2"/>
  <c r="HH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HH163" i="2"/>
  <c r="EB163" i="2"/>
  <c r="HG163" i="2"/>
  <c r="EA163" i="2"/>
  <c r="EV163" i="2"/>
  <c r="FS163" i="2"/>
  <c r="EC163" i="2"/>
  <c r="HI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FR164" i="2"/>
  <c r="DH164" i="2"/>
  <c r="EC164" i="2"/>
  <c r="EA164" i="2"/>
  <c r="HI164" i="2"/>
  <c r="EX164" i="2"/>
  <c r="EV164" i="2"/>
  <c r="FS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B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HG166" i="2"/>
  <c r="EX166" i="2"/>
  <c r="HI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EC167" i="2"/>
  <c r="FR167" i="2"/>
  <c r="DG167" i="2"/>
  <c r="HH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V168" i="2"/>
  <c r="HH168" i="2"/>
  <c r="DG168" i="2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HI169" i="2"/>
  <c r="EA169" i="2"/>
  <c r="FS169" i="2"/>
  <c r="HH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EX170" i="2"/>
  <c r="HI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EX171" i="2"/>
  <c r="HI171" i="2"/>
  <c r="EC171" i="2"/>
  <c r="FS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D171" i="2"/>
  <c r="EV172" i="2"/>
  <c r="EA172" i="2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HH173" i="2"/>
  <c r="HI173" i="2"/>
  <c r="EX173" i="2"/>
  <c r="EB173" i="2"/>
  <c r="EC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ED174" i="2"/>
  <c r="EC175" i="2"/>
  <c r="EA175" i="2"/>
  <c r="HI175" i="2"/>
  <c r="EX175" i="2"/>
  <c r="EB175" i="2"/>
  <c r="FS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FS176" i="2"/>
  <c r="HH176" i="2"/>
  <c r="EX176" i="2"/>
  <c r="EB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C177" i="2"/>
  <c r="EX177" i="2"/>
  <c r="FS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HG178" i="2"/>
  <c r="FS178" i="2"/>
  <c r="EB178" i="2"/>
  <c r="ED177" i="2"/>
  <c r="EX178" i="2"/>
  <c r="FQ178" i="2"/>
  <c r="EA178" i="2"/>
  <c r="ED178" i="2" s="1"/>
  <c r="HI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V179" i="2" l="1"/>
  <c r="DF179" i="2"/>
  <c r="EA179" i="2"/>
  <c r="EX179" i="2"/>
  <c r="HI179" i="2"/>
  <c r="HG179" i="2"/>
  <c r="FS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HI180" i="2"/>
  <c r="EX180" i="2"/>
  <c r="EC180" i="2"/>
  <c r="HG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C181" i="2"/>
  <c r="HG181" i="2"/>
  <c r="EV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EX183" i="2" s="1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FS183" i="2"/>
  <c r="EB183" i="2"/>
  <c r="HI183" i="2"/>
  <c r="EA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FS184" i="2" s="1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X184" i="2" l="1"/>
  <c r="HI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HH185" i="2"/>
  <c r="EW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D185" i="2"/>
  <c r="FR186" i="2"/>
  <c r="HH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I187" i="2" s="1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EX187" i="2" s="1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EB187" i="2"/>
  <c r="HG187" i="2"/>
  <c r="HH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FS188" i="2" s="1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B189" i="2" l="1"/>
  <c r="EV189" i="2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C191" i="2"/>
  <c r="HH191" i="2"/>
  <c r="EX191" i="2"/>
  <c r="HG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B192" i="2"/>
  <c r="EW192" i="2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CN193" i="2"/>
  <c r="EB194" i="2"/>
  <c r="EA194" i="2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B195" i="2"/>
  <c r="EA195" i="2"/>
  <c r="FQ195" i="2"/>
  <c r="HG195" i="2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HG199" i="2"/>
  <c r="FS199" i="2"/>
  <c r="EA199" i="2"/>
  <c r="HI199" i="2"/>
  <c r="HH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C200" i="2" l="1"/>
  <c r="EX200" i="2"/>
  <c r="HI200" i="2"/>
  <c r="FS200" i="2"/>
  <c r="EW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 l="1"/>
  <c r="HG201" i="2"/>
  <c r="DI200" i="2"/>
  <c r="HI201" i="2"/>
  <c r="EA201" i="2"/>
  <c r="EB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153" i="2" a="1"/>
  <c r="DN153" i="2" s="1"/>
  <c r="DN115" i="2" a="1"/>
  <c r="DN115" i="2" s="1"/>
  <c r="DN86" i="2" a="1"/>
  <c r="DN86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88" i="2" l="1" a="1"/>
  <c r="DN188" i="2" s="1"/>
  <c r="DN170" i="2" a="1"/>
  <c r="DN170" i="2" s="1"/>
  <c r="DN152" i="2" a="1"/>
  <c r="DN152" i="2" s="1"/>
  <c r="DN124" i="2" a="1"/>
  <c r="DN124" i="2" s="1"/>
  <c r="DN177" i="2" a="1"/>
  <c r="DN177" i="2" s="1"/>
  <c r="DN50" i="2" a="1"/>
  <c r="DN50" i="2" s="1"/>
  <c r="DN186" i="2" a="1"/>
  <c r="DN186" i="2" s="1"/>
  <c r="DN25" i="2" a="1"/>
  <c r="DN25" i="2" s="1"/>
  <c r="DN155" i="2" a="1"/>
  <c r="DN155" i="2" s="1"/>
  <c r="DN56" i="2" a="1"/>
  <c r="DN56" i="2" s="1"/>
  <c r="DN129" i="2" a="1"/>
  <c r="DN129" i="2" s="1"/>
  <c r="DN184" i="2" a="1"/>
  <c r="DN184" i="2" s="1"/>
  <c r="DN43" i="2" a="1"/>
  <c r="DN43" i="2" s="1"/>
  <c r="DN113" i="2" a="1"/>
  <c r="DN113" i="2" s="1"/>
  <c r="DN29" i="2" a="1"/>
  <c r="DN29" i="2" s="1"/>
  <c r="DN137" i="2" a="1"/>
  <c r="DN137" i="2" s="1"/>
  <c r="EX203" i="2"/>
  <c r="BP203" i="2"/>
  <c r="HI203" i="2"/>
  <c r="EC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I203" i="2" s="1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CD60" i="2" l="1"/>
  <c r="CD195" i="2"/>
  <c r="CD108" i="2"/>
  <c r="CD156" i="2"/>
  <c r="CD14" i="2"/>
  <c r="CD71" i="2"/>
  <c r="CD120" i="2"/>
  <c r="CD155" i="2"/>
  <c r="CD55" i="2"/>
  <c r="CD43" i="2"/>
  <c r="CD104" i="2"/>
  <c r="CD40" i="2"/>
  <c r="CD63" i="2"/>
  <c r="CD107" i="2"/>
  <c r="CD99" i="2"/>
  <c r="CD175" i="2"/>
  <c r="CD48" i="2"/>
  <c r="CD68" i="2"/>
  <c r="CD114" i="2"/>
  <c r="CD23" i="2"/>
  <c r="CD28" i="2"/>
  <c r="CD119" i="2"/>
  <c r="CD85" i="2"/>
  <c r="CD24" i="2"/>
  <c r="CD198" i="2"/>
  <c r="CD106" i="2"/>
  <c r="CD36" i="2"/>
  <c r="CD141" i="2"/>
  <c r="CD111" i="2"/>
  <c r="CD91" i="2"/>
  <c r="CD124" i="2"/>
  <c r="CD185" i="2"/>
  <c r="CD199" i="2"/>
  <c r="CD58" i="2"/>
  <c r="CD50" i="2"/>
  <c r="CD32" i="2"/>
  <c r="CD89" i="2"/>
  <c r="CD54" i="2"/>
  <c r="CD67" i="2"/>
  <c r="CD202" i="2"/>
  <c r="CD158" i="2"/>
  <c r="CD18" i="2"/>
  <c r="CD174" i="2"/>
  <c r="CD148" i="2"/>
  <c r="CD78" i="2"/>
  <c r="CD20" i="2"/>
  <c r="CD92" i="2"/>
  <c r="CD138" i="2"/>
  <c r="CD19" i="2"/>
  <c r="CD146" i="2"/>
  <c r="CD123" i="2"/>
  <c r="CD53" i="2"/>
  <c r="CD112" i="2"/>
  <c r="CD139" i="2"/>
  <c r="CD157" i="2"/>
  <c r="CD12" i="2"/>
  <c r="CD144" i="2"/>
  <c r="CD90" i="2"/>
  <c r="CD57" i="2"/>
  <c r="CD34" i="2"/>
  <c r="CD147" i="2"/>
  <c r="CD115" i="2"/>
  <c r="CD46" i="2"/>
  <c r="CD116" i="2"/>
  <c r="CD10" i="2"/>
  <c r="CD153" i="2"/>
  <c r="CD186" i="2"/>
  <c r="CD27" i="2"/>
  <c r="CD4" i="2"/>
  <c r="CD197" i="2"/>
  <c r="CD130" i="2"/>
  <c r="CD35" i="2"/>
  <c r="CD166" i="2"/>
  <c r="CD118" i="2"/>
  <c r="CD82" i="2"/>
  <c r="CD194" i="2"/>
  <c r="CD65" i="2"/>
  <c r="CD80" i="2"/>
  <c r="CD69" i="2"/>
  <c r="CD8" i="2"/>
  <c r="CD31" i="2"/>
  <c r="CD196" i="2"/>
  <c r="CD41" i="2"/>
  <c r="CD135" i="2"/>
  <c r="CD49" i="2"/>
  <c r="CD183" i="2"/>
  <c r="CD51" i="2"/>
  <c r="CD44" i="2"/>
  <c r="CD168" i="2"/>
  <c r="CD159" i="2"/>
  <c r="CD188" i="2"/>
  <c r="CD140" i="2"/>
  <c r="CD86" i="2"/>
  <c r="CD73" i="2"/>
  <c r="CD201" i="2"/>
  <c r="CD84" i="2"/>
  <c r="CD145" i="2"/>
  <c r="CD94" i="2"/>
  <c r="CD81" i="2"/>
  <c r="CD173" i="2"/>
  <c r="CD177" i="2"/>
  <c r="CD126" i="2"/>
  <c r="CD17" i="2"/>
  <c r="CD136" i="2"/>
  <c r="CD169" i="2"/>
  <c r="CD79" i="2"/>
  <c r="CD95" i="2"/>
  <c r="CD125" i="2"/>
  <c r="CD180" i="2"/>
  <c r="CD88" i="2"/>
  <c r="CD132" i="2"/>
  <c r="CD16" i="2"/>
  <c r="CD97" i="2"/>
  <c r="CD42" i="2"/>
  <c r="CD9" i="2"/>
  <c r="CD151" i="2"/>
  <c r="CD154" i="2"/>
  <c r="CD200" i="2"/>
  <c r="CD6" i="2"/>
  <c r="CD66" i="2"/>
  <c r="CD122" i="2"/>
  <c r="CD45" i="2"/>
  <c r="CD72" i="2"/>
  <c r="CD3" i="2"/>
  <c r="C9" i="4" s="1"/>
  <c r="E9" i="4" s="1"/>
  <c r="F9" i="4" s="1"/>
  <c r="G9" i="4" s="1"/>
  <c r="L9" i="4" s="1"/>
  <c r="CD150" i="2"/>
  <c r="CD76" i="2"/>
  <c r="CD127" i="2"/>
  <c r="CD30" i="2"/>
  <c r="CD70" i="2"/>
  <c r="CD29" i="2"/>
  <c r="CD181" i="2"/>
  <c r="CD64" i="2"/>
  <c r="CD179" i="2"/>
  <c r="CD131" i="2"/>
  <c r="CD109" i="2"/>
  <c r="CD59" i="2"/>
  <c r="CD98" i="2"/>
  <c r="CD129" i="2"/>
  <c r="CD74" i="2"/>
  <c r="CD62" i="2"/>
  <c r="CD142" i="2"/>
  <c r="CD167" i="2"/>
  <c r="CD171" i="2"/>
  <c r="CD102" i="2"/>
  <c r="CD164" i="2"/>
  <c r="CD113" i="2"/>
  <c r="CD38" i="2"/>
  <c r="CD193" i="2"/>
  <c r="CD133" i="2"/>
  <c r="CD103" i="2"/>
  <c r="CD190" i="2"/>
  <c r="CD87" i="2"/>
  <c r="CD15" i="2"/>
  <c r="CD52" i="2"/>
  <c r="CD149" i="2"/>
  <c r="CD162" i="2"/>
  <c r="CD105" i="2"/>
  <c r="CD170" i="2"/>
  <c r="CD7" i="2"/>
  <c r="CD100" i="2"/>
  <c r="CD13" i="2"/>
  <c r="CD5" i="2"/>
  <c r="CD121" i="2"/>
  <c r="CD47" i="2"/>
  <c r="CD25" i="2"/>
  <c r="CD56" i="2"/>
  <c r="CD93" i="2"/>
  <c r="CD163" i="2"/>
  <c r="CD178" i="2"/>
  <c r="CD21" i="2"/>
  <c r="CD172" i="2"/>
  <c r="CD161" i="2"/>
  <c r="CD61" i="2"/>
  <c r="CD137" i="2"/>
  <c r="CD117" i="2"/>
  <c r="CD203" i="2"/>
  <c r="CD152" i="2"/>
  <c r="CD160" i="2"/>
  <c r="CD191" i="2"/>
  <c r="CD192" i="2"/>
  <c r="CD110" i="2"/>
  <c r="CD189" i="2"/>
  <c r="CD128" i="2"/>
  <c r="CD165" i="2"/>
  <c r="CD176" i="2"/>
  <c r="CD184" i="2"/>
  <c r="CD26" i="2"/>
  <c r="CD182" i="2"/>
  <c r="CD37" i="2"/>
  <c r="CD75" i="2"/>
  <c r="CD33" i="2"/>
  <c r="CD143" i="2"/>
  <c r="CD96" i="2"/>
  <c r="CD22" i="2"/>
  <c r="CD83" i="2"/>
  <c r="CD77" i="2"/>
  <c r="CD101" i="2"/>
  <c r="CD187" i="2"/>
  <c r="CD134" i="2"/>
  <c r="CD39" i="2"/>
  <c r="CD11" i="2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T23" i="6" l="1"/>
  <c r="T25" i="6" s="1"/>
  <c r="T26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tc={7A9501D0-F8B0-4795-B422-A488FE85996B}</author>
    <author>tc={51645C3E-FEFA-4C06-9B03-D21D3873194C}</author>
  </authors>
  <commentList>
    <comment ref="I20" authorId="0" shapeId="0" xr:uid="{7A9501D0-F8B0-4795-B422-A488FE85996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Cout plantation + suivi</t>
      </text>
    </comment>
    <comment ref="I21" authorId="1" shapeId="0" xr:uid="{51645C3E-FEFA-4C06-9B03-D21D3873194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Cout Maitrise d'oeuvre + suivi</t>
      </text>
    </comment>
  </commentList>
</comments>
</file>

<file path=xl/sharedStrings.xml><?xml version="1.0" encoding="utf-8"?>
<sst xmlns="http://schemas.openxmlformats.org/spreadsheetml/2006/main" count="1171" uniqueCount="322">
  <si>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</si>
  <si>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</si>
  <si>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</si>
  <si>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</si>
  <si>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</si>
  <si>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</si>
  <si>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</si>
  <si>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</si>
  <si>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</si>
  <si>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</si>
  <si>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</si>
  <si>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</si>
  <si>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</si>
  <si>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</si>
  <si>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</si>
  <si>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</si>
  <si>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</si>
  <si>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</si>
  <si>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</si>
  <si>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</si>
  <si>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</si>
  <si>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</si>
  <si>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</si>
  <si>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</si>
  <si>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</si>
  <si>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</si>
  <si>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</si>
  <si>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</si>
  <si>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</si>
  <si>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</si>
  <si>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</si>
  <si>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</si>
  <si>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</si>
  <si>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</si>
  <si>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</si>
  <si>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</si>
  <si>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</si>
  <si>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</si>
  <si>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</si>
  <si>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</si>
  <si>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</si>
  <si>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</si>
  <si>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</si>
  <si>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</si>
  <si>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</si>
  <si>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</si>
  <si>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</si>
  <si>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</si>
  <si>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</si>
  <si>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</si>
  <si>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</si>
  <si>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</si>
  <si>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</si>
  <si>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</si>
  <si>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</si>
  <si>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</si>
  <si>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</si>
  <si>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</si>
  <si>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</si>
  <si>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</si>
  <si>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</si>
  <si>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</si>
  <si>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</si>
  <si>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</si>
  <si>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</si>
  <si>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</si>
  <si>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</si>
  <si>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</si>
  <si>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</si>
  <si>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</si>
  <si>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</si>
  <si>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</si>
  <si>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</si>
  <si>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</si>
  <si>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</si>
  <si>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</si>
  <si>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</si>
  <si>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</si>
  <si>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</si>
  <si>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</si>
  <si>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</si>
  <si>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</si>
  <si>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</si>
  <si>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</si>
  <si>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</si>
  <si>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</si>
  <si>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</si>
  <si>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</si>
  <si>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</si>
  <si>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</si>
  <si>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</si>
  <si>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</si>
  <si>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</si>
  <si>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</si>
  <si>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</si>
  <si>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</si>
  <si>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</si>
  <si>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</si>
  <si>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</si>
  <si>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</si>
  <si>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</si>
  <si>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</si>
  <si>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</si>
  <si>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</si>
  <si>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</si>
  <si>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</si>
  <si>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</si>
  <si>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</si>
  <si>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</si>
  <si>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</si>
  <si>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</si>
  <si>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</si>
  <si>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</si>
  <si>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</si>
  <si>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</si>
  <si>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</si>
  <si>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</si>
  <si>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</si>
  <si>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</si>
  <si>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</si>
  <si>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</si>
  <si>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</si>
  <si>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</si>
  <si>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</si>
  <si>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</si>
  <si>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</si>
  <si>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</si>
  <si>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</si>
  <si>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</si>
  <si>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</si>
  <si>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</si>
  <si>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</si>
  <si>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</si>
  <si>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</si>
  <si>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</si>
  <si>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</si>
  <si>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</si>
  <si>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</si>
  <si>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</si>
  <si>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</si>
  <si>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</si>
  <si>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</si>
  <si>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</si>
  <si>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</si>
  <si>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</si>
  <si>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</si>
  <si>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</si>
  <si>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</si>
  <si>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</si>
  <si>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</si>
  <si>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</si>
  <si>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</si>
  <si>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</si>
  <si>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</si>
  <si>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</si>
  <si>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</si>
  <si>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</si>
  <si>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</si>
  <si>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</si>
  <si>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</si>
  <si>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</si>
  <si>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</si>
  <si>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</si>
  <si>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</si>
  <si>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</si>
  <si>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</si>
  <si>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</si>
  <si>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</si>
  <si>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</si>
  <si>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</si>
  <si>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</si>
  <si>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</si>
  <si>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</si>
  <si>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</si>
  <si>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</si>
  <si>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</si>
  <si>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</si>
  <si>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</si>
  <si>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</si>
  <si>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</si>
  <si>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</si>
  <si>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</si>
  <si>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</si>
  <si>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</si>
  <si>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</si>
  <si>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</si>
  <si>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</si>
  <si>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</si>
  <si>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</si>
  <si>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</si>
  <si>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</si>
  <si>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</si>
  <si>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</si>
  <si>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</si>
  <si>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</si>
  <si>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</si>
  <si>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</si>
  <si>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</si>
  <si>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</si>
  <si>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</si>
  <si>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</si>
  <si>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</si>
  <si>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</si>
  <si>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</si>
  <si>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</si>
  <si>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</si>
  <si>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</si>
  <si>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</si>
  <si>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</si>
  <si>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</si>
  <si>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</si>
  <si>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</si>
  <si>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</si>
  <si>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</si>
  <si>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</si>
  <si>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</si>
  <si>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</si>
  <si>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</si>
  <si>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</si>
  <si>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</si>
  <si>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</si>
  <si>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</si>
  <si>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</si>
  <si>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</si>
  <si>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</si>
  <si>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</si>
  <si>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</si>
  <si>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</si>
  <si>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</si>
  <si>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</si>
  <si>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</si>
  <si>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</si>
  <si>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</si>
  <si>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</si>
  <si>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</si>
  <si>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</si>
  <si>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</si>
  <si>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</si>
  <si>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</si>
  <si>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</si>
  <si>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</si>
  <si>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</si>
  <si>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</si>
  <si>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</si>
  <si>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</si>
  <si>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</si>
  <si>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</si>
  <si>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</si>
  <si>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</si>
  <si>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</si>
  <si>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</si>
  <si>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</si>
  <si>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</si>
  <si>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</si>
  <si>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</si>
  <si>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</si>
  <si>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</si>
  <si>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</si>
  <si>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</si>
  <si>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</si>
  <si>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</si>
  <si>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</si>
  <si>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</si>
  <si>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</si>
  <si>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</si>
  <si>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</si>
  <si>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</si>
  <si>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</si>
  <si>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</si>
  <si>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</si>
  <si>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</si>
  <si>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</si>
  <si>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</si>
  <si>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</si>
  <si>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</si>
  <si>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</si>
  <si>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</si>
  <si>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</si>
  <si>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</si>
  <si>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</si>
  <si>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</si>
  <si>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</si>
  <si>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</si>
  <si>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</si>
  <si>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</si>
  <si>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</si>
  <si>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</si>
  <si>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</si>
  <si>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</si>
  <si>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</si>
  <si>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</si>
  <si>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</si>
  <si>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</si>
  <si>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</si>
  <si>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</si>
  <si>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</si>
  <si>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</si>
  <si>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</si>
  <si>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</si>
  <si>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</si>
  <si>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</si>
  <si>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</si>
  <si>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</si>
  <si>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</si>
  <si>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</si>
  <si>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</si>
  <si>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</si>
  <si>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</si>
  <si>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</si>
  <si>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</si>
  <si>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</si>
  <si>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</si>
  <si>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</si>
  <si>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</si>
  <si>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</si>
  <si>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</si>
  <si>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</si>
  <si>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</si>
  <si>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</si>
  <si>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</si>
  <si>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</si>
  <si>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2BOTH-121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</si>
</sst>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1.798593949207703</c:v>
                </c:pt>
                <c:pt idx="2">
                  <c:v>2.2256540279235608</c:v>
                </c:pt>
                <c:pt idx="3">
                  <c:v>2.7545128358231423</c:v>
                </c:pt>
                <c:pt idx="4">
                  <c:v>3.4095257388585782</c:v>
                </c:pt>
                <c:pt idx="5">
                  <c:v>4.2208952223887648</c:v>
                </c:pt>
                <c:pt idx="6">
                  <c:v>5.2260791338936876</c:v>
                </c:pt>
                <c:pt idx="7">
                  <c:v>6.4715390940870243</c:v>
                </c:pt>
                <c:pt idx="8">
                  <c:v>8.0149114684794363</c:v>
                </c:pt>
                <c:pt idx="9">
                  <c:v>9.927703296904788</c:v>
                </c:pt>
                <c:pt idx="10">
                  <c:v>12.298640452364912</c:v>
                </c:pt>
                <c:pt idx="11">
                  <c:v>15.237826229911176</c:v>
                </c:pt>
                <c:pt idx="12">
                  <c:v>18.88190702830537</c:v>
                </c:pt>
                <c:pt idx="13">
                  <c:v>23.400489619998314</c:v>
                </c:pt>
                <c:pt idx="14">
                  <c:v>29.004113995961465</c:v>
                </c:pt>
                <c:pt idx="15">
                  <c:v>35.954159767859231</c:v>
                </c:pt>
                <c:pt idx="16">
                  <c:v>44.575156154015268</c:v>
                </c:pt>
                <c:pt idx="17">
                  <c:v>55.270080077532498</c:v>
                </c:pt>
                <c:pt idx="18">
                  <c:v>68.539369353982067</c:v>
                </c:pt>
                <c:pt idx="19">
                  <c:v>85.004555175285915</c:v>
                </c:pt>
                <c:pt idx="20">
                  <c:v>105.43763861202622</c:v>
                </c:pt>
                <c:pt idx="21">
                  <c:v>130.79761024819999</c:v>
                </c:pt>
                <c:pt idx="22">
                  <c:v>162.27585351475153</c:v>
                </c:pt>
                <c:pt idx="23">
                  <c:v>201.35259721650723</c:v>
                </c:pt>
                <c:pt idx="24">
                  <c:v>249.86711159083032</c:v>
                </c:pt>
                <c:pt idx="25">
                  <c:v>310.10500044645312</c:v>
                </c:pt>
                <c:pt idx="26">
                  <c:v>263.02087901561271</c:v>
                </c:pt>
                <c:pt idx="27">
                  <c:v>286.67021485790582</c:v>
                </c:pt>
                <c:pt idx="28">
                  <c:v>310.27590864650665</c:v>
                </c:pt>
                <c:pt idx="29">
                  <c:v>333.84174556627698</c:v>
                </c:pt>
                <c:pt idx="30">
                  <c:v>357.37093282892039</c:v>
                </c:pt>
                <c:pt idx="31">
                  <c:v>380.86622096643327</c:v>
                </c:pt>
                <c:pt idx="32">
                  <c:v>404.32999360363414</c:v>
                </c:pt>
                <c:pt idx="33">
                  <c:v>333.67111403204058</c:v>
                </c:pt>
                <c:pt idx="34">
                  <c:v>357.20055648716988</c:v>
                </c:pt>
                <c:pt idx="35">
                  <c:v>380.69608129889815</c:v>
                </c:pt>
                <c:pt idx="36">
                  <c:v>404.16007448469958</c:v>
                </c:pt>
                <c:pt idx="37">
                  <c:v>427.59462255942753</c:v>
                </c:pt>
                <c:pt idx="38">
                  <c:v>451.00156481987352</c:v>
                </c:pt>
                <c:pt idx="39">
                  <c:v>474.38253420761703</c:v>
                </c:pt>
                <c:pt idx="40">
                  <c:v>401.9509850645498</c:v>
                </c:pt>
                <c:pt idx="41">
                  <c:v>424.53954501187883</c:v>
                </c:pt>
                <c:pt idx="42">
                  <c:v>447.10225323882634</c:v>
                </c:pt>
                <c:pt idx="43">
                  <c:v>469.6405967298063</c:v>
                </c:pt>
                <c:pt idx="44">
                  <c:v>492.15590821168718</c:v>
                </c:pt>
                <c:pt idx="45">
                  <c:v>514.64938862406336</c:v>
                </c:pt>
                <c:pt idx="46">
                  <c:v>537.1221254578071</c:v>
                </c:pt>
                <c:pt idx="47">
                  <c:v>456.25601907533405</c:v>
                </c:pt>
                <c:pt idx="48">
                  <c:v>477.26107481583023</c:v>
                </c:pt>
                <c:pt idx="49">
                  <c:v>498.24647653872233</c:v>
                </c:pt>
                <c:pt idx="50">
                  <c:v>519.21316784377643</c:v>
                </c:pt>
                <c:pt idx="51">
                  <c:v>540.16200996781845</c:v>
                </c:pt>
                <c:pt idx="52">
                  <c:v>561.09379195392091</c:v>
                </c:pt>
                <c:pt idx="53">
                  <c:v>582.00923922497179</c:v>
                </c:pt>
                <c:pt idx="54">
                  <c:v>506.87208815769242</c:v>
                </c:pt>
                <c:pt idx="55">
                  <c:v>526.31070153853602</c:v>
                </c:pt>
                <c:pt idx="56">
                  <c:v>545.73419984050929</c:v>
                </c:pt>
                <c:pt idx="57">
                  <c:v>565.14319633657283</c:v>
                </c:pt>
                <c:pt idx="58">
                  <c:v>584.53825877411907</c:v>
                </c:pt>
                <c:pt idx="59">
                  <c:v>603.91991418357372</c:v>
                </c:pt>
                <c:pt idx="60">
                  <c:v>623.28865303799364</c:v>
                </c:pt>
                <c:pt idx="61">
                  <c:v>525.80380205834774</c:v>
                </c:pt>
                <c:pt idx="62">
                  <c:v>542.86382775995639</c:v>
                </c:pt>
                <c:pt idx="63">
                  <c:v>559.91260066689722</c:v>
                </c:pt>
                <c:pt idx="64">
                  <c:v>576.95051144926185</c:v>
                </c:pt>
                <c:pt idx="65">
                  <c:v>593.9779258369382</c:v>
                </c:pt>
                <c:pt idx="66">
                  <c:v>610.99518689574109</c:v>
                </c:pt>
                <c:pt idx="67">
                  <c:v>628.00261703693161</c:v>
                </c:pt>
                <c:pt idx="68">
                  <c:v>4.959485612423072E-12</c:v>
                </c:pt>
                <c:pt idx="69">
                  <c:v>4.959485612423072E-12</c:v>
                </c:pt>
                <c:pt idx="70">
                  <c:v>4.959485612423072E-12</c:v>
                </c:pt>
                <c:pt idx="71">
                  <c:v>4.959485612423072E-12</c:v>
                </c:pt>
                <c:pt idx="72">
                  <c:v>4.959485612423072E-12</c:v>
                </c:pt>
                <c:pt idx="73">
                  <c:v>4.959485612423072E-12</c:v>
                </c:pt>
                <c:pt idx="74">
                  <c:v>4.959485612423072E-12</c:v>
                </c:pt>
                <c:pt idx="75">
                  <c:v>4.959485612423072E-12</c:v>
                </c:pt>
                <c:pt idx="76">
                  <c:v>4.959485612423072E-12</c:v>
                </c:pt>
                <c:pt idx="77">
                  <c:v>4.959485612423072E-12</c:v>
                </c:pt>
                <c:pt idx="78">
                  <c:v>4.959485612423072E-12</c:v>
                </c:pt>
                <c:pt idx="79">
                  <c:v>4.959485612423072E-12</c:v>
                </c:pt>
                <c:pt idx="80">
                  <c:v>4.959485612423072E-12</c:v>
                </c:pt>
                <c:pt idx="81">
                  <c:v>4.959485612423072E-12</c:v>
                </c:pt>
                <c:pt idx="82">
                  <c:v>4.959485612423072E-12</c:v>
                </c:pt>
                <c:pt idx="83">
                  <c:v>4.959485612423072E-12</c:v>
                </c:pt>
                <c:pt idx="84">
                  <c:v>4.959485612423072E-12</c:v>
                </c:pt>
                <c:pt idx="85">
                  <c:v>4.959485612423072E-12</c:v>
                </c:pt>
                <c:pt idx="86">
                  <c:v>4.959485612423072E-12</c:v>
                </c:pt>
                <c:pt idx="87">
                  <c:v>4.959485612423072E-12</c:v>
                </c:pt>
                <c:pt idx="88">
                  <c:v>4.959485612423072E-12</c:v>
                </c:pt>
                <c:pt idx="89">
                  <c:v>4.959485612423072E-12</c:v>
                </c:pt>
                <c:pt idx="90">
                  <c:v>4.959485612423072E-12</c:v>
                </c:pt>
                <c:pt idx="91">
                  <c:v>4.959485612423072E-12</c:v>
                </c:pt>
                <c:pt idx="92">
                  <c:v>4.959485612423072E-12</c:v>
                </c:pt>
                <c:pt idx="93">
                  <c:v>4.959485612423072E-12</c:v>
                </c:pt>
                <c:pt idx="94">
                  <c:v>4.959485612423072E-12</c:v>
                </c:pt>
                <c:pt idx="95">
                  <c:v>4.959485612423072E-12</c:v>
                </c:pt>
                <c:pt idx="96">
                  <c:v>4.959485612423072E-12</c:v>
                </c:pt>
                <c:pt idx="97">
                  <c:v>4.959485612423072E-12</c:v>
                </c:pt>
                <c:pt idx="98">
                  <c:v>4.959485612423072E-12</c:v>
                </c:pt>
                <c:pt idx="99">
                  <c:v>4.959485612423072E-12</c:v>
                </c:pt>
                <c:pt idx="100">
                  <c:v>4.959485612423072E-12</c:v>
                </c:pt>
                <c:pt idx="101">
                  <c:v>4.959485612423072E-12</c:v>
                </c:pt>
                <c:pt idx="102">
                  <c:v>4.959485612423072E-12</c:v>
                </c:pt>
                <c:pt idx="103">
                  <c:v>4.959485612423072E-12</c:v>
                </c:pt>
                <c:pt idx="104">
                  <c:v>4.959485612423072E-12</c:v>
                </c:pt>
                <c:pt idx="105">
                  <c:v>4.959485612423072E-12</c:v>
                </c:pt>
                <c:pt idx="106">
                  <c:v>4.959485612423072E-12</c:v>
                </c:pt>
                <c:pt idx="107">
                  <c:v>4.959485612423072E-12</c:v>
                </c:pt>
                <c:pt idx="108">
                  <c:v>4.959485612423072E-12</c:v>
                </c:pt>
                <c:pt idx="109">
                  <c:v>4.959485612423072E-12</c:v>
                </c:pt>
                <c:pt idx="110">
                  <c:v>4.959485612423072E-12</c:v>
                </c:pt>
                <c:pt idx="111">
                  <c:v>4.959485612423072E-12</c:v>
                </c:pt>
                <c:pt idx="112">
                  <c:v>4.959485612423072E-12</c:v>
                </c:pt>
                <c:pt idx="113">
                  <c:v>4.959485612423072E-12</c:v>
                </c:pt>
                <c:pt idx="114">
                  <c:v>4.959485612423072E-12</c:v>
                </c:pt>
                <c:pt idx="115">
                  <c:v>4.959485612423072E-12</c:v>
                </c:pt>
                <c:pt idx="116">
                  <c:v>4.959485612423072E-12</c:v>
                </c:pt>
                <c:pt idx="117">
                  <c:v>4.959485612423072E-12</c:v>
                </c:pt>
                <c:pt idx="118">
                  <c:v>4.959485612423072E-12</c:v>
                </c:pt>
                <c:pt idx="119">
                  <c:v>4.959485612423072E-12</c:v>
                </c:pt>
                <c:pt idx="120">
                  <c:v>4.959485612423072E-12</c:v>
                </c:pt>
                <c:pt idx="121">
                  <c:v>4.959485612423072E-12</c:v>
                </c:pt>
                <c:pt idx="122">
                  <c:v>4.959485612423072E-12</c:v>
                </c:pt>
                <c:pt idx="123">
                  <c:v>4.959485612423072E-12</c:v>
                </c:pt>
                <c:pt idx="124">
                  <c:v>4.959485612423072E-12</c:v>
                </c:pt>
                <c:pt idx="125">
                  <c:v>4.959485612423072E-12</c:v>
                </c:pt>
                <c:pt idx="126">
                  <c:v>4.959485612423072E-12</c:v>
                </c:pt>
                <c:pt idx="127">
                  <c:v>4.959485612423072E-12</c:v>
                </c:pt>
                <c:pt idx="128">
                  <c:v>4.959485612423072E-12</c:v>
                </c:pt>
                <c:pt idx="129">
                  <c:v>4.959485612423072E-12</c:v>
                </c:pt>
                <c:pt idx="130">
                  <c:v>4.959485612423072E-12</c:v>
                </c:pt>
                <c:pt idx="131">
                  <c:v>4.959485612423072E-12</c:v>
                </c:pt>
                <c:pt idx="132">
                  <c:v>4.959485612423072E-12</c:v>
                </c:pt>
                <c:pt idx="133">
                  <c:v>4.959485612423072E-12</c:v>
                </c:pt>
                <c:pt idx="134">
                  <c:v>4.959485612423072E-12</c:v>
                </c:pt>
                <c:pt idx="135">
                  <c:v>4.959485612423072E-12</c:v>
                </c:pt>
                <c:pt idx="136">
                  <c:v>4.959485612423072E-12</c:v>
                </c:pt>
                <c:pt idx="137">
                  <c:v>4.959485612423072E-12</c:v>
                </c:pt>
                <c:pt idx="138">
                  <c:v>4.959485612423072E-12</c:v>
                </c:pt>
                <c:pt idx="139">
                  <c:v>4.959485612423072E-12</c:v>
                </c:pt>
                <c:pt idx="140">
                  <c:v>4.959485612423072E-12</c:v>
                </c:pt>
                <c:pt idx="141">
                  <c:v>4.959485612423072E-12</c:v>
                </c:pt>
                <c:pt idx="142">
                  <c:v>4.959485612423072E-12</c:v>
                </c:pt>
                <c:pt idx="143">
                  <c:v>4.959485612423072E-12</c:v>
                </c:pt>
                <c:pt idx="144">
                  <c:v>4.959485612423072E-12</c:v>
                </c:pt>
                <c:pt idx="145">
                  <c:v>4.959485612423072E-12</c:v>
                </c:pt>
                <c:pt idx="146">
                  <c:v>4.959485612423072E-12</c:v>
                </c:pt>
                <c:pt idx="147">
                  <c:v>4.959485612423072E-12</c:v>
                </c:pt>
                <c:pt idx="148">
                  <c:v>4.959485612423072E-12</c:v>
                </c:pt>
                <c:pt idx="149">
                  <c:v>4.959485612423072E-12</c:v>
                </c:pt>
                <c:pt idx="150">
                  <c:v>4.959485612423072E-12</c:v>
                </c:pt>
                <c:pt idx="151">
                  <c:v>4.959485612423072E-12</c:v>
                </c:pt>
                <c:pt idx="152">
                  <c:v>4.959485612423072E-12</c:v>
                </c:pt>
                <c:pt idx="153">
                  <c:v>4.959485612423072E-12</c:v>
                </c:pt>
                <c:pt idx="154">
                  <c:v>4.959485612423072E-12</c:v>
                </c:pt>
                <c:pt idx="155">
                  <c:v>4.959485612423072E-12</c:v>
                </c:pt>
                <c:pt idx="156">
                  <c:v>4.959485612423072E-12</c:v>
                </c:pt>
                <c:pt idx="157">
                  <c:v>4.959485612423072E-12</c:v>
                </c:pt>
                <c:pt idx="158">
                  <c:v>4.959485612423072E-12</c:v>
                </c:pt>
                <c:pt idx="159">
                  <c:v>4.959485612423072E-12</c:v>
                </c:pt>
                <c:pt idx="160">
                  <c:v>4.959485612423072E-12</c:v>
                </c:pt>
                <c:pt idx="161">
                  <c:v>4.959485612423072E-12</c:v>
                </c:pt>
                <c:pt idx="162">
                  <c:v>4.959485612423072E-12</c:v>
                </c:pt>
                <c:pt idx="163">
                  <c:v>4.959485612423072E-12</c:v>
                </c:pt>
                <c:pt idx="164">
                  <c:v>4.959485612423072E-12</c:v>
                </c:pt>
                <c:pt idx="165">
                  <c:v>4.959485612423072E-12</c:v>
                </c:pt>
                <c:pt idx="166">
                  <c:v>4.959485612423072E-12</c:v>
                </c:pt>
                <c:pt idx="167">
                  <c:v>4.959485612423072E-12</c:v>
                </c:pt>
                <c:pt idx="168">
                  <c:v>4.959485612423072E-12</c:v>
                </c:pt>
                <c:pt idx="169">
                  <c:v>4.959485612423072E-12</c:v>
                </c:pt>
                <c:pt idx="170">
                  <c:v>4.959485612423072E-12</c:v>
                </c:pt>
                <c:pt idx="171">
                  <c:v>4.959485612423072E-12</c:v>
                </c:pt>
                <c:pt idx="172">
                  <c:v>4.959485612423072E-12</c:v>
                </c:pt>
                <c:pt idx="173">
                  <c:v>4.959485612423072E-12</c:v>
                </c:pt>
                <c:pt idx="174">
                  <c:v>4.959485612423072E-12</c:v>
                </c:pt>
                <c:pt idx="175">
                  <c:v>4.959485612423072E-12</c:v>
                </c:pt>
                <c:pt idx="176">
                  <c:v>4.959485612423072E-12</c:v>
                </c:pt>
                <c:pt idx="177">
                  <c:v>4.959485612423072E-12</c:v>
                </c:pt>
                <c:pt idx="178">
                  <c:v>4.959485612423072E-12</c:v>
                </c:pt>
                <c:pt idx="179">
                  <c:v>4.959485612423072E-12</c:v>
                </c:pt>
                <c:pt idx="180">
                  <c:v>4.959485612423072E-12</c:v>
                </c:pt>
                <c:pt idx="181">
                  <c:v>4.959485612423072E-12</c:v>
                </c:pt>
                <c:pt idx="182">
                  <c:v>4.959485612423072E-12</c:v>
                </c:pt>
                <c:pt idx="183">
                  <c:v>4.959485612423072E-12</c:v>
                </c:pt>
                <c:pt idx="184">
                  <c:v>4.959485612423072E-12</c:v>
                </c:pt>
                <c:pt idx="185">
                  <c:v>4.959485612423072E-12</c:v>
                </c:pt>
                <c:pt idx="186">
                  <c:v>4.959485612423072E-12</c:v>
                </c:pt>
                <c:pt idx="187">
                  <c:v>4.959485612423072E-12</c:v>
                </c:pt>
                <c:pt idx="188">
                  <c:v>4.959485612423072E-12</c:v>
                </c:pt>
                <c:pt idx="189">
                  <c:v>4.959485612423072E-12</c:v>
                </c:pt>
                <c:pt idx="190">
                  <c:v>4.959485612423072E-12</c:v>
                </c:pt>
                <c:pt idx="191">
                  <c:v>4.959485612423072E-12</c:v>
                </c:pt>
                <c:pt idx="192">
                  <c:v>4.959485612423072E-12</c:v>
                </c:pt>
                <c:pt idx="193">
                  <c:v>4.959485612423072E-12</c:v>
                </c:pt>
                <c:pt idx="194">
                  <c:v>4.959485612423072E-12</c:v>
                </c:pt>
                <c:pt idx="195">
                  <c:v>4.959485612423072E-12</c:v>
                </c:pt>
                <c:pt idx="196">
                  <c:v>4.959485612423072E-12</c:v>
                </c:pt>
                <c:pt idx="197">
                  <c:v>4.959485612423072E-12</c:v>
                </c:pt>
                <c:pt idx="198">
                  <c:v>4.959485612423072E-12</c:v>
                </c:pt>
                <c:pt idx="199">
                  <c:v>4.959485612423072E-12</c:v>
                </c:pt>
                <c:pt idx="200">
                  <c:v>4.959485612423072E-12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2.6362004899839522</c:v>
                </c:pt>
                <c:pt idx="2">
                  <c:v>3.1113355690778319</c:v>
                </c:pt>
                <c:pt idx="3">
                  <c:v>3.6724213861736565</c:v>
                </c:pt>
                <c:pt idx="4">
                  <c:v>4.3350600043859746</c:v>
                </c:pt>
                <c:pt idx="5">
                  <c:v>5.1176947812290496</c:v>
                </c:pt>
                <c:pt idx="6">
                  <c:v>6.0421293503780928</c:v>
                </c:pt>
                <c:pt idx="7">
                  <c:v>7.1341416615920217</c:v>
                </c:pt>
                <c:pt idx="8">
                  <c:v>8.424210534188374</c:v>
                </c:pt>
                <c:pt idx="9">
                  <c:v>9.9483753922110427</c:v>
                </c:pt>
                <c:pt idx="10">
                  <c:v>11.74925365475179</c:v>
                </c:pt>
                <c:pt idx="11">
                  <c:v>13.877244762281551</c:v>
                </c:pt>
                <c:pt idx="12">
                  <c:v>16.391955159092486</c:v>
                </c:pt>
                <c:pt idx="13">
                  <c:v>19.363884876850936</c:v>
                </c:pt>
                <c:pt idx="14">
                  <c:v>22.876423857103713</c:v>
                </c:pt>
                <c:pt idx="15">
                  <c:v>27.028215027423755</c:v>
                </c:pt>
                <c:pt idx="16">
                  <c:v>31.935951662815665</c:v>
                </c:pt>
                <c:pt idx="17">
                  <c:v>37.737689024580021</c:v>
                </c:pt>
                <c:pt idx="18">
                  <c:v>44.596765032879482</c:v>
                </c:pt>
                <c:pt idx="19">
                  <c:v>52.7064422232962</c:v>
                </c:pt>
                <c:pt idx="20">
                  <c:v>62.295403967361686</c:v>
                </c:pt>
                <c:pt idx="21">
                  <c:v>73.634262501806887</c:v>
                </c:pt>
                <c:pt idx="22">
                  <c:v>87.043265421768922</c:v>
                </c:pt>
                <c:pt idx="23">
                  <c:v>102.90142179192226</c:v>
                </c:pt>
                <c:pt idx="24">
                  <c:v>121.6573099153705</c:v>
                </c:pt>
                <c:pt idx="25">
                  <c:v>143.84187725747665</c:v>
                </c:pt>
                <c:pt idx="26">
                  <c:v>170.08360045486725</c:v>
                </c:pt>
                <c:pt idx="27">
                  <c:v>201.12644141364623</c:v>
                </c:pt>
                <c:pt idx="28">
                  <c:v>237.85111618971357</c:v>
                </c:pt>
                <c:pt idx="29">
                  <c:v>281.30028898910126</c:v>
                </c:pt>
                <c:pt idx="30">
                  <c:v>253.19901096127504</c:v>
                </c:pt>
                <c:pt idx="31">
                  <c:v>274.81546096669371</c:v>
                </c:pt>
                <c:pt idx="32">
                  <c:v>296.39371850976755</c:v>
                </c:pt>
                <c:pt idx="33">
                  <c:v>317.93695392844546</c:v>
                </c:pt>
                <c:pt idx="34">
                  <c:v>339.44787284177949</c:v>
                </c:pt>
                <c:pt idx="35">
                  <c:v>315.3813692185883</c:v>
                </c:pt>
                <c:pt idx="36">
                  <c:v>334.45568573997866</c:v>
                </c:pt>
                <c:pt idx="37">
                  <c:v>353.50604121858942</c:v>
                </c:pt>
                <c:pt idx="38">
                  <c:v>372.53390804235238</c:v>
                </c:pt>
                <c:pt idx="39">
                  <c:v>391.54059595731172</c:v>
                </c:pt>
                <c:pt idx="40">
                  <c:v>410.52727721949122</c:v>
                </c:pt>
                <c:pt idx="41">
                  <c:v>429.49500685020001</c:v>
                </c:pt>
                <c:pt idx="42">
                  <c:v>448.44473912647305</c:v>
                </c:pt>
                <c:pt idx="43">
                  <c:v>386.00587885260944</c:v>
                </c:pt>
                <c:pt idx="44">
                  <c:v>411.2705493966983</c:v>
                </c:pt>
                <c:pt idx="45">
                  <c:v>436.50173032375602</c:v>
                </c:pt>
                <c:pt idx="46">
                  <c:v>461.70162769615814</c:v>
                </c:pt>
                <c:pt idx="47">
                  <c:v>486.87218731052076</c:v>
                </c:pt>
                <c:pt idx="48">
                  <c:v>512.01513754296764</c:v>
                </c:pt>
                <c:pt idx="49">
                  <c:v>537.13202334184496</c:v>
                </c:pt>
                <c:pt idx="50">
                  <c:v>562.22423353342549</c:v>
                </c:pt>
                <c:pt idx="51">
                  <c:v>437.54557086783967</c:v>
                </c:pt>
                <c:pt idx="52">
                  <c:v>460.40411338215495</c:v>
                </c:pt>
                <c:pt idx="53">
                  <c:v>483.23844157610097</c:v>
                </c:pt>
                <c:pt idx="54">
                  <c:v>506.04985953638578</c:v>
                </c:pt>
                <c:pt idx="55">
                  <c:v>528.8395442917448</c:v>
                </c:pt>
                <c:pt idx="56">
                  <c:v>551.60856324457643</c:v>
                </c:pt>
                <c:pt idx="57">
                  <c:v>574.35788857601642</c:v>
                </c:pt>
                <c:pt idx="58">
                  <c:v>597.08840925132006</c:v>
                </c:pt>
                <c:pt idx="59">
                  <c:v>619.80094110320726</c:v>
                </c:pt>
                <c:pt idx="60">
                  <c:v>642.49623536140291</c:v>
                </c:pt>
                <c:pt idx="61">
                  <c:v>665.17498591529204</c:v>
                </c:pt>
                <c:pt idx="62">
                  <c:v>687.83783553547198</c:v>
                </c:pt>
                <c:pt idx="63">
                  <c:v>680.54191249602673</c:v>
                </c:pt>
                <c:pt idx="64">
                  <c:v>701.73592702625103</c:v>
                </c:pt>
                <c:pt idx="65">
                  <c:v>722.91684830824988</c:v>
                </c:pt>
                <c:pt idx="66">
                  <c:v>744.08511352656251</c:v>
                </c:pt>
                <c:pt idx="67">
                  <c:v>765.24113299255896</c:v>
                </c:pt>
                <c:pt idx="68">
                  <c:v>786.38529250844852</c:v>
                </c:pt>
                <c:pt idx="69">
                  <c:v>807.51795546410449</c:v>
                </c:pt>
                <c:pt idx="70">
                  <c:v>828.63946470324436</c:v>
                </c:pt>
                <c:pt idx="71">
                  <c:v>849.75014418967828</c:v>
                </c:pt>
                <c:pt idx="72">
                  <c:v>870.85030049957822</c:v>
                </c:pt>
                <c:pt idx="73">
                  <c:v>891.94022416178871</c:v>
                </c:pt>
                <c:pt idx="74">
                  <c:v>913.02019086494977</c:v>
                </c:pt>
                <c:pt idx="75">
                  <c:v>934.09046254749762</c:v>
                </c:pt>
                <c:pt idx="76">
                  <c:v>955.151288384341</c:v>
                </c:pt>
                <c:pt idx="77">
                  <c:v>976.20290568211578</c:v>
                </c:pt>
                <c:pt idx="78">
                  <c:v>997.24554069331555</c:v>
                </c:pt>
                <c:pt idx="79">
                  <c:v>846.67288095972606</c:v>
                </c:pt>
                <c:pt idx="80">
                  <c:v>846.67288095972606</c:v>
                </c:pt>
                <c:pt idx="81">
                  <c:v>846.67288095972606</c:v>
                </c:pt>
                <c:pt idx="82">
                  <c:v>846.67288095972606</c:v>
                </c:pt>
                <c:pt idx="83">
                  <c:v>846.67288095972606</c:v>
                </c:pt>
                <c:pt idx="84">
                  <c:v>846.67288095972606</c:v>
                </c:pt>
                <c:pt idx="85">
                  <c:v>846.67288095972606</c:v>
                </c:pt>
                <c:pt idx="86">
                  <c:v>846.67288095972606</c:v>
                </c:pt>
                <c:pt idx="87">
                  <c:v>846.67288095972606</c:v>
                </c:pt>
                <c:pt idx="88">
                  <c:v>846.67288095972606</c:v>
                </c:pt>
                <c:pt idx="89">
                  <c:v>846.67288095972606</c:v>
                </c:pt>
                <c:pt idx="90">
                  <c:v>846.67288095972606</c:v>
                </c:pt>
                <c:pt idx="91">
                  <c:v>846.67288095972606</c:v>
                </c:pt>
                <c:pt idx="92">
                  <c:v>846.67288095972606</c:v>
                </c:pt>
                <c:pt idx="93">
                  <c:v>846.67288095972606</c:v>
                </c:pt>
                <c:pt idx="94">
                  <c:v>846.67288095972606</c:v>
                </c:pt>
                <c:pt idx="95">
                  <c:v>846.67288095972606</c:v>
                </c:pt>
                <c:pt idx="96">
                  <c:v>846.67288095972606</c:v>
                </c:pt>
                <c:pt idx="97">
                  <c:v>846.67288095972606</c:v>
                </c:pt>
                <c:pt idx="98">
                  <c:v>846.67288095972606</c:v>
                </c:pt>
                <c:pt idx="99">
                  <c:v>846.67288095972606</c:v>
                </c:pt>
                <c:pt idx="100">
                  <c:v>846.67288095972606</c:v>
                </c:pt>
                <c:pt idx="101">
                  <c:v>846.67288095972606</c:v>
                </c:pt>
                <c:pt idx="102">
                  <c:v>846.67288095972606</c:v>
                </c:pt>
                <c:pt idx="103">
                  <c:v>846.67288095972606</c:v>
                </c:pt>
                <c:pt idx="104">
                  <c:v>846.67288095972606</c:v>
                </c:pt>
                <c:pt idx="105">
                  <c:v>846.67288095972606</c:v>
                </c:pt>
                <c:pt idx="106">
                  <c:v>846.67288095972606</c:v>
                </c:pt>
                <c:pt idx="107">
                  <c:v>846.67288095972606</c:v>
                </c:pt>
                <c:pt idx="108">
                  <c:v>846.67288095972606</c:v>
                </c:pt>
                <c:pt idx="109">
                  <c:v>846.67288095972606</c:v>
                </c:pt>
                <c:pt idx="110">
                  <c:v>846.67288095972606</c:v>
                </c:pt>
                <c:pt idx="111">
                  <c:v>846.67288095972606</c:v>
                </c:pt>
                <c:pt idx="112">
                  <c:v>846.67288095972606</c:v>
                </c:pt>
                <c:pt idx="113">
                  <c:v>846.67288095972606</c:v>
                </c:pt>
                <c:pt idx="114">
                  <c:v>846.67288095972606</c:v>
                </c:pt>
                <c:pt idx="115">
                  <c:v>846.67288095972606</c:v>
                </c:pt>
                <c:pt idx="116">
                  <c:v>846.67288095972606</c:v>
                </c:pt>
                <c:pt idx="117">
                  <c:v>846.67288095972606</c:v>
                </c:pt>
                <c:pt idx="118">
                  <c:v>846.67288095972606</c:v>
                </c:pt>
                <c:pt idx="119">
                  <c:v>846.67288095972606</c:v>
                </c:pt>
                <c:pt idx="120">
                  <c:v>846.67288095972606</c:v>
                </c:pt>
                <c:pt idx="121">
                  <c:v>846.67288095972606</c:v>
                </c:pt>
                <c:pt idx="122">
                  <c:v>846.67288095972606</c:v>
                </c:pt>
                <c:pt idx="123">
                  <c:v>846.67288095972606</c:v>
                </c:pt>
                <c:pt idx="124">
                  <c:v>846.67288095972606</c:v>
                </c:pt>
                <c:pt idx="125">
                  <c:v>846.67288095972606</c:v>
                </c:pt>
                <c:pt idx="126">
                  <c:v>846.67288095972606</c:v>
                </c:pt>
                <c:pt idx="127">
                  <c:v>846.67288095972606</c:v>
                </c:pt>
                <c:pt idx="128">
                  <c:v>846.67288095972606</c:v>
                </c:pt>
                <c:pt idx="129">
                  <c:v>846.67288095972606</c:v>
                </c:pt>
                <c:pt idx="130">
                  <c:v>846.67288095972606</c:v>
                </c:pt>
                <c:pt idx="131">
                  <c:v>846.67288095972606</c:v>
                </c:pt>
                <c:pt idx="132">
                  <c:v>846.67288095972606</c:v>
                </c:pt>
                <c:pt idx="133">
                  <c:v>846.67288095972606</c:v>
                </c:pt>
                <c:pt idx="134">
                  <c:v>846.67288095972606</c:v>
                </c:pt>
                <c:pt idx="135">
                  <c:v>846.67288095972606</c:v>
                </c:pt>
                <c:pt idx="136">
                  <c:v>846.67288095972606</c:v>
                </c:pt>
                <c:pt idx="137">
                  <c:v>846.67288095972606</c:v>
                </c:pt>
                <c:pt idx="138">
                  <c:v>846.67288095972606</c:v>
                </c:pt>
                <c:pt idx="139">
                  <c:v>846.67288095972606</c:v>
                </c:pt>
                <c:pt idx="140">
                  <c:v>846.67288095972606</c:v>
                </c:pt>
                <c:pt idx="141">
                  <c:v>846.67288095972606</c:v>
                </c:pt>
                <c:pt idx="142">
                  <c:v>846.67288095972606</c:v>
                </c:pt>
                <c:pt idx="143">
                  <c:v>846.67288095972606</c:v>
                </c:pt>
                <c:pt idx="144">
                  <c:v>846.67288095972606</c:v>
                </c:pt>
                <c:pt idx="145">
                  <c:v>846.67288095972606</c:v>
                </c:pt>
                <c:pt idx="146">
                  <c:v>846.67288095972606</c:v>
                </c:pt>
                <c:pt idx="147">
                  <c:v>846.67288095972606</c:v>
                </c:pt>
                <c:pt idx="148">
                  <c:v>846.67288095972606</c:v>
                </c:pt>
                <c:pt idx="149">
                  <c:v>846.67288095972606</c:v>
                </c:pt>
                <c:pt idx="150">
                  <c:v>846.67288095972606</c:v>
                </c:pt>
                <c:pt idx="151">
                  <c:v>846.67288095972606</c:v>
                </c:pt>
                <c:pt idx="152">
                  <c:v>846.67288095972606</c:v>
                </c:pt>
                <c:pt idx="153">
                  <c:v>846.67288095972606</c:v>
                </c:pt>
                <c:pt idx="154">
                  <c:v>846.67288095972606</c:v>
                </c:pt>
                <c:pt idx="155">
                  <c:v>846.67288095972606</c:v>
                </c:pt>
                <c:pt idx="156">
                  <c:v>846.67288095972606</c:v>
                </c:pt>
                <c:pt idx="157">
                  <c:v>846.67288095972606</c:v>
                </c:pt>
                <c:pt idx="158">
                  <c:v>846.67288095972606</c:v>
                </c:pt>
                <c:pt idx="159">
                  <c:v>846.67288095972606</c:v>
                </c:pt>
                <c:pt idx="160">
                  <c:v>846.67288095972606</c:v>
                </c:pt>
                <c:pt idx="161">
                  <c:v>846.67288095972606</c:v>
                </c:pt>
                <c:pt idx="162">
                  <c:v>846.67288095972606</c:v>
                </c:pt>
                <c:pt idx="163">
                  <c:v>846.67288095972606</c:v>
                </c:pt>
                <c:pt idx="164">
                  <c:v>846.67288095972606</c:v>
                </c:pt>
                <c:pt idx="165">
                  <c:v>846.67288095972606</c:v>
                </c:pt>
                <c:pt idx="166">
                  <c:v>846.67288095972606</c:v>
                </c:pt>
                <c:pt idx="167">
                  <c:v>846.67288095972606</c:v>
                </c:pt>
                <c:pt idx="168">
                  <c:v>846.67288095972606</c:v>
                </c:pt>
                <c:pt idx="169">
                  <c:v>846.67288095972606</c:v>
                </c:pt>
                <c:pt idx="170">
                  <c:v>846.67288095972606</c:v>
                </c:pt>
                <c:pt idx="171">
                  <c:v>846.67288095972606</c:v>
                </c:pt>
                <c:pt idx="172">
                  <c:v>846.67288095972606</c:v>
                </c:pt>
                <c:pt idx="173">
                  <c:v>846.67288095972606</c:v>
                </c:pt>
                <c:pt idx="174">
                  <c:v>846.67288095972606</c:v>
                </c:pt>
                <c:pt idx="175">
                  <c:v>846.67288095972606</c:v>
                </c:pt>
                <c:pt idx="176">
                  <c:v>846.67288095972606</c:v>
                </c:pt>
                <c:pt idx="177">
                  <c:v>846.67288095972606</c:v>
                </c:pt>
                <c:pt idx="178">
                  <c:v>846.67288095972606</c:v>
                </c:pt>
                <c:pt idx="179">
                  <c:v>846.67288095972606</c:v>
                </c:pt>
                <c:pt idx="180">
                  <c:v>846.67288095972606</c:v>
                </c:pt>
                <c:pt idx="181">
                  <c:v>846.67288095972606</c:v>
                </c:pt>
                <c:pt idx="182">
                  <c:v>846.67288095972606</c:v>
                </c:pt>
                <c:pt idx="183">
                  <c:v>846.67288095972606</c:v>
                </c:pt>
                <c:pt idx="184">
                  <c:v>846.67288095972606</c:v>
                </c:pt>
                <c:pt idx="185">
                  <c:v>846.67288095972606</c:v>
                </c:pt>
                <c:pt idx="186">
                  <c:v>846.67288095972606</c:v>
                </c:pt>
                <c:pt idx="187">
                  <c:v>846.67288095972606</c:v>
                </c:pt>
                <c:pt idx="188">
                  <c:v>846.67288095972606</c:v>
                </c:pt>
                <c:pt idx="189">
                  <c:v>846.67288095972606</c:v>
                </c:pt>
                <c:pt idx="190">
                  <c:v>846.67288095972606</c:v>
                </c:pt>
                <c:pt idx="191">
                  <c:v>846.67288095972606</c:v>
                </c:pt>
                <c:pt idx="192">
                  <c:v>846.67288095972606</c:v>
                </c:pt>
                <c:pt idx="193">
                  <c:v>846.67288095972606</c:v>
                </c:pt>
                <c:pt idx="194">
                  <c:v>846.67288095972606</c:v>
                </c:pt>
                <c:pt idx="195">
                  <c:v>846.67288095972606</c:v>
                </c:pt>
                <c:pt idx="196">
                  <c:v>846.67288095972606</c:v>
                </c:pt>
                <c:pt idx="197">
                  <c:v>846.67288095972606</c:v>
                </c:pt>
                <c:pt idx="198">
                  <c:v>846.67288095972606</c:v>
                </c:pt>
                <c:pt idx="199">
                  <c:v>846.67288095972606</c:v>
                </c:pt>
                <c:pt idx="200">
                  <c:v>846.67288095972606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0.44922744251233482</c:v>
                </c:pt>
                <c:pt idx="2">
                  <c:v>0.873210201875806</c:v>
                </c:pt>
                <c:pt idx="3">
                  <c:v>1.2890401957860169</c:v>
                </c:pt>
                <c:pt idx="4">
                  <c:v>1.6998446353769117</c:v>
                </c:pt>
                <c:pt idx="5">
                  <c:v>2.1070408752511534</c:v>
                </c:pt>
                <c:pt idx="6">
                  <c:v>2.5114374336503085</c:v>
                </c:pt>
                <c:pt idx="7">
                  <c:v>2.9135555310229009</c:v>
                </c:pt>
                <c:pt idx="8">
                  <c:v>3.3137582179891005</c:v>
                </c:pt>
                <c:pt idx="9">
                  <c:v>3.7123123413731034</c:v>
                </c:pt>
                <c:pt idx="10">
                  <c:v>4.109421969904016</c:v>
                </c:pt>
                <c:pt idx="11">
                  <c:v>4.505247996782729</c:v>
                </c:pt>
                <c:pt idx="12">
                  <c:v>4.8999203840272996</c:v>
                </c:pt>
                <c:pt idx="13">
                  <c:v>5.293546198155668</c:v>
                </c:pt>
                <c:pt idx="14">
                  <c:v>5.6862150982111492</c:v>
                </c:pt>
                <c:pt idx="15">
                  <c:v>6.0780032090159715</c:v>
                </c:pt>
                <c:pt idx="16">
                  <c:v>6.4689759311850565</c:v>
                </c:pt>
                <c:pt idx="17">
                  <c:v>6.8591900281996177</c:v>
                </c:pt>
                <c:pt idx="18">
                  <c:v>7.2486952082359783</c:v>
                </c:pt>
                <c:pt idx="19">
                  <c:v>7.6375353443991498</c:v>
                </c:pt>
                <c:pt idx="20">
                  <c:v>8.0257494307366297</c:v>
                </c:pt>
                <c:pt idx="21">
                  <c:v>8.4133723416157569</c:v>
                </c:pt>
                <c:pt idx="22">
                  <c:v>8.8004354423595412</c:v>
                </c:pt>
                <c:pt idx="23">
                  <c:v>9.1869670857193793</c:v>
                </c:pt>
                <c:pt idx="24">
                  <c:v>9.5729930195683295</c:v>
                </c:pt>
                <c:pt idx="25">
                  <c:v>9.9585367247308838</c:v>
                </c:pt>
                <c:pt idx="26">
                  <c:v>10.343619697238397</c:v>
                </c:pt>
                <c:pt idx="27">
                  <c:v>10.728261685939231</c:v>
                </c:pt>
                <c:pt idx="28">
                  <c:v>11.112480893917846</c:v>
                </c:pt>
                <c:pt idx="29">
                  <c:v>11.49629415033111</c:v>
                </c:pt>
                <c:pt idx="30">
                  <c:v>11.879717057877194</c:v>
                </c:pt>
                <c:pt idx="31">
                  <c:v>12.262764120049576</c:v>
                </c:pt>
                <c:pt idx="32">
                  <c:v>12.645448851509942</c:v>
                </c:pt>
                <c:pt idx="33">
                  <c:v>13.027783874276899</c:v>
                </c:pt>
                <c:pt idx="34">
                  <c:v>13.409781001927849</c:v>
                </c:pt>
                <c:pt idx="35">
                  <c:v>13.791451313616408</c:v>
                </c:pt>
                <c:pt idx="36">
                  <c:v>14.172805219392941</c:v>
                </c:pt>
                <c:pt idx="37">
                  <c:v>14.55385251806319</c:v>
                </c:pt>
                <c:pt idx="38">
                  <c:v>19.522509943309228</c:v>
                </c:pt>
                <c:pt idx="39">
                  <c:v>29.069939721014233</c:v>
                </c:pt>
                <c:pt idx="40">
                  <c:v>38.528614224663961</c:v>
                </c:pt>
                <c:pt idx="41">
                  <c:v>47.923764366955858</c:v>
                </c:pt>
                <c:pt idx="42">
                  <c:v>57.269713250490014</c:v>
                </c:pt>
                <c:pt idx="43">
                  <c:v>66.575667809974732</c:v>
                </c:pt>
                <c:pt idx="44">
                  <c:v>75.84802866319346</c:v>
                </c:pt>
                <c:pt idx="45">
                  <c:v>85.091493816552017</c:v>
                </c:pt>
                <c:pt idx="46">
                  <c:v>90.401813322268211</c:v>
                </c:pt>
                <c:pt idx="47">
                  <c:v>111.29180871442752</c:v>
                </c:pt>
                <c:pt idx="48">
                  <c:v>132.08525456096342</c:v>
                </c:pt>
                <c:pt idx="49">
                  <c:v>152.79953918411769</c:v>
                </c:pt>
                <c:pt idx="50">
                  <c:v>173.44692338779512</c:v>
                </c:pt>
                <c:pt idx="51">
                  <c:v>194.03649918979909</c:v>
                </c:pt>
                <c:pt idx="52">
                  <c:v>214.57526650518534</c:v>
                </c:pt>
                <c:pt idx="53">
                  <c:v>235.06877345752704</c:v>
                </c:pt>
                <c:pt idx="54">
                  <c:v>220.59116788203565</c:v>
                </c:pt>
                <c:pt idx="55">
                  <c:v>238.88959266376057</c:v>
                </c:pt>
                <c:pt idx="56">
                  <c:v>257.15609559560744</c:v>
                </c:pt>
                <c:pt idx="57">
                  <c:v>275.39326298688428</c:v>
                </c:pt>
                <c:pt idx="58">
                  <c:v>293.6033105205567</c:v>
                </c:pt>
                <c:pt idx="59">
                  <c:v>311.788156547136</c:v>
                </c:pt>
                <c:pt idx="60">
                  <c:v>329.94947736557828</c:v>
                </c:pt>
                <c:pt idx="61">
                  <c:v>348.08874968614623</c:v>
                </c:pt>
                <c:pt idx="62">
                  <c:v>294.14649778166716</c:v>
                </c:pt>
                <c:pt idx="63">
                  <c:v>307.44770426603623</c:v>
                </c:pt>
                <c:pt idx="64">
                  <c:v>320.73612864176226</c:v>
                </c:pt>
                <c:pt idx="65">
                  <c:v>334.0123751780211</c:v>
                </c:pt>
                <c:pt idx="66">
                  <c:v>347.27699617585841</c:v>
                </c:pt>
                <c:pt idx="67">
                  <c:v>360.53049829382707</c:v>
                </c:pt>
                <c:pt idx="68">
                  <c:v>373.77334789460411</c:v>
                </c:pt>
                <c:pt idx="69">
                  <c:v>387.0059755941316</c:v>
                </c:pt>
                <c:pt idx="70">
                  <c:v>332.92904287941269</c:v>
                </c:pt>
                <c:pt idx="71">
                  <c:v>345.92398101265053</c:v>
                </c:pt>
                <c:pt idx="72">
                  <c:v>358.90820183854044</c:v>
                </c:pt>
                <c:pt idx="73">
                  <c:v>371.88214774985948</c:v>
                </c:pt>
                <c:pt idx="74">
                  <c:v>384.84622774857968</c:v>
                </c:pt>
                <c:pt idx="75">
                  <c:v>397.80082102983079</c:v>
                </c:pt>
                <c:pt idx="76">
                  <c:v>410.74628007457642</c:v>
                </c:pt>
                <c:pt idx="77">
                  <c:v>423.68293333202695</c:v>
                </c:pt>
                <c:pt idx="78">
                  <c:v>369.18006906658906</c:v>
                </c:pt>
                <c:pt idx="79">
                  <c:v>381.60611146221271</c:v>
                </c:pt>
                <c:pt idx="80">
                  <c:v>394.02335674191119</c:v>
                </c:pt>
                <c:pt idx="81">
                  <c:v>406.43212123270087</c:v>
                </c:pt>
                <c:pt idx="82">
                  <c:v>418.83270036820545</c:v>
                </c:pt>
                <c:pt idx="83">
                  <c:v>431.22537065950428</c:v>
                </c:pt>
                <c:pt idx="84">
                  <c:v>443.61039142759893</c:v>
                </c:pt>
                <c:pt idx="85">
                  <c:v>455.98800633231957</c:v>
                </c:pt>
                <c:pt idx="86">
                  <c:v>403.4116216390002</c:v>
                </c:pt>
                <c:pt idx="87">
                  <c:v>415.49072537978196</c:v>
                </c:pt>
                <c:pt idx="88">
                  <c:v>427.56225857158461</c:v>
                </c:pt>
                <c:pt idx="89">
                  <c:v>439.62646509306978</c:v>
                </c:pt>
                <c:pt idx="90">
                  <c:v>451.68357434526951</c:v>
                </c:pt>
                <c:pt idx="91">
                  <c:v>463.7338024827431</c:v>
                </c:pt>
                <c:pt idx="92">
                  <c:v>475.77735351010102</c:v>
                </c:pt>
                <c:pt idx="93">
                  <c:v>487.81442026172425</c:v>
                </c:pt>
                <c:pt idx="94">
                  <c:v>499.8451852797545</c:v>
                </c:pt>
                <c:pt idx="95">
                  <c:v>511.86982160316455</c:v>
                </c:pt>
                <c:pt idx="96">
                  <c:v>437.47266945596533</c:v>
                </c:pt>
                <c:pt idx="97">
                  <c:v>449.10049452796073</c:v>
                </c:pt>
                <c:pt idx="98">
                  <c:v>460.72187919832754</c:v>
                </c:pt>
                <c:pt idx="99">
                  <c:v>472.33700882458015</c:v>
                </c:pt>
                <c:pt idx="100">
                  <c:v>483.94605890429244</c:v>
                </c:pt>
                <c:pt idx="101">
                  <c:v>495.54919582854524</c:v>
                </c:pt>
                <c:pt idx="102">
                  <c:v>507.14657756114116</c:v>
                </c:pt>
                <c:pt idx="103">
                  <c:v>518.73835425246</c:v>
                </c:pt>
                <c:pt idx="104">
                  <c:v>530.32466879559684</c:v>
                </c:pt>
                <c:pt idx="105">
                  <c:v>541.90565733137828</c:v>
                </c:pt>
                <c:pt idx="106">
                  <c:v>484.80575132371087</c:v>
                </c:pt>
                <c:pt idx="107">
                  <c:v>496.40845661974208</c:v>
                </c:pt>
                <c:pt idx="108">
                  <c:v>508.00541810716476</c:v>
                </c:pt>
                <c:pt idx="109">
                  <c:v>519.59678538037429</c:v>
                </c:pt>
                <c:pt idx="110">
                  <c:v>531.18270081556818</c:v>
                </c:pt>
                <c:pt idx="111">
                  <c:v>542.76330007221293</c:v>
                </c:pt>
                <c:pt idx="112">
                  <c:v>554.33871254949054</c:v>
                </c:pt>
                <c:pt idx="113">
                  <c:v>565.90906180264903</c:v>
                </c:pt>
                <c:pt idx="114">
                  <c:v>577.47446592353538</c:v>
                </c:pt>
                <c:pt idx="115">
                  <c:v>589.03503788906914</c:v>
                </c:pt>
                <c:pt idx="116">
                  <c:v>521.52814614187662</c:v>
                </c:pt>
                <c:pt idx="117">
                  <c:v>533.3276533779632</c:v>
                </c:pt>
                <c:pt idx="118">
                  <c:v>545.12167103203296</c:v>
                </c:pt>
                <c:pt idx="119">
                  <c:v>556.91033459423954</c:v>
                </c:pt>
                <c:pt idx="120">
                  <c:v>568.69377335191564</c:v>
                </c:pt>
                <c:pt idx="121">
                  <c:v>580.472110798892</c:v>
                </c:pt>
                <c:pt idx="122">
                  <c:v>592.24546500987799</c:v>
                </c:pt>
                <c:pt idx="123">
                  <c:v>604.01394898353078</c:v>
                </c:pt>
                <c:pt idx="124">
                  <c:v>615.77767095740819</c:v>
                </c:pt>
                <c:pt idx="125">
                  <c:v>627.53673469761077</c:v>
                </c:pt>
                <c:pt idx="126">
                  <c:v>557.98177030446402</c:v>
                </c:pt>
                <c:pt idx="127">
                  <c:v>569.76474028758605</c:v>
                </c:pt>
                <c:pt idx="128">
                  <c:v>581.54261991263468</c:v>
                </c:pt>
                <c:pt idx="129">
                  <c:v>593.3155267791268</c:v>
                </c:pt>
                <c:pt idx="130">
                  <c:v>605.08357344027741</c:v>
                </c:pt>
                <c:pt idx="131">
                  <c:v>616.84686771553982</c:v>
                </c:pt>
                <c:pt idx="132">
                  <c:v>628.60551297807297</c:v>
                </c:pt>
                <c:pt idx="133">
                  <c:v>640.35960841959184</c:v>
                </c:pt>
                <c:pt idx="134">
                  <c:v>652.10924929476721</c:v>
                </c:pt>
                <c:pt idx="135">
                  <c:v>663.85452714710493</c:v>
                </c:pt>
                <c:pt idx="136">
                  <c:v>592.67349454252576</c:v>
                </c:pt>
                <c:pt idx="137">
                  <c:v>604.8696516932963</c:v>
                </c:pt>
                <c:pt idx="138">
                  <c:v>617.06070245448439</c:v>
                </c:pt>
                <c:pt idx="139">
                  <c:v>629.24676189409399</c:v>
                </c:pt>
                <c:pt idx="140">
                  <c:v>641.42794026152706</c:v>
                </c:pt>
                <c:pt idx="141">
                  <c:v>653.60434327896337</c:v>
                </c:pt>
                <c:pt idx="142">
                  <c:v>665.77607240990801</c:v>
                </c:pt>
                <c:pt idx="143">
                  <c:v>677.94322510709128</c:v>
                </c:pt>
                <c:pt idx="144">
                  <c:v>690.10589504165262</c:v>
                </c:pt>
                <c:pt idx="145">
                  <c:v>702.26417231534106</c:v>
                </c:pt>
                <c:pt idx="146">
                  <c:v>630.95669294869833</c:v>
                </c:pt>
                <c:pt idx="147">
                  <c:v>642.92354312920963</c:v>
                </c:pt>
                <c:pt idx="148">
                  <c:v>654.88579630135234</c:v>
                </c:pt>
                <c:pt idx="149">
                  <c:v>666.84354823533181</c:v>
                </c:pt>
                <c:pt idx="150">
                  <c:v>678.79689098808149</c:v>
                </c:pt>
                <c:pt idx="151">
                  <c:v>690.74591311146162</c:v>
                </c:pt>
                <c:pt idx="152">
                  <c:v>702.69069984530995</c:v>
                </c:pt>
                <c:pt idx="153">
                  <c:v>714.63133329669006</c:v>
                </c:pt>
                <c:pt idx="154">
                  <c:v>726.56789260654534</c:v>
                </c:pt>
                <c:pt idx="155">
                  <c:v>738.50045410483688</c:v>
                </c:pt>
                <c:pt idx="156">
                  <c:v>665.56257302147492</c:v>
                </c:pt>
                <c:pt idx="157">
                  <c:v>677.94322510709173</c:v>
                </c:pt>
                <c:pt idx="158">
                  <c:v>690.31923574953782</c:v>
                </c:pt>
                <c:pt idx="159">
                  <c:v>702.69069984531018</c:v>
                </c:pt>
                <c:pt idx="160">
                  <c:v>715.05770867875697</c:v>
                </c:pt>
                <c:pt idx="161">
                  <c:v>727.42035012096778</c:v>
                </c:pt>
                <c:pt idx="162">
                  <c:v>739.77870881445199</c:v>
                </c:pt>
                <c:pt idx="163">
                  <c:v>752.13286634484029</c:v>
                </c:pt>
                <c:pt idx="164">
                  <c:v>764.48290140072879</c:v>
                </c:pt>
                <c:pt idx="165">
                  <c:v>776.8288899226626</c:v>
                </c:pt>
                <c:pt idx="166">
                  <c:v>706.52920967846364</c:v>
                </c:pt>
                <c:pt idx="167">
                  <c:v>719.32117747825248</c:v>
                </c:pt>
                <c:pt idx="168">
                  <c:v>732.10850308988904</c:v>
                </c:pt>
                <c:pt idx="169">
                  <c:v>744.89127897250319</c:v>
                </c:pt>
                <c:pt idx="170">
                  <c:v>757.66959415520898</c:v>
                </c:pt>
                <c:pt idx="171">
                  <c:v>770.44353442125691</c:v>
                </c:pt>
                <c:pt idx="172">
                  <c:v>783.21318247934266</c:v>
                </c:pt>
                <c:pt idx="173">
                  <c:v>795.97861812317558</c:v>
                </c:pt>
                <c:pt idx="174">
                  <c:v>808.73991838028508</c:v>
                </c:pt>
                <c:pt idx="175">
                  <c:v>821.49715765095482</c:v>
                </c:pt>
                <c:pt idx="176">
                  <c:v>834.25040783808561</c:v>
                </c:pt>
                <c:pt idx="177">
                  <c:v>846.99973846871126</c:v>
                </c:pt>
                <c:pt idx="178">
                  <c:v>859.74521680782527</c:v>
                </c:pt>
                <c:pt idx="179">
                  <c:v>872.48690796511107</c:v>
                </c:pt>
                <c:pt idx="180">
                  <c:v>885.2248749951217</c:v>
                </c:pt>
                <c:pt idx="181">
                  <c:v>5.8750878686422984E-12</c:v>
                </c:pt>
                <c:pt idx="182">
                  <c:v>5.8750878686422984E-12</c:v>
                </c:pt>
                <c:pt idx="183">
                  <c:v>5.8750878686422984E-12</c:v>
                </c:pt>
                <c:pt idx="184">
                  <c:v>5.8750878686422984E-12</c:v>
                </c:pt>
                <c:pt idx="185">
                  <c:v>5.8750878686422984E-12</c:v>
                </c:pt>
                <c:pt idx="186">
                  <c:v>5.8750878686422984E-12</c:v>
                </c:pt>
                <c:pt idx="187">
                  <c:v>5.8750878686422984E-12</c:v>
                </c:pt>
                <c:pt idx="188">
                  <c:v>5.8750878686422984E-12</c:v>
                </c:pt>
                <c:pt idx="189">
                  <c:v>5.8750878686422984E-12</c:v>
                </c:pt>
                <c:pt idx="190">
                  <c:v>5.8750878686422984E-12</c:v>
                </c:pt>
                <c:pt idx="191">
                  <c:v>5.8750878686422984E-12</c:v>
                </c:pt>
                <c:pt idx="192">
                  <c:v>5.8750878686422984E-12</c:v>
                </c:pt>
                <c:pt idx="193">
                  <c:v>5.8750878686422984E-12</c:v>
                </c:pt>
                <c:pt idx="194">
                  <c:v>5.8750878686422984E-12</c:v>
                </c:pt>
                <c:pt idx="195">
                  <c:v>5.8750878686422984E-12</c:v>
                </c:pt>
                <c:pt idx="196">
                  <c:v>5.8750878686422984E-12</c:v>
                </c:pt>
                <c:pt idx="197">
                  <c:v>5.8750878686422984E-12</c:v>
                </c:pt>
                <c:pt idx="198">
                  <c:v>5.8750878686422984E-12</c:v>
                </c:pt>
                <c:pt idx="199">
                  <c:v>5.8750878686422984E-12</c:v>
                </c:pt>
                <c:pt idx="200">
                  <c:v>5.8750878686422984E-12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86.210131832535481</c:v>
                </c:pt>
                <c:pt idx="22">
                  <c:v>92.914469239867472</c:v>
                </c:pt>
                <c:pt idx="23">
                  <c:v>99.60672264778627</c:v>
                </c:pt>
                <c:pt idx="24">
                  <c:v>106.28782023872922</c:v>
                </c:pt>
                <c:pt idx="25">
                  <c:v>112.95856365767406</c:v>
                </c:pt>
                <c:pt idx="26">
                  <c:v>119.61965189017968</c:v>
                </c:pt>
                <c:pt idx="27">
                  <c:v>126.27169952565028</c:v>
                </c:pt>
                <c:pt idx="28">
                  <c:v>132.91525095887405</c:v>
                </c:pt>
                <c:pt idx="29">
                  <c:v>139.55079159548973</c:v>
                </c:pt>
                <c:pt idx="30">
                  <c:v>146.17875680898459</c:v>
                </c:pt>
                <c:pt idx="31">
                  <c:v>117.63510732997095</c:v>
                </c:pt>
                <c:pt idx="32">
                  <c:v>124.80132341502504</c:v>
                </c:pt>
                <c:pt idx="33">
                  <c:v>131.9575516461812</c:v>
                </c:pt>
                <c:pt idx="34">
                  <c:v>139.10441106702453</c:v>
                </c:pt>
                <c:pt idx="35">
                  <c:v>146.24245178111761</c:v>
                </c:pt>
                <c:pt idx="36">
                  <c:v>153.37216569623834</c:v>
                </c:pt>
                <c:pt idx="37">
                  <c:v>160.49399516141906</c:v>
                </c:pt>
                <c:pt idx="38">
                  <c:v>167.60833998725417</c:v>
                </c:pt>
                <c:pt idx="39">
                  <c:v>174.71556320936784</c:v>
                </c:pt>
                <c:pt idx="40">
                  <c:v>181.81599586313283</c:v>
                </c:pt>
                <c:pt idx="41">
                  <c:v>153.91929459113874</c:v>
                </c:pt>
                <c:pt idx="42">
                  <c:v>161.54890599683884</c:v>
                </c:pt>
                <c:pt idx="43">
                  <c:v>169.16998912292703</c:v>
                </c:pt>
                <c:pt idx="44">
                  <c:v>176.78298294358933</c:v>
                </c:pt>
                <c:pt idx="45">
                  <c:v>184.38828547383767</c:v>
                </c:pt>
                <c:pt idx="46">
                  <c:v>191.98625916093374</c:v>
                </c:pt>
                <c:pt idx="47">
                  <c:v>199.57723537618037</c:v>
                </c:pt>
                <c:pt idx="48">
                  <c:v>207.16151818643763</c:v>
                </c:pt>
                <c:pt idx="49">
                  <c:v>214.73938754356871</c:v>
                </c:pt>
                <c:pt idx="50">
                  <c:v>222.31110199945874</c:v>
                </c:pt>
                <c:pt idx="51">
                  <c:v>229.87690103127713</c:v>
                </c:pt>
                <c:pt idx="52">
                  <c:v>237.43700704419749</c:v>
                </c:pt>
                <c:pt idx="53">
                  <c:v>244.99162710537905</c:v>
                </c:pt>
                <c:pt idx="54">
                  <c:v>252.54095445262416</c:v>
                </c:pt>
                <c:pt idx="55">
                  <c:v>260.08516981299584</c:v>
                </c:pt>
                <c:pt idx="56">
                  <c:v>267.62444256026976</c:v>
                </c:pt>
                <c:pt idx="57">
                  <c:v>275.15893173500172</c:v>
                </c:pt>
                <c:pt idx="58">
                  <c:v>282.68878694691233</c:v>
                </c:pt>
                <c:pt idx="59">
                  <c:v>290.21414917600794</c:v>
                </c:pt>
                <c:pt idx="60">
                  <c:v>297.73515148618543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2.2644411526801549</c:v>
                </c:pt>
                <c:pt idx="2">
                  <c:v>2.9606719874179732</c:v>
                </c:pt>
                <c:pt idx="3">
                  <c:v>3.8718389810340699</c:v>
                </c:pt>
                <c:pt idx="4">
                  <c:v>5.0645493942467388</c:v>
                </c:pt>
                <c:pt idx="5">
                  <c:v>6.6261250710508568</c:v>
                </c:pt>
                <c:pt idx="6">
                  <c:v>8.6710657880810125</c:v>
                </c:pt>
                <c:pt idx="7">
                  <c:v>11.349535391052873</c:v>
                </c:pt>
                <c:pt idx="8">
                  <c:v>14.858505523152672</c:v>
                </c:pt>
                <c:pt idx="9">
                  <c:v>19.45639146866279</c:v>
                </c:pt>
                <c:pt idx="10">
                  <c:v>25.482277330118482</c:v>
                </c:pt>
                <c:pt idx="11">
                  <c:v>33.38117332758825</c:v>
                </c:pt>
                <c:pt idx="12">
                  <c:v>43.737202651831389</c:v>
                </c:pt>
                <c:pt idx="13">
                  <c:v>57.317213512701443</c:v>
                </c:pt>
                <c:pt idx="14">
                  <c:v>75.12809922111623</c:v>
                </c:pt>
                <c:pt idx="15">
                  <c:v>98.492145142414884</c:v>
                </c:pt>
                <c:pt idx="16">
                  <c:v>94.950833837007281</c:v>
                </c:pt>
                <c:pt idx="17">
                  <c:v>112.03893205390365</c:v>
                </c:pt>
                <c:pt idx="18">
                  <c:v>129.0629967450609</c:v>
                </c:pt>
                <c:pt idx="19">
                  <c:v>146.03268049890067</c:v>
                </c:pt>
                <c:pt idx="20">
                  <c:v>162.95520023865575</c:v>
                </c:pt>
                <c:pt idx="21">
                  <c:v>151.58115900758452</c:v>
                </c:pt>
                <c:pt idx="22">
                  <c:v>169.36294974204441</c:v>
                </c:pt>
                <c:pt idx="23">
                  <c:v>187.10074109421484</c:v>
                </c:pt>
                <c:pt idx="24">
                  <c:v>204.79929322768086</c:v>
                </c:pt>
                <c:pt idx="25">
                  <c:v>222.46247518327689</c:v>
                </c:pt>
                <c:pt idx="26">
                  <c:v>206.53816724891658</c:v>
                </c:pt>
                <c:pt idx="27">
                  <c:v>223.9088111053843</c:v>
                </c:pt>
                <c:pt idx="28">
                  <c:v>241.24856643377657</c:v>
                </c:pt>
                <c:pt idx="29">
                  <c:v>258.55996582862014</c:v>
                </c:pt>
                <c:pt idx="30">
                  <c:v>275.84517489601939</c:v>
                </c:pt>
                <c:pt idx="31">
                  <c:v>257.40670959179039</c:v>
                </c:pt>
                <c:pt idx="32">
                  <c:v>273.54192363635178</c:v>
                </c:pt>
                <c:pt idx="33">
                  <c:v>289.6557514529004</c:v>
                </c:pt>
                <c:pt idx="34">
                  <c:v>305.74955020611787</c:v>
                </c:pt>
                <c:pt idx="35">
                  <c:v>321.82452250125192</c:v>
                </c:pt>
                <c:pt idx="36">
                  <c:v>301.4406046039486</c:v>
                </c:pt>
                <c:pt idx="37">
                  <c:v>316.94654387707652</c:v>
                </c:pt>
                <c:pt idx="38">
                  <c:v>332.43568427505619</c:v>
                </c:pt>
                <c:pt idx="39">
                  <c:v>347.90891864947656</c:v>
                </c:pt>
                <c:pt idx="40">
                  <c:v>363.36705395091059</c:v>
                </c:pt>
                <c:pt idx="41">
                  <c:v>341.60687491589925</c:v>
                </c:pt>
                <c:pt idx="42">
                  <c:v>355.63982627224988</c:v>
                </c:pt>
                <c:pt idx="43">
                  <c:v>369.66065482432037</c:v>
                </c:pt>
                <c:pt idx="44">
                  <c:v>383.66988513905409</c:v>
                </c:pt>
                <c:pt idx="45">
                  <c:v>397.66800034942042</c:v>
                </c:pt>
                <c:pt idx="46">
                  <c:v>376.52373693698854</c:v>
                </c:pt>
                <c:pt idx="47">
                  <c:v>389.67041158376009</c:v>
                </c:pt>
                <c:pt idx="48">
                  <c:v>402.80746313739934</c:v>
                </c:pt>
                <c:pt idx="49">
                  <c:v>415.93524966426145</c:v>
                </c:pt>
                <c:pt idx="50">
                  <c:v>429.05410478388177</c:v>
                </c:pt>
                <c:pt idx="51">
                  <c:v>407.37468311911545</c:v>
                </c:pt>
                <c:pt idx="52">
                  <c:v>419.9288754301499</c:v>
                </c:pt>
                <c:pt idx="53">
                  <c:v>432.47498503233845</c:v>
                </c:pt>
                <c:pt idx="54">
                  <c:v>445.01327944823623</c:v>
                </c:pt>
                <c:pt idx="55">
                  <c:v>457.54400989580836</c:v>
                </c:pt>
                <c:pt idx="56">
                  <c:v>436.46527778190256</c:v>
                </c:pt>
                <c:pt idx="57">
                  <c:v>448.14666170619466</c:v>
                </c:pt>
                <c:pt idx="58">
                  <c:v>459.82153055595603</c:v>
                </c:pt>
                <c:pt idx="59">
                  <c:v>471.49007306878434</c:v>
                </c:pt>
                <c:pt idx="60">
                  <c:v>483.15246787827965</c:v>
                </c:pt>
                <c:pt idx="61">
                  <c:v>462.38345350022149</c:v>
                </c:pt>
                <c:pt idx="62">
                  <c:v>472.91264200880079</c:v>
                </c:pt>
                <c:pt idx="63">
                  <c:v>483.43684117711427</c:v>
                </c:pt>
                <c:pt idx="64">
                  <c:v>493.95617494322283</c:v>
                </c:pt>
                <c:pt idx="65">
                  <c:v>504.47076153541065</c:v>
                </c:pt>
                <c:pt idx="66">
                  <c:v>484.85865441444759</c:v>
                </c:pt>
                <c:pt idx="67">
                  <c:v>495.0931138162357</c:v>
                </c:pt>
                <c:pt idx="68">
                  <c:v>505.32309099424953</c:v>
                </c:pt>
                <c:pt idx="69">
                  <c:v>515.54868948781848</c:v>
                </c:pt>
                <c:pt idx="70">
                  <c:v>525.77000839375978</c:v>
                </c:pt>
                <c:pt idx="71">
                  <c:v>506.7435725545833</c:v>
                </c:pt>
                <c:pt idx="72">
                  <c:v>516.1166519168039</c:v>
                </c:pt>
                <c:pt idx="73">
                  <c:v>525.48613980439234</c:v>
                </c:pt>
                <c:pt idx="74">
                  <c:v>534.85210929011998</c:v>
                </c:pt>
                <c:pt idx="75">
                  <c:v>544.21463067857655</c:v>
                </c:pt>
                <c:pt idx="76">
                  <c:v>528.0408410441313</c:v>
                </c:pt>
                <c:pt idx="77">
                  <c:v>537.4058632800859</c:v>
                </c:pt>
                <c:pt idx="78">
                  <c:v>546.76745613253308</c:v>
                </c:pt>
                <c:pt idx="79">
                  <c:v>556.12568660089221</c:v>
                </c:pt>
                <c:pt idx="80">
                  <c:v>565.48061924570618</c:v>
                </c:pt>
                <c:pt idx="81">
                  <c:v>547.05108794372802</c:v>
                </c:pt>
                <c:pt idx="82">
                  <c:v>555.55861563360793</c:v>
                </c:pt>
                <c:pt idx="83">
                  <c:v>564.06341469887695</c:v>
                </c:pt>
                <c:pt idx="84">
                  <c:v>572.5655320867844</c:v>
                </c:pt>
                <c:pt idx="85">
                  <c:v>581.06501323648661</c:v>
                </c:pt>
                <c:pt idx="86">
                  <c:v>563.49651203558233</c:v>
                </c:pt>
                <c:pt idx="87">
                  <c:v>571.43206972791438</c:v>
                </c:pt>
                <c:pt idx="88">
                  <c:v>579.365325773378</c:v>
                </c:pt>
                <c:pt idx="89">
                  <c:v>587.29631613683136</c:v>
                </c:pt>
                <c:pt idx="90">
                  <c:v>595.22507573244707</c:v>
                </c:pt>
                <c:pt idx="91">
                  <c:v>577.66553427768542</c:v>
                </c:pt>
                <c:pt idx="92">
                  <c:v>585.59700717011731</c:v>
                </c:pt>
                <c:pt idx="93">
                  <c:v>593.52624189928122</c:v>
                </c:pt>
                <c:pt idx="94">
                  <c:v>601.45327258521536</c:v>
                </c:pt>
                <c:pt idx="95">
                  <c:v>609.37813237514945</c:v>
                </c:pt>
                <c:pt idx="96">
                  <c:v>592.67678705244816</c:v>
                </c:pt>
                <c:pt idx="97">
                  <c:v>600.03789155140601</c:v>
                </c:pt>
                <c:pt idx="98">
                  <c:v>607.39711917185241</c:v>
                </c:pt>
                <c:pt idx="99">
                  <c:v>614.75449586352761</c:v>
                </c:pt>
                <c:pt idx="100">
                  <c:v>622.11004690432071</c:v>
                </c:pt>
                <c:pt idx="101">
                  <c:v>606.2650514235595</c:v>
                </c:pt>
                <c:pt idx="102">
                  <c:v>613.05680265378953</c:v>
                </c:pt>
                <c:pt idx="103">
                  <c:v>619.84699338591463</c:v>
                </c:pt>
                <c:pt idx="104">
                  <c:v>626.63564312780852</c:v>
                </c:pt>
                <c:pt idx="105">
                  <c:v>633.42277093014445</c:v>
                </c:pt>
                <c:pt idx="106">
                  <c:v>617.58376865013395</c:v>
                </c:pt>
                <c:pt idx="107">
                  <c:v>624.37292991644688</c:v>
                </c:pt>
                <c:pt idx="108">
                  <c:v>631.16056294279963</c:v>
                </c:pt>
                <c:pt idx="109">
                  <c:v>637.94668648377854</c:v>
                </c:pt>
                <c:pt idx="110">
                  <c:v>644.73131886239014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2.9802985076026349</c:v>
                </c:pt>
                <c:pt idx="2">
                  <c:v>4.709798594441124</c:v>
                </c:pt>
                <c:pt idx="3">
                  <c:v>7.447712474780225</c:v>
                </c:pt>
                <c:pt idx="4">
                  <c:v>11.784609823900155</c:v>
                </c:pt>
                <c:pt idx="5">
                  <c:v>18.658331575743503</c:v>
                </c:pt>
                <c:pt idx="6">
                  <c:v>29.558955733108835</c:v>
                </c:pt>
                <c:pt idx="7">
                  <c:v>46.855146862092077</c:v>
                </c:pt>
                <c:pt idx="8">
                  <c:v>74.31399365006915</c:v>
                </c:pt>
                <c:pt idx="9">
                  <c:v>117.92938744592196</c:v>
                </c:pt>
                <c:pt idx="10">
                  <c:v>187.24258760716552</c:v>
                </c:pt>
                <c:pt idx="11">
                  <c:v>177.07719515183146</c:v>
                </c:pt>
                <c:pt idx="12">
                  <c:v>166.89807830172617</c:v>
                </c:pt>
                <c:pt idx="13">
                  <c:v>156.70427282838182</c:v>
                </c:pt>
                <c:pt idx="14">
                  <c:v>146.49467735807016</c:v>
                </c:pt>
                <c:pt idx="15">
                  <c:v>136.26802255378672</c:v>
                </c:pt>
                <c:pt idx="16">
                  <c:v>150.64430700221425</c:v>
                </c:pt>
                <c:pt idx="17">
                  <c:v>110.61638527930705</c:v>
                </c:pt>
                <c:pt idx="18">
                  <c:v>123.45843862619598</c:v>
                </c:pt>
                <c:pt idx="19">
                  <c:v>136.26802255378672</c:v>
                </c:pt>
                <c:pt idx="20">
                  <c:v>149.04862274326854</c:v>
                </c:pt>
                <c:pt idx="21">
                  <c:v>161.80307694345501</c:v>
                </c:pt>
                <c:pt idx="22">
                  <c:v>174.53373816678004</c:v>
                </c:pt>
                <c:pt idx="23">
                  <c:v>187.24258760716546</c:v>
                </c:pt>
                <c:pt idx="24">
                  <c:v>199.93131520555607</c:v>
                </c:pt>
                <c:pt idx="25">
                  <c:v>212.60137864165836</c:v>
                </c:pt>
                <c:pt idx="26">
                  <c:v>158.93547642720688</c:v>
                </c:pt>
                <c:pt idx="27">
                  <c:v>170.39875516780376</c:v>
                </c:pt>
                <c:pt idx="28">
                  <c:v>181.84387743661708</c:v>
                </c:pt>
                <c:pt idx="29">
                  <c:v>193.27214793812971</c:v>
                </c:pt>
                <c:pt idx="30">
                  <c:v>204.68470429512652</c:v>
                </c:pt>
                <c:pt idx="31">
                  <c:v>216.39895226118747</c:v>
                </c:pt>
                <c:pt idx="32">
                  <c:v>228.09861748417157</c:v>
                </c:pt>
                <c:pt idx="33">
                  <c:v>239.78455379251179</c:v>
                </c:pt>
                <c:pt idx="34">
                  <c:v>251.45752493026876</c:v>
                </c:pt>
                <c:pt idx="35">
                  <c:v>263.11821789263303</c:v>
                </c:pt>
                <c:pt idx="36">
                  <c:v>273.82315783622607</c:v>
                </c:pt>
                <c:pt idx="37">
                  <c:v>284.51869429214099</c:v>
                </c:pt>
                <c:pt idx="38">
                  <c:v>295.20523078747289</c:v>
                </c:pt>
                <c:pt idx="39">
                  <c:v>305.88313923039271</c:v>
                </c:pt>
                <c:pt idx="40">
                  <c:v>316.55276342878972</c:v>
                </c:pt>
                <c:pt idx="41">
                  <c:v>327.21442210944383</c:v>
                </c:pt>
                <c:pt idx="42">
                  <c:v>337.86841152292533</c:v>
                </c:pt>
                <c:pt idx="43">
                  <c:v>348.51500770260947</c:v>
                </c:pt>
                <c:pt idx="44">
                  <c:v>359.15446843311446</c:v>
                </c:pt>
                <c:pt idx="45">
                  <c:v>369.78703497321823</c:v>
                </c:pt>
                <c:pt idx="46">
                  <c:v>2.3728589156891171E-12</c:v>
                </c:pt>
                <c:pt idx="47">
                  <c:v>2.3728589156891171E-12</c:v>
                </c:pt>
                <c:pt idx="48">
                  <c:v>2.3728589156891171E-12</c:v>
                </c:pt>
                <c:pt idx="49">
                  <c:v>2.3728589156891171E-12</c:v>
                </c:pt>
                <c:pt idx="50">
                  <c:v>2.3728589156891171E-12</c:v>
                </c:pt>
                <c:pt idx="51">
                  <c:v>2.3728589156891171E-12</c:v>
                </c:pt>
                <c:pt idx="52">
                  <c:v>2.3728589156891171E-12</c:v>
                </c:pt>
                <c:pt idx="53">
                  <c:v>2.3728589156891171E-12</c:v>
                </c:pt>
                <c:pt idx="54">
                  <c:v>2.3728589156891171E-12</c:v>
                </c:pt>
                <c:pt idx="55">
                  <c:v>2.3728589156891171E-12</c:v>
                </c:pt>
                <c:pt idx="56">
                  <c:v>2.3728589156891171E-12</c:v>
                </c:pt>
                <c:pt idx="57">
                  <c:v>2.3728589156891171E-12</c:v>
                </c:pt>
                <c:pt idx="58">
                  <c:v>2.3728589156891171E-12</c:v>
                </c:pt>
                <c:pt idx="59">
                  <c:v>2.3728589156891171E-12</c:v>
                </c:pt>
                <c:pt idx="60">
                  <c:v>2.3728589156891171E-12</c:v>
                </c:pt>
                <c:pt idx="61">
                  <c:v>2.3728589156891171E-12</c:v>
                </c:pt>
                <c:pt idx="62">
                  <c:v>2.3728589156891171E-12</c:v>
                </c:pt>
                <c:pt idx="63">
                  <c:v>2.3728589156891171E-12</c:v>
                </c:pt>
                <c:pt idx="64">
                  <c:v>2.3728589156891171E-12</c:v>
                </c:pt>
                <c:pt idx="65">
                  <c:v>2.3728589156891171E-12</c:v>
                </c:pt>
                <c:pt idx="66">
                  <c:v>2.3728589156891171E-12</c:v>
                </c:pt>
                <c:pt idx="67">
                  <c:v>2.3728589156891171E-12</c:v>
                </c:pt>
                <c:pt idx="68">
                  <c:v>2.3728589156891171E-12</c:v>
                </c:pt>
                <c:pt idx="69">
                  <c:v>2.3728589156891171E-12</c:v>
                </c:pt>
                <c:pt idx="70">
                  <c:v>2.3728589156891171E-12</c:v>
                </c:pt>
                <c:pt idx="71">
                  <c:v>2.3728589156891171E-12</c:v>
                </c:pt>
                <c:pt idx="72">
                  <c:v>2.3728589156891171E-12</c:v>
                </c:pt>
                <c:pt idx="73">
                  <c:v>2.3728589156891171E-12</c:v>
                </c:pt>
                <c:pt idx="74">
                  <c:v>2.3728589156891171E-12</c:v>
                </c:pt>
                <c:pt idx="75">
                  <c:v>2.3728589156891171E-12</c:v>
                </c:pt>
                <c:pt idx="76">
                  <c:v>2.3728589156891171E-12</c:v>
                </c:pt>
                <c:pt idx="77">
                  <c:v>2.3728589156891171E-12</c:v>
                </c:pt>
                <c:pt idx="78">
                  <c:v>2.3728589156891171E-12</c:v>
                </c:pt>
                <c:pt idx="79">
                  <c:v>2.3728589156891171E-12</c:v>
                </c:pt>
                <c:pt idx="80">
                  <c:v>2.3728589156891171E-12</c:v>
                </c:pt>
                <c:pt idx="81">
                  <c:v>2.3728589156891171E-12</c:v>
                </c:pt>
                <c:pt idx="82">
                  <c:v>2.3728589156891171E-12</c:v>
                </c:pt>
                <c:pt idx="83">
                  <c:v>2.3728589156891171E-12</c:v>
                </c:pt>
                <c:pt idx="84">
                  <c:v>2.3728589156891171E-12</c:v>
                </c:pt>
                <c:pt idx="85">
                  <c:v>2.3728589156891171E-12</c:v>
                </c:pt>
                <c:pt idx="86">
                  <c:v>2.3728589156891171E-12</c:v>
                </c:pt>
                <c:pt idx="87">
                  <c:v>2.3728589156891171E-12</c:v>
                </c:pt>
                <c:pt idx="88">
                  <c:v>2.3728589156891171E-12</c:v>
                </c:pt>
                <c:pt idx="89">
                  <c:v>2.3728589156891171E-12</c:v>
                </c:pt>
                <c:pt idx="90">
                  <c:v>2.3728589156891171E-12</c:v>
                </c:pt>
                <c:pt idx="91">
                  <c:v>2.3728589156891171E-12</c:v>
                </c:pt>
                <c:pt idx="92">
                  <c:v>2.3728589156891171E-12</c:v>
                </c:pt>
                <c:pt idx="93">
                  <c:v>2.3728589156891171E-12</c:v>
                </c:pt>
                <c:pt idx="94">
                  <c:v>2.3728589156891171E-12</c:v>
                </c:pt>
                <c:pt idx="95">
                  <c:v>2.3728589156891171E-12</c:v>
                </c:pt>
                <c:pt idx="96">
                  <c:v>2.3728589156891171E-12</c:v>
                </c:pt>
                <c:pt idx="97">
                  <c:v>2.3728589156891171E-12</c:v>
                </c:pt>
                <c:pt idx="98">
                  <c:v>2.3728589156891171E-12</c:v>
                </c:pt>
                <c:pt idx="99">
                  <c:v>2.3728589156891171E-12</c:v>
                </c:pt>
                <c:pt idx="100">
                  <c:v>2.3728589156891171E-12</c:v>
                </c:pt>
                <c:pt idx="101">
                  <c:v>2.3728589156891171E-12</c:v>
                </c:pt>
                <c:pt idx="102">
                  <c:v>2.3728589156891171E-12</c:v>
                </c:pt>
                <c:pt idx="103">
                  <c:v>2.3728589156891171E-12</c:v>
                </c:pt>
                <c:pt idx="104">
                  <c:v>2.3728589156891171E-12</c:v>
                </c:pt>
                <c:pt idx="105">
                  <c:v>2.3728589156891171E-12</c:v>
                </c:pt>
                <c:pt idx="106">
                  <c:v>2.3728589156891171E-12</c:v>
                </c:pt>
                <c:pt idx="107">
                  <c:v>2.3728589156891171E-12</c:v>
                </c:pt>
                <c:pt idx="108">
                  <c:v>2.3728589156891171E-12</c:v>
                </c:pt>
                <c:pt idx="109">
                  <c:v>2.3728589156891171E-12</c:v>
                </c:pt>
                <c:pt idx="110">
                  <c:v>2.3728589156891171E-12</c:v>
                </c:pt>
                <c:pt idx="111">
                  <c:v>2.3728589156891171E-12</c:v>
                </c:pt>
                <c:pt idx="112">
                  <c:v>2.3728589156891171E-12</c:v>
                </c:pt>
                <c:pt idx="113">
                  <c:v>2.3728589156891171E-12</c:v>
                </c:pt>
                <c:pt idx="114">
                  <c:v>2.3728589156891171E-12</c:v>
                </c:pt>
                <c:pt idx="115">
                  <c:v>2.3728589156891171E-12</c:v>
                </c:pt>
                <c:pt idx="116">
                  <c:v>2.3728589156891171E-12</c:v>
                </c:pt>
                <c:pt idx="117">
                  <c:v>2.3728589156891171E-12</c:v>
                </c:pt>
                <c:pt idx="118">
                  <c:v>2.3728589156891171E-12</c:v>
                </c:pt>
                <c:pt idx="119">
                  <c:v>2.3728589156891171E-12</c:v>
                </c:pt>
                <c:pt idx="120">
                  <c:v>2.3728589156891171E-12</c:v>
                </c:pt>
                <c:pt idx="121">
                  <c:v>2.3728589156891171E-12</c:v>
                </c:pt>
                <c:pt idx="122">
                  <c:v>2.3728589156891171E-12</c:v>
                </c:pt>
                <c:pt idx="123">
                  <c:v>2.3728589156891171E-12</c:v>
                </c:pt>
                <c:pt idx="124">
                  <c:v>2.3728589156891171E-12</c:v>
                </c:pt>
                <c:pt idx="125">
                  <c:v>2.3728589156891171E-12</c:v>
                </c:pt>
                <c:pt idx="126">
                  <c:v>2.3728589156891171E-12</c:v>
                </c:pt>
                <c:pt idx="127">
                  <c:v>2.3728589156891171E-12</c:v>
                </c:pt>
                <c:pt idx="128">
                  <c:v>2.3728589156891171E-12</c:v>
                </c:pt>
                <c:pt idx="129">
                  <c:v>2.3728589156891171E-12</c:v>
                </c:pt>
                <c:pt idx="130">
                  <c:v>2.3728589156891171E-12</c:v>
                </c:pt>
                <c:pt idx="131">
                  <c:v>2.3728589156891171E-12</c:v>
                </c:pt>
                <c:pt idx="132">
                  <c:v>2.3728589156891171E-12</c:v>
                </c:pt>
                <c:pt idx="133">
                  <c:v>2.3728589156891171E-12</c:v>
                </c:pt>
                <c:pt idx="134">
                  <c:v>2.3728589156891171E-12</c:v>
                </c:pt>
                <c:pt idx="135">
                  <c:v>2.3728589156891171E-12</c:v>
                </c:pt>
                <c:pt idx="136">
                  <c:v>2.3728589156891171E-12</c:v>
                </c:pt>
                <c:pt idx="137">
                  <c:v>2.3728589156891171E-12</c:v>
                </c:pt>
                <c:pt idx="138">
                  <c:v>2.3728589156891171E-12</c:v>
                </c:pt>
                <c:pt idx="139">
                  <c:v>2.3728589156891171E-12</c:v>
                </c:pt>
                <c:pt idx="140">
                  <c:v>2.3728589156891171E-12</c:v>
                </c:pt>
                <c:pt idx="141">
                  <c:v>2.3728589156891171E-12</c:v>
                </c:pt>
                <c:pt idx="142">
                  <c:v>2.3728589156891171E-12</c:v>
                </c:pt>
                <c:pt idx="143">
                  <c:v>2.3728589156891171E-12</c:v>
                </c:pt>
                <c:pt idx="144">
                  <c:v>2.3728589156891171E-12</c:v>
                </c:pt>
                <c:pt idx="145">
                  <c:v>2.3728589156891171E-12</c:v>
                </c:pt>
                <c:pt idx="146">
                  <c:v>2.3728589156891171E-12</c:v>
                </c:pt>
                <c:pt idx="147">
                  <c:v>2.3728589156891171E-12</c:v>
                </c:pt>
                <c:pt idx="148">
                  <c:v>2.3728589156891171E-12</c:v>
                </c:pt>
                <c:pt idx="149">
                  <c:v>2.3728589156891171E-12</c:v>
                </c:pt>
                <c:pt idx="150">
                  <c:v>2.3728589156891171E-12</c:v>
                </c:pt>
                <c:pt idx="151">
                  <c:v>2.3728589156891171E-12</c:v>
                </c:pt>
                <c:pt idx="152">
                  <c:v>2.3728589156891171E-12</c:v>
                </c:pt>
                <c:pt idx="153">
                  <c:v>2.3728589156891171E-12</c:v>
                </c:pt>
                <c:pt idx="154">
                  <c:v>2.3728589156891171E-12</c:v>
                </c:pt>
                <c:pt idx="155">
                  <c:v>2.3728589156891171E-12</c:v>
                </c:pt>
                <c:pt idx="156">
                  <c:v>2.3728589156891171E-12</c:v>
                </c:pt>
                <c:pt idx="157">
                  <c:v>2.3728589156891171E-12</c:v>
                </c:pt>
                <c:pt idx="158">
                  <c:v>2.3728589156891171E-12</c:v>
                </c:pt>
                <c:pt idx="159">
                  <c:v>2.3728589156891171E-12</c:v>
                </c:pt>
                <c:pt idx="160">
                  <c:v>2.3728589156891171E-12</c:v>
                </c:pt>
                <c:pt idx="161">
                  <c:v>2.3728589156891171E-12</c:v>
                </c:pt>
                <c:pt idx="162">
                  <c:v>2.3728589156891171E-12</c:v>
                </c:pt>
                <c:pt idx="163">
                  <c:v>2.3728589156891171E-12</c:v>
                </c:pt>
                <c:pt idx="164">
                  <c:v>2.3728589156891171E-12</c:v>
                </c:pt>
                <c:pt idx="165">
                  <c:v>2.3728589156891171E-12</c:v>
                </c:pt>
                <c:pt idx="166">
                  <c:v>2.3728589156891171E-12</c:v>
                </c:pt>
                <c:pt idx="167">
                  <c:v>2.3728589156891171E-12</c:v>
                </c:pt>
                <c:pt idx="168">
                  <c:v>2.3728589156891171E-12</c:v>
                </c:pt>
                <c:pt idx="169">
                  <c:v>2.3728589156891171E-12</c:v>
                </c:pt>
                <c:pt idx="170">
                  <c:v>2.3728589156891171E-12</c:v>
                </c:pt>
                <c:pt idx="171">
                  <c:v>2.3728589156891171E-12</c:v>
                </c:pt>
                <c:pt idx="172">
                  <c:v>2.3728589156891171E-12</c:v>
                </c:pt>
                <c:pt idx="173">
                  <c:v>2.3728589156891171E-12</c:v>
                </c:pt>
                <c:pt idx="174">
                  <c:v>2.3728589156891171E-12</c:v>
                </c:pt>
                <c:pt idx="175">
                  <c:v>2.3728589156891171E-12</c:v>
                </c:pt>
                <c:pt idx="176">
                  <c:v>2.3728589156891171E-12</c:v>
                </c:pt>
                <c:pt idx="177">
                  <c:v>2.3728589156891171E-12</c:v>
                </c:pt>
                <c:pt idx="178">
                  <c:v>2.3728589156891171E-12</c:v>
                </c:pt>
                <c:pt idx="179">
                  <c:v>2.3728589156891171E-12</c:v>
                </c:pt>
                <c:pt idx="180">
                  <c:v>2.3728589156891171E-12</c:v>
                </c:pt>
                <c:pt idx="181">
                  <c:v>2.3728589156891171E-12</c:v>
                </c:pt>
                <c:pt idx="182">
                  <c:v>2.3728589156891171E-12</c:v>
                </c:pt>
                <c:pt idx="183">
                  <c:v>2.3728589156891171E-12</c:v>
                </c:pt>
                <c:pt idx="184">
                  <c:v>2.3728589156891171E-12</c:v>
                </c:pt>
                <c:pt idx="185">
                  <c:v>2.3728589156891171E-12</c:v>
                </c:pt>
                <c:pt idx="186">
                  <c:v>2.3728589156891171E-12</c:v>
                </c:pt>
                <c:pt idx="187">
                  <c:v>2.3728589156891171E-12</c:v>
                </c:pt>
                <c:pt idx="188">
                  <c:v>2.3728589156891171E-12</c:v>
                </c:pt>
                <c:pt idx="189">
                  <c:v>2.3728589156891171E-12</c:v>
                </c:pt>
                <c:pt idx="190">
                  <c:v>2.3728589156891171E-12</c:v>
                </c:pt>
                <c:pt idx="191">
                  <c:v>2.3728589156891171E-12</c:v>
                </c:pt>
                <c:pt idx="192">
                  <c:v>2.3728589156891171E-12</c:v>
                </c:pt>
                <c:pt idx="193">
                  <c:v>2.3728589156891171E-12</c:v>
                </c:pt>
                <c:pt idx="194">
                  <c:v>2.3728589156891171E-12</c:v>
                </c:pt>
                <c:pt idx="195">
                  <c:v>2.3728589156891171E-12</c:v>
                </c:pt>
                <c:pt idx="196">
                  <c:v>2.3728589156891171E-12</c:v>
                </c:pt>
                <c:pt idx="197">
                  <c:v>2.3728589156891171E-12</c:v>
                </c:pt>
                <c:pt idx="198">
                  <c:v>2.3728589156891171E-12</c:v>
                </c:pt>
                <c:pt idx="199">
                  <c:v>2.3728589156891171E-12</c:v>
                </c:pt>
                <c:pt idx="200">
                  <c:v>2.3728589156891171E-12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blond@neosylva.fr" id="{7B49F3C3-4014-4264-BA92-1DC2752792F4}" userId="ac26e45e5db01fe0" providerId="Windows Live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20" dT="2021-11-03T09:07:47.24" personId="{7B49F3C3-4014-4264-BA92-1DC2752792F4}" id="{7A9501D0-F8B0-4795-B422-A488FE85996B}">
    <text>Cout plantation + suivi</text>
  </threadedComment>
  <threadedComment ref="I21" dT="2021-11-03T09:07:59.38" personId="{7B49F3C3-4014-4264-BA92-1DC2752792F4}" id="{51645C3E-FEFA-4C06-9B03-D21D3873194C}">
    <text>Cout Maitrise d'oeuvre + suivi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70" zoomScaleNormal="70" workbookViewId="0">
      <selection activeCell="C35" sqref="C35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85" t="s">
        <v>292</v>
      </c>
      <c r="C12" s="285"/>
      <c r="D12" s="285"/>
      <c r="E12" s="285"/>
      <c r="F12" s="285"/>
      <c r="G12" s="285"/>
      <c r="H12" s="285"/>
      <c r="I12" s="285"/>
      <c r="J12" s="285"/>
      <c r="K12" s="285"/>
      <c r="L12" s="285"/>
      <c r="M12" s="285"/>
    </row>
    <row r="13" spans="2:13" ht="15" customHeight="1" x14ac:dyDescent="0.3">
      <c r="B13" s="285"/>
      <c r="C13" s="285"/>
      <c r="D13" s="285"/>
      <c r="E13" s="285"/>
      <c r="F13" s="285"/>
      <c r="G13" s="285"/>
      <c r="H13" s="285"/>
      <c r="I13" s="285"/>
      <c r="J13" s="285"/>
      <c r="K13" s="285"/>
      <c r="L13" s="285"/>
      <c r="M13" s="285"/>
    </row>
    <row r="14" spans="2:13" ht="15" customHeight="1" x14ac:dyDescent="0.3">
      <c r="B14" s="285"/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</row>
    <row r="15" spans="2:13" ht="18.75" customHeight="1" x14ac:dyDescent="0.3">
      <c r="B15" s="285"/>
      <c r="C15" s="285"/>
      <c r="D15" s="285"/>
      <c r="E15" s="285"/>
      <c r="F15" s="285"/>
      <c r="G15" s="285"/>
      <c r="H15" s="285"/>
      <c r="I15" s="285"/>
      <c r="J15" s="285"/>
      <c r="K15" s="285"/>
      <c r="L15" s="285"/>
      <c r="M15" s="285"/>
    </row>
    <row r="16" spans="2:13" ht="18.75" customHeight="1" x14ac:dyDescent="0.3">
      <c r="B16" s="285"/>
      <c r="C16" s="285"/>
      <c r="D16" s="285"/>
      <c r="E16" s="285"/>
      <c r="F16" s="285"/>
      <c r="G16" s="285"/>
      <c r="H16" s="285"/>
      <c r="I16" s="285"/>
      <c r="J16" s="285"/>
      <c r="K16" s="285"/>
      <c r="L16" s="285"/>
      <c r="M16" s="285"/>
    </row>
    <row r="18" spans="2:13" ht="12" customHeight="1" x14ac:dyDescent="0.3">
      <c r="B18" s="285" t="s">
        <v>293</v>
      </c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</row>
    <row r="19" spans="2:13" ht="12" customHeight="1" x14ac:dyDescent="0.3">
      <c r="B19" s="285"/>
      <c r="C19" s="285"/>
      <c r="D19" s="285"/>
      <c r="E19" s="285"/>
      <c r="F19" s="285"/>
      <c r="G19" s="285"/>
      <c r="H19" s="285"/>
      <c r="I19" s="285"/>
      <c r="J19" s="285"/>
      <c r="K19" s="285"/>
      <c r="L19" s="285"/>
      <c r="M19" s="285"/>
    </row>
    <row r="20" spans="2:13" ht="12" customHeight="1" x14ac:dyDescent="0.3">
      <c r="B20" s="285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</row>
    <row r="21" spans="2:13" ht="12" customHeight="1" x14ac:dyDescent="0.3">
      <c r="B21" s="285"/>
      <c r="C21" s="285"/>
      <c r="D21" s="285"/>
      <c r="E21" s="285"/>
      <c r="F21" s="285"/>
      <c r="G21" s="285"/>
      <c r="H21" s="285"/>
      <c r="I21" s="285"/>
      <c r="J21" s="285"/>
      <c r="K21" s="285"/>
      <c r="L21" s="285"/>
      <c r="M21" s="285"/>
    </row>
    <row r="22" spans="2:13" ht="12" customHeight="1" x14ac:dyDescent="0.3">
      <c r="B22" s="285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</row>
    <row r="23" spans="2:13" ht="12" customHeight="1" x14ac:dyDescent="0.3">
      <c r="B23" s="285"/>
      <c r="C23" s="285"/>
      <c r="D23" s="285"/>
      <c r="E23" s="285"/>
      <c r="F23" s="285"/>
      <c r="G23" s="285"/>
      <c r="H23" s="285"/>
      <c r="I23" s="285"/>
      <c r="J23" s="285"/>
      <c r="K23" s="285"/>
      <c r="L23" s="285"/>
      <c r="M23" s="285"/>
    </row>
    <row r="24" spans="2:13" ht="12" customHeight="1" x14ac:dyDescent="0.3">
      <c r="B24" s="285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</row>
    <row r="25" spans="2:13" ht="12" customHeight="1" x14ac:dyDescent="0.3">
      <c r="B25" s="285"/>
      <c r="C25" s="285"/>
      <c r="D25" s="285"/>
      <c r="E25" s="285"/>
      <c r="F25" s="285"/>
      <c r="G25" s="285"/>
      <c r="H25" s="285"/>
      <c r="I25" s="285"/>
      <c r="J25" s="285"/>
      <c r="K25" s="285"/>
      <c r="L25" s="285"/>
      <c r="M25" s="285"/>
    </row>
    <row r="26" spans="2:13" ht="12" customHeight="1" x14ac:dyDescent="0.3">
      <c r="B26" s="285"/>
      <c r="C26" s="285"/>
      <c r="D26" s="285"/>
      <c r="E26" s="285"/>
      <c r="F26" s="285"/>
      <c r="G26" s="285"/>
      <c r="H26" s="285"/>
      <c r="I26" s="285"/>
      <c r="J26" s="285"/>
      <c r="K26" s="285"/>
      <c r="L26" s="285"/>
      <c r="M26" s="285"/>
    </row>
    <row r="27" spans="2:13" ht="12" customHeight="1" x14ac:dyDescent="0.3">
      <c r="B27" s="285"/>
      <c r="C27" s="285"/>
      <c r="D27" s="285"/>
      <c r="E27" s="285"/>
      <c r="F27" s="285"/>
      <c r="G27" s="285"/>
      <c r="H27" s="285"/>
      <c r="I27" s="285"/>
      <c r="J27" s="285"/>
      <c r="K27" s="285"/>
      <c r="L27" s="285"/>
      <c r="M27" s="285"/>
    </row>
    <row r="28" spans="2:13" ht="12" customHeight="1" x14ac:dyDescent="0.3"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</row>
    <row r="29" spans="2:13" ht="12" customHeight="1" x14ac:dyDescent="0.3">
      <c r="B29" s="285"/>
      <c r="C29" s="285"/>
      <c r="D29" s="285"/>
      <c r="E29" s="285"/>
      <c r="F29" s="285"/>
      <c r="G29" s="285"/>
      <c r="H29" s="285"/>
      <c r="I29" s="285"/>
      <c r="J29" s="285"/>
      <c r="K29" s="285"/>
      <c r="L29" s="285"/>
      <c r="M29" s="285"/>
    </row>
    <row r="30" spans="2:13" ht="12" customHeight="1" x14ac:dyDescent="0.3">
      <c r="B30" s="285"/>
      <c r="C30" s="285"/>
      <c r="D30" s="285"/>
      <c r="E30" s="285"/>
      <c r="F30" s="285"/>
      <c r="G30" s="285"/>
      <c r="H30" s="285"/>
      <c r="I30" s="285"/>
      <c r="J30" s="285"/>
      <c r="K30" s="285"/>
      <c r="L30" s="285"/>
      <c r="M30" s="285"/>
    </row>
    <row r="31" spans="2:13" ht="12" customHeight="1" x14ac:dyDescent="0.3">
      <c r="B31" s="285"/>
      <c r="C31" s="285"/>
      <c r="D31" s="285"/>
      <c r="E31" s="285"/>
      <c r="F31" s="285"/>
      <c r="G31" s="285"/>
      <c r="H31" s="285"/>
      <c r="I31" s="285"/>
      <c r="J31" s="285"/>
      <c r="K31" s="285"/>
      <c r="L31" s="285"/>
      <c r="M31" s="28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37" zoomScale="70" zoomScaleNormal="70" workbookViewId="0">
      <selection activeCell="C108" sqref="C108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86" t="s">
        <v>190</v>
      </c>
      <c r="D1" s="286"/>
      <c r="E1" s="28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1" t="s">
        <v>192</v>
      </c>
      <c r="C3" s="292"/>
      <c r="D3" s="292"/>
      <c r="E3" s="292"/>
      <c r="F3" s="293"/>
      <c r="G3" s="93"/>
      <c r="I3" s="226" t="s">
        <v>305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6"/>
      <c r="I4" s="226" t="s">
        <v>306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97" t="s">
        <v>231</v>
      </c>
      <c r="B5" s="297"/>
      <c r="C5" s="26">
        <v>5</v>
      </c>
      <c r="D5" s="298" t="s">
        <v>229</v>
      </c>
      <c r="E5" s="299"/>
      <c r="F5" s="95"/>
      <c r="G5" s="236"/>
      <c r="H5" s="237"/>
      <c r="I5" s="237" t="s">
        <v>321</v>
      </c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295" t="s">
        <v>226</v>
      </c>
      <c r="B7" s="295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18</v>
      </c>
      <c r="C9" s="35">
        <v>0.46400000000000002</v>
      </c>
      <c r="D9" s="36">
        <f t="shared" ref="D9:D18" si="0">C9*$C$5</f>
        <v>2.3200000000000003</v>
      </c>
      <c r="E9" s="37">
        <v>67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307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13</v>
      </c>
      <c r="C10" s="35">
        <v>0.22080000000000002</v>
      </c>
      <c r="D10" s="36">
        <f t="shared" si="0"/>
        <v>1.1040000000000001</v>
      </c>
      <c r="E10" s="37">
        <v>78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12</v>
      </c>
      <c r="C11" s="35">
        <v>0.10000000000000002</v>
      </c>
      <c r="D11" s="36">
        <f t="shared" si="0"/>
        <v>0.50000000000000011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Corrigez : révolution incorrecte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164</v>
      </c>
      <c r="C12" s="35">
        <v>0.10000000000000002</v>
      </c>
      <c r="D12" s="36">
        <f t="shared" si="0"/>
        <v>0.50000000000000011</v>
      </c>
      <c r="E12" s="37">
        <v>60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50</v>
      </c>
      <c r="C13" s="35">
        <v>6.0000000000000012E-2</v>
      </c>
      <c r="D13" s="36">
        <f t="shared" si="0"/>
        <v>0.30000000000000004</v>
      </c>
      <c r="E13" s="37">
        <v>60</v>
      </c>
      <c r="F13" s="38" t="str">
        <f t="array" ref="F13">IF(E13="","",IF(INDEX(A:A,MAX(IF(ISNUMBER($A$140:$A$159),ROW($A$140:$A$159),"")))&lt;&gt;E13,"Corrigez : révolution incorrecte","OK"))</f>
        <v>Corrigez : révolution incorrecte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8</v>
      </c>
      <c r="C14" s="35">
        <v>5.5200000000000006E-2</v>
      </c>
      <c r="D14" s="36">
        <f t="shared" si="0"/>
        <v>0.27600000000000002</v>
      </c>
      <c r="E14" s="37">
        <v>45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1</v>
      </c>
      <c r="D19" s="41">
        <f>SUM(D9:D18)</f>
        <v>5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4" t="s">
        <v>232</v>
      </c>
      <c r="B22" s="294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96" t="s">
        <v>227</v>
      </c>
      <c r="B30" s="296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Douglas</v>
      </c>
      <c r="D32" s="257" t="s">
        <v>308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9" t="s">
        <v>185</v>
      </c>
      <c r="C34" s="287" t="s">
        <v>186</v>
      </c>
      <c r="D34" s="287"/>
      <c r="E34" s="288" t="s">
        <v>187</v>
      </c>
      <c r="F34" s="289"/>
      <c r="G34" s="289"/>
      <c r="H34" s="290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25</v>
      </c>
      <c r="B36" s="61">
        <v>253</v>
      </c>
      <c r="C36" s="61">
        <v>1</v>
      </c>
      <c r="D36" s="61">
        <v>59</v>
      </c>
      <c r="E36" s="54">
        <v>0.1</v>
      </c>
      <c r="F36" s="54">
        <v>0.8</v>
      </c>
      <c r="G36" s="54">
        <v>0</v>
      </c>
      <c r="H36" s="54">
        <v>0.1</v>
      </c>
      <c r="I36" s="52">
        <f>IFERROR(B36/A36,"")</f>
        <v>10.119999999999999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32</v>
      </c>
      <c r="B37" s="61">
        <v>332</v>
      </c>
      <c r="C37" s="61">
        <v>2</v>
      </c>
      <c r="D37" s="61">
        <v>79</v>
      </c>
      <c r="E37" s="54">
        <v>0.3</v>
      </c>
      <c r="F37" s="54">
        <v>0.5</v>
      </c>
      <c r="G37" s="54">
        <v>0</v>
      </c>
      <c r="H37" s="54">
        <v>0.2</v>
      </c>
      <c r="I37" s="56">
        <f t="shared" ref="I37:I55" si="1">IF(A37&lt;&gt;0,(B37-(B36-D36))/(A37-A36),"")</f>
        <v>19.714285714285715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39</v>
      </c>
      <c r="B38" s="61">
        <v>391</v>
      </c>
      <c r="C38" s="61">
        <v>3</v>
      </c>
      <c r="D38" s="61">
        <v>80</v>
      </c>
      <c r="E38" s="54">
        <v>0.3</v>
      </c>
      <c r="F38" s="54">
        <v>0.5</v>
      </c>
      <c r="G38" s="54">
        <v>0</v>
      </c>
      <c r="H38" s="54">
        <v>0.2</v>
      </c>
      <c r="I38" s="56">
        <f t="shared" si="1"/>
        <v>19.714285714285715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46</v>
      </c>
      <c r="B39" s="61">
        <v>444</v>
      </c>
      <c r="C39" s="61">
        <v>4</v>
      </c>
      <c r="D39" s="61">
        <v>86</v>
      </c>
      <c r="E39" s="54">
        <v>0.3</v>
      </c>
      <c r="F39" s="54">
        <v>0.5</v>
      </c>
      <c r="G39" s="54">
        <v>0</v>
      </c>
      <c r="H39" s="54">
        <v>0.19999999999999998</v>
      </c>
      <c r="I39" s="52">
        <f t="shared" si="1"/>
        <v>19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53</v>
      </c>
      <c r="B40" s="61">
        <v>482</v>
      </c>
      <c r="C40" s="61">
        <v>5</v>
      </c>
      <c r="D40" s="61">
        <v>80</v>
      </c>
      <c r="E40" s="54">
        <v>0.7</v>
      </c>
      <c r="F40" s="54">
        <v>0.3</v>
      </c>
      <c r="G40" s="54">
        <v>0</v>
      </c>
      <c r="H40" s="54">
        <v>0</v>
      </c>
      <c r="I40" s="52">
        <f t="shared" si="1"/>
        <v>17.714285714285715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60</v>
      </c>
      <c r="B41" s="61">
        <v>517</v>
      </c>
      <c r="C41" s="61">
        <v>6</v>
      </c>
      <c r="D41" s="61">
        <v>97</v>
      </c>
      <c r="E41" s="54">
        <v>0.7</v>
      </c>
      <c r="F41" s="54">
        <v>0.3</v>
      </c>
      <c r="G41" s="54">
        <v>0</v>
      </c>
      <c r="H41" s="54">
        <v>0</v>
      </c>
      <c r="I41" s="56">
        <f t="shared" si="1"/>
        <v>16.428571428571427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67</v>
      </c>
      <c r="B42" s="61">
        <v>521</v>
      </c>
      <c r="C42" s="61">
        <v>7</v>
      </c>
      <c r="D42" s="61">
        <v>521</v>
      </c>
      <c r="E42" s="54">
        <v>0.7</v>
      </c>
      <c r="F42" s="54">
        <v>0.3</v>
      </c>
      <c r="G42" s="54">
        <v>0</v>
      </c>
      <c r="H42" s="54">
        <v>0</v>
      </c>
      <c r="I42" s="56">
        <f t="shared" si="1"/>
        <v>14.428571428571429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1"/>
      <c r="B43" s="61"/>
      <c r="C43" s="61"/>
      <c r="D43" s="61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1"/>
      <c r="B44" s="61"/>
      <c r="C44" s="61"/>
      <c r="D44" s="61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1"/>
      <c r="B45" s="61"/>
      <c r="C45" s="61"/>
      <c r="D45" s="61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1"/>
      <c r="B46" s="61"/>
      <c r="C46" s="61"/>
      <c r="D46" s="61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1"/>
      <c r="B47" s="61"/>
      <c r="C47" s="61"/>
      <c r="D47" s="61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1"/>
      <c r="B48" s="61"/>
      <c r="C48" s="61"/>
      <c r="D48" s="61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1"/>
      <c r="B49" s="61"/>
      <c r="C49" s="61"/>
      <c r="D49" s="61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1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1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1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1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1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1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rouge d'Amérique</v>
      </c>
      <c r="D58" s="257" t="s">
        <v>308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9" t="s">
        <v>185</v>
      </c>
      <c r="C60" s="287" t="s">
        <v>186</v>
      </c>
      <c r="D60" s="287"/>
      <c r="E60" s="288" t="s">
        <v>187</v>
      </c>
      <c r="F60" s="289"/>
      <c r="G60" s="289"/>
      <c r="H60" s="290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29</v>
      </c>
      <c r="B62" s="61">
        <v>146.5</v>
      </c>
      <c r="C62" s="61">
        <v>1</v>
      </c>
      <c r="D62" s="61">
        <v>26.5</v>
      </c>
      <c r="E62" s="54">
        <v>0</v>
      </c>
      <c r="F62" s="54">
        <v>0.5</v>
      </c>
      <c r="G62" s="54">
        <v>0</v>
      </c>
      <c r="H62" s="54">
        <v>0.5</v>
      </c>
      <c r="I62" s="56">
        <f>IFERROR(B62/A62,"")</f>
        <v>5.0517241379310347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34</v>
      </c>
      <c r="B63" s="61">
        <v>177.6</v>
      </c>
      <c r="C63" s="61">
        <v>2</v>
      </c>
      <c r="D63" s="61">
        <v>23.1</v>
      </c>
      <c r="E63" s="54">
        <v>0.6</v>
      </c>
      <c r="F63" s="54">
        <v>0.2</v>
      </c>
      <c r="G63" s="54">
        <v>0</v>
      </c>
      <c r="H63" s="54">
        <v>0.2</v>
      </c>
      <c r="I63" s="52">
        <f>IF(A63&lt;&gt;0,(B63-(B62-D62))/(A63-A62),"")</f>
        <v>11.52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42</v>
      </c>
      <c r="B64" s="61">
        <v>236.2</v>
      </c>
      <c r="C64" s="61">
        <v>3</v>
      </c>
      <c r="D64" s="61">
        <v>47.2</v>
      </c>
      <c r="E64" s="54">
        <v>0.6</v>
      </c>
      <c r="F64" s="54">
        <v>0.3</v>
      </c>
      <c r="G64" s="54">
        <v>0</v>
      </c>
      <c r="H64" s="54">
        <v>9.9999999999999992E-2</v>
      </c>
      <c r="I64" s="52">
        <f>IF(A64&lt;&gt;0,(B64-(B63-D63))/(A64-A63),"")</f>
        <v>10.212499999999999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50</v>
      </c>
      <c r="B65" s="61">
        <v>297.7</v>
      </c>
      <c r="C65" s="61">
        <v>4</v>
      </c>
      <c r="D65" s="61">
        <v>79.7</v>
      </c>
      <c r="E65" s="54">
        <v>0.6</v>
      </c>
      <c r="F65" s="54">
        <v>0.3</v>
      </c>
      <c r="G65" s="54">
        <v>0</v>
      </c>
      <c r="H65" s="54">
        <v>0.1</v>
      </c>
      <c r="I65" s="52">
        <f>IF(A65&lt;&gt;0,(B65-(B64-D64))/(A65-A64),"")</f>
        <v>13.587499999999999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62</v>
      </c>
      <c r="B66" s="61">
        <v>365.9</v>
      </c>
      <c r="C66" s="61">
        <v>5</v>
      </c>
      <c r="D66" s="61">
        <v>15.5</v>
      </c>
      <c r="E66" s="54">
        <v>0.6</v>
      </c>
      <c r="F66" s="54">
        <v>0.3</v>
      </c>
      <c r="G66" s="54">
        <v>0</v>
      </c>
      <c r="H66" s="54">
        <v>9.9999999999999992E-2</v>
      </c>
      <c r="I66" s="52">
        <f t="shared" ref="I66:I81" si="2">IF(A66&lt;&gt;0,(B66-(B65-D65))/(A66-A65),"")</f>
        <v>12.324999999999998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78</v>
      </c>
      <c r="B67" s="61">
        <v>534.9</v>
      </c>
      <c r="C67" s="61">
        <v>6</v>
      </c>
      <c r="D67" s="61">
        <v>82.4</v>
      </c>
      <c r="E67" s="54">
        <v>0.6</v>
      </c>
      <c r="F67" s="54">
        <v>0.3</v>
      </c>
      <c r="G67" s="54">
        <v>0</v>
      </c>
      <c r="H67" s="54">
        <v>9.9999999999999992E-2</v>
      </c>
      <c r="I67" s="52">
        <f t="shared" si="2"/>
        <v>11.53125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1"/>
      <c r="C68" s="61"/>
      <c r="D68" s="61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pubescent</v>
      </c>
      <c r="D84" s="257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9" t="s">
        <v>185</v>
      </c>
      <c r="C86" s="287" t="s">
        <v>186</v>
      </c>
      <c r="D86" s="287"/>
      <c r="E86" s="288" t="s">
        <v>187</v>
      </c>
      <c r="F86" s="289"/>
      <c r="G86" s="289"/>
      <c r="H86" s="290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37</v>
      </c>
      <c r="B88" s="61">
        <v>6</v>
      </c>
      <c r="C88" s="61">
        <v>1</v>
      </c>
      <c r="D88" s="61">
        <v>2</v>
      </c>
      <c r="E88" s="284">
        <v>0</v>
      </c>
      <c r="F88" s="284">
        <v>0</v>
      </c>
      <c r="G88" s="284">
        <v>0</v>
      </c>
      <c r="H88" s="284">
        <v>1</v>
      </c>
      <c r="I88" s="56">
        <f>IFERROR(B88/A88,"")</f>
        <v>0.16216216216216217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45</v>
      </c>
      <c r="B89" s="61">
        <v>37</v>
      </c>
      <c r="C89" s="61">
        <v>2</v>
      </c>
      <c r="D89" s="61">
        <v>7</v>
      </c>
      <c r="E89" s="284">
        <v>0.3</v>
      </c>
      <c r="F89" s="284">
        <v>0</v>
      </c>
      <c r="G89" s="284">
        <v>0</v>
      </c>
      <c r="H89" s="284">
        <v>0.7</v>
      </c>
      <c r="I89" s="56">
        <f t="shared" ref="I89:I107" si="3">IF(A89&lt;&gt;0,(B89-(B88-D88))/(A89-A88),"")</f>
        <v>4.125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53</v>
      </c>
      <c r="B90" s="61">
        <v>105</v>
      </c>
      <c r="C90" s="61">
        <v>3</v>
      </c>
      <c r="D90" s="61">
        <v>15</v>
      </c>
      <c r="E90" s="284">
        <v>0.3</v>
      </c>
      <c r="F90" s="284">
        <v>0</v>
      </c>
      <c r="G90" s="284">
        <v>0</v>
      </c>
      <c r="H90" s="284">
        <v>0.7</v>
      </c>
      <c r="I90" s="56">
        <f t="shared" si="3"/>
        <v>9.375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61</v>
      </c>
      <c r="B91" s="61">
        <v>157</v>
      </c>
      <c r="C91" s="61">
        <v>4</v>
      </c>
      <c r="D91" s="61">
        <v>31</v>
      </c>
      <c r="E91" s="284">
        <v>0.6</v>
      </c>
      <c r="F91" s="284">
        <v>0</v>
      </c>
      <c r="G91" s="284">
        <v>0</v>
      </c>
      <c r="H91" s="284">
        <v>0.4</v>
      </c>
      <c r="I91" s="56">
        <f t="shared" si="3"/>
        <v>8.375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69</v>
      </c>
      <c r="B92" s="61">
        <v>175</v>
      </c>
      <c r="C92" s="61">
        <v>5</v>
      </c>
      <c r="D92" s="61">
        <v>31</v>
      </c>
      <c r="E92" s="284">
        <v>0.6</v>
      </c>
      <c r="F92" s="284">
        <v>0</v>
      </c>
      <c r="G92" s="284">
        <v>0</v>
      </c>
      <c r="H92" s="284">
        <v>0.4</v>
      </c>
      <c r="I92" s="56">
        <f t="shared" si="3"/>
        <v>6.125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77</v>
      </c>
      <c r="B93" s="61">
        <v>192</v>
      </c>
      <c r="C93" s="61">
        <v>6</v>
      </c>
      <c r="D93" s="61">
        <v>31</v>
      </c>
      <c r="E93" s="284">
        <v>0.6</v>
      </c>
      <c r="F93" s="284">
        <v>0</v>
      </c>
      <c r="G93" s="284">
        <v>0</v>
      </c>
      <c r="H93" s="284">
        <v>0.4</v>
      </c>
      <c r="I93" s="56">
        <f t="shared" si="3"/>
        <v>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85</v>
      </c>
      <c r="B94" s="61">
        <v>207</v>
      </c>
      <c r="C94" s="61">
        <v>7</v>
      </c>
      <c r="D94" s="61">
        <v>30</v>
      </c>
      <c r="E94" s="284">
        <v>0.6</v>
      </c>
      <c r="F94" s="284">
        <v>0</v>
      </c>
      <c r="G94" s="284">
        <v>0</v>
      </c>
      <c r="H94" s="284">
        <v>0.4</v>
      </c>
      <c r="I94" s="56">
        <f t="shared" si="3"/>
        <v>5.75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95</v>
      </c>
      <c r="B95" s="61">
        <v>233</v>
      </c>
      <c r="C95" s="61">
        <v>8</v>
      </c>
      <c r="D95" s="61">
        <v>40</v>
      </c>
      <c r="E95" s="284">
        <v>0.6</v>
      </c>
      <c r="F95" s="284">
        <v>0</v>
      </c>
      <c r="G95" s="284">
        <v>0</v>
      </c>
      <c r="H95" s="284">
        <v>0.4</v>
      </c>
      <c r="I95" s="56">
        <f t="shared" si="3"/>
        <v>5.6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105</v>
      </c>
      <c r="B96" s="61">
        <v>247</v>
      </c>
      <c r="C96" s="61">
        <v>9</v>
      </c>
      <c r="D96" s="61">
        <v>32</v>
      </c>
      <c r="E96" s="284">
        <v>0</v>
      </c>
      <c r="F96" s="284">
        <v>0</v>
      </c>
      <c r="G96" s="284">
        <v>0</v>
      </c>
      <c r="H96" s="284">
        <v>0</v>
      </c>
      <c r="I96" s="56">
        <f t="shared" si="3"/>
        <v>5.4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115</v>
      </c>
      <c r="B97" s="61">
        <v>269</v>
      </c>
      <c r="C97" s="61">
        <v>10</v>
      </c>
      <c r="D97" s="61">
        <v>37</v>
      </c>
      <c r="E97" s="284">
        <v>0</v>
      </c>
      <c r="F97" s="284">
        <v>0</v>
      </c>
      <c r="G97" s="284">
        <v>0</v>
      </c>
      <c r="H97" s="284">
        <v>0</v>
      </c>
      <c r="I97" s="56">
        <f t="shared" si="3"/>
        <v>5.4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125</v>
      </c>
      <c r="B98" s="61">
        <v>287</v>
      </c>
      <c r="C98" s="61">
        <v>11</v>
      </c>
      <c r="D98" s="61">
        <v>38</v>
      </c>
      <c r="E98" s="284">
        <v>0</v>
      </c>
      <c r="F98" s="284">
        <v>0</v>
      </c>
      <c r="G98" s="284">
        <v>0</v>
      </c>
      <c r="H98" s="284">
        <v>0</v>
      </c>
      <c r="I98" s="56">
        <f t="shared" si="3"/>
        <v>5.5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135</v>
      </c>
      <c r="B99" s="61">
        <v>304</v>
      </c>
      <c r="C99" s="61">
        <v>12</v>
      </c>
      <c r="D99" s="61">
        <v>39</v>
      </c>
      <c r="E99" s="284">
        <v>0</v>
      </c>
      <c r="F99" s="284">
        <v>0</v>
      </c>
      <c r="G99" s="284">
        <v>0</v>
      </c>
      <c r="H99" s="284">
        <v>0</v>
      </c>
      <c r="I99" s="56">
        <f t="shared" si="3"/>
        <v>5.5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145</v>
      </c>
      <c r="B100" s="61">
        <v>322</v>
      </c>
      <c r="C100" s="61">
        <v>13</v>
      </c>
      <c r="D100" s="61">
        <v>39</v>
      </c>
      <c r="E100" s="284">
        <v>0</v>
      </c>
      <c r="F100" s="284">
        <v>0</v>
      </c>
      <c r="G100" s="284">
        <v>0</v>
      </c>
      <c r="H100" s="284">
        <v>0</v>
      </c>
      <c r="I100" s="56">
        <f t="shared" si="3"/>
        <v>5.7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155</v>
      </c>
      <c r="B101" s="61">
        <v>339</v>
      </c>
      <c r="C101" s="61">
        <v>14</v>
      </c>
      <c r="D101" s="61">
        <v>40</v>
      </c>
      <c r="E101" s="284">
        <v>0</v>
      </c>
      <c r="F101" s="284">
        <v>0</v>
      </c>
      <c r="G101" s="284">
        <v>0</v>
      </c>
      <c r="H101" s="284">
        <v>0</v>
      </c>
      <c r="I101" s="56">
        <f t="shared" si="3"/>
        <v>5.6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165</v>
      </c>
      <c r="B102" s="61">
        <v>357</v>
      </c>
      <c r="C102" s="61">
        <v>15</v>
      </c>
      <c r="D102" s="61">
        <v>39</v>
      </c>
      <c r="E102" s="284">
        <v>0</v>
      </c>
      <c r="F102" s="284">
        <v>0</v>
      </c>
      <c r="G102" s="284">
        <v>0</v>
      </c>
      <c r="H102" s="284">
        <v>0</v>
      </c>
      <c r="I102" s="56">
        <f t="shared" si="3"/>
        <v>5.8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180</v>
      </c>
      <c r="B103" s="61">
        <v>408</v>
      </c>
      <c r="C103" s="61">
        <v>16</v>
      </c>
      <c r="D103" s="61">
        <v>408</v>
      </c>
      <c r="E103" s="284">
        <v>0</v>
      </c>
      <c r="F103" s="284">
        <v>0</v>
      </c>
      <c r="G103" s="284">
        <v>0</v>
      </c>
      <c r="H103" s="284">
        <v>0</v>
      </c>
      <c r="I103" s="56">
        <f t="shared" si="3"/>
        <v>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1"/>
      <c r="B104" s="53"/>
      <c r="C104" s="61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Cèdre de l'Atlas</v>
      </c>
      <c r="D110" s="257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9" t="s">
        <v>185</v>
      </c>
      <c r="C112" s="287" t="s">
        <v>186</v>
      </c>
      <c r="D112" s="287"/>
      <c r="E112" s="288" t="s">
        <v>187</v>
      </c>
      <c r="F112" s="289"/>
      <c r="G112" s="289"/>
      <c r="H112" s="290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1">
        <v>115</v>
      </c>
      <c r="C114" s="61">
        <v>1</v>
      </c>
      <c r="D114" s="61">
        <v>40.25</v>
      </c>
      <c r="E114" s="284">
        <v>0</v>
      </c>
      <c r="F114" s="284">
        <v>1</v>
      </c>
      <c r="G114" s="284">
        <v>0</v>
      </c>
      <c r="H114" s="284">
        <v>0</v>
      </c>
      <c r="I114" s="56">
        <f>IFERROR(B114/A114,"")</f>
        <v>5.75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30</v>
      </c>
      <c r="B115" s="61">
        <v>139.75</v>
      </c>
      <c r="C115" s="61">
        <v>2</v>
      </c>
      <c r="D115" s="61">
        <v>34.9375</v>
      </c>
      <c r="E115" s="284">
        <v>0</v>
      </c>
      <c r="F115" s="284">
        <v>1</v>
      </c>
      <c r="G115" s="284">
        <v>0</v>
      </c>
      <c r="H115" s="284">
        <v>0</v>
      </c>
      <c r="I115" s="56">
        <f t="shared" ref="I115:I133" si="4">IF(A115&lt;&gt;0,(B115-(B114-D114))/(A115-A114),"")</f>
        <v>6.5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40</v>
      </c>
      <c r="B116" s="61">
        <v>174.8125</v>
      </c>
      <c r="C116" s="61">
        <v>3</v>
      </c>
      <c r="D116" s="61">
        <v>34.962499999999999</v>
      </c>
      <c r="E116" s="284">
        <v>0.5</v>
      </c>
      <c r="F116" s="284">
        <v>0.5</v>
      </c>
      <c r="G116" s="284">
        <v>0</v>
      </c>
      <c r="H116" s="284">
        <v>0</v>
      </c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60</v>
      </c>
      <c r="B117" s="61">
        <v>289.85000000000002</v>
      </c>
      <c r="C117" s="61">
        <v>4</v>
      </c>
      <c r="D117" s="61">
        <v>289.85000000000002</v>
      </c>
      <c r="E117" s="284">
        <v>0.7</v>
      </c>
      <c r="F117" s="284">
        <v>0.3</v>
      </c>
      <c r="G117" s="284">
        <v>0</v>
      </c>
      <c r="H117" s="284">
        <v>0</v>
      </c>
      <c r="I117" s="56">
        <f t="shared" si="4"/>
        <v>7.5000000000000018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1"/>
      <c r="C118" s="53"/>
      <c r="D118" s="61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1"/>
      <c r="C119" s="53"/>
      <c r="D119" s="61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/>
      <c r="B120" s="61"/>
      <c r="C120" s="53"/>
      <c r="D120" s="61"/>
      <c r="E120" s="54"/>
      <c r="F120" s="54"/>
      <c r="G120" s="54"/>
      <c r="H120" s="5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/>
      <c r="B121" s="61"/>
      <c r="C121" s="53"/>
      <c r="D121" s="61"/>
      <c r="E121" s="54"/>
      <c r="F121" s="54"/>
      <c r="G121" s="54"/>
      <c r="H121" s="5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1"/>
      <c r="B122" s="61"/>
      <c r="C122" s="53"/>
      <c r="D122" s="61"/>
      <c r="E122" s="91"/>
      <c r="F122" s="91"/>
      <c r="G122" s="91"/>
      <c r="H122" s="91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1"/>
      <c r="B123" s="61"/>
      <c r="C123" s="61"/>
      <c r="D123" s="61"/>
      <c r="E123" s="91"/>
      <c r="F123" s="91"/>
      <c r="G123" s="91"/>
      <c r="H123" s="91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1"/>
      <c r="B124" s="61"/>
      <c r="C124" s="61"/>
      <c r="D124" s="61"/>
      <c r="E124" s="91"/>
      <c r="F124" s="91"/>
      <c r="G124" s="91"/>
      <c r="H124" s="91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1"/>
      <c r="B125" s="61"/>
      <c r="C125" s="61"/>
      <c r="D125" s="61"/>
      <c r="E125" s="91"/>
      <c r="F125" s="91"/>
      <c r="G125" s="91"/>
      <c r="H125" s="91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1"/>
      <c r="B126" s="61"/>
      <c r="C126" s="61"/>
      <c r="D126" s="61"/>
      <c r="E126" s="66"/>
      <c r="F126" s="66"/>
      <c r="G126" s="66"/>
      <c r="H126" s="66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1"/>
      <c r="B127" s="61"/>
      <c r="C127" s="61"/>
      <c r="D127" s="61"/>
      <c r="E127" s="66"/>
      <c r="F127" s="66"/>
      <c r="G127" s="66"/>
      <c r="H127" s="66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Tilleul</v>
      </c>
      <c r="D136" s="257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9" t="s">
        <v>185</v>
      </c>
      <c r="C138" s="287" t="s">
        <v>186</v>
      </c>
      <c r="D138" s="287"/>
      <c r="E138" s="288" t="s">
        <v>187</v>
      </c>
      <c r="F138" s="289"/>
      <c r="G138" s="289"/>
      <c r="H138" s="290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15</v>
      </c>
      <c r="B140" s="61">
        <v>65</v>
      </c>
      <c r="C140" s="61">
        <v>1</v>
      </c>
      <c r="D140" s="61">
        <v>14</v>
      </c>
      <c r="E140" s="284">
        <v>0</v>
      </c>
      <c r="F140" s="284">
        <v>0</v>
      </c>
      <c r="G140" s="284">
        <v>0</v>
      </c>
      <c r="H140" s="284">
        <v>1</v>
      </c>
      <c r="I140" s="59">
        <f>IFERROR(B140/A140,"")</f>
        <v>4.333333333333333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20</v>
      </c>
      <c r="B141" s="61">
        <v>109</v>
      </c>
      <c r="C141" s="61">
        <v>2</v>
      </c>
      <c r="D141" s="61">
        <v>20</v>
      </c>
      <c r="E141" s="284">
        <v>0</v>
      </c>
      <c r="F141" s="284">
        <v>0</v>
      </c>
      <c r="G141" s="284">
        <v>0</v>
      </c>
      <c r="H141" s="284">
        <v>1</v>
      </c>
      <c r="I141" s="59">
        <f t="shared" ref="I141:I159" si="5">IF(A141&lt;&gt;0,(B141-(B140-D140))/(A141-A140),"")</f>
        <v>11.6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25</v>
      </c>
      <c r="B142" s="61">
        <v>150</v>
      </c>
      <c r="C142" s="61">
        <v>3</v>
      </c>
      <c r="D142" s="61">
        <v>23</v>
      </c>
      <c r="E142" s="284">
        <v>0</v>
      </c>
      <c r="F142" s="284">
        <v>0</v>
      </c>
      <c r="G142" s="284">
        <v>0</v>
      </c>
      <c r="H142" s="284">
        <v>1</v>
      </c>
      <c r="I142" s="59">
        <f t="shared" si="5"/>
        <v>12.2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30</v>
      </c>
      <c r="B143" s="61">
        <v>187</v>
      </c>
      <c r="C143" s="61">
        <v>4</v>
      </c>
      <c r="D143" s="61">
        <v>24</v>
      </c>
      <c r="E143" s="284">
        <v>0</v>
      </c>
      <c r="F143" s="284">
        <v>0</v>
      </c>
      <c r="G143" s="284">
        <v>0</v>
      </c>
      <c r="H143" s="284">
        <v>1</v>
      </c>
      <c r="I143" s="59">
        <f t="shared" si="5"/>
        <v>12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35</v>
      </c>
      <c r="B144" s="61">
        <v>219</v>
      </c>
      <c r="C144" s="61">
        <v>5</v>
      </c>
      <c r="D144" s="61">
        <v>25</v>
      </c>
      <c r="E144" s="284">
        <v>0</v>
      </c>
      <c r="F144" s="284">
        <v>0</v>
      </c>
      <c r="G144" s="284">
        <v>0</v>
      </c>
      <c r="H144" s="284">
        <v>1</v>
      </c>
      <c r="I144" s="59">
        <f t="shared" si="5"/>
        <v>11.2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40</v>
      </c>
      <c r="B145" s="61">
        <v>248</v>
      </c>
      <c r="C145" s="61">
        <v>6</v>
      </c>
      <c r="D145" s="61">
        <v>25</v>
      </c>
      <c r="E145" s="284">
        <v>0.3</v>
      </c>
      <c r="F145" s="284">
        <v>0</v>
      </c>
      <c r="G145" s="284">
        <v>0</v>
      </c>
      <c r="H145" s="284">
        <v>0.7</v>
      </c>
      <c r="I145" s="59">
        <f t="shared" si="5"/>
        <v>10.8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45</v>
      </c>
      <c r="B146" s="61">
        <v>272</v>
      </c>
      <c r="C146" s="61">
        <v>7</v>
      </c>
      <c r="D146" s="61">
        <v>24</v>
      </c>
      <c r="E146" s="284">
        <v>0.3</v>
      </c>
      <c r="F146" s="284">
        <v>0</v>
      </c>
      <c r="G146" s="284">
        <v>0</v>
      </c>
      <c r="H146" s="284">
        <v>0.69999999999999984</v>
      </c>
      <c r="I146" s="59">
        <f t="shared" si="5"/>
        <v>9.8000000000000007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50</v>
      </c>
      <c r="B147" s="61">
        <v>294</v>
      </c>
      <c r="C147" s="61">
        <v>8</v>
      </c>
      <c r="D147" s="61">
        <v>24</v>
      </c>
      <c r="E147" s="284">
        <v>0.3</v>
      </c>
      <c r="F147" s="284">
        <v>0</v>
      </c>
      <c r="G147" s="284">
        <v>0</v>
      </c>
      <c r="H147" s="284">
        <v>0.69999999999999984</v>
      </c>
      <c r="I147" s="59">
        <f>IF(A147&lt;&gt;0,(B147-(B146-D146))/(A147-A146),"")</f>
        <v>9.1999999999999993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55</v>
      </c>
      <c r="B148" s="61">
        <v>314</v>
      </c>
      <c r="C148" s="61">
        <v>9</v>
      </c>
      <c r="D148" s="61">
        <v>23</v>
      </c>
      <c r="E148" s="284">
        <v>0.3</v>
      </c>
      <c r="F148" s="284">
        <v>0</v>
      </c>
      <c r="G148" s="284">
        <v>0</v>
      </c>
      <c r="H148" s="284">
        <v>0.7</v>
      </c>
      <c r="I148" s="59">
        <f t="shared" si="5"/>
        <v>8.8000000000000007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60</v>
      </c>
      <c r="B149" s="61">
        <v>332</v>
      </c>
      <c r="C149" s="61">
        <v>10</v>
      </c>
      <c r="D149" s="61">
        <v>22</v>
      </c>
      <c r="E149" s="284">
        <v>0.6</v>
      </c>
      <c r="F149" s="284">
        <v>0</v>
      </c>
      <c r="G149" s="284">
        <v>0</v>
      </c>
      <c r="H149" s="284">
        <v>0.4</v>
      </c>
      <c r="I149" s="59">
        <f t="shared" si="5"/>
        <v>8.1999999999999993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65</v>
      </c>
      <c r="B150" s="61">
        <v>347</v>
      </c>
      <c r="C150" s="61">
        <v>11</v>
      </c>
      <c r="D150" s="61">
        <v>21</v>
      </c>
      <c r="E150" s="284">
        <v>0.6</v>
      </c>
      <c r="F150" s="284">
        <v>0</v>
      </c>
      <c r="G150" s="284">
        <v>0</v>
      </c>
      <c r="H150" s="284">
        <v>0.4</v>
      </c>
      <c r="I150" s="59">
        <f t="shared" si="5"/>
        <v>7.4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70</v>
      </c>
      <c r="B151" s="61">
        <v>362</v>
      </c>
      <c r="C151" s="61">
        <v>12</v>
      </c>
      <c r="D151" s="61">
        <v>20</v>
      </c>
      <c r="E151" s="284">
        <v>0.6</v>
      </c>
      <c r="F151" s="284">
        <v>0</v>
      </c>
      <c r="G151" s="284">
        <v>0</v>
      </c>
      <c r="H151" s="284">
        <v>0.4</v>
      </c>
      <c r="I151" s="59">
        <f t="shared" si="5"/>
        <v>7.2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75</v>
      </c>
      <c r="B152" s="61">
        <v>375</v>
      </c>
      <c r="C152" s="61">
        <v>13</v>
      </c>
      <c r="D152" s="61">
        <v>18</v>
      </c>
      <c r="E152" s="284">
        <v>0.6</v>
      </c>
      <c r="F152" s="284">
        <v>0</v>
      </c>
      <c r="G152" s="284">
        <v>0</v>
      </c>
      <c r="H152" s="284">
        <v>0.4</v>
      </c>
      <c r="I152" s="59">
        <f t="shared" si="5"/>
        <v>6.6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80</v>
      </c>
      <c r="B153" s="61">
        <v>390</v>
      </c>
      <c r="C153" s="61">
        <v>14</v>
      </c>
      <c r="D153" s="61">
        <v>19</v>
      </c>
      <c r="E153" s="284">
        <v>0.6</v>
      </c>
      <c r="F153" s="284">
        <v>0</v>
      </c>
      <c r="G153" s="284">
        <v>0</v>
      </c>
      <c r="H153" s="284">
        <v>0.4</v>
      </c>
      <c r="I153" s="59">
        <f t="shared" si="5"/>
        <v>6.6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85</v>
      </c>
      <c r="B154" s="61">
        <v>401.00000000000006</v>
      </c>
      <c r="C154" s="61">
        <v>15</v>
      </c>
      <c r="D154" s="61">
        <v>18</v>
      </c>
      <c r="E154" s="284">
        <v>0.6</v>
      </c>
      <c r="F154" s="284">
        <v>0</v>
      </c>
      <c r="G154" s="284">
        <v>0</v>
      </c>
      <c r="H154" s="284">
        <v>0.4</v>
      </c>
      <c r="I154" s="59">
        <f t="shared" si="5"/>
        <v>6.0000000000000115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90</v>
      </c>
      <c r="B155" s="61">
        <v>411</v>
      </c>
      <c r="C155" s="61">
        <v>16</v>
      </c>
      <c r="D155" s="61">
        <v>18</v>
      </c>
      <c r="E155" s="284">
        <v>0.6</v>
      </c>
      <c r="F155" s="284">
        <v>0</v>
      </c>
      <c r="G155" s="284">
        <v>0</v>
      </c>
      <c r="H155" s="284">
        <v>0.4</v>
      </c>
      <c r="I155" s="59">
        <f t="shared" si="5"/>
        <v>5.599999999999989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95</v>
      </c>
      <c r="B156" s="61">
        <v>421</v>
      </c>
      <c r="C156" s="61">
        <v>17</v>
      </c>
      <c r="D156" s="61">
        <v>17</v>
      </c>
      <c r="E156" s="284">
        <v>0.6</v>
      </c>
      <c r="F156" s="284">
        <v>0</v>
      </c>
      <c r="G156" s="284">
        <v>0</v>
      </c>
      <c r="H156" s="284">
        <v>0.4</v>
      </c>
      <c r="I156" s="59">
        <f t="shared" si="5"/>
        <v>5.6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>
        <v>100</v>
      </c>
      <c r="B157" s="61">
        <v>430</v>
      </c>
      <c r="C157" s="61">
        <v>18</v>
      </c>
      <c r="D157" s="61">
        <v>16</v>
      </c>
      <c r="E157" s="284">
        <v>0.6</v>
      </c>
      <c r="F157" s="284">
        <v>0</v>
      </c>
      <c r="G157" s="284">
        <v>0</v>
      </c>
      <c r="H157" s="284">
        <v>0.4</v>
      </c>
      <c r="I157" s="59">
        <f t="shared" si="5"/>
        <v>5.2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>
        <v>105</v>
      </c>
      <c r="B158" s="61">
        <v>438</v>
      </c>
      <c r="C158" s="61">
        <v>19</v>
      </c>
      <c r="D158" s="61">
        <v>16</v>
      </c>
      <c r="E158" s="284">
        <v>0.6</v>
      </c>
      <c r="F158" s="284">
        <v>0</v>
      </c>
      <c r="G158" s="284">
        <v>0</v>
      </c>
      <c r="H158" s="284">
        <v>0.4</v>
      </c>
      <c r="I158" s="59">
        <f t="shared" si="5"/>
        <v>4.8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>
        <v>110</v>
      </c>
      <c r="B159" s="61">
        <v>446</v>
      </c>
      <c r="C159" s="61">
        <v>20</v>
      </c>
      <c r="D159" s="61">
        <v>446</v>
      </c>
      <c r="E159" s="284">
        <v>0.6</v>
      </c>
      <c r="F159" s="284">
        <v>0</v>
      </c>
      <c r="G159" s="284">
        <v>0</v>
      </c>
      <c r="H159" s="284">
        <v>0.4</v>
      </c>
      <c r="I159" s="59">
        <f t="shared" si="5"/>
        <v>4.8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Châtaignier</v>
      </c>
      <c r="D162" s="257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9" t="s">
        <v>185</v>
      </c>
      <c r="C164" s="287" t="s">
        <v>186</v>
      </c>
      <c r="D164" s="287"/>
      <c r="E164" s="288" t="s">
        <v>187</v>
      </c>
      <c r="F164" s="289"/>
      <c r="G164" s="289"/>
      <c r="H164" s="290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10</v>
      </c>
      <c r="B166" s="53">
        <v>115</v>
      </c>
      <c r="C166" s="53">
        <v>1</v>
      </c>
      <c r="D166" s="53">
        <v>0</v>
      </c>
      <c r="E166" s="284">
        <v>0</v>
      </c>
      <c r="F166" s="284">
        <v>0.5</v>
      </c>
      <c r="G166" s="284">
        <v>0</v>
      </c>
      <c r="H166" s="284">
        <v>0.5</v>
      </c>
      <c r="I166" s="52">
        <f>IFERROR(B166/A166,"")</f>
        <v>11.5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15</v>
      </c>
      <c r="B167" s="53">
        <v>83</v>
      </c>
      <c r="C167" s="53">
        <v>2</v>
      </c>
      <c r="D167" s="53">
        <v>0</v>
      </c>
      <c r="E167" s="284">
        <v>0</v>
      </c>
      <c r="F167" s="284">
        <v>0.5</v>
      </c>
      <c r="G167" s="284">
        <v>0</v>
      </c>
      <c r="H167" s="284">
        <v>0.5</v>
      </c>
      <c r="I167" s="52">
        <f>IF(A167&lt;&gt;0,(B167-(B166-D166))/(A167-A166),"")</f>
        <v>-6.4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16</v>
      </c>
      <c r="B168" s="53">
        <v>92</v>
      </c>
      <c r="C168" s="53">
        <v>3</v>
      </c>
      <c r="D168" s="53">
        <v>33</v>
      </c>
      <c r="E168" s="284">
        <v>0</v>
      </c>
      <c r="F168" s="284">
        <v>0.5</v>
      </c>
      <c r="G168" s="284">
        <v>0</v>
      </c>
      <c r="H168" s="284">
        <v>0.5</v>
      </c>
      <c r="I168" s="52">
        <f>IF(A168&lt;&gt;0,(B168-(B167-D167))/(A168-A167),"")</f>
        <v>9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20</v>
      </c>
      <c r="B169" s="53">
        <v>91</v>
      </c>
      <c r="C169" s="53">
        <v>4</v>
      </c>
      <c r="D169" s="53">
        <v>0</v>
      </c>
      <c r="E169" s="284">
        <v>0</v>
      </c>
      <c r="F169" s="284">
        <v>0.5</v>
      </c>
      <c r="G169" s="284">
        <v>0</v>
      </c>
      <c r="H169" s="284">
        <v>0.5</v>
      </c>
      <c r="I169" s="52">
        <f>IF(A169&lt;&gt;0,(B169-(B168-D168))/(A169-A168),"")</f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25</v>
      </c>
      <c r="B170" s="53">
        <v>131</v>
      </c>
      <c r="C170" s="53">
        <v>5</v>
      </c>
      <c r="D170" s="53">
        <v>41</v>
      </c>
      <c r="E170" s="284">
        <v>0</v>
      </c>
      <c r="F170" s="284">
        <v>0.5</v>
      </c>
      <c r="G170" s="284">
        <v>0</v>
      </c>
      <c r="H170" s="284">
        <v>0.5</v>
      </c>
      <c r="I170" s="52">
        <f>IF(A170&lt;&gt;0,(B170-(B169-D169))/(A170-A169),"")</f>
        <v>8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30</v>
      </c>
      <c r="B171" s="53">
        <v>126</v>
      </c>
      <c r="C171" s="53">
        <v>6</v>
      </c>
      <c r="D171" s="53">
        <v>0</v>
      </c>
      <c r="E171" s="284">
        <v>0.6</v>
      </c>
      <c r="F171" s="284">
        <v>0.3</v>
      </c>
      <c r="G171" s="284">
        <v>0</v>
      </c>
      <c r="H171" s="284">
        <v>0.1</v>
      </c>
      <c r="I171" s="52">
        <f>IF(A171&lt;&gt;0,(B171-(B170-D170))/(A171-A170),"")</f>
        <v>7.2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35</v>
      </c>
      <c r="B172" s="61">
        <v>163</v>
      </c>
      <c r="C172" s="53">
        <v>7</v>
      </c>
      <c r="D172" s="61">
        <v>0</v>
      </c>
      <c r="E172" s="284">
        <v>0.6</v>
      </c>
      <c r="F172" s="284">
        <v>0.3</v>
      </c>
      <c r="G172" s="284">
        <v>0</v>
      </c>
      <c r="H172" s="284">
        <v>0.1</v>
      </c>
      <c r="I172" s="52">
        <f t="shared" ref="I172:I185" si="6">IF(A172&lt;&gt;0,(B172-(B171-D171))/(A172-A171),"")</f>
        <v>7.4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40</v>
      </c>
      <c r="B173" s="53">
        <v>197</v>
      </c>
      <c r="C173" s="53">
        <v>8</v>
      </c>
      <c r="D173" s="53">
        <v>0</v>
      </c>
      <c r="E173" s="284">
        <v>0.6</v>
      </c>
      <c r="F173" s="284">
        <v>0.3</v>
      </c>
      <c r="G173" s="284">
        <v>0</v>
      </c>
      <c r="H173" s="284">
        <v>0.1</v>
      </c>
      <c r="I173" s="52">
        <f t="shared" si="6"/>
        <v>6.8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45</v>
      </c>
      <c r="B174" s="53">
        <v>231</v>
      </c>
      <c r="C174" s="53">
        <v>9</v>
      </c>
      <c r="D174" s="53">
        <v>231</v>
      </c>
      <c r="E174" s="284">
        <v>0.6</v>
      </c>
      <c r="F174" s="284">
        <v>0.3</v>
      </c>
      <c r="G174" s="284">
        <v>0</v>
      </c>
      <c r="H174" s="284">
        <v>0.1</v>
      </c>
      <c r="I174" s="52">
        <f t="shared" si="6"/>
        <v>6.8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7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9" t="s">
        <v>185</v>
      </c>
      <c r="C190" s="287" t="s">
        <v>186</v>
      </c>
      <c r="D190" s="287"/>
      <c r="E190" s="288" t="s">
        <v>187</v>
      </c>
      <c r="F190" s="289"/>
      <c r="G190" s="289"/>
      <c r="H190" s="290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1"/>
      <c r="C192" s="61"/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1"/>
      <c r="C193" s="61"/>
      <c r="D193" s="61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1"/>
      <c r="C194" s="61"/>
      <c r="D194" s="61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1"/>
      <c r="C195" s="61"/>
      <c r="D195" s="61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1"/>
      <c r="C196" s="61"/>
      <c r="D196" s="61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1"/>
      <c r="C197" s="61"/>
      <c r="D197" s="61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1"/>
      <c r="C198" s="61"/>
      <c r="D198" s="61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7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9" t="s">
        <v>185</v>
      </c>
      <c r="C216" s="287" t="s">
        <v>186</v>
      </c>
      <c r="D216" s="287"/>
      <c r="E216" s="288" t="s">
        <v>187</v>
      </c>
      <c r="F216" s="289"/>
      <c r="G216" s="289"/>
      <c r="H216" s="290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1"/>
      <c r="C220" s="53"/>
      <c r="D220" s="61"/>
      <c r="E220" s="64"/>
      <c r="F220" s="64"/>
      <c r="G220" s="64"/>
      <c r="H220" s="6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4"/>
      <c r="F221" s="64"/>
      <c r="G221" s="64"/>
      <c r="H221" s="6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4"/>
      <c r="F222" s="64"/>
      <c r="G222" s="64"/>
      <c r="H222" s="6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4"/>
      <c r="F223" s="64"/>
      <c r="G223" s="64"/>
      <c r="H223" s="6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2"/>
      <c r="B231" s="61"/>
      <c r="C231" s="92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7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9" t="s">
        <v>185</v>
      </c>
      <c r="C242" s="287" t="s">
        <v>186</v>
      </c>
      <c r="D242" s="287"/>
      <c r="E242" s="288" t="s">
        <v>187</v>
      </c>
      <c r="F242" s="289"/>
      <c r="G242" s="289"/>
      <c r="H242" s="290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7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9" t="s">
        <v>185</v>
      </c>
      <c r="C268" s="287" t="s">
        <v>186</v>
      </c>
      <c r="D268" s="287"/>
      <c r="E268" s="288" t="s">
        <v>187</v>
      </c>
      <c r="F268" s="289"/>
      <c r="G268" s="289"/>
      <c r="H268" s="290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 xr:uid="{00000000-0002-0000-0100-000000000000}">
      <formula1>Essence</formula1>
    </dataValidation>
    <dataValidation type="list" allowBlank="1" showInputMessage="1" showErrorMessage="1" sqref="C24" xr:uid="{00000000-0002-0000-0100-000001000000}">
      <formula1>VAN</formula1>
    </dataValidation>
    <dataValidation type="list" allowBlank="1" showInputMessage="1" showErrorMessage="1" sqref="C26" xr:uid="{00000000-0002-0000-0100-000002000000}">
      <formula1>Incendie</formula1>
    </dataValidation>
    <dataValidation type="list" allowBlank="1" showInputMessage="1" showErrorMessage="1" sqref="C27" xr:uid="{00000000-0002-0000-0100-000003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1" t="s">
        <v>191</v>
      </c>
      <c r="C2" s="302"/>
      <c r="D2" s="302"/>
      <c r="E2" s="302"/>
      <c r="F2" s="302"/>
      <c r="G2" s="303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0"/>
      <c r="C4" s="300"/>
      <c r="D4" s="300"/>
      <c r="E4" s="300"/>
      <c r="F4" s="300"/>
      <c r="G4" s="300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297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296</v>
      </c>
      <c r="C7" s="107" t="s">
        <v>214</v>
      </c>
      <c r="D7" s="233"/>
      <c r="E7" s="108"/>
      <c r="F7" s="29" t="s">
        <v>296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4"/>
      <c r="C13" s="105" t="s">
        <v>273</v>
      </c>
      <c r="D13" s="234"/>
      <c r="E13" s="106"/>
      <c r="F13" s="114"/>
      <c r="G13" s="105" t="s">
        <v>302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4"/>
      <c r="B14" s="114"/>
      <c r="C14" s="105" t="s">
        <v>310</v>
      </c>
      <c r="D14" s="234"/>
      <c r="E14" s="106"/>
      <c r="F14" s="114"/>
      <c r="G14" s="105" t="s">
        <v>295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296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1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44140625" defaultRowHeight="14.4" x14ac:dyDescent="0.3"/>
  <cols>
    <col min="1" max="1" width="6.77734375" style="69" bestFit="1" customWidth="1"/>
    <col min="2" max="4" width="11.44140625" style="69"/>
    <col min="5" max="5" width="9.5546875" style="69" customWidth="1"/>
    <col min="6" max="7" width="11.44140625" style="69"/>
    <col min="8" max="8" width="10.77734375" style="69" customWidth="1"/>
    <col min="9" max="9" width="9.44140625" style="69" customWidth="1"/>
    <col min="10" max="11" width="10.5546875" style="69" bestFit="1" customWidth="1"/>
    <col min="12" max="12" width="14" style="69" bestFit="1" customWidth="1"/>
    <col min="13" max="13" width="14" style="69" customWidth="1"/>
    <col min="14" max="23" width="11.44140625" style="69"/>
    <col min="24" max="24" width="11.77734375" style="69" bestFit="1" customWidth="1"/>
    <col min="25" max="25" width="14.5546875" style="69" bestFit="1" customWidth="1"/>
    <col min="26" max="26" width="12.44140625" style="69" bestFit="1" customWidth="1"/>
    <col min="27" max="27" width="9.77734375" style="69" bestFit="1" customWidth="1"/>
    <col min="28" max="28" width="11" style="69" bestFit="1" customWidth="1"/>
    <col min="29" max="29" width="9.44140625" style="69" bestFit="1" customWidth="1"/>
    <col min="30" max="31" width="9.44140625" style="69" customWidth="1"/>
    <col min="32" max="32" width="11.44140625" style="69"/>
    <col min="33" max="34" width="14" style="69" bestFit="1" customWidth="1"/>
    <col min="35" max="35" width="10.5546875" style="69" bestFit="1" customWidth="1"/>
    <col min="36" max="36" width="9.44140625" style="69" bestFit="1" customWidth="1"/>
    <col min="37" max="38" width="10.5546875" style="69" bestFit="1" customWidth="1"/>
    <col min="39" max="41" width="10.5546875" style="69" customWidth="1"/>
    <col min="42" max="42" width="9" style="69" bestFit="1" customWidth="1"/>
    <col min="43" max="43" width="10.5546875" style="69" bestFit="1" customWidth="1"/>
    <col min="44" max="44" width="9.21875" style="69" bestFit="1" customWidth="1"/>
    <col min="45" max="45" width="11.77734375" style="69" bestFit="1" customWidth="1"/>
    <col min="46" max="46" width="8.44140625" style="69" bestFit="1" customWidth="1"/>
    <col min="47" max="47" width="9.44140625" style="69" bestFit="1" customWidth="1"/>
    <col min="48" max="48" width="9.77734375" style="69" bestFit="1" customWidth="1"/>
    <col min="49" max="49" width="11" style="69" bestFit="1" customWidth="1"/>
    <col min="50" max="50" width="9.44140625" style="69" bestFit="1" customWidth="1"/>
    <col min="51" max="52" width="9.44140625" style="69" customWidth="1"/>
    <col min="53" max="53" width="10.5546875" style="69" bestFit="1" customWidth="1"/>
    <col min="54" max="54" width="14.21875" style="69" customWidth="1"/>
    <col min="55" max="55" width="14" style="69" customWidth="1"/>
    <col min="56" max="56" width="10.5546875" style="69" bestFit="1" customWidth="1"/>
    <col min="57" max="57" width="9.44140625" style="69" bestFit="1" customWidth="1"/>
    <col min="58" max="59" width="10.5546875" style="69" bestFit="1" customWidth="1"/>
    <col min="60" max="62" width="10.5546875" style="69" customWidth="1"/>
    <col min="63" max="63" width="9" style="69" bestFit="1" customWidth="1"/>
    <col min="64" max="64" width="10.5546875" style="69" bestFit="1" customWidth="1"/>
    <col min="65" max="65" width="9.21875" style="69" bestFit="1" customWidth="1"/>
    <col min="66" max="66" width="11.77734375" style="69" bestFit="1" customWidth="1"/>
    <col min="67" max="67" width="8.44140625" style="69" bestFit="1" customWidth="1"/>
    <col min="68" max="68" width="9.44140625" style="69" bestFit="1" customWidth="1"/>
    <col min="69" max="69" width="9.77734375" style="69" bestFit="1" customWidth="1"/>
    <col min="70" max="70" width="11" style="69" bestFit="1" customWidth="1"/>
    <col min="71" max="71" width="9.44140625" style="69" bestFit="1" customWidth="1"/>
    <col min="72" max="73" width="9.44140625" style="69" customWidth="1"/>
    <col min="74" max="74" width="10.5546875" style="69" bestFit="1" customWidth="1"/>
    <col min="75" max="75" width="14" style="69" bestFit="1" customWidth="1"/>
    <col min="76" max="76" width="13.77734375" style="69" customWidth="1"/>
    <col min="77" max="77" width="10.5546875" style="69" bestFit="1" customWidth="1"/>
    <col min="78" max="78" width="9.44140625" style="69" bestFit="1" customWidth="1"/>
    <col min="79" max="80" width="10.5546875" style="69" bestFit="1" customWidth="1"/>
    <col min="81" max="83" width="10.5546875" style="69" customWidth="1"/>
    <col min="84" max="84" width="11.44140625" style="69"/>
    <col min="85" max="85" width="10.5546875" style="69" bestFit="1" customWidth="1"/>
    <col min="86" max="86" width="9.21875" style="69" bestFit="1" customWidth="1"/>
    <col min="87" max="87" width="11.77734375" style="69" bestFit="1" customWidth="1"/>
    <col min="88" max="88" width="8.44140625" style="69" bestFit="1" customWidth="1"/>
    <col min="89" max="89" width="9.44140625" style="69" bestFit="1" customWidth="1"/>
    <col min="90" max="90" width="9.77734375" style="69" bestFit="1" customWidth="1"/>
    <col min="91" max="91" width="11" style="69" bestFit="1" customWidth="1"/>
    <col min="92" max="92" width="9.44140625" style="69" bestFit="1" customWidth="1"/>
    <col min="93" max="94" width="9.44140625" style="69" customWidth="1"/>
    <col min="95" max="95" width="11.44140625" style="69"/>
    <col min="96" max="97" width="14" style="69" customWidth="1"/>
    <col min="98" max="98" width="10.5546875" style="69" bestFit="1" customWidth="1"/>
    <col min="99" max="99" width="9.44140625" style="69" bestFit="1" customWidth="1"/>
    <col min="100" max="101" width="10.5546875" style="69" bestFit="1" customWidth="1"/>
    <col min="102" max="104" width="10.5546875" style="69" customWidth="1"/>
    <col min="105" max="105" width="9" style="69" bestFit="1" customWidth="1"/>
    <col min="106" max="106" width="10.5546875" style="69" bestFit="1" customWidth="1"/>
    <col min="107" max="107" width="9.21875" style="69" bestFit="1" customWidth="1"/>
    <col min="108" max="108" width="11.77734375" style="69" bestFit="1" customWidth="1"/>
    <col min="109" max="109" width="8.44140625" style="69" bestFit="1" customWidth="1"/>
    <col min="110" max="110" width="9.44140625" style="69" bestFit="1" customWidth="1"/>
    <col min="111" max="111" width="9.77734375" style="69" bestFit="1" customWidth="1"/>
    <col min="112" max="112" width="11" style="69" bestFit="1" customWidth="1"/>
    <col min="113" max="113" width="9.44140625" style="69" bestFit="1" customWidth="1"/>
    <col min="114" max="115" width="9.44140625" style="69" customWidth="1"/>
    <col min="116" max="116" width="10.5546875" style="69" bestFit="1" customWidth="1"/>
    <col min="117" max="117" width="14.21875" style="69" customWidth="1"/>
    <col min="118" max="118" width="14" style="69" bestFit="1" customWidth="1"/>
    <col min="119" max="119" width="10.5546875" style="69" bestFit="1" customWidth="1"/>
    <col min="120" max="120" width="9.44140625" style="69" bestFit="1" customWidth="1"/>
    <col min="121" max="122" width="10.5546875" style="69" bestFit="1" customWidth="1"/>
    <col min="123" max="125" width="10.5546875" style="69" customWidth="1"/>
    <col min="126" max="126" width="9" style="69" bestFit="1" customWidth="1"/>
    <col min="127" max="127" width="10.5546875" style="69" bestFit="1" customWidth="1"/>
    <col min="128" max="128" width="9.21875" style="69" bestFit="1" customWidth="1"/>
    <col min="129" max="129" width="11.77734375" style="69" bestFit="1" customWidth="1"/>
    <col min="130" max="130" width="8.44140625" style="69" bestFit="1" customWidth="1"/>
    <col min="131" max="131" width="9.44140625" style="69" bestFit="1" customWidth="1"/>
    <col min="132" max="132" width="9.77734375" style="69" bestFit="1" customWidth="1"/>
    <col min="133" max="133" width="11" style="69" bestFit="1" customWidth="1"/>
    <col min="134" max="134" width="9.44140625" style="69" bestFit="1" customWidth="1"/>
    <col min="135" max="136" width="9.44140625" style="69" customWidth="1"/>
    <col min="137" max="137" width="10.5546875" style="69" bestFit="1" customWidth="1"/>
    <col min="138" max="139" width="14" style="69" customWidth="1"/>
    <col min="140" max="140" width="10.5546875" style="69" bestFit="1" customWidth="1"/>
    <col min="141" max="141" width="9.44140625" style="69" bestFit="1" customWidth="1"/>
    <col min="142" max="143" width="10.5546875" style="69" bestFit="1" customWidth="1"/>
    <col min="144" max="146" width="10.5546875" style="69" customWidth="1"/>
    <col min="147" max="147" width="9" style="69" bestFit="1" customWidth="1"/>
    <col min="148" max="148" width="10.5546875" style="69" bestFit="1" customWidth="1"/>
    <col min="149" max="149" width="9.21875" style="69" bestFit="1" customWidth="1"/>
    <col min="150" max="150" width="11.77734375" style="69" bestFit="1" customWidth="1"/>
    <col min="151" max="151" width="8.44140625" style="69" bestFit="1" customWidth="1"/>
    <col min="152" max="152" width="9.44140625" style="69" bestFit="1" customWidth="1"/>
    <col min="153" max="153" width="9.77734375" style="69" bestFit="1" customWidth="1"/>
    <col min="154" max="154" width="11" style="69" bestFit="1" customWidth="1"/>
    <col min="155" max="155" width="9.44140625" style="69" bestFit="1" customWidth="1"/>
    <col min="156" max="157" width="9.44140625" style="69" customWidth="1"/>
    <col min="158" max="158" width="11.44140625" style="69"/>
    <col min="159" max="160" width="14" style="69" bestFit="1" customWidth="1"/>
    <col min="161" max="161" width="10.5546875" style="69" bestFit="1" customWidth="1"/>
    <col min="162" max="162" width="9.44140625" style="69" bestFit="1" customWidth="1"/>
    <col min="163" max="164" width="10.5546875" style="69" bestFit="1" customWidth="1"/>
    <col min="165" max="167" width="10.5546875" style="69" customWidth="1"/>
    <col min="168" max="168" width="9" style="69" bestFit="1" customWidth="1"/>
    <col min="169" max="169" width="10.5546875" style="69" bestFit="1" customWidth="1"/>
    <col min="170" max="170" width="9.21875" style="69" bestFit="1" customWidth="1"/>
    <col min="171" max="171" width="11.77734375" style="69" bestFit="1" customWidth="1"/>
    <col min="172" max="172" width="8.21875" style="69" bestFit="1" customWidth="1"/>
    <col min="173" max="173" width="9.44140625" style="69" bestFit="1" customWidth="1"/>
    <col min="174" max="174" width="9.77734375" style="69" bestFit="1" customWidth="1"/>
    <col min="175" max="175" width="11" style="69" bestFit="1" customWidth="1"/>
    <col min="176" max="176" width="9.44140625" style="69" bestFit="1" customWidth="1"/>
    <col min="177" max="178" width="9.44140625" style="69" customWidth="1"/>
    <col min="179" max="179" width="10.5546875" style="69" bestFit="1" customWidth="1"/>
    <col min="180" max="181" width="14" style="69" bestFit="1" customWidth="1"/>
    <col min="182" max="182" width="10.5546875" style="69" bestFit="1" customWidth="1"/>
    <col min="183" max="183" width="9.44140625" style="69" bestFit="1" customWidth="1"/>
    <col min="184" max="185" width="10.5546875" style="69" bestFit="1" customWidth="1"/>
    <col min="186" max="188" width="10.5546875" style="69" customWidth="1"/>
    <col min="189" max="189" width="9" style="69" bestFit="1" customWidth="1"/>
    <col min="190" max="190" width="10.5546875" style="69" bestFit="1" customWidth="1"/>
    <col min="191" max="191" width="9.21875" style="69" bestFit="1" customWidth="1"/>
    <col min="192" max="192" width="11.44140625" style="69"/>
    <col min="193" max="193" width="8.44140625" style="69" bestFit="1" customWidth="1"/>
    <col min="194" max="194" width="9.44140625" style="69" bestFit="1" customWidth="1"/>
    <col min="195" max="195" width="9.77734375" style="69" bestFit="1" customWidth="1"/>
    <col min="196" max="196" width="11" style="69" bestFit="1" customWidth="1"/>
    <col min="197" max="197" width="9.44140625" style="69" bestFit="1" customWidth="1"/>
    <col min="198" max="199" width="9.44140625" style="69" customWidth="1"/>
    <col min="200" max="200" width="10.5546875" style="69" bestFit="1" customWidth="1"/>
    <col min="201" max="201" width="14" style="69" customWidth="1"/>
    <col min="202" max="202" width="14.21875" style="69" customWidth="1"/>
    <col min="203" max="203" width="10.5546875" style="69" bestFit="1" customWidth="1"/>
    <col min="204" max="204" width="9.44140625" style="69" bestFit="1" customWidth="1"/>
    <col min="205" max="206" width="10.5546875" style="69" bestFit="1" customWidth="1"/>
    <col min="207" max="209" width="10.5546875" style="69" customWidth="1"/>
    <col min="210" max="210" width="9" style="69" bestFit="1" customWidth="1"/>
    <col min="211" max="211" width="10.5546875" style="69" bestFit="1" customWidth="1"/>
    <col min="212" max="212" width="9.21875" style="69" bestFit="1" customWidth="1"/>
    <col min="213" max="213" width="11.77734375" style="69" bestFit="1" customWidth="1"/>
    <col min="214" max="214" width="8.44140625" style="69" bestFit="1" customWidth="1"/>
    <col min="215" max="215" width="9.44140625" style="69" bestFit="1" customWidth="1"/>
    <col min="216" max="216" width="9.77734375" style="69" bestFit="1" customWidth="1"/>
    <col min="217" max="217" width="11" style="69" bestFit="1" customWidth="1"/>
    <col min="218" max="218" width="9.44140625" style="69" bestFit="1" customWidth="1"/>
    <col min="219" max="16384" width="11.44140625" style="69"/>
  </cols>
  <sheetData>
    <row r="1" spans="1:218" s="5" customFormat="1" ht="26.4" thickBot="1" x14ac:dyDescent="0.55000000000000004">
      <c r="B1" s="307" t="s">
        <v>176</v>
      </c>
      <c r="C1" s="308"/>
      <c r="D1" s="308"/>
      <c r="E1" s="308"/>
      <c r="F1" s="308"/>
      <c r="G1" s="308"/>
      <c r="H1" s="309"/>
      <c r="I1" s="304" t="str">
        <f>IF('Données projet'!$B$9="","",'Données projet'!$B$9)</f>
        <v>Douglas</v>
      </c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6"/>
      <c r="AD1" s="305" t="str">
        <f>IF('Données projet'!$B$10="","",'Données projet'!$B$10)</f>
        <v>Chêne rouge d'Amérique</v>
      </c>
      <c r="AE1" s="305"/>
      <c r="AF1" s="305"/>
      <c r="AG1" s="305"/>
      <c r="AH1" s="305"/>
      <c r="AI1" s="305"/>
      <c r="AJ1" s="305"/>
      <c r="AK1" s="305"/>
      <c r="AL1" s="305"/>
      <c r="AM1" s="305"/>
      <c r="AN1" s="305"/>
      <c r="AO1" s="305"/>
      <c r="AP1" s="305"/>
      <c r="AQ1" s="305"/>
      <c r="AR1" s="305"/>
      <c r="AS1" s="305"/>
      <c r="AT1" s="305"/>
      <c r="AU1" s="305"/>
      <c r="AV1" s="305"/>
      <c r="AW1" s="305"/>
      <c r="AX1" s="306"/>
      <c r="AY1" s="304" t="str">
        <f>IF('Données projet'!$B$11="","",'Données projet'!$B$11)</f>
        <v>Chêne pubescent</v>
      </c>
      <c r="AZ1" s="305"/>
      <c r="BA1" s="305"/>
      <c r="BB1" s="305"/>
      <c r="BC1" s="305"/>
      <c r="BD1" s="305"/>
      <c r="BE1" s="305"/>
      <c r="BF1" s="305"/>
      <c r="BG1" s="305"/>
      <c r="BH1" s="305"/>
      <c r="BI1" s="305"/>
      <c r="BJ1" s="305"/>
      <c r="BK1" s="305"/>
      <c r="BL1" s="305"/>
      <c r="BM1" s="305"/>
      <c r="BN1" s="305"/>
      <c r="BO1" s="305"/>
      <c r="BP1" s="305"/>
      <c r="BQ1" s="305"/>
      <c r="BR1" s="305"/>
      <c r="BS1" s="306"/>
      <c r="BT1" s="304" t="str">
        <f>IF('Données projet'!$B$12="","",'Données projet'!$B$12)</f>
        <v>Cèdre de l'Atlas</v>
      </c>
      <c r="BU1" s="305"/>
      <c r="BV1" s="305"/>
      <c r="BW1" s="305"/>
      <c r="BX1" s="305"/>
      <c r="BY1" s="305"/>
      <c r="BZ1" s="305"/>
      <c r="CA1" s="305"/>
      <c r="CB1" s="305"/>
      <c r="CC1" s="305"/>
      <c r="CD1" s="305"/>
      <c r="CE1" s="305"/>
      <c r="CF1" s="305"/>
      <c r="CG1" s="305"/>
      <c r="CH1" s="305"/>
      <c r="CI1" s="305"/>
      <c r="CJ1" s="305"/>
      <c r="CK1" s="305"/>
      <c r="CL1" s="305"/>
      <c r="CM1" s="305"/>
      <c r="CN1" s="306"/>
      <c r="CO1" s="304" t="str">
        <f>IF('Données projet'!$B$13="","",'Données projet'!$B$13)</f>
        <v>Tilleul</v>
      </c>
      <c r="CP1" s="305"/>
      <c r="CQ1" s="305"/>
      <c r="CR1" s="305"/>
      <c r="CS1" s="305"/>
      <c r="CT1" s="305"/>
      <c r="CU1" s="305"/>
      <c r="CV1" s="305"/>
      <c r="CW1" s="305"/>
      <c r="CX1" s="305"/>
      <c r="CY1" s="305"/>
      <c r="CZ1" s="305"/>
      <c r="DA1" s="305"/>
      <c r="DB1" s="305"/>
      <c r="DC1" s="305"/>
      <c r="DD1" s="305"/>
      <c r="DE1" s="305"/>
      <c r="DF1" s="305"/>
      <c r="DG1" s="305"/>
      <c r="DH1" s="305"/>
      <c r="DI1" s="306"/>
      <c r="DJ1" s="304" t="str">
        <f>IF('Données projet'!$B$14="","",'Données projet'!$B$14)</f>
        <v>Châtaignier</v>
      </c>
      <c r="DK1" s="305"/>
      <c r="DL1" s="305"/>
      <c r="DM1" s="305"/>
      <c r="DN1" s="305"/>
      <c r="DO1" s="305"/>
      <c r="DP1" s="305"/>
      <c r="DQ1" s="305"/>
      <c r="DR1" s="305"/>
      <c r="DS1" s="305"/>
      <c r="DT1" s="305"/>
      <c r="DU1" s="305"/>
      <c r="DV1" s="305"/>
      <c r="DW1" s="305"/>
      <c r="DX1" s="305"/>
      <c r="DY1" s="305"/>
      <c r="DZ1" s="305"/>
      <c r="EA1" s="305"/>
      <c r="EB1" s="305"/>
      <c r="EC1" s="305"/>
      <c r="ED1" s="306"/>
      <c r="EE1" s="304" t="str">
        <f>IF('Données projet'!$B$15="","",'Données projet'!$B$15)</f>
        <v/>
      </c>
      <c r="EF1" s="305"/>
      <c r="EG1" s="305"/>
      <c r="EH1" s="305"/>
      <c r="EI1" s="305"/>
      <c r="EJ1" s="305"/>
      <c r="EK1" s="305"/>
      <c r="EL1" s="305"/>
      <c r="EM1" s="305"/>
      <c r="EN1" s="305"/>
      <c r="EO1" s="305"/>
      <c r="EP1" s="305"/>
      <c r="EQ1" s="305"/>
      <c r="ER1" s="305"/>
      <c r="ES1" s="305"/>
      <c r="ET1" s="305"/>
      <c r="EU1" s="305"/>
      <c r="EV1" s="305"/>
      <c r="EW1" s="305"/>
      <c r="EX1" s="305"/>
      <c r="EY1" s="306"/>
      <c r="EZ1" s="304" t="str">
        <f>IF('Données projet'!$B$16="","",'Données projet'!$B$16)</f>
        <v/>
      </c>
      <c r="FA1" s="305"/>
      <c r="FB1" s="305"/>
      <c r="FC1" s="305"/>
      <c r="FD1" s="305"/>
      <c r="FE1" s="305"/>
      <c r="FF1" s="305"/>
      <c r="FG1" s="305"/>
      <c r="FH1" s="305"/>
      <c r="FI1" s="305"/>
      <c r="FJ1" s="305"/>
      <c r="FK1" s="305"/>
      <c r="FL1" s="305"/>
      <c r="FM1" s="305"/>
      <c r="FN1" s="305"/>
      <c r="FO1" s="305"/>
      <c r="FP1" s="305"/>
      <c r="FQ1" s="305"/>
      <c r="FR1" s="305"/>
      <c r="FS1" s="305"/>
      <c r="FT1" s="306"/>
      <c r="FU1" s="304" t="str">
        <f>IF('Données projet'!$B$17="","",'Données projet'!$B$17)</f>
        <v/>
      </c>
      <c r="FV1" s="305"/>
      <c r="FW1" s="305"/>
      <c r="FX1" s="305"/>
      <c r="FY1" s="305"/>
      <c r="FZ1" s="305"/>
      <c r="GA1" s="305"/>
      <c r="GB1" s="305"/>
      <c r="GC1" s="305"/>
      <c r="GD1" s="305"/>
      <c r="GE1" s="305"/>
      <c r="GF1" s="305"/>
      <c r="GG1" s="305"/>
      <c r="GH1" s="305"/>
      <c r="GI1" s="305"/>
      <c r="GJ1" s="305"/>
      <c r="GK1" s="305"/>
      <c r="GL1" s="305"/>
      <c r="GM1" s="305"/>
      <c r="GN1" s="305"/>
      <c r="GO1" s="306"/>
      <c r="GP1" s="304" t="str">
        <f>IF('Données projet'!$B$18="","",'Données projet'!$B$18)</f>
        <v/>
      </c>
      <c r="GQ1" s="305"/>
      <c r="GR1" s="305"/>
      <c r="GS1" s="305"/>
      <c r="GT1" s="305"/>
      <c r="GU1" s="305"/>
      <c r="GV1" s="305"/>
      <c r="GW1" s="305"/>
      <c r="GX1" s="305"/>
      <c r="GY1" s="305"/>
      <c r="GZ1" s="305"/>
      <c r="HA1" s="305"/>
      <c r="HB1" s="305"/>
      <c r="HC1" s="305"/>
      <c r="HD1" s="305"/>
      <c r="HE1" s="305"/>
      <c r="HF1" s="305"/>
      <c r="HG1" s="305"/>
      <c r="HH1" s="305"/>
      <c r="HI1" s="305"/>
      <c r="HJ1" s="306"/>
    </row>
    <row r="2" spans="1:218" s="5" customFormat="1" ht="58.2" thickBot="1" x14ac:dyDescent="0.35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7" t="s">
        <v>300</v>
      </c>
      <c r="I2" s="70" t="s">
        <v>299</v>
      </c>
      <c r="J2" s="71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299</v>
      </c>
      <c r="AE2" s="71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299</v>
      </c>
      <c r="AZ2" s="71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299</v>
      </c>
      <c r="BU2" s="71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299</v>
      </c>
      <c r="CP2" s="71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299</v>
      </c>
      <c r="DK2" s="71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299</v>
      </c>
      <c r="EF2" s="71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299</v>
      </c>
      <c r="FA2" s="71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299</v>
      </c>
      <c r="FV2" s="71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299</v>
      </c>
      <c r="GQ2" s="71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5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8">
        <f>(B3+E3+F3)*44/12+(C3+D3)*0.475*44/12</f>
        <v>183.33333333333334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0">
        <f t="shared" ref="R3:R66" si="0">Q3+(I3+J3)*44/12</f>
        <v>165</v>
      </c>
      <c r="S3" s="60">
        <f ca="1">AVERAGE(OFFSET($R$3,0,0,'Données projet'!$E$9+1,1))-AVERAGE(OFFSET($H$3,0,0,'Données projet'!$E$9+1,1))</f>
        <v>366.29380214443631</v>
      </c>
      <c r="T3" s="60">
        <f>IF('Données projet'!E9&gt;30,$R$33-$H$33,LOOKUP('Données projet'!$E$9,$A$3:$A$203,R3:R203)-LOOKUP('Données projet'!$E$9,$A$3:$A$203,$H$3:$H$203))</f>
        <v>413.14502442862897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0">
        <f>AL3+(AD3+AE3)*44/12</f>
        <v>165</v>
      </c>
      <c r="AN3" s="60">
        <f ca="1">AVERAGE(OFFSET($AM$3,0,0,'Données projet'!$E$10+1,1))-AVERAGE(OFFSET($H$3,0,0,'Données projet'!$E$10+1,1))</f>
        <v>436.5217771315057</v>
      </c>
      <c r="AO3" s="60">
        <f>IF('Données projet'!E10&gt;30,$AM$33-$H$33,LOOKUP('Données projet'!$E$10,$A$3:$A$203,AM3:AM203)-LOOKUP('Données projet'!$E$10,$A$3:$A$203,$H$3:$H$203))</f>
        <v>308.97310256098365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0">
        <f>BG3+(AY3+AZ3)*44/12</f>
        <v>165</v>
      </c>
      <c r="BI3" s="60">
        <f ca="1">AVERAGE(OFFSET($BH$3,0,0,'Données projet'!$E$11+1,1))-AVERAGE(OFFSET($H$3,0,0,'Données projet'!$E$11+1,1))</f>
        <v>108.30434106718693</v>
      </c>
      <c r="BJ3" s="60">
        <f>IF('Données projet'!E11&gt;30,$BH$33-$H$33,LOOKUP('Données projet'!$E$11,$A$3:$A$203,BH3:BH203)-LOOKUP('Données projet'!$E$11,$A$3:$A$203,$H$3:$H$203))</f>
        <v>67.653808657585842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0">
        <f>CB3+(BT3+BU3)*44/12</f>
        <v>165</v>
      </c>
      <c r="CD3" s="60">
        <f ca="1">AVERAGE(OFFSET($CC$3,0,0,'Données projet'!$E$12+1,1))-AVERAGE(OFFSET($H$3,0,0,'Données projet'!$E$12+1,1))</f>
        <v>171.08593400758221</v>
      </c>
      <c r="CE3" s="60">
        <f>IF('Données projet'!E12&gt;30,$CC$33-$H$33,LOOKUP('Données projet'!$E$12,$A$3:$A$203,CC3:CC203)-LOOKUP('Données projet'!$E$12,$A$3:$A$203,$H$3:$H$203))</f>
        <v>201.9528484086932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0">
        <f>CW3+(CO3+CP3)*44/12</f>
        <v>165</v>
      </c>
      <c r="CY3" s="60">
        <f ca="1">AVERAGE(OFFSET($CX$3,0,0,'Données projet'!$E$13+1,1))-AVERAGE(OFFSET($H$3,0,0,'Données projet'!$E$13+1,1))</f>
        <v>283.66646124753868</v>
      </c>
      <c r="CZ3" s="60">
        <f>IF('Données projet'!E13&gt;30,$CX$33-$H$33,LOOKUP('Données projet'!$E$13,$A$3:$A$203,CX3:CX203)-LOOKUP('Données projet'!$E$13,$A$3:$A$203,$H$3:$H$203))</f>
        <v>331.61926649572797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projet'!$B$14,Paramètres!$A$1:$I$88,3,0)*VLOOKUP('Données projet'!$B$14,Paramètres!$A$1:$I$88,5,0)</f>
        <v>0</v>
      </c>
      <c r="DQ3" s="13">
        <v>0</v>
      </c>
      <c r="DR3" s="15">
        <f>(DP3+DQ3)*0.475*44/12</f>
        <v>0</v>
      </c>
      <c r="DS3" s="60">
        <f>DR3+(DJ3+DK3)*44/12</f>
        <v>165</v>
      </c>
      <c r="DT3" s="60">
        <f ca="1">AVERAGE(OFFSET($DS$3,0,0,'Données projet'!$E$14+1,1))-AVERAGE(OFFSET($H$3,0,0,'Données projet'!$E$14+1,1))</f>
        <v>212.77458587586861</v>
      </c>
      <c r="DU3" s="60">
        <f>IF('Données projet'!E14&gt;30,$DS$33-$H$33,LOOKUP('Données projet'!$E$14,$A$3:$A$203,DS3:DS203)-LOOKUP('Données projet'!$E$14,$A$3:$A$203,$H$3:$H$203))</f>
        <v>260.45879589483513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5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8">
        <f t="shared" ref="H4:H67" si="1">(B4+E4+F4)*44/12+(C4+D4)*0.475*44/12</f>
        <v>183.33333333333334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10.119999999999999</v>
      </c>
      <c r="N4" s="14">
        <f>IF('Données projet'!$A$36&gt;35,N3+M4-V3,IF(A4&lt;'Données projet'!$A$36,$K$205^A4,IF(A4='Données projet'!$A$36,'Données projet'!$B$36,N3+M4-V3)))</f>
        <v>1.2477420770391454</v>
      </c>
      <c r="O4" s="14">
        <f>N4*VLOOKUP('Données projet'!$B$9,Paramètres!$A$1:$I$88,3,0)*VLOOKUP('Données projet'!$B$9,Paramètres!$A$1:$I$88,5,0)</f>
        <v>0.69748782106488227</v>
      </c>
      <c r="P4" s="14">
        <f>EXP(-1.0587+0.8836*LN(O4)+0.284)</f>
        <v>0.33519770001131083</v>
      </c>
      <c r="Q4" s="22">
        <f t="shared" ref="Q4:Q34" si="2">(O4+P4)*0.475*44/12</f>
        <v>1.798593949207703</v>
      </c>
      <c r="R4" s="60">
        <f t="shared" si="0"/>
        <v>169.61102790213155</v>
      </c>
      <c r="S4" s="60">
        <f ca="1">AVERAGE(OFFSET($R$3,0,0,'Données projet'!$E$9+1,1))-AVERAGE(OFFSET($H$3,0,0,'Données projet'!$E$9+1,1))</f>
        <v>366.29380214443631</v>
      </c>
      <c r="T4" s="60">
        <f>$T$3</f>
        <v>413.14502442862897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5.0517241379310347</v>
      </c>
      <c r="AI4" s="14">
        <f>IF('Données projet'!$A$62&gt;35,AI3+AH4-AQ3,IF(A4&lt;'Données projet'!$A$62,$AF$205^A4,IF(A4='Données projet'!$A$62,'Données projet'!$B$62,AI3+AH4-AQ3)))</f>
        <v>1.1876379208839218</v>
      </c>
      <c r="AJ4" s="14">
        <f>AI4*VLOOKUP('Données projet'!$B$10,Paramètres!$A$1:$I$88,3,0)*VLOOKUP('Données projet'!$B$10,Paramètres!$A$1:$I$88,5,0)</f>
        <v>1.0375204876841944</v>
      </c>
      <c r="AK4" s="14">
        <f>EXP(-1.0587+0.8836*LN(AJ4)+0.284)</f>
        <v>0.47608744914869694</v>
      </c>
      <c r="AL4" s="22">
        <f t="shared" ref="AL4:AL67" si="4">(AJ4+AK4)*0.475*44/12</f>
        <v>2.6362004899839522</v>
      </c>
      <c r="AM4" s="60">
        <f t="shared" ref="AM4:AM67" si="5">AL4+(AD4+AE4)*44/12</f>
        <v>170.4486344429078</v>
      </c>
      <c r="AN4" s="60">
        <f ca="1">AVERAGE(OFFSET($AM$3,0,0,'Données projet'!$E$10+1,1))-AVERAGE(OFFSET($H$3,0,0,'Données projet'!$E$10+1,1))</f>
        <v>436.5217771315057</v>
      </c>
      <c r="AO4" s="60">
        <f>$AO$3</f>
        <v>308.97310256098365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0.16216216216216217</v>
      </c>
      <c r="BD4" s="13">
        <f>IF('Données projet'!$A$88&gt;35,BD3+BC4-BL3,IF(A4&lt;'Données projet'!$A$88,$BA$205^A4,IF(A4='Données projet'!$A$88,'Données projet'!$B$88,BD3+BC4-BL3)))</f>
        <v>0.16216216216216217</v>
      </c>
      <c r="BE4" s="14">
        <f>BD4*VLOOKUP('Données projet'!$B$11,Paramètres!$A$1:$I$88,3,0)*VLOOKUP('Données projet'!$B$11,Paramètres!$A$1:$I$88,5,0)</f>
        <v>0.16443243243243244</v>
      </c>
      <c r="BF4" s="14">
        <f>EXP(-1.0587+0.8836*LN(BE4)+0.284)</f>
        <v>9.3497199632066014E-2</v>
      </c>
      <c r="BG4" s="22">
        <f t="shared" ref="BG4:BG67" si="7">(BE4+BF4)*0.475*44/12</f>
        <v>0.44922744251233482</v>
      </c>
      <c r="BH4" s="60">
        <f t="shared" ref="BH4:BH67" si="8">BG4+(AY4+AZ4)*44/12</f>
        <v>168.26166139543616</v>
      </c>
      <c r="BI4" s="60">
        <f ca="1">AVERAGE(OFFSET($BH$3,0,0,'Données projet'!$E$11+1,1))-AVERAGE(OFFSET($H$3,0,0,'Données projet'!$E$11+1,1))</f>
        <v>108.30434106718693</v>
      </c>
      <c r="BJ4" s="60">
        <f>$BJ$3</f>
        <v>67.653808657585842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5.75</v>
      </c>
      <c r="BY4" s="13">
        <f>IF('Données projet'!$A$114&gt;35,BY3+BX4-CG3,IF(A4&lt;'Données projet'!$A$114,$BV$205^A4,IF(A4='Données projet'!$A$114,'Données projet'!$B$114,BY3+BX4-CG3)))</f>
        <v>1.2677537154322802</v>
      </c>
      <c r="BZ4" s="14">
        <f>BY4*VLOOKUP('Données projet'!$B$12,Paramètres!$A$1:$I$88,3,0)*VLOOKUP('Données projet'!$B$12,Paramètres!$A$1:$I$88,5,0)</f>
        <v>0.59330873882230706</v>
      </c>
      <c r="CA4" s="14">
        <f>EXP(-1.0587+0.8836*LN(BZ4)+0.284)</f>
        <v>0.29055137246158741</v>
      </c>
      <c r="CB4" s="22">
        <f t="shared" ref="CB4:CB67" si="10">(BZ4+CA4)*0.475*44/12</f>
        <v>1.5393896938194491</v>
      </c>
      <c r="CC4" s="60">
        <f t="shared" ref="CC4:CC67" si="11">CB4+(BT4+BU4)*44/12</f>
        <v>169.3518236467433</v>
      </c>
      <c r="CD4" s="60">
        <f ca="1">AVERAGE(OFFSET($CC$3,0,0,'Données projet'!$E$12+1,1))-AVERAGE(OFFSET($H$3,0,0,'Données projet'!$E$12+1,1))</f>
        <v>171.08593400758221</v>
      </c>
      <c r="CE4" s="60">
        <f>$CE$3</f>
        <v>201.9528484086932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projet'!$B$12,Paramètres!$A$1:$I$88,3,0)*0.475*44/12</f>
        <v>0</v>
      </c>
      <c r="CL4" s="23">
        <f>EXP(-LN(2)/25)*CL3+(1-EXP(-LN(2)/25))/(LN(2)/25)*Calculateur!CG4*Calculateur!CI4*VLOOKUP('Données projet'!$B$12,Paramètres!$A$1:$I$88,3,0)*0.475*44/12</f>
        <v>0</v>
      </c>
      <c r="CM4" s="23">
        <f>EXP(-LN(2)/2)*CM3+(1-EXP(-LN(2)/2))/(LN(2)/2)*CG4*CJ4*VLOOKUP('Données projet'!$B$12,Paramètres!$A$1:$I$88,3,0)*0.475*44/12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4.333333333333333</v>
      </c>
      <c r="CT4" s="13">
        <f>IF('Données projet'!$A$140&gt;35,CT3+CS4-DB3,IF(A4&lt;'Données projet'!$A$140,$CQ$205^A4,IF(A4='Données projet'!$A$140,'Données projet'!$B$140,CT3+CS4-DB3)))</f>
        <v>1.3208724756526424</v>
      </c>
      <c r="CU4" s="18">
        <f>CT4*VLOOKUP('Données projet'!$B$13,Paramètres!$A$1:$I$88,3,0)*VLOOKUP('Données projet'!$B$13,Paramètres!$A$1:$I$88,5,0)</f>
        <v>0.88604125666779254</v>
      </c>
      <c r="CV4" s="14">
        <f>EXP(-1.0587+0.8836*LN(CU4)+0.284)</f>
        <v>0.41411634295717692</v>
      </c>
      <c r="CW4" s="22">
        <f t="shared" ref="CW4:CW67" si="13">(CU4+CV4)*0.475*44/12</f>
        <v>2.2644411526801549</v>
      </c>
      <c r="CX4" s="60">
        <f t="shared" ref="CX4:CX67" si="14">CW4+(CO4+CP4)*44/12</f>
        <v>170.07687510560399</v>
      </c>
      <c r="CY4" s="60">
        <f ca="1">AVERAGE(OFFSET($CX$3,0,0,'Données projet'!$E$13+1,1))-AVERAGE(OFFSET($H$3,0,0,'Données projet'!$E$13+1,1))</f>
        <v>283.66646124753868</v>
      </c>
      <c r="CZ4" s="60">
        <f>$CZ$3</f>
        <v>331.61926649572797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projet'!$B$13,Paramètres!$A$1:$I$88,3,0)*0.475*44/12</f>
        <v>0</v>
      </c>
      <c r="DG4" s="23">
        <f>EXP(-LN(2)/25)*DG3+(1-EXP(-LN(2)/25))/(LN(2)/25)*Calculateur!DB4*Calculateur!DD4*VLOOKUP('Données projet'!$B$13,Paramètres!$A$1:$I$88,3,0)*0.475*44/12</f>
        <v>0</v>
      </c>
      <c r="DH4" s="23">
        <f>EXP(-LN(2)/2)*DH3+(1-EXP(-LN(2)/2))/(LN(2)/2)*DB4*DE4*VLOOKUP('Données projet'!$B$13,Paramètres!$A$1:$I$88,3,0)*0.475*44/12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11.5</v>
      </c>
      <c r="DO4" s="13">
        <f>IF('Données projet'!$A$166&gt;35,DO3+DN4-DW3,IF(A4&lt;'Données projet'!$A$166,$DL$205^A4,IF(A4='Données projet'!$A$166,'Données projet'!$B$166,DO3+DN4-DW3)))</f>
        <v>1.6071994829923506</v>
      </c>
      <c r="DP4" s="18">
        <f>DO4*VLOOKUP('Données projet'!$B$14,Paramètres!$A$1:$I$88,3,0)*VLOOKUP('Données projet'!$B$14,Paramètres!$A$1:$I$88,5,0)</f>
        <v>1.1783986609299915</v>
      </c>
      <c r="DQ4" s="14">
        <f>EXP(-1.0587+0.8836*LN(DP4)+0.284)</f>
        <v>0.53277751568396181</v>
      </c>
      <c r="DR4" s="22">
        <f t="shared" ref="DR4:DR67" si="16">(DP4+DQ4)*0.475*44/12</f>
        <v>2.9802985076026349</v>
      </c>
      <c r="DS4" s="60">
        <f t="shared" ref="DS4:DS67" si="17">DR4+(DJ4+DK4)*44/12</f>
        <v>170.79273246052648</v>
      </c>
      <c r="DT4" s="60">
        <f ca="1">AVERAGE(OFFSET($DS$3,0,0,'Données projet'!$E$14+1,1))-AVERAGE(OFFSET($H$3,0,0,'Données projet'!$E$14+1,1))</f>
        <v>212.77458587586861</v>
      </c>
      <c r="DU4" s="60">
        <f>$DU$3</f>
        <v>260.45879589483513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projet'!$B$14,Paramètres!$A$1:$I$88,3,0)*0.475*44/12</f>
        <v>0</v>
      </c>
      <c r="EB4" s="23">
        <f>EXP(-LN(2)/25)*EB3+(1-EXP(-LN(2)/25))/(LN(2)/25)*Calculateur!DW4*Calculateur!DY4*VLOOKUP('Données projet'!$B$14,Paramètres!$A$1:$I$88,3,0)*0.475*44/12</f>
        <v>0</v>
      </c>
      <c r="EC4" s="23">
        <f>EXP(-LN(2)/2)*EC3+(1-EXP(-LN(2)/2))/(LN(2)/2)*DW4*DZ4*VLOOKUP('Données projet'!$B$14,Paramètres!$A$1:$I$88,3,0)*0.475*44/12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5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8">
        <f t="shared" si="1"/>
        <v>183.33333333333334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10.119999999999999</v>
      </c>
      <c r="N5" s="14">
        <f>IF('Données projet'!$A$36&gt;35,N4+M5-V4,IF(A5&lt;'Données projet'!$A$36,$K$205^A5,IF(A5='Données projet'!$A$36,'Données projet'!$B$36,N4+M5-V4)))</f>
        <v>1.5568602908139606</v>
      </c>
      <c r="O5" s="14">
        <f>N5*VLOOKUP('Données projet'!$B$9,Paramètres!$A$1:$I$88,3,0)*VLOOKUP('Données projet'!$B$9,Paramètres!$A$1:$I$88,5,0)</f>
        <v>0.8702849025650039</v>
      </c>
      <c r="P5" s="14">
        <f t="shared" ref="P5:P68" si="33">EXP(-1.0587+0.8836*LN(O5)+0.284)</f>
        <v>0.40760257758249518</v>
      </c>
      <c r="Q5" s="22">
        <f t="shared" si="2"/>
        <v>2.2256540279235608</v>
      </c>
      <c r="R5" s="60">
        <f t="shared" si="0"/>
        <v>172.82293531542439</v>
      </c>
      <c r="S5" s="60">
        <f ca="1">AVERAGE(OFFSET($R$3,0,0,'Données projet'!$E$9+1,1))-AVERAGE(OFFSET($H$3,0,0,'Données projet'!$E$9+1,1))</f>
        <v>366.29380214443631</v>
      </c>
      <c r="T5" s="60">
        <f t="shared" ref="T5:T68" si="34">$T$3</f>
        <v>413.14502442862897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5.0517241379310347</v>
      </c>
      <c r="AI5" s="14">
        <f>IF('Données projet'!$A$62&gt;35,AI4+AH5-AQ4,IF(A5&lt;'Données projet'!$A$62,$AF$205^A5,IF(A5='Données projet'!$A$62,'Données projet'!$B$62,AI4+AH5-AQ4)))</f>
        <v>1.4104838311214847</v>
      </c>
      <c r="AJ5" s="14">
        <f>AI5*VLOOKUP('Données projet'!$B$10,Paramètres!$A$1:$I$88,3,0)*VLOOKUP('Données projet'!$B$10,Paramètres!$A$1:$I$88,5,0)</f>
        <v>1.2321986748677292</v>
      </c>
      <c r="AK5" s="14">
        <f t="shared" ref="AK5:AK68" si="35">EXP(-1.0587+0.8836*LN(AJ5)+0.284)</f>
        <v>0.5542140920669113</v>
      </c>
      <c r="AL5" s="22">
        <f t="shared" si="4"/>
        <v>3.1113355690778319</v>
      </c>
      <c r="AM5" s="60">
        <f t="shared" si="5"/>
        <v>173.70861685657866</v>
      </c>
      <c r="AN5" s="60">
        <f ca="1">AVERAGE(OFFSET($AM$3,0,0,'Données projet'!$E$10+1,1))-AVERAGE(OFFSET($H$3,0,0,'Données projet'!$E$10+1,1))</f>
        <v>436.5217771315057</v>
      </c>
      <c r="AO5" s="60">
        <f t="shared" ref="AO5:AO68" si="36">$AO$3</f>
        <v>308.97310256098365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0.16216216216216217</v>
      </c>
      <c r="BD5" s="13">
        <f>IF('Données projet'!$A$88&gt;35,BD4+BC5-BL4,IF(A5&lt;'Données projet'!$A$88,$BA$205^A5,IF(A5='Données projet'!$A$88,'Données projet'!$B$88,BD4+BC5-BL4)))</f>
        <v>0.32432432432432434</v>
      </c>
      <c r="BE5" s="14">
        <f>BD5*VLOOKUP('Données projet'!$B$11,Paramètres!$A$1:$I$88,3,0)*VLOOKUP('Données projet'!$B$11,Paramètres!$A$1:$I$88,5,0)</f>
        <v>0.32886486486486488</v>
      </c>
      <c r="BF5" s="14">
        <f t="shared" ref="BF5:BF68" si="37">EXP(-1.0587+0.8836*LN(BE5)+0.284)</f>
        <v>0.1724998443461242</v>
      </c>
      <c r="BG5" s="22">
        <f t="shared" si="7"/>
        <v>0.873210201875806</v>
      </c>
      <c r="BH5" s="60">
        <f t="shared" si="8"/>
        <v>171.47049148937663</v>
      </c>
      <c r="BI5" s="60">
        <f ca="1">AVERAGE(OFFSET($BH$3,0,0,'Données projet'!$E$11+1,1))-AVERAGE(OFFSET($H$3,0,0,'Données projet'!$E$11+1,1))</f>
        <v>108.30434106718693</v>
      </c>
      <c r="BJ5" s="60">
        <f t="shared" ref="BJ5:BJ68" si="38">$BJ$3</f>
        <v>67.653808657585842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5.75</v>
      </c>
      <c r="BY5" s="13">
        <f>IF('Données projet'!$A$114&gt;35,BY4+BX5-CG4,IF(A5&lt;'Données projet'!$A$114,$BV$205^A5,IF(A5='Données projet'!$A$114,'Données projet'!$B$114,BY4+BX5-CG4)))</f>
        <v>1.6071994829923508</v>
      </c>
      <c r="BZ5" s="14">
        <f>BY5*VLOOKUP('Données projet'!$B$12,Paramètres!$A$1:$I$88,3,0)*VLOOKUP('Données projet'!$B$12,Paramètres!$A$1:$I$88,5,0)</f>
        <v>0.75216935804042018</v>
      </c>
      <c r="CA5" s="14">
        <f t="shared" ref="CA5:CA68" si="39">EXP(-1.0587+0.8836*LN(BZ5)+0.284)</f>
        <v>0.35831464735172275</v>
      </c>
      <c r="CB5" s="22">
        <f t="shared" si="10"/>
        <v>1.9340929760579824</v>
      </c>
      <c r="CC5" s="60">
        <f t="shared" si="11"/>
        <v>172.5313742635588</v>
      </c>
      <c r="CD5" s="60">
        <f ca="1">AVERAGE(OFFSET($CC$3,0,0,'Données projet'!$E$12+1,1))-AVERAGE(OFFSET($H$3,0,0,'Données projet'!$E$12+1,1))</f>
        <v>171.08593400758221</v>
      </c>
      <c r="CE5" s="60">
        <f t="shared" ref="CE5:CE68" si="40">$CE$3</f>
        <v>201.9528484086932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projet'!$B$12,Paramètres!$A$1:$I$88,3,0)*0.475*44/12</f>
        <v>0</v>
      </c>
      <c r="CL5" s="23">
        <f>EXP(-LN(2)/25)*CL4+(1-EXP(-LN(2)/25))/(LN(2)/25)*Calculateur!CG5*Calculateur!CI5*VLOOKUP('Données projet'!$B$12,Paramètres!$A$1:$I$88,3,0)*0.475*44/12</f>
        <v>0</v>
      </c>
      <c r="CM5" s="23">
        <f>EXP(-LN(2)/2)*CM4+(1-EXP(-LN(2)/2))/(LN(2)/2)*CG5*CJ5*VLOOKUP('Données projet'!$B$12,Paramètres!$A$1:$I$88,3,0)*0.475*44/12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4.333333333333333</v>
      </c>
      <c r="CT5" s="13">
        <f>IF('Données projet'!$A$140&gt;35,CT4+CS5-DB4,IF(A5&lt;'Données projet'!$A$140,$CQ$205^A5,IF(A5='Données projet'!$A$140,'Données projet'!$B$140,CT4+CS5-DB4)))</f>
        <v>1.7447040969367404</v>
      </c>
      <c r="CU5" s="18">
        <f>CT5*VLOOKUP('Données projet'!$B$13,Paramètres!$A$1:$I$88,3,0)*VLOOKUP('Données projet'!$B$13,Paramètres!$A$1:$I$88,5,0)</f>
        <v>1.1703475082251655</v>
      </c>
      <c r="CV5" s="14">
        <f t="shared" ref="CV5:CV68" si="41">EXP(-1.0587+0.8836*LN(CU5)+0.284)</f>
        <v>0.52955985297175689</v>
      </c>
      <c r="CW5" s="22">
        <f t="shared" si="13"/>
        <v>2.9606719874179732</v>
      </c>
      <c r="CX5" s="60">
        <f t="shared" si="14"/>
        <v>173.55795327491882</v>
      </c>
      <c r="CY5" s="60">
        <f ca="1">AVERAGE(OFFSET($CX$3,0,0,'Données projet'!$E$13+1,1))-AVERAGE(OFFSET($H$3,0,0,'Données projet'!$E$13+1,1))</f>
        <v>283.66646124753868</v>
      </c>
      <c r="CZ5" s="60">
        <f t="shared" ref="CZ5:CZ68" si="42">$CZ$3</f>
        <v>331.61926649572797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projet'!$B$13,Paramètres!$A$1:$I$88,3,0)*0.475*44/12</f>
        <v>0</v>
      </c>
      <c r="DG5" s="23">
        <f>EXP(-LN(2)/25)*DG4+(1-EXP(-LN(2)/25))/(LN(2)/25)*Calculateur!DB5*Calculateur!DD5*VLOOKUP('Données projet'!$B$13,Paramètres!$A$1:$I$88,3,0)*0.475*44/12</f>
        <v>0</v>
      </c>
      <c r="DH5" s="23">
        <f>EXP(-LN(2)/2)*DH4+(1-EXP(-LN(2)/2))/(LN(2)/2)*DB5*DE5*VLOOKUP('Données projet'!$B$13,Paramètres!$A$1:$I$88,3,0)*0.475*44/12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11.5</v>
      </c>
      <c r="DO5" s="13">
        <f>IF('Données projet'!$A$166&gt;35,DO4+DN5-DW4,IF(A5&lt;'Données projet'!$A$166,$DL$205^A5,IF(A5='Données projet'!$A$166,'Données projet'!$B$166,DO4+DN5-DW4)))</f>
        <v>2.5830901781308793</v>
      </c>
      <c r="DP5" s="18">
        <f>DO5*VLOOKUP('Données projet'!$B$14,Paramètres!$A$1:$I$88,3,0)*VLOOKUP('Données projet'!$B$14,Paramètres!$A$1:$I$88,5,0)</f>
        <v>1.8939217186055606</v>
      </c>
      <c r="DQ5" s="14">
        <f t="shared" ref="DQ5:DQ68" si="43">EXP(-1.0587+0.8836*LN(DP5)+0.284)</f>
        <v>0.81026886193479808</v>
      </c>
      <c r="DR5" s="22">
        <f t="shared" si="16"/>
        <v>4.709798594441124</v>
      </c>
      <c r="DS5" s="60">
        <f t="shared" si="17"/>
        <v>175.30707988194195</v>
      </c>
      <c r="DT5" s="60">
        <f ca="1">AVERAGE(OFFSET($DS$3,0,0,'Données projet'!$E$14+1,1))-AVERAGE(OFFSET($H$3,0,0,'Données projet'!$E$14+1,1))</f>
        <v>212.77458587586861</v>
      </c>
      <c r="DU5" s="60">
        <f t="shared" ref="DU5:DU68" si="44">$DU$3</f>
        <v>260.45879589483513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projet'!$B$14,Paramètres!$A$1:$I$88,3,0)*0.475*44/12</f>
        <v>0</v>
      </c>
      <c r="EB5" s="23">
        <f>EXP(-LN(2)/25)*EB4+(1-EXP(-LN(2)/25))/(LN(2)/25)*Calculateur!DW5*Calculateur!DY5*VLOOKUP('Données projet'!$B$14,Paramètres!$A$1:$I$88,3,0)*0.475*44/12</f>
        <v>0</v>
      </c>
      <c r="EC5" s="23">
        <f>EXP(-LN(2)/2)*EC4+(1-EXP(-LN(2)/2))/(LN(2)/2)*DW5*DZ5*VLOOKUP('Données projet'!$B$14,Paramètres!$A$1:$I$88,3,0)*0.475*44/12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5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8">
        <f t="shared" si="1"/>
        <v>183.33333333333334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10.119999999999999</v>
      </c>
      <c r="N6" s="14">
        <f>IF('Données projet'!$A$36&gt;35,N5+M6-V5,IF(A6&lt;'Données projet'!$A$36,$K$205^A6,IF(A6='Données projet'!$A$36,'Données projet'!$B$36,N5+M6-V5)))</f>
        <v>1.9425600929199791</v>
      </c>
      <c r="O6" s="14">
        <f>N6*VLOOKUP('Données projet'!$B$9,Paramètres!$A$1:$I$88,3,0)*VLOOKUP('Données projet'!$B$9,Paramètres!$A$1:$I$88,5,0)</f>
        <v>1.0858910919422684</v>
      </c>
      <c r="P6" s="14">
        <f t="shared" si="33"/>
        <v>0.49564737838680845</v>
      </c>
      <c r="Q6" s="22">
        <f t="shared" si="2"/>
        <v>2.7545128358231423</v>
      </c>
      <c r="R6" s="60">
        <f t="shared" si="0"/>
        <v>176.10953340570802</v>
      </c>
      <c r="S6" s="60">
        <f ca="1">AVERAGE(OFFSET($R$3,0,0,'Données projet'!$E$9+1,1))-AVERAGE(OFFSET($H$3,0,0,'Données projet'!$E$9+1,1))</f>
        <v>366.29380214443631</v>
      </c>
      <c r="T6" s="60">
        <f t="shared" si="34"/>
        <v>413.14502442862897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5.0517241379310347</v>
      </c>
      <c r="AI6" s="14">
        <f>IF('Données projet'!$A$62&gt;35,AI5+AH6-AQ5,IF(A6&lt;'Données projet'!$A$62,$AF$205^A6,IF(A6='Données projet'!$A$62,'Données projet'!$B$62,AI5+AH6-AQ5)))</f>
        <v>1.6751440846335088</v>
      </c>
      <c r="AJ6" s="14">
        <f>AI6*VLOOKUP('Données projet'!$B$10,Paramètres!$A$1:$I$88,3,0)*VLOOKUP('Données projet'!$B$10,Paramètres!$A$1:$I$88,5,0)</f>
        <v>1.4634058723358334</v>
      </c>
      <c r="AK6" s="14">
        <f t="shared" si="35"/>
        <v>0.64516143073038112</v>
      </c>
      <c r="AL6" s="22">
        <f t="shared" si="4"/>
        <v>3.6724213861736565</v>
      </c>
      <c r="AM6" s="60">
        <f t="shared" si="5"/>
        <v>177.02744195605854</v>
      </c>
      <c r="AN6" s="60">
        <f ca="1">AVERAGE(OFFSET($AM$3,0,0,'Données projet'!$E$10+1,1))-AVERAGE(OFFSET($H$3,0,0,'Données projet'!$E$10+1,1))</f>
        <v>436.5217771315057</v>
      </c>
      <c r="AO6" s="60">
        <f t="shared" si="36"/>
        <v>308.97310256098365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0.16216216216216217</v>
      </c>
      <c r="BD6" s="13">
        <f>IF('Données projet'!$A$88&gt;35,BD5+BC6-BL5,IF(A6&lt;'Données projet'!$A$88,$BA$205^A6,IF(A6='Données projet'!$A$88,'Données projet'!$B$88,BD5+BC6-BL5)))</f>
        <v>0.48648648648648651</v>
      </c>
      <c r="BE6" s="14">
        <f>BD6*VLOOKUP('Données projet'!$B$11,Paramètres!$A$1:$I$88,3,0)*VLOOKUP('Données projet'!$B$11,Paramètres!$A$1:$I$88,5,0)</f>
        <v>0.49329729729729738</v>
      </c>
      <c r="BF6" s="14">
        <f t="shared" si="37"/>
        <v>0.24682147540280808</v>
      </c>
      <c r="BG6" s="22">
        <f t="shared" si="7"/>
        <v>1.2890401957860169</v>
      </c>
      <c r="BH6" s="60">
        <f t="shared" si="8"/>
        <v>174.6440607656709</v>
      </c>
      <c r="BI6" s="60">
        <f ca="1">AVERAGE(OFFSET($BH$3,0,0,'Données projet'!$E$11+1,1))-AVERAGE(OFFSET($H$3,0,0,'Données projet'!$E$11+1,1))</f>
        <v>108.30434106718693</v>
      </c>
      <c r="BJ6" s="60">
        <f t="shared" si="38"/>
        <v>67.653808657585842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5.75</v>
      </c>
      <c r="BY6" s="13">
        <f>IF('Données projet'!$A$114&gt;35,BY5+BX6-CG5,IF(A6&lt;'Données projet'!$A$114,$BV$205^A6,IF(A6='Données projet'!$A$114,'Données projet'!$B$114,BY5+BX6-CG5)))</f>
        <v>2.0375331160043926</v>
      </c>
      <c r="BZ6" s="14">
        <f>BY6*VLOOKUP('Données projet'!$B$12,Paramètres!$A$1:$I$88,3,0)*VLOOKUP('Données projet'!$B$12,Paramètres!$A$1:$I$88,5,0)</f>
        <v>0.95356549829005577</v>
      </c>
      <c r="CA6" s="14">
        <f t="shared" si="39"/>
        <v>0.44188187933534279</v>
      </c>
      <c r="CB6" s="22">
        <f t="shared" si="10"/>
        <v>2.4304041826975693</v>
      </c>
      <c r="CC6" s="60">
        <f t="shared" si="11"/>
        <v>175.78542475258246</v>
      </c>
      <c r="CD6" s="60">
        <f ca="1">AVERAGE(OFFSET($CC$3,0,0,'Données projet'!$E$12+1,1))-AVERAGE(OFFSET($H$3,0,0,'Données projet'!$E$12+1,1))</f>
        <v>171.08593400758221</v>
      </c>
      <c r="CE6" s="60">
        <f t="shared" si="40"/>
        <v>201.9528484086932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projet'!$B$12,Paramètres!$A$1:$I$88,3,0)*0.475*44/12</f>
        <v>0</v>
      </c>
      <c r="CL6" s="23">
        <f>EXP(-LN(2)/25)*CL5+(1-EXP(-LN(2)/25))/(LN(2)/25)*Calculateur!CG6*Calculateur!CI6*VLOOKUP('Données projet'!$B$12,Paramètres!$A$1:$I$88,3,0)*0.475*44/12</f>
        <v>0</v>
      </c>
      <c r="CM6" s="23">
        <f>EXP(-LN(2)/2)*CM5+(1-EXP(-LN(2)/2))/(LN(2)/2)*CG6*CJ6*VLOOKUP('Données projet'!$B$12,Paramètres!$A$1:$I$88,3,0)*0.475*44/12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4.333333333333333</v>
      </c>
      <c r="CT6" s="13">
        <f>IF('Données projet'!$A$140&gt;35,CT5+CS6-DB5,IF(A6&lt;'Données projet'!$A$140,$CQ$205^A6,IF(A6='Données projet'!$A$140,'Données projet'!$B$140,CT5+CS6-DB5)))</f>
        <v>2.3045316198021402</v>
      </c>
      <c r="CU6" s="18">
        <f>CT6*VLOOKUP('Données projet'!$B$13,Paramètres!$A$1:$I$88,3,0)*VLOOKUP('Données projet'!$B$13,Paramètres!$A$1:$I$88,5,0)</f>
        <v>1.5458798105632756</v>
      </c>
      <c r="CV6" s="14">
        <f t="shared" si="41"/>
        <v>0.67718563309264979</v>
      </c>
      <c r="CW6" s="22">
        <f t="shared" si="13"/>
        <v>3.8718389810340699</v>
      </c>
      <c r="CX6" s="60">
        <f t="shared" si="14"/>
        <v>177.22685955091896</v>
      </c>
      <c r="CY6" s="60">
        <f ca="1">AVERAGE(OFFSET($CX$3,0,0,'Données projet'!$E$13+1,1))-AVERAGE(OFFSET($H$3,0,0,'Données projet'!$E$13+1,1))</f>
        <v>283.66646124753868</v>
      </c>
      <c r="CZ6" s="60">
        <f t="shared" si="42"/>
        <v>331.61926649572797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projet'!$B$13,Paramètres!$A$1:$I$88,3,0)*0.475*44/12</f>
        <v>0</v>
      </c>
      <c r="DG6" s="23">
        <f>EXP(-LN(2)/25)*DG5+(1-EXP(-LN(2)/25))/(LN(2)/25)*Calculateur!DB6*Calculateur!DD6*VLOOKUP('Données projet'!$B$13,Paramètres!$A$1:$I$88,3,0)*0.475*44/12</f>
        <v>0</v>
      </c>
      <c r="DH6" s="23">
        <f>EXP(-LN(2)/2)*DH5+(1-EXP(-LN(2)/2))/(LN(2)/2)*DB6*DE6*VLOOKUP('Données projet'!$B$13,Paramètres!$A$1:$I$88,3,0)*0.475*44/12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11.5</v>
      </c>
      <c r="DO6" s="13">
        <f>IF('Données projet'!$A$166&gt;35,DO5+DN6-DW5,IF(A6&lt;'Données projet'!$A$166,$DL$205^A6,IF(A6='Données projet'!$A$166,'Données projet'!$B$166,DO5+DN6-DW5)))</f>
        <v>4.1515411988145683</v>
      </c>
      <c r="DP6" s="18">
        <f>DO6*VLOOKUP('Données projet'!$B$14,Paramètres!$A$1:$I$88,3,0)*VLOOKUP('Données projet'!$B$14,Paramètres!$A$1:$I$88,5,0)</f>
        <v>3.0439100069708416</v>
      </c>
      <c r="DQ6" s="14">
        <f t="shared" si="43"/>
        <v>1.2322885431422059</v>
      </c>
      <c r="DR6" s="22">
        <f t="shared" si="16"/>
        <v>7.447712474780225</v>
      </c>
      <c r="DS6" s="60">
        <f t="shared" si="17"/>
        <v>180.8027330446651</v>
      </c>
      <c r="DT6" s="60">
        <f ca="1">AVERAGE(OFFSET($DS$3,0,0,'Données projet'!$E$14+1,1))-AVERAGE(OFFSET($H$3,0,0,'Données projet'!$E$14+1,1))</f>
        <v>212.77458587586861</v>
      </c>
      <c r="DU6" s="60">
        <f t="shared" si="44"/>
        <v>260.45879589483513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projet'!$B$14,Paramètres!$A$1:$I$88,3,0)*0.475*44/12</f>
        <v>0</v>
      </c>
      <c r="EB6" s="23">
        <f>EXP(-LN(2)/25)*EB5+(1-EXP(-LN(2)/25))/(LN(2)/25)*Calculateur!DW6*Calculateur!DY6*VLOOKUP('Données projet'!$B$14,Paramètres!$A$1:$I$88,3,0)*0.475*44/12</f>
        <v>0</v>
      </c>
      <c r="EC6" s="23">
        <f>EXP(-LN(2)/2)*EC5+(1-EXP(-LN(2)/2))/(LN(2)/2)*DW6*DZ6*VLOOKUP('Données projet'!$B$14,Paramètres!$A$1:$I$88,3,0)*0.475*44/12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5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8">
        <f t="shared" si="1"/>
        <v>183.33333333333334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10.119999999999999</v>
      </c>
      <c r="N7" s="14">
        <f>IF('Données projet'!$A$36&gt;35,N6+M7-V6,IF(A7&lt;'Données projet'!$A$36,$K$205^A7,IF(A7='Données projet'!$A$36,'Données projet'!$B$36,N6+M7-V6)))</f>
        <v>2.4238139651133301</v>
      </c>
      <c r="O7" s="14">
        <f>N7*VLOOKUP('Données projet'!$B$9,Paramètres!$A$1:$I$88,3,0)*VLOOKUP('Données projet'!$B$9,Paramètres!$A$1:$I$88,5,0)</f>
        <v>1.3549120064983515</v>
      </c>
      <c r="P7" s="14">
        <f t="shared" si="33"/>
        <v>0.60271042729604751</v>
      </c>
      <c r="Q7" s="22">
        <f t="shared" si="2"/>
        <v>3.4095257388585782</v>
      </c>
      <c r="R7" s="60">
        <f t="shared" si="0"/>
        <v>179.49564780303552</v>
      </c>
      <c r="S7" s="60">
        <f ca="1">AVERAGE(OFFSET($R$3,0,0,'Données projet'!$E$9+1,1))-AVERAGE(OFFSET($H$3,0,0,'Données projet'!$E$9+1,1))</f>
        <v>366.29380214443631</v>
      </c>
      <c r="T7" s="60">
        <f t="shared" si="34"/>
        <v>413.14502442862897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5.0517241379310347</v>
      </c>
      <c r="AI7" s="14">
        <f>IF('Données projet'!$A$62&gt;35,AI6+AH7-AQ6,IF(A7&lt;'Données projet'!$A$62,$AF$205^A7,IF(A7='Données projet'!$A$62,'Données projet'!$B$62,AI6+AH7-AQ6)))</f>
        <v>1.9894646378551408</v>
      </c>
      <c r="AJ7" s="14">
        <f>AI7*VLOOKUP('Données projet'!$B$10,Paramètres!$A$1:$I$88,3,0)*VLOOKUP('Données projet'!$B$10,Paramètres!$A$1:$I$88,5,0)</f>
        <v>1.7379963076302511</v>
      </c>
      <c r="AK7" s="14">
        <f t="shared" si="35"/>
        <v>0.75103335995978204</v>
      </c>
      <c r="AL7" s="22">
        <f t="shared" si="4"/>
        <v>4.3350600043859746</v>
      </c>
      <c r="AM7" s="60">
        <f t="shared" si="5"/>
        <v>180.42118206856293</v>
      </c>
      <c r="AN7" s="60">
        <f ca="1">AVERAGE(OFFSET($AM$3,0,0,'Données projet'!$E$10+1,1))-AVERAGE(OFFSET($H$3,0,0,'Données projet'!$E$10+1,1))</f>
        <v>436.5217771315057</v>
      </c>
      <c r="AO7" s="60">
        <f t="shared" si="36"/>
        <v>308.97310256098365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0.16216216216216217</v>
      </c>
      <c r="BD7" s="13">
        <f>IF('Données projet'!$A$88&gt;35,BD6+BC7-BL6,IF(A7&lt;'Données projet'!$A$88,$BA$205^A7,IF(A7='Données projet'!$A$88,'Données projet'!$B$88,BD6+BC7-BL6)))</f>
        <v>0.64864864864864868</v>
      </c>
      <c r="BE7" s="14">
        <f>BD7*VLOOKUP('Données projet'!$B$11,Paramètres!$A$1:$I$88,3,0)*VLOOKUP('Données projet'!$B$11,Paramètres!$A$1:$I$88,5,0)</f>
        <v>0.65772972972972976</v>
      </c>
      <c r="BF7" s="14">
        <f t="shared" si="37"/>
        <v>0.31825762072591335</v>
      </c>
      <c r="BG7" s="22">
        <f t="shared" si="7"/>
        <v>1.6998446353769117</v>
      </c>
      <c r="BH7" s="60">
        <f t="shared" si="8"/>
        <v>177.78596669955385</v>
      </c>
      <c r="BI7" s="60">
        <f ca="1">AVERAGE(OFFSET($BH$3,0,0,'Données projet'!$E$11+1,1))-AVERAGE(OFFSET($H$3,0,0,'Données projet'!$E$11+1,1))</f>
        <v>108.30434106718693</v>
      </c>
      <c r="BJ7" s="60">
        <f t="shared" si="38"/>
        <v>67.653808657585842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5.75</v>
      </c>
      <c r="BY7" s="13">
        <f>IF('Données projet'!$A$114&gt;35,BY6+BX7-CG6,IF(A7&lt;'Données projet'!$A$114,$BV$205^A7,IF(A7='Données projet'!$A$114,'Données projet'!$B$114,BY6+BX7-CG6)))</f>
        <v>2.5830901781308797</v>
      </c>
      <c r="BZ7" s="14">
        <f>BY7*VLOOKUP('Données projet'!$B$12,Paramètres!$A$1:$I$88,3,0)*VLOOKUP('Données projet'!$B$12,Paramètres!$A$1:$I$88,5,0)</f>
        <v>1.2088862033652517</v>
      </c>
      <c r="CA7" s="14">
        <f t="shared" si="39"/>
        <v>0.54493891535856476</v>
      </c>
      <c r="CB7" s="22">
        <f t="shared" si="10"/>
        <v>3.0545787484439804</v>
      </c>
      <c r="CC7" s="60">
        <f t="shared" si="11"/>
        <v>179.14070081262093</v>
      </c>
      <c r="CD7" s="60">
        <f ca="1">AVERAGE(OFFSET($CC$3,0,0,'Données projet'!$E$12+1,1))-AVERAGE(OFFSET($H$3,0,0,'Données projet'!$E$12+1,1))</f>
        <v>171.08593400758221</v>
      </c>
      <c r="CE7" s="60">
        <f t="shared" si="40"/>
        <v>201.9528484086932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projet'!$B$12,Paramètres!$A$1:$I$88,3,0)*0.475*44/12</f>
        <v>0</v>
      </c>
      <c r="CL7" s="23">
        <f>EXP(-LN(2)/25)*CL6+(1-EXP(-LN(2)/25))/(LN(2)/25)*Calculateur!CG7*Calculateur!CI7*VLOOKUP('Données projet'!$B$12,Paramètres!$A$1:$I$88,3,0)*0.475*44/12</f>
        <v>0</v>
      </c>
      <c r="CM7" s="23">
        <f>EXP(-LN(2)/2)*CM6+(1-EXP(-LN(2)/2))/(LN(2)/2)*CG7*CJ7*VLOOKUP('Données projet'!$B$12,Paramètres!$A$1:$I$88,3,0)*0.475*44/12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4.333333333333333</v>
      </c>
      <c r="CT7" s="13">
        <f>IF('Données projet'!$A$140&gt;35,CT6+CS7-DB6,IF(A7&lt;'Données projet'!$A$140,$CQ$205^A7,IF(A7='Données projet'!$A$140,'Données projet'!$B$140,CT6+CS7-DB6)))</f>
        <v>3.0439923858678468</v>
      </c>
      <c r="CU7" s="18">
        <f>CT7*VLOOKUP('Données projet'!$B$13,Paramètres!$A$1:$I$88,3,0)*VLOOKUP('Données projet'!$B$13,Paramètres!$A$1:$I$88,5,0)</f>
        <v>2.0419100924401516</v>
      </c>
      <c r="CV7" s="14">
        <f t="shared" si="41"/>
        <v>0.86596515784505756</v>
      </c>
      <c r="CW7" s="22">
        <f t="shared" si="13"/>
        <v>5.0645493942467388</v>
      </c>
      <c r="CX7" s="60">
        <f t="shared" si="14"/>
        <v>181.15067145842369</v>
      </c>
      <c r="CY7" s="60">
        <f ca="1">AVERAGE(OFFSET($CX$3,0,0,'Données projet'!$E$13+1,1))-AVERAGE(OFFSET($H$3,0,0,'Données projet'!$E$13+1,1))</f>
        <v>283.66646124753868</v>
      </c>
      <c r="CZ7" s="60">
        <f t="shared" si="42"/>
        <v>331.61926649572797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projet'!$B$13,Paramètres!$A$1:$I$88,3,0)*0.475*44/12</f>
        <v>0</v>
      </c>
      <c r="DG7" s="23">
        <f>EXP(-LN(2)/25)*DG6+(1-EXP(-LN(2)/25))/(LN(2)/25)*Calculateur!DB7*Calculateur!DD7*VLOOKUP('Données projet'!$B$13,Paramètres!$A$1:$I$88,3,0)*0.475*44/12</f>
        <v>0</v>
      </c>
      <c r="DH7" s="23">
        <f>EXP(-LN(2)/2)*DH6+(1-EXP(-LN(2)/2))/(LN(2)/2)*DB7*DE7*VLOOKUP('Données projet'!$B$13,Paramètres!$A$1:$I$88,3,0)*0.475*44/12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11.5</v>
      </c>
      <c r="DO7" s="13">
        <f>IF('Données projet'!$A$166&gt;35,DO6+DN7-DW6,IF(A7&lt;'Données projet'!$A$166,$DL$205^A7,IF(A7='Données projet'!$A$166,'Données projet'!$B$166,DO6+DN7-DW6)))</f>
        <v>6.6723548683562175</v>
      </c>
      <c r="DP7" s="18">
        <f>DO7*VLOOKUP('Données projet'!$B$14,Paramètres!$A$1:$I$88,3,0)*VLOOKUP('Données projet'!$B$14,Paramètres!$A$1:$I$88,5,0)</f>
        <v>4.8921705894787788</v>
      </c>
      <c r="DQ7" s="14">
        <f t="shared" si="43"/>
        <v>1.8741125629997808</v>
      </c>
      <c r="DR7" s="22">
        <f t="shared" si="16"/>
        <v>11.784609823900155</v>
      </c>
      <c r="DS7" s="60">
        <f t="shared" si="17"/>
        <v>187.8707318880771</v>
      </c>
      <c r="DT7" s="60">
        <f ca="1">AVERAGE(OFFSET($DS$3,0,0,'Données projet'!$E$14+1,1))-AVERAGE(OFFSET($H$3,0,0,'Données projet'!$E$14+1,1))</f>
        <v>212.77458587586861</v>
      </c>
      <c r="DU7" s="60">
        <f t="shared" si="44"/>
        <v>260.45879589483513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projet'!$B$14,Paramètres!$A$1:$I$88,3,0)*0.475*44/12</f>
        <v>0</v>
      </c>
      <c r="EB7" s="23">
        <f>EXP(-LN(2)/25)*EB6+(1-EXP(-LN(2)/25))/(LN(2)/25)*Calculateur!DW7*Calculateur!DY7*VLOOKUP('Données projet'!$B$14,Paramètres!$A$1:$I$88,3,0)*0.475*44/12</f>
        <v>0</v>
      </c>
      <c r="EC7" s="23">
        <f>EXP(-LN(2)/2)*EC6+(1-EXP(-LN(2)/2))/(LN(2)/2)*DW7*DZ7*VLOOKUP('Données projet'!$B$14,Paramètres!$A$1:$I$88,3,0)*0.475*44/12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5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8">
        <f t="shared" si="1"/>
        <v>183.33333333333334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10.119999999999999</v>
      </c>
      <c r="N8" s="14">
        <f>IF('Données projet'!$A$36&gt;35,N7+M8-V7,IF(A8&lt;'Données projet'!$A$36,$K$205^A8,IF(A8='Données projet'!$A$36,'Données projet'!$B$36,N7+M8-V7)))</f>
        <v>3.0242946711869934</v>
      </c>
      <c r="O8" s="14">
        <f>N8*VLOOKUP('Données projet'!$B$9,Paramètres!$A$1:$I$88,3,0)*VLOOKUP('Données projet'!$B$9,Paramètres!$A$1:$I$88,5,0)</f>
        <v>1.6905807211935295</v>
      </c>
      <c r="P8" s="14">
        <f t="shared" si="33"/>
        <v>0.7328997892689193</v>
      </c>
      <c r="Q8" s="22">
        <f t="shared" si="2"/>
        <v>4.2208952223887648</v>
      </c>
      <c r="R8" s="60">
        <f t="shared" si="0"/>
        <v>183.01194309883613</v>
      </c>
      <c r="S8" s="60">
        <f ca="1">AVERAGE(OFFSET($R$3,0,0,'Données projet'!$E$9+1,1))-AVERAGE(OFFSET($H$3,0,0,'Données projet'!$E$9+1,1))</f>
        <v>366.29380214443631</v>
      </c>
      <c r="T8" s="60">
        <f t="shared" si="34"/>
        <v>413.14502442862897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5.0517241379310347</v>
      </c>
      <c r="AI8" s="14">
        <f>IF('Données projet'!$A$62&gt;35,AI7+AH8-AQ7,IF(A8&lt;'Données projet'!$A$62,$AF$205^A8,IF(A8='Données projet'!$A$62,'Données projet'!$B$62,AI7+AH8-AQ7)))</f>
        <v>2.362763646174364</v>
      </c>
      <c r="AJ8" s="14">
        <f>AI8*VLOOKUP('Données projet'!$B$10,Paramètres!$A$1:$I$88,3,0)*VLOOKUP('Données projet'!$B$10,Paramètres!$A$1:$I$88,5,0)</f>
        <v>2.0641103212979246</v>
      </c>
      <c r="AK8" s="14">
        <f t="shared" si="35"/>
        <v>0.87427902677617086</v>
      </c>
      <c r="AL8" s="22">
        <f t="shared" si="4"/>
        <v>5.1176947812290496</v>
      </c>
      <c r="AM8" s="60">
        <f t="shared" si="5"/>
        <v>183.90874265767641</v>
      </c>
      <c r="AN8" s="60">
        <f ca="1">AVERAGE(OFFSET($AM$3,0,0,'Données projet'!$E$10+1,1))-AVERAGE(OFFSET($H$3,0,0,'Données projet'!$E$10+1,1))</f>
        <v>436.5217771315057</v>
      </c>
      <c r="AO8" s="60">
        <f t="shared" si="36"/>
        <v>308.97310256098365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0.16216216216216217</v>
      </c>
      <c r="BD8" s="13">
        <f>IF('Données projet'!$A$88&gt;35,BD7+BC8-BL7,IF(A8&lt;'Données projet'!$A$88,$BA$205^A8,IF(A8='Données projet'!$A$88,'Données projet'!$B$88,BD7+BC8-BL7)))</f>
        <v>0.81081081081081086</v>
      </c>
      <c r="BE8" s="14">
        <f>BD8*VLOOKUP('Données projet'!$B$11,Paramètres!$A$1:$I$88,3,0)*VLOOKUP('Données projet'!$B$11,Paramètres!$A$1:$I$88,5,0)</f>
        <v>0.82216216216216231</v>
      </c>
      <c r="BF8" s="14">
        <f t="shared" si="37"/>
        <v>0.38762207243180152</v>
      </c>
      <c r="BG8" s="22">
        <f t="shared" si="7"/>
        <v>2.1070408752511534</v>
      </c>
      <c r="BH8" s="60">
        <f t="shared" si="8"/>
        <v>180.89808875169851</v>
      </c>
      <c r="BI8" s="60">
        <f ca="1">AVERAGE(OFFSET($BH$3,0,0,'Données projet'!$E$11+1,1))-AVERAGE(OFFSET($H$3,0,0,'Données projet'!$E$11+1,1))</f>
        <v>108.30434106718693</v>
      </c>
      <c r="BJ8" s="60">
        <f t="shared" si="38"/>
        <v>67.653808657585842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5.75</v>
      </c>
      <c r="BY8" s="13">
        <f>IF('Données projet'!$A$114&gt;35,BY7+BX8-CG7,IF(A8&lt;'Données projet'!$A$114,$BV$205^A8,IF(A8='Données projet'!$A$114,'Données projet'!$B$114,BY7+BX8-CG7)))</f>
        <v>3.2747221706220535</v>
      </c>
      <c r="BZ8" s="14">
        <f>BY8*VLOOKUP('Données projet'!$B$12,Paramètres!$A$1:$I$88,3,0)*VLOOKUP('Données projet'!$B$12,Paramètres!$A$1:$I$88,5,0)</f>
        <v>1.5325699758511209</v>
      </c>
      <c r="CA8" s="14">
        <f t="shared" si="39"/>
        <v>0.67203122680395833</v>
      </c>
      <c r="CB8" s="22">
        <f t="shared" si="10"/>
        <v>3.839680427957596</v>
      </c>
      <c r="CC8" s="60">
        <f t="shared" si="11"/>
        <v>182.63072830440495</v>
      </c>
      <c r="CD8" s="60">
        <f ca="1">AVERAGE(OFFSET($CC$3,0,0,'Données projet'!$E$12+1,1))-AVERAGE(OFFSET($H$3,0,0,'Données projet'!$E$12+1,1))</f>
        <v>171.08593400758221</v>
      </c>
      <c r="CE8" s="60">
        <f t="shared" si="40"/>
        <v>201.9528484086932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projet'!$B$12,Paramètres!$A$1:$I$88,3,0)*0.475*44/12</f>
        <v>0</v>
      </c>
      <c r="CL8" s="23">
        <f>EXP(-LN(2)/25)*CL7+(1-EXP(-LN(2)/25))/(LN(2)/25)*Calculateur!CG8*Calculateur!CI8*VLOOKUP('Données projet'!$B$12,Paramètres!$A$1:$I$88,3,0)*0.475*44/12</f>
        <v>0</v>
      </c>
      <c r="CM8" s="23">
        <f>EXP(-LN(2)/2)*CM7+(1-EXP(-LN(2)/2))/(LN(2)/2)*CG8*CJ8*VLOOKUP('Données projet'!$B$12,Paramètres!$A$1:$I$88,3,0)*0.475*44/12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4.333333333333333</v>
      </c>
      <c r="CT8" s="13">
        <f>IF('Données projet'!$A$140&gt;35,CT7+CS8-DB7,IF(A8&lt;'Données projet'!$A$140,$CQ$205^A8,IF(A8='Données projet'!$A$140,'Données projet'!$B$140,CT7+CS8-DB7)))</f>
        <v>4.0207257585890561</v>
      </c>
      <c r="CU8" s="18">
        <f>CT8*VLOOKUP('Données projet'!$B$13,Paramètres!$A$1:$I$88,3,0)*VLOOKUP('Données projet'!$B$13,Paramètres!$A$1:$I$88,5,0)</f>
        <v>2.697102838861539</v>
      </c>
      <c r="CV8" s="14">
        <f t="shared" si="41"/>
        <v>1.1073708861437377</v>
      </c>
      <c r="CW8" s="22">
        <f t="shared" si="13"/>
        <v>6.6261250710508568</v>
      </c>
      <c r="CX8" s="60">
        <f t="shared" si="14"/>
        <v>185.41717294749822</v>
      </c>
      <c r="CY8" s="60">
        <f ca="1">AVERAGE(OFFSET($CX$3,0,0,'Données projet'!$E$13+1,1))-AVERAGE(OFFSET($H$3,0,0,'Données projet'!$E$13+1,1))</f>
        <v>283.66646124753868</v>
      </c>
      <c r="CZ8" s="60">
        <f t="shared" si="42"/>
        <v>331.61926649572797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projet'!$B$13,Paramètres!$A$1:$I$88,3,0)*0.475*44/12</f>
        <v>0</v>
      </c>
      <c r="DG8" s="23">
        <f>EXP(-LN(2)/25)*DG7+(1-EXP(-LN(2)/25))/(LN(2)/25)*Calculateur!DB8*Calculateur!DD8*VLOOKUP('Données projet'!$B$13,Paramètres!$A$1:$I$88,3,0)*0.475*44/12</f>
        <v>0</v>
      </c>
      <c r="DH8" s="23">
        <f>EXP(-LN(2)/2)*DH7+(1-EXP(-LN(2)/2))/(LN(2)/2)*DB8*DE8*VLOOKUP('Données projet'!$B$13,Paramètres!$A$1:$I$88,3,0)*0.475*44/12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11.5</v>
      </c>
      <c r="DO8" s="13">
        <f>IF('Données projet'!$A$166&gt;35,DO7+DN8-DW7,IF(A8&lt;'Données projet'!$A$166,$DL$205^A8,IF(A8='Données projet'!$A$166,'Données projet'!$B$166,DO7+DN8-DW7)))</f>
        <v>10.723805294763606</v>
      </c>
      <c r="DP8" s="18">
        <f>DO8*VLOOKUP('Données projet'!$B$14,Paramètres!$A$1:$I$88,3,0)*VLOOKUP('Données projet'!$B$14,Paramètres!$A$1:$I$88,5,0)</f>
        <v>7.8626940421206752</v>
      </c>
      <c r="DQ8" s="14">
        <f t="shared" si="43"/>
        <v>2.8502236090239195</v>
      </c>
      <c r="DR8" s="22">
        <f t="shared" si="16"/>
        <v>18.658331575743503</v>
      </c>
      <c r="DS8" s="60">
        <f t="shared" si="17"/>
        <v>197.44937945219084</v>
      </c>
      <c r="DT8" s="60">
        <f ca="1">AVERAGE(OFFSET($DS$3,0,0,'Données projet'!$E$14+1,1))-AVERAGE(OFFSET($H$3,0,0,'Données projet'!$E$14+1,1))</f>
        <v>212.77458587586861</v>
      </c>
      <c r="DU8" s="60">
        <f t="shared" si="44"/>
        <v>260.45879589483513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projet'!$B$14,Paramètres!$A$1:$I$88,3,0)*0.475*44/12</f>
        <v>0</v>
      </c>
      <c r="EB8" s="23">
        <f>EXP(-LN(2)/25)*EB7+(1-EXP(-LN(2)/25))/(LN(2)/25)*Calculateur!DW8*Calculateur!DY8*VLOOKUP('Données projet'!$B$14,Paramètres!$A$1:$I$88,3,0)*0.475*44/12</f>
        <v>0</v>
      </c>
      <c r="EC8" s="23">
        <f>EXP(-LN(2)/2)*EC7+(1-EXP(-LN(2)/2))/(LN(2)/2)*DW8*DZ8*VLOOKUP('Données projet'!$B$14,Paramètres!$A$1:$I$88,3,0)*0.475*44/12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5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8">
        <f t="shared" si="1"/>
        <v>183.33333333333334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10.119999999999999</v>
      </c>
      <c r="N9" s="14">
        <f>IF('Données projet'!$A$36&gt;35,N8+M9-V8,IF(A9&lt;'Données projet'!$A$36,$K$205^A9,IF(A9='Données projet'!$A$36,'Données projet'!$B$36,N8+M9-V8)))</f>
        <v>3.773539714605278</v>
      </c>
      <c r="O9" s="14">
        <f>N9*VLOOKUP('Données projet'!$B$9,Paramètres!$A$1:$I$88,3,0)*VLOOKUP('Données projet'!$B$9,Paramètres!$A$1:$I$88,5,0)</f>
        <v>2.1094087004643503</v>
      </c>
      <c r="P9" s="14">
        <f t="shared" si="33"/>
        <v>0.89121089794350827</v>
      </c>
      <c r="Q9" s="22">
        <f t="shared" si="2"/>
        <v>5.2260791338936876</v>
      </c>
      <c r="R9" s="60">
        <f t="shared" si="0"/>
        <v>186.69633123015265</v>
      </c>
      <c r="S9" s="60">
        <f ca="1">AVERAGE(OFFSET($R$3,0,0,'Données projet'!$E$9+1,1))-AVERAGE(OFFSET($H$3,0,0,'Données projet'!$E$9+1,1))</f>
        <v>366.29380214443631</v>
      </c>
      <c r="T9" s="60">
        <f t="shared" si="34"/>
        <v>413.14502442862897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5.0517241379310347</v>
      </c>
      <c r="AI9" s="14">
        <f>IF('Données projet'!$A$62&gt;35,AI8+AH9-AQ8,IF(A9&lt;'Données projet'!$A$62,$AF$205^A9,IF(A9='Données projet'!$A$62,'Données projet'!$B$62,AI8+AH9-AQ8)))</f>
        <v>2.8061077042826361</v>
      </c>
      <c r="AJ9" s="14">
        <f>AI9*VLOOKUP('Données projet'!$B$10,Paramètres!$A$1:$I$88,3,0)*VLOOKUP('Données projet'!$B$10,Paramètres!$A$1:$I$88,5,0)</f>
        <v>2.4514156904613111</v>
      </c>
      <c r="AK9" s="14">
        <f t="shared" si="35"/>
        <v>1.0177494867892687</v>
      </c>
      <c r="AL9" s="22">
        <f t="shared" si="4"/>
        <v>6.0421293503780928</v>
      </c>
      <c r="AM9" s="60">
        <f t="shared" si="5"/>
        <v>187.51238144663708</v>
      </c>
      <c r="AN9" s="60">
        <f ca="1">AVERAGE(OFFSET($AM$3,0,0,'Données projet'!$E$10+1,1))-AVERAGE(OFFSET($H$3,0,0,'Données projet'!$E$10+1,1))</f>
        <v>436.5217771315057</v>
      </c>
      <c r="AO9" s="60">
        <f t="shared" si="36"/>
        <v>308.97310256098365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0.16216216216216217</v>
      </c>
      <c r="BD9" s="13">
        <f>IF('Données projet'!$A$88&gt;35,BD8+BC9-BL8,IF(A9&lt;'Données projet'!$A$88,$BA$205^A9,IF(A9='Données projet'!$A$88,'Données projet'!$B$88,BD8+BC9-BL8)))</f>
        <v>0.97297297297297303</v>
      </c>
      <c r="BE9" s="14">
        <f>BD9*VLOOKUP('Données projet'!$B$11,Paramètres!$A$1:$I$88,3,0)*VLOOKUP('Données projet'!$B$11,Paramètres!$A$1:$I$88,5,0)</f>
        <v>0.98659459459459475</v>
      </c>
      <c r="BF9" s="14">
        <f t="shared" si="37"/>
        <v>0.45537905152041497</v>
      </c>
      <c r="BG9" s="22">
        <f t="shared" si="7"/>
        <v>2.5114374336503085</v>
      </c>
      <c r="BH9" s="60">
        <f t="shared" si="8"/>
        <v>183.98168952990929</v>
      </c>
      <c r="BI9" s="60">
        <f ca="1">AVERAGE(OFFSET($BH$3,0,0,'Données projet'!$E$11+1,1))-AVERAGE(OFFSET($H$3,0,0,'Données projet'!$E$11+1,1))</f>
        <v>108.30434106718693</v>
      </c>
      <c r="BJ9" s="60">
        <f t="shared" si="38"/>
        <v>67.653808657585842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5.75</v>
      </c>
      <c r="BY9" s="13">
        <f>IF('Données projet'!$A$114&gt;35,BY8+BX9-CG8,IF(A9&lt;'Données projet'!$A$114,$BV$205^A9,IF(A9='Données projet'!$A$114,'Données projet'!$B$114,BY8+BX9-CG8)))</f>
        <v>4.1515411988145692</v>
      </c>
      <c r="BZ9" s="14">
        <f>BY9*VLOOKUP('Données projet'!$B$12,Paramètres!$A$1:$I$88,3,0)*VLOOKUP('Données projet'!$B$12,Paramètres!$A$1:$I$88,5,0)</f>
        <v>1.9429212810452183</v>
      </c>
      <c r="CA9" s="14">
        <f t="shared" si="39"/>
        <v>0.82876439371643607</v>
      </c>
      <c r="CB9" s="22">
        <f t="shared" si="10"/>
        <v>4.8273525502098815</v>
      </c>
      <c r="CC9" s="60">
        <f t="shared" si="11"/>
        <v>186.29760464646887</v>
      </c>
      <c r="CD9" s="60">
        <f ca="1">AVERAGE(OFFSET($CC$3,0,0,'Données projet'!$E$12+1,1))-AVERAGE(OFFSET($H$3,0,0,'Données projet'!$E$12+1,1))</f>
        <v>171.08593400758221</v>
      </c>
      <c r="CE9" s="60">
        <f t="shared" si="40"/>
        <v>201.9528484086932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projet'!$B$12,Paramètres!$A$1:$I$88,3,0)*0.475*44/12</f>
        <v>0</v>
      </c>
      <c r="CL9" s="23">
        <f>EXP(-LN(2)/25)*CL8+(1-EXP(-LN(2)/25))/(LN(2)/25)*Calculateur!CG9*Calculateur!CI9*VLOOKUP('Données projet'!$B$12,Paramètres!$A$1:$I$88,3,0)*0.475*44/12</f>
        <v>0</v>
      </c>
      <c r="CM9" s="23">
        <f>EXP(-LN(2)/2)*CM8+(1-EXP(-LN(2)/2))/(LN(2)/2)*CG9*CJ9*VLOOKUP('Données projet'!$B$12,Paramètres!$A$1:$I$88,3,0)*0.475*44/12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4.333333333333333</v>
      </c>
      <c r="CT9" s="13">
        <f>IF('Données projet'!$A$140&gt;35,CT8+CS9-DB8,IF(A9&lt;'Données projet'!$A$140,$CQ$205^A9,IF(A9='Données projet'!$A$140,'Données projet'!$B$140,CT8+CS9-DB8)))</f>
        <v>5.310865986667876</v>
      </c>
      <c r="CU9" s="18">
        <f>CT9*VLOOKUP('Données projet'!$B$13,Paramètres!$A$1:$I$88,3,0)*VLOOKUP('Données projet'!$B$13,Paramètres!$A$1:$I$88,5,0)</f>
        <v>3.5625289038568115</v>
      </c>
      <c r="CV9" s="14">
        <f t="shared" si="41"/>
        <v>1.4160734625054934</v>
      </c>
      <c r="CW9" s="22">
        <f t="shared" si="13"/>
        <v>8.6710657880810125</v>
      </c>
      <c r="CX9" s="60">
        <f t="shared" si="14"/>
        <v>190.14131788434</v>
      </c>
      <c r="CY9" s="60">
        <f ca="1">AVERAGE(OFFSET($CX$3,0,0,'Données projet'!$E$13+1,1))-AVERAGE(OFFSET($H$3,0,0,'Données projet'!$E$13+1,1))</f>
        <v>283.66646124753868</v>
      </c>
      <c r="CZ9" s="60">
        <f t="shared" si="42"/>
        <v>331.61926649572797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projet'!$B$13,Paramètres!$A$1:$I$88,3,0)*0.475*44/12</f>
        <v>0</v>
      </c>
      <c r="DG9" s="23">
        <f>EXP(-LN(2)/25)*DG8+(1-EXP(-LN(2)/25))/(LN(2)/25)*Calculateur!DB9*Calculateur!DD9*VLOOKUP('Données projet'!$B$13,Paramètres!$A$1:$I$88,3,0)*0.475*44/12</f>
        <v>0</v>
      </c>
      <c r="DH9" s="23">
        <f>EXP(-LN(2)/2)*DH8+(1-EXP(-LN(2)/2))/(LN(2)/2)*DB9*DE9*VLOOKUP('Données projet'!$B$13,Paramètres!$A$1:$I$88,3,0)*0.475*44/12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11.5</v>
      </c>
      <c r="DO9" s="13">
        <f>IF('Données projet'!$A$166&gt;35,DO8+DN9-DW8,IF(A9&lt;'Données projet'!$A$166,$DL$205^A9,IF(A9='Données projet'!$A$166,'Données projet'!$B$166,DO8+DN9-DW8)))</f>
        <v>17.235294325454703</v>
      </c>
      <c r="DP9" s="18">
        <f>DO9*VLOOKUP('Données projet'!$B$14,Paramètres!$A$1:$I$88,3,0)*VLOOKUP('Données projet'!$B$14,Paramètres!$A$1:$I$88,5,0)</f>
        <v>12.636917799423388</v>
      </c>
      <c r="DQ9" s="14">
        <f t="shared" si="43"/>
        <v>4.3347314253281013</v>
      </c>
      <c r="DR9" s="22">
        <f t="shared" si="16"/>
        <v>29.558955733108835</v>
      </c>
      <c r="DS9" s="60">
        <f t="shared" si="17"/>
        <v>211.02920782936781</v>
      </c>
      <c r="DT9" s="60">
        <f ca="1">AVERAGE(OFFSET($DS$3,0,0,'Données projet'!$E$14+1,1))-AVERAGE(OFFSET($H$3,0,0,'Données projet'!$E$14+1,1))</f>
        <v>212.77458587586861</v>
      </c>
      <c r="DU9" s="60">
        <f t="shared" si="44"/>
        <v>260.45879589483513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projet'!$B$14,Paramètres!$A$1:$I$88,3,0)*0.475*44/12</f>
        <v>0</v>
      </c>
      <c r="EB9" s="23">
        <f>EXP(-LN(2)/25)*EB8+(1-EXP(-LN(2)/25))/(LN(2)/25)*Calculateur!DW9*Calculateur!DY9*VLOOKUP('Données projet'!$B$14,Paramètres!$A$1:$I$88,3,0)*0.475*44/12</f>
        <v>0</v>
      </c>
      <c r="EC9" s="23">
        <f>EXP(-LN(2)/2)*EC8+(1-EXP(-LN(2)/2))/(LN(2)/2)*DW9*DZ9*VLOOKUP('Données projet'!$B$14,Paramètres!$A$1:$I$88,3,0)*0.475*44/12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5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8">
        <f t="shared" si="1"/>
        <v>183.33333333333334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10.119999999999999</v>
      </c>
      <c r="N10" s="14">
        <f>IF('Données projet'!$A$36&gt;35,N9+M10-V9,IF(A10&lt;'Données projet'!$A$36,$K$205^A10,IF(A10='Données projet'!$A$36,'Données projet'!$B$36,N9+M10-V9)))</f>
        <v>4.7084042812912932</v>
      </c>
      <c r="O10" s="14">
        <f>N10*VLOOKUP('Données projet'!$B$9,Paramètres!$A$1:$I$88,3,0)*VLOOKUP('Données projet'!$B$9,Paramètres!$A$1:$I$88,5,0)</f>
        <v>2.6319979932418329</v>
      </c>
      <c r="P10" s="14">
        <f t="shared" si="33"/>
        <v>1.0837182330282291</v>
      </c>
      <c r="Q10" s="22">
        <f t="shared" si="2"/>
        <v>6.4715390940870243</v>
      </c>
      <c r="R10" s="60">
        <f t="shared" si="0"/>
        <v>190.59572002982327</v>
      </c>
      <c r="S10" s="60">
        <f ca="1">AVERAGE(OFFSET($R$3,0,0,'Données projet'!$E$9+1,1))-AVERAGE(OFFSET($H$3,0,0,'Données projet'!$E$9+1,1))</f>
        <v>366.29380214443631</v>
      </c>
      <c r="T10" s="60">
        <f t="shared" si="34"/>
        <v>413.14502442862897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5.0517241379310347</v>
      </c>
      <c r="AI10" s="14">
        <f>IF('Données projet'!$A$62&gt;35,AI9+AH10-AQ9,IF(A10&lt;'Données projet'!$A$62,$AF$205^A10,IF(A10='Données projet'!$A$62,'Données projet'!$B$62,AI9+AH10-AQ9)))</f>
        <v>3.3326399196905849</v>
      </c>
      <c r="AJ10" s="14">
        <f>AI10*VLOOKUP('Données projet'!$B$10,Paramètres!$A$1:$I$88,3,0)*VLOOKUP('Données projet'!$B$10,Paramètres!$A$1:$I$88,5,0)</f>
        <v>2.9113942338416954</v>
      </c>
      <c r="AK10" s="14">
        <f t="shared" si="35"/>
        <v>1.1847636579814751</v>
      </c>
      <c r="AL10" s="22">
        <f t="shared" si="4"/>
        <v>7.1341416615920217</v>
      </c>
      <c r="AM10" s="60">
        <f t="shared" si="5"/>
        <v>191.25832259732826</v>
      </c>
      <c r="AN10" s="60">
        <f ca="1">AVERAGE(OFFSET($AM$3,0,0,'Données projet'!$E$10+1,1))-AVERAGE(OFFSET($H$3,0,0,'Données projet'!$E$10+1,1))</f>
        <v>436.5217771315057</v>
      </c>
      <c r="AO10" s="60">
        <f t="shared" si="36"/>
        <v>308.97310256098365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0.16216216216216217</v>
      </c>
      <c r="BD10" s="13">
        <f>IF('Données projet'!$A$88&gt;35,BD9+BC10-BL9,IF(A10&lt;'Données projet'!$A$88,$BA$205^A10,IF(A10='Données projet'!$A$88,'Données projet'!$B$88,BD9+BC10-BL9)))</f>
        <v>1.1351351351351351</v>
      </c>
      <c r="BE10" s="14">
        <f>BD10*VLOOKUP('Données projet'!$B$11,Paramètres!$A$1:$I$88,3,0)*VLOOKUP('Données projet'!$B$11,Paramètres!$A$1:$I$88,5,0)</f>
        <v>1.1510270270270271</v>
      </c>
      <c r="BF10" s="14">
        <f t="shared" si="37"/>
        <v>0.52182782332105004</v>
      </c>
      <c r="BG10" s="22">
        <f t="shared" si="7"/>
        <v>2.9135555310229009</v>
      </c>
      <c r="BH10" s="60">
        <f t="shared" si="8"/>
        <v>187.03773646675913</v>
      </c>
      <c r="BI10" s="60">
        <f ca="1">AVERAGE(OFFSET($BH$3,0,0,'Données projet'!$E$11+1,1))-AVERAGE(OFFSET($H$3,0,0,'Données projet'!$E$11+1,1))</f>
        <v>108.30434106718693</v>
      </c>
      <c r="BJ10" s="60">
        <f t="shared" si="38"/>
        <v>67.653808657585842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5.75</v>
      </c>
      <c r="BY10" s="13">
        <f>IF('Données projet'!$A$114&gt;35,BY9+BX10-CG9,IF(A10&lt;'Données projet'!$A$114,$BV$205^A10,IF(A10='Données projet'!$A$114,'Données projet'!$B$114,BY9+BX10-CG9)))</f>
        <v>5.2631317795673525</v>
      </c>
      <c r="BZ10" s="14">
        <f>BY10*VLOOKUP('Données projet'!$B$12,Paramètres!$A$1:$I$88,3,0)*VLOOKUP('Données projet'!$B$12,Paramètres!$A$1:$I$88,5,0)</f>
        <v>2.4631456728375212</v>
      </c>
      <c r="CA10" s="14">
        <f t="shared" si="39"/>
        <v>1.0220513465701448</v>
      </c>
      <c r="CB10" s="22">
        <f t="shared" si="10"/>
        <v>6.0700514754683512</v>
      </c>
      <c r="CC10" s="60">
        <f t="shared" si="11"/>
        <v>190.19423241120458</v>
      </c>
      <c r="CD10" s="60">
        <f ca="1">AVERAGE(OFFSET($CC$3,0,0,'Données projet'!$E$12+1,1))-AVERAGE(OFFSET($H$3,0,0,'Données projet'!$E$12+1,1))</f>
        <v>171.08593400758221</v>
      </c>
      <c r="CE10" s="60">
        <f t="shared" si="40"/>
        <v>201.9528484086932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projet'!$B$12,Paramètres!$A$1:$I$88,3,0)*0.475*44/12</f>
        <v>0</v>
      </c>
      <c r="CL10" s="23">
        <f>EXP(-LN(2)/25)*CL9+(1-EXP(-LN(2)/25))/(LN(2)/25)*Calculateur!CG10*Calculateur!CI10*VLOOKUP('Données projet'!$B$12,Paramètres!$A$1:$I$88,3,0)*0.475*44/12</f>
        <v>0</v>
      </c>
      <c r="CM10" s="23">
        <f>EXP(-LN(2)/2)*CM9+(1-EXP(-LN(2)/2))/(LN(2)/2)*CG10*CJ10*VLOOKUP('Données projet'!$B$12,Paramètres!$A$1:$I$88,3,0)*0.475*44/12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4.333333333333333</v>
      </c>
      <c r="CT10" s="13">
        <f>IF('Données projet'!$A$140&gt;35,CT9+CS10-DB9,IF(A10&lt;'Données projet'!$A$140,$CQ$205^A10,IF(A10='Données projet'!$A$140,'Données projet'!$B$140,CT9+CS10-DB9)))</f>
        <v>7.0149767036694106</v>
      </c>
      <c r="CU10" s="18">
        <f>CT10*VLOOKUP('Données projet'!$B$13,Paramètres!$A$1:$I$88,3,0)*VLOOKUP('Données projet'!$B$13,Paramètres!$A$1:$I$88,5,0)</f>
        <v>4.705646372821441</v>
      </c>
      <c r="CV10" s="14">
        <f t="shared" si="41"/>
        <v>1.8108332775438454</v>
      </c>
      <c r="CW10" s="22">
        <f t="shared" si="13"/>
        <v>11.349535391052873</v>
      </c>
      <c r="CX10" s="60">
        <f t="shared" si="14"/>
        <v>195.47371632678912</v>
      </c>
      <c r="CY10" s="60">
        <f ca="1">AVERAGE(OFFSET($CX$3,0,0,'Données projet'!$E$13+1,1))-AVERAGE(OFFSET($H$3,0,0,'Données projet'!$E$13+1,1))</f>
        <v>283.66646124753868</v>
      </c>
      <c r="CZ10" s="60">
        <f t="shared" si="42"/>
        <v>331.61926649572797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projet'!$B$13,Paramètres!$A$1:$I$88,3,0)*0.475*44/12</f>
        <v>0</v>
      </c>
      <c r="DG10" s="23">
        <f>EXP(-LN(2)/25)*DG9+(1-EXP(-LN(2)/25))/(LN(2)/25)*Calculateur!DB10*Calculateur!DD10*VLOOKUP('Données projet'!$B$13,Paramètres!$A$1:$I$88,3,0)*0.475*44/12</f>
        <v>0</v>
      </c>
      <c r="DH10" s="23">
        <f>EXP(-LN(2)/2)*DH9+(1-EXP(-LN(2)/2))/(LN(2)/2)*DB10*DE10*VLOOKUP('Données projet'!$B$13,Paramètres!$A$1:$I$88,3,0)*0.475*44/12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11.5</v>
      </c>
      <c r="DO10" s="13">
        <f>IF('Données projet'!$A$166&gt;35,DO9+DN10-DW9,IF(A10&lt;'Données projet'!$A$166,$DL$205^A10,IF(A10='Données projet'!$A$166,'Données projet'!$B$166,DO9+DN10-DW9)))</f>
        <v>27.700556129091794</v>
      </c>
      <c r="DP10" s="18">
        <f>DO10*VLOOKUP('Données projet'!$B$14,Paramètres!$A$1:$I$88,3,0)*VLOOKUP('Données projet'!$B$14,Paramètres!$A$1:$I$88,5,0)</f>
        <v>20.310047753850103</v>
      </c>
      <c r="DQ10" s="14">
        <f t="shared" si="43"/>
        <v>6.5924289133797958</v>
      </c>
      <c r="DR10" s="22">
        <f t="shared" si="16"/>
        <v>46.855146862092077</v>
      </c>
      <c r="DS10" s="60">
        <f t="shared" si="17"/>
        <v>230.97932779782832</v>
      </c>
      <c r="DT10" s="60">
        <f ca="1">AVERAGE(OFFSET($DS$3,0,0,'Données projet'!$E$14+1,1))-AVERAGE(OFFSET($H$3,0,0,'Données projet'!$E$14+1,1))</f>
        <v>212.77458587586861</v>
      </c>
      <c r="DU10" s="60">
        <f t="shared" si="44"/>
        <v>260.45879589483513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projet'!$B$14,Paramètres!$A$1:$I$88,3,0)*0.475*44/12</f>
        <v>0</v>
      </c>
      <c r="EB10" s="23">
        <f>EXP(-LN(2)/25)*EB9+(1-EXP(-LN(2)/25))/(LN(2)/25)*Calculateur!DW10*Calculateur!DY10*VLOOKUP('Données projet'!$B$14,Paramètres!$A$1:$I$88,3,0)*0.475*44/12</f>
        <v>0</v>
      </c>
      <c r="EC10" s="23">
        <f>EXP(-LN(2)/2)*EC9+(1-EXP(-LN(2)/2))/(LN(2)/2)*DW10*DZ10*VLOOKUP('Données projet'!$B$14,Paramètres!$A$1:$I$88,3,0)*0.475*44/12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5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8">
        <f t="shared" si="1"/>
        <v>183.33333333333334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10.119999999999999</v>
      </c>
      <c r="N11" s="14">
        <f>IF('Données projet'!$A$36&gt;35,N10+M11-V10,IF(A11&lt;'Données projet'!$A$36,$K$205^A11,IF(A11='Données projet'!$A$36,'Données projet'!$B$36,N10+M11-V10)))</f>
        <v>5.8748741374784039</v>
      </c>
      <c r="O11" s="14">
        <f>N11*VLOOKUP('Données projet'!$B$9,Paramètres!$A$1:$I$88,3,0)*VLOOKUP('Données projet'!$B$9,Paramètres!$A$1:$I$88,5,0)</f>
        <v>3.2840546428504278</v>
      </c>
      <c r="P11" s="14">
        <f t="shared" si="33"/>
        <v>1.3178084012525983</v>
      </c>
      <c r="Q11" s="22">
        <f t="shared" si="2"/>
        <v>8.0149114684794363</v>
      </c>
      <c r="R11" s="60">
        <f t="shared" si="0"/>
        <v>194.76818433469998</v>
      </c>
      <c r="S11" s="60">
        <f ca="1">AVERAGE(OFFSET($R$3,0,0,'Données projet'!$E$9+1,1))-AVERAGE(OFFSET($H$3,0,0,'Données projet'!$E$9+1,1))</f>
        <v>366.29380214443631</v>
      </c>
      <c r="T11" s="60">
        <f t="shared" si="34"/>
        <v>413.14502442862897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5.0517241379310347</v>
      </c>
      <c r="AI11" s="14">
        <f>IF('Données projet'!$A$62&gt;35,AI10+AH11-AQ10,IF(A11&lt;'Données projet'!$A$62,$AF$205^A11,IF(A11='Données projet'!$A$62,'Données projet'!$B$62,AI10+AH11-AQ10)))</f>
        <v>3.9579695452760868</v>
      </c>
      <c r="AJ11" s="14">
        <f>AI11*VLOOKUP('Données projet'!$B$10,Paramètres!$A$1:$I$88,3,0)*VLOOKUP('Données projet'!$B$10,Paramètres!$A$1:$I$88,5,0)</f>
        <v>3.4576821947531897</v>
      </c>
      <c r="AK11" s="14">
        <f t="shared" si="35"/>
        <v>1.3791850976037712</v>
      </c>
      <c r="AL11" s="22">
        <f t="shared" si="4"/>
        <v>8.424210534188374</v>
      </c>
      <c r="AM11" s="60">
        <f t="shared" si="5"/>
        <v>195.17748340040893</v>
      </c>
      <c r="AN11" s="60">
        <f ca="1">AVERAGE(OFFSET($AM$3,0,0,'Données projet'!$E$10+1,1))-AVERAGE(OFFSET($H$3,0,0,'Données projet'!$E$10+1,1))</f>
        <v>436.5217771315057</v>
      </c>
      <c r="AO11" s="60">
        <f t="shared" si="36"/>
        <v>308.97310256098365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0.16216216216216217</v>
      </c>
      <c r="BD11" s="13">
        <f>IF('Données projet'!$A$88&gt;35,BD10+BC11-BL10,IF(A11&lt;'Données projet'!$A$88,$BA$205^A11,IF(A11='Données projet'!$A$88,'Données projet'!$B$88,BD10+BC11-BL10)))</f>
        <v>1.2972972972972974</v>
      </c>
      <c r="BE11" s="14">
        <f>BD11*VLOOKUP('Données projet'!$B$11,Paramètres!$A$1:$I$88,3,0)*VLOOKUP('Données projet'!$B$11,Paramètres!$A$1:$I$88,5,0)</f>
        <v>1.3154594594594595</v>
      </c>
      <c r="BF11" s="14">
        <f t="shared" si="37"/>
        <v>0.58717683795055009</v>
      </c>
      <c r="BG11" s="22">
        <f t="shared" si="7"/>
        <v>3.3137582179891005</v>
      </c>
      <c r="BH11" s="60">
        <f t="shared" si="8"/>
        <v>190.06703108420965</v>
      </c>
      <c r="BI11" s="60">
        <f ca="1">AVERAGE(OFFSET($BH$3,0,0,'Données projet'!$E$11+1,1))-AVERAGE(OFFSET($H$3,0,0,'Données projet'!$E$11+1,1))</f>
        <v>108.30434106718693</v>
      </c>
      <c r="BJ11" s="60">
        <f t="shared" si="38"/>
        <v>67.653808657585842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5.75</v>
      </c>
      <c r="BY11" s="13">
        <f>IF('Données projet'!$A$114&gt;35,BY10+BX11-CG10,IF(A11&lt;'Données projet'!$A$114,$BV$205^A11,IF(A11='Données projet'!$A$114,'Données projet'!$B$114,BY10+BX11-CG10)))</f>
        <v>6.6723548683562202</v>
      </c>
      <c r="BZ11" s="14">
        <f>BY11*VLOOKUP('Données projet'!$B$12,Paramètres!$A$1:$I$88,3,0)*VLOOKUP('Données projet'!$B$12,Paramètres!$A$1:$I$88,5,0)</f>
        <v>3.1226620783907113</v>
      </c>
      <c r="CA11" s="14">
        <f t="shared" si="39"/>
        <v>1.2604172705122936</v>
      </c>
      <c r="CB11" s="22">
        <f t="shared" si="10"/>
        <v>7.6338631993393991</v>
      </c>
      <c r="CC11" s="60">
        <f t="shared" si="11"/>
        <v>194.38713606555996</v>
      </c>
      <c r="CD11" s="60">
        <f ca="1">AVERAGE(OFFSET($CC$3,0,0,'Données projet'!$E$12+1,1))-AVERAGE(OFFSET($H$3,0,0,'Données projet'!$E$12+1,1))</f>
        <v>171.08593400758221</v>
      </c>
      <c r="CE11" s="60">
        <f t="shared" si="40"/>
        <v>201.9528484086932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projet'!$B$12,Paramètres!$A$1:$I$88,3,0)*0.475*44/12</f>
        <v>0</v>
      </c>
      <c r="CL11" s="23">
        <f>EXP(-LN(2)/25)*CL10+(1-EXP(-LN(2)/25))/(LN(2)/25)*Calculateur!CG11*Calculateur!CI11*VLOOKUP('Données projet'!$B$12,Paramètres!$A$1:$I$88,3,0)*0.475*44/12</f>
        <v>0</v>
      </c>
      <c r="CM11" s="23">
        <f>EXP(-LN(2)/2)*CM10+(1-EXP(-LN(2)/2))/(LN(2)/2)*CG11*CJ11*VLOOKUP('Données projet'!$B$12,Paramètres!$A$1:$I$88,3,0)*0.475*44/12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4.333333333333333</v>
      </c>
      <c r="CT11" s="13">
        <f>IF('Données projet'!$A$140&gt;35,CT10+CS11-DB10,IF(A11&lt;'Données projet'!$A$140,$CQ$205^A11,IF(A11='Données projet'!$A$140,'Données projet'!$B$140,CT10+CS11-DB10)))</f>
        <v>9.2658896452214261</v>
      </c>
      <c r="CU11" s="18">
        <f>CT11*VLOOKUP('Données projet'!$B$13,Paramètres!$A$1:$I$88,3,0)*VLOOKUP('Données projet'!$B$13,Paramètres!$A$1:$I$88,5,0)</f>
        <v>6.215558774014533</v>
      </c>
      <c r="CV11" s="14">
        <f t="shared" si="41"/>
        <v>2.3156405694224098</v>
      </c>
      <c r="CW11" s="22">
        <f t="shared" si="13"/>
        <v>14.858505523152672</v>
      </c>
      <c r="CX11" s="60">
        <f t="shared" si="14"/>
        <v>201.61177838937323</v>
      </c>
      <c r="CY11" s="60">
        <f ca="1">AVERAGE(OFFSET($CX$3,0,0,'Données projet'!$E$13+1,1))-AVERAGE(OFFSET($H$3,0,0,'Données projet'!$E$13+1,1))</f>
        <v>283.66646124753868</v>
      </c>
      <c r="CZ11" s="60">
        <f t="shared" si="42"/>
        <v>331.61926649572797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projet'!$B$13,Paramètres!$A$1:$I$88,3,0)*0.475*44/12</f>
        <v>0</v>
      </c>
      <c r="DG11" s="23">
        <f>EXP(-LN(2)/25)*DG10+(1-EXP(-LN(2)/25))/(LN(2)/25)*Calculateur!DB11*Calculateur!DD11*VLOOKUP('Données projet'!$B$13,Paramètres!$A$1:$I$88,3,0)*0.475*44/12</f>
        <v>0</v>
      </c>
      <c r="DH11" s="23">
        <f>EXP(-LN(2)/2)*DH10+(1-EXP(-LN(2)/2))/(LN(2)/2)*DB11*DE11*VLOOKUP('Données projet'!$B$13,Paramètres!$A$1:$I$88,3,0)*0.475*44/12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11.5</v>
      </c>
      <c r="DO11" s="13">
        <f>IF('Données projet'!$A$166&gt;35,DO10+DN11-DW10,IF(A11&lt;'Données projet'!$A$166,$DL$205^A11,IF(A11='Données projet'!$A$166,'Données projet'!$B$166,DO10+DN11-DW10)))</f>
        <v>44.520319489276915</v>
      </c>
      <c r="DP11" s="18">
        <f>DO11*VLOOKUP('Données projet'!$B$14,Paramètres!$A$1:$I$88,3,0)*VLOOKUP('Données projet'!$B$14,Paramètres!$A$1:$I$88,5,0)</f>
        <v>32.642298249537831</v>
      </c>
      <c r="DQ11" s="14">
        <f t="shared" si="43"/>
        <v>10.026023463420534</v>
      </c>
      <c r="DR11" s="22">
        <f t="shared" si="16"/>
        <v>74.31399365006915</v>
      </c>
      <c r="DS11" s="60">
        <f t="shared" si="17"/>
        <v>261.06726651628969</v>
      </c>
      <c r="DT11" s="60">
        <f ca="1">AVERAGE(OFFSET($DS$3,0,0,'Données projet'!$E$14+1,1))-AVERAGE(OFFSET($H$3,0,0,'Données projet'!$E$14+1,1))</f>
        <v>212.77458587586861</v>
      </c>
      <c r="DU11" s="60">
        <f t="shared" si="44"/>
        <v>260.45879589483513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projet'!$B$14,Paramètres!$A$1:$I$88,3,0)*0.475*44/12</f>
        <v>0</v>
      </c>
      <c r="EB11" s="23">
        <f>EXP(-LN(2)/25)*EB10+(1-EXP(-LN(2)/25))/(LN(2)/25)*Calculateur!DW11*Calculateur!DY11*VLOOKUP('Données projet'!$B$14,Paramètres!$A$1:$I$88,3,0)*0.475*44/12</f>
        <v>0</v>
      </c>
      <c r="EC11" s="23">
        <f>EXP(-LN(2)/2)*EC10+(1-EXP(-LN(2)/2))/(LN(2)/2)*DW11*DZ11*VLOOKUP('Données projet'!$B$14,Paramètres!$A$1:$I$88,3,0)*0.475*44/12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5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8">
        <f t="shared" si="1"/>
        <v>183.33333333333334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10.119999999999999</v>
      </c>
      <c r="N12" s="14">
        <f>IF('Données projet'!$A$36&gt;35,N11+M12-V11,IF(A12&lt;'Données projet'!$A$36,$K$205^A12,IF(A12='Données projet'!$A$36,'Données projet'!$B$36,N11+M12-V11)))</f>
        <v>7.3303276586408614</v>
      </c>
      <c r="O12" s="14">
        <f>N12*VLOOKUP('Données projet'!$B$9,Paramètres!$A$1:$I$88,3,0)*VLOOKUP('Données projet'!$B$9,Paramètres!$A$1:$I$88,5,0)</f>
        <v>4.0976531611802418</v>
      </c>
      <c r="P12" s="14">
        <f t="shared" si="33"/>
        <v>1.6024635643153309</v>
      </c>
      <c r="Q12" s="22">
        <f t="shared" si="2"/>
        <v>9.927703296904788</v>
      </c>
      <c r="R12" s="60">
        <f t="shared" si="0"/>
        <v>199.28566204946085</v>
      </c>
      <c r="S12" s="60">
        <f ca="1">AVERAGE(OFFSET($R$3,0,0,'Données projet'!$E$9+1,1))-AVERAGE(OFFSET($H$3,0,0,'Données projet'!$E$9+1,1))</f>
        <v>366.29380214443631</v>
      </c>
      <c r="T12" s="60">
        <f t="shared" si="34"/>
        <v>413.14502442862897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5.0517241379310347</v>
      </c>
      <c r="AI12" s="14">
        <f>IF('Données projet'!$A$62&gt;35,AI11+AH12-AQ11,IF(A12&lt;'Données projet'!$A$62,$AF$205^A12,IF(A12='Données projet'!$A$62,'Données projet'!$B$62,AI11+AH12-AQ11)))</f>
        <v>4.7006347216735733</v>
      </c>
      <c r="AJ12" s="14">
        <f>AI12*VLOOKUP('Données projet'!$B$10,Paramètres!$A$1:$I$88,3,0)*VLOOKUP('Données projet'!$B$10,Paramètres!$A$1:$I$88,5,0)</f>
        <v>4.1064744928540344</v>
      </c>
      <c r="AK12" s="14">
        <f t="shared" si="35"/>
        <v>1.6055113782719235</v>
      </c>
      <c r="AL12" s="22">
        <f t="shared" si="4"/>
        <v>9.9483753922110427</v>
      </c>
      <c r="AM12" s="60">
        <f t="shared" si="5"/>
        <v>199.30633414476711</v>
      </c>
      <c r="AN12" s="60">
        <f ca="1">AVERAGE(OFFSET($AM$3,0,0,'Données projet'!$E$10+1,1))-AVERAGE(OFFSET($H$3,0,0,'Données projet'!$E$10+1,1))</f>
        <v>436.5217771315057</v>
      </c>
      <c r="AO12" s="60">
        <f t="shared" si="36"/>
        <v>308.97310256098365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0.16216216216216217</v>
      </c>
      <c r="BD12" s="13">
        <f>IF('Données projet'!$A$88&gt;35,BD11+BC12-BL11,IF(A12&lt;'Données projet'!$A$88,$BA$205^A12,IF(A12='Données projet'!$A$88,'Données projet'!$B$88,BD11+BC12-BL11)))</f>
        <v>1.4594594594594597</v>
      </c>
      <c r="BE12" s="14">
        <f>BD12*VLOOKUP('Données projet'!$B$11,Paramètres!$A$1:$I$88,3,0)*VLOOKUP('Données projet'!$B$11,Paramètres!$A$1:$I$88,5,0)</f>
        <v>1.4798918918918922</v>
      </c>
      <c r="BF12" s="14">
        <f t="shared" si="37"/>
        <v>0.65157930889649274</v>
      </c>
      <c r="BG12" s="22">
        <f t="shared" si="7"/>
        <v>3.7123123413731034</v>
      </c>
      <c r="BH12" s="60">
        <f t="shared" si="8"/>
        <v>193.07027109392916</v>
      </c>
      <c r="BI12" s="60">
        <f ca="1">AVERAGE(OFFSET($BH$3,0,0,'Données projet'!$E$11+1,1))-AVERAGE(OFFSET($H$3,0,0,'Données projet'!$E$11+1,1))</f>
        <v>108.30434106718693</v>
      </c>
      <c r="BJ12" s="60">
        <f t="shared" si="38"/>
        <v>67.653808657585842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5.75</v>
      </c>
      <c r="BY12" s="13">
        <f>IF('Données projet'!$A$114&gt;35,BY11+BX12-CG11,IF(A12&lt;'Données projet'!$A$114,$BV$205^A12,IF(A12='Données projet'!$A$114,'Données projet'!$B$114,BY11+BX12-CG11)))</f>
        <v>8.4589026750412604</v>
      </c>
      <c r="BZ12" s="14">
        <f>BY12*VLOOKUP('Données projet'!$B$12,Paramètres!$A$1:$I$88,3,0)*VLOOKUP('Données projet'!$B$12,Paramètres!$A$1:$I$88,5,0)</f>
        <v>3.9587664519193098</v>
      </c>
      <c r="CA12" s="14">
        <f t="shared" si="39"/>
        <v>1.5543756203021926</v>
      </c>
      <c r="CB12" s="22">
        <f t="shared" si="10"/>
        <v>9.6020557757857823</v>
      </c>
      <c r="CC12" s="60">
        <f t="shared" si="11"/>
        <v>198.96001452834184</v>
      </c>
      <c r="CD12" s="60">
        <f ca="1">AVERAGE(OFFSET($CC$3,0,0,'Données projet'!$E$12+1,1))-AVERAGE(OFFSET($H$3,0,0,'Données projet'!$E$12+1,1))</f>
        <v>171.08593400758221</v>
      </c>
      <c r="CE12" s="60">
        <f t="shared" si="40"/>
        <v>201.9528484086932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projet'!$B$12,Paramètres!$A$1:$I$88,3,0)*0.475*44/12</f>
        <v>0</v>
      </c>
      <c r="CL12" s="23">
        <f>EXP(-LN(2)/25)*CL11+(1-EXP(-LN(2)/25))/(LN(2)/25)*Calculateur!CG12*Calculateur!CI12*VLOOKUP('Données projet'!$B$12,Paramètres!$A$1:$I$88,3,0)*0.475*44/12</f>
        <v>0</v>
      </c>
      <c r="CM12" s="23">
        <f>EXP(-LN(2)/2)*CM11+(1-EXP(-LN(2)/2))/(LN(2)/2)*CG12*CJ12*VLOOKUP('Données projet'!$B$12,Paramètres!$A$1:$I$88,3,0)*0.475*44/12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4.333333333333333</v>
      </c>
      <c r="CT12" s="13">
        <f>IF('Données projet'!$A$140&gt;35,CT11+CS12-DB11,IF(A12&lt;'Données projet'!$A$140,$CQ$205^A12,IF(A12='Données projet'!$A$140,'Données projet'!$B$140,CT11+CS12-DB11)))</f>
        <v>12.23905859480781</v>
      </c>
      <c r="CU12" s="18">
        <f>CT12*VLOOKUP('Données projet'!$B$13,Paramètres!$A$1:$I$88,3,0)*VLOOKUP('Données projet'!$B$13,Paramètres!$A$1:$I$88,5,0)</f>
        <v>8.2099605053970794</v>
      </c>
      <c r="CV12" s="14">
        <f t="shared" si="41"/>
        <v>2.9611733522083505</v>
      </c>
      <c r="CW12" s="22">
        <f t="shared" si="13"/>
        <v>19.45639146866279</v>
      </c>
      <c r="CX12" s="60">
        <f t="shared" si="14"/>
        <v>208.81435022121886</v>
      </c>
      <c r="CY12" s="60">
        <f ca="1">AVERAGE(OFFSET($CX$3,0,0,'Données projet'!$E$13+1,1))-AVERAGE(OFFSET($H$3,0,0,'Données projet'!$E$13+1,1))</f>
        <v>283.66646124753868</v>
      </c>
      <c r="CZ12" s="60">
        <f t="shared" si="42"/>
        <v>331.61926649572797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projet'!$B$13,Paramètres!$A$1:$I$88,3,0)*0.475*44/12</f>
        <v>0</v>
      </c>
      <c r="DG12" s="23">
        <f>EXP(-LN(2)/25)*DG11+(1-EXP(-LN(2)/25))/(LN(2)/25)*Calculateur!DB12*Calculateur!DD12*VLOOKUP('Données projet'!$B$13,Paramètres!$A$1:$I$88,3,0)*0.475*44/12</f>
        <v>0</v>
      </c>
      <c r="DH12" s="23">
        <f>EXP(-LN(2)/2)*DH11+(1-EXP(-LN(2)/2))/(LN(2)/2)*DB12*DE12*VLOOKUP('Données projet'!$B$13,Paramètres!$A$1:$I$88,3,0)*0.475*44/12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11.5</v>
      </c>
      <c r="DO12" s="13">
        <f>IF('Données projet'!$A$166&gt;35,DO11+DN12-DW11,IF(A12&lt;'Données projet'!$A$166,$DL$205^A12,IF(A12='Données projet'!$A$166,'Données projet'!$B$166,DO11+DN12-DW11)))</f>
        <v>71.553034465820133</v>
      </c>
      <c r="DP12" s="18">
        <f>DO12*VLOOKUP('Données projet'!$B$14,Paramètres!$A$1:$I$88,3,0)*VLOOKUP('Données projet'!$B$14,Paramètres!$A$1:$I$88,5,0)</f>
        <v>52.462684870339316</v>
      </c>
      <c r="DQ12" s="14">
        <f t="shared" si="43"/>
        <v>15.247968208658939</v>
      </c>
      <c r="DR12" s="22">
        <f t="shared" si="16"/>
        <v>117.92938744592196</v>
      </c>
      <c r="DS12" s="60">
        <f t="shared" si="17"/>
        <v>307.28734619847802</v>
      </c>
      <c r="DT12" s="60">
        <f ca="1">AVERAGE(OFFSET($DS$3,0,0,'Données projet'!$E$14+1,1))-AVERAGE(OFFSET($H$3,0,0,'Données projet'!$E$14+1,1))</f>
        <v>212.77458587586861</v>
      </c>
      <c r="DU12" s="60">
        <f t="shared" si="44"/>
        <v>260.45879589483513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projet'!$B$14,Paramètres!$A$1:$I$88,3,0)*0.475*44/12</f>
        <v>0</v>
      </c>
      <c r="EB12" s="23">
        <f>EXP(-LN(2)/25)*EB11+(1-EXP(-LN(2)/25))/(LN(2)/25)*Calculateur!DW12*Calculateur!DY12*VLOOKUP('Données projet'!$B$14,Paramètres!$A$1:$I$88,3,0)*0.475*44/12</f>
        <v>0</v>
      </c>
      <c r="EC12" s="23">
        <f>EXP(-LN(2)/2)*EC11+(1-EXP(-LN(2)/2))/(LN(2)/2)*DW12*DZ12*VLOOKUP('Données projet'!$B$14,Paramètres!$A$1:$I$88,3,0)*0.475*44/12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5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8">
        <f t="shared" si="1"/>
        <v>183.33333333333334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10.119999999999999</v>
      </c>
      <c r="N13" s="14">
        <f>IF('Données projet'!$A$36&gt;35,N12+M13-V12,IF(A13&lt;'Données projet'!$A$36,$K$205^A13,IF(A13='Données projet'!$A$36,'Données projet'!$B$36,N12+M13-V12)))</f>
        <v>9.1463582581700447</v>
      </c>
      <c r="O13" s="14">
        <f>N13*VLOOKUP('Données projet'!$B$9,Paramètres!$A$1:$I$88,3,0)*VLOOKUP('Données projet'!$B$9,Paramètres!$A$1:$I$88,5,0)</f>
        <v>5.1128142663170548</v>
      </c>
      <c r="P13" s="14">
        <f t="shared" si="33"/>
        <v>1.9486060891077752</v>
      </c>
      <c r="Q13" s="22">
        <f t="shared" si="2"/>
        <v>12.298640452364912</v>
      </c>
      <c r="R13" s="60">
        <f t="shared" si="0"/>
        <v>204.2373024374098</v>
      </c>
      <c r="S13" s="60">
        <f ca="1">AVERAGE(OFFSET($R$3,0,0,'Données projet'!$E$9+1,1))-AVERAGE(OFFSET($H$3,0,0,'Données projet'!$E$9+1,1))</f>
        <v>366.29380214443631</v>
      </c>
      <c r="T13" s="60">
        <f t="shared" si="34"/>
        <v>413.14502442862897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5.0517241379310347</v>
      </c>
      <c r="AI13" s="14">
        <f>IF('Données projet'!$A$62&gt;35,AI12+AH13-AQ12,IF(A13&lt;'Données projet'!$A$62,$AF$205^A13,IF(A13='Données projet'!$A$62,'Données projet'!$B$62,AI12+AH13-AQ12)))</f>
        <v>5.5826520476831751</v>
      </c>
      <c r="AJ13" s="14">
        <f>AI13*VLOOKUP('Données projet'!$B$10,Paramètres!$A$1:$I$88,3,0)*VLOOKUP('Données projet'!$B$10,Paramètres!$A$1:$I$88,5,0)</f>
        <v>4.8770048288560224</v>
      </c>
      <c r="AK13" s="14">
        <f t="shared" si="35"/>
        <v>1.8689781308100777</v>
      </c>
      <c r="AL13" s="22">
        <f t="shared" si="4"/>
        <v>11.74925365475179</v>
      </c>
      <c r="AM13" s="60">
        <f t="shared" si="5"/>
        <v>203.68791563979667</v>
      </c>
      <c r="AN13" s="60">
        <f ca="1">AVERAGE(OFFSET($AM$3,0,0,'Données projet'!$E$10+1,1))-AVERAGE(OFFSET($H$3,0,0,'Données projet'!$E$10+1,1))</f>
        <v>436.5217771315057</v>
      </c>
      <c r="AO13" s="60">
        <f t="shared" si="36"/>
        <v>308.97310256098365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0.16216216216216217</v>
      </c>
      <c r="BD13" s="13">
        <f>IF('Données projet'!$A$88&gt;35,BD12+BC13-BL12,IF(A13&lt;'Données projet'!$A$88,$BA$205^A13,IF(A13='Données projet'!$A$88,'Données projet'!$B$88,BD12+BC13-BL12)))</f>
        <v>1.6216216216216219</v>
      </c>
      <c r="BE13" s="14">
        <f>BD13*VLOOKUP('Données projet'!$B$11,Paramètres!$A$1:$I$88,3,0)*VLOOKUP('Données projet'!$B$11,Paramètres!$A$1:$I$88,5,0)</f>
        <v>1.6443243243243248</v>
      </c>
      <c r="BF13" s="14">
        <f t="shared" si="37"/>
        <v>0.71515240480716746</v>
      </c>
      <c r="BG13" s="22">
        <f t="shared" si="7"/>
        <v>4.109421969904016</v>
      </c>
      <c r="BH13" s="60">
        <f t="shared" si="8"/>
        <v>196.04808395494891</v>
      </c>
      <c r="BI13" s="60">
        <f ca="1">AVERAGE(OFFSET($BH$3,0,0,'Données projet'!$E$11+1,1))-AVERAGE(OFFSET($H$3,0,0,'Données projet'!$E$11+1,1))</f>
        <v>108.30434106718693</v>
      </c>
      <c r="BJ13" s="60">
        <f t="shared" si="38"/>
        <v>67.653808657585842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5.75</v>
      </c>
      <c r="BY13" s="13">
        <f>IF('Données projet'!$A$114&gt;35,BY12+BX13-CG12,IF(A13&lt;'Données projet'!$A$114,$BV$205^A13,IF(A13='Données projet'!$A$114,'Données projet'!$B$114,BY12+BX13-CG12)))</f>
        <v>10.723805294763611</v>
      </c>
      <c r="BZ13" s="14">
        <f>BY13*VLOOKUP('Données projet'!$B$12,Paramètres!$A$1:$I$88,3,0)*VLOOKUP('Données projet'!$B$12,Paramètres!$A$1:$I$88,5,0)</f>
        <v>5.0187408779493703</v>
      </c>
      <c r="CA13" s="14">
        <f t="shared" si="39"/>
        <v>1.9168918305981435</v>
      </c>
      <c r="CB13" s="22">
        <f t="shared" si="10"/>
        <v>12.079560300720253</v>
      </c>
      <c r="CC13" s="60">
        <f t="shared" si="11"/>
        <v>204.01822228576515</v>
      </c>
      <c r="CD13" s="60">
        <f ca="1">AVERAGE(OFFSET($CC$3,0,0,'Données projet'!$E$12+1,1))-AVERAGE(OFFSET($H$3,0,0,'Données projet'!$E$12+1,1))</f>
        <v>171.08593400758221</v>
      </c>
      <c r="CE13" s="60">
        <f t="shared" si="40"/>
        <v>201.9528484086932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projet'!$B$12,Paramètres!$A$1:$I$88,3,0)*0.475*44/12</f>
        <v>0</v>
      </c>
      <c r="CL13" s="23">
        <f>EXP(-LN(2)/25)*CL12+(1-EXP(-LN(2)/25))/(LN(2)/25)*Calculateur!CG13*Calculateur!CI13*VLOOKUP('Données projet'!$B$12,Paramètres!$A$1:$I$88,3,0)*0.475*44/12</f>
        <v>0</v>
      </c>
      <c r="CM13" s="23">
        <f>EXP(-LN(2)/2)*CM12+(1-EXP(-LN(2)/2))/(LN(2)/2)*CG13*CJ13*VLOOKUP('Données projet'!$B$12,Paramètres!$A$1:$I$88,3,0)*0.475*44/12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4.333333333333333</v>
      </c>
      <c r="CT13" s="13">
        <f>IF('Données projet'!$A$140&gt;35,CT12+CS13-DB12,IF(A13&lt;'Données projet'!$A$140,$CQ$205^A13,IF(A13='Données projet'!$A$140,'Données projet'!$B$140,CT12+CS13-DB12)))</f>
        <v>16.166235625781542</v>
      </c>
      <c r="CU13" s="18">
        <f>CT13*VLOOKUP('Données projet'!$B$13,Paramètres!$A$1:$I$88,3,0)*VLOOKUP('Données projet'!$B$13,Paramètres!$A$1:$I$88,5,0)</f>
        <v>10.844310857774259</v>
      </c>
      <c r="CV13" s="14">
        <f t="shared" si="41"/>
        <v>3.7866617719588413</v>
      </c>
      <c r="CW13" s="22">
        <f t="shared" si="13"/>
        <v>25.482277330118482</v>
      </c>
      <c r="CX13" s="60">
        <f t="shared" si="14"/>
        <v>217.42093931516337</v>
      </c>
      <c r="CY13" s="60">
        <f ca="1">AVERAGE(OFFSET($CX$3,0,0,'Données projet'!$E$13+1,1))-AVERAGE(OFFSET($H$3,0,0,'Données projet'!$E$13+1,1))</f>
        <v>283.66646124753868</v>
      </c>
      <c r="CZ13" s="60">
        <f t="shared" si="42"/>
        <v>331.61926649572797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projet'!$B$13,Paramètres!$A$1:$I$88,3,0)*0.475*44/12</f>
        <v>0</v>
      </c>
      <c r="DG13" s="23">
        <f>EXP(-LN(2)/25)*DG12+(1-EXP(-LN(2)/25))/(LN(2)/25)*Calculateur!DB13*Calculateur!DD13*VLOOKUP('Données projet'!$B$13,Paramètres!$A$1:$I$88,3,0)*0.475*44/12</f>
        <v>0</v>
      </c>
      <c r="DH13" s="23">
        <f>EXP(-LN(2)/2)*DH12+(1-EXP(-LN(2)/2))/(LN(2)/2)*DB13*DE13*VLOOKUP('Données projet'!$B$13,Paramètres!$A$1:$I$88,3,0)*0.475*44/12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115</v>
      </c>
      <c r="DM13" s="13">
        <f>VLOOKUP(A13,'Données projet'!$A$165:$I$185,9,0)</f>
        <v>11.5</v>
      </c>
      <c r="DN13" s="13">
        <f t="array" ref="DN13">INDEX(DM:DM,MIN(IF(ISNUMBER(DM13:DM209),ROW(DM13:DM209),"")))</f>
        <v>11.5</v>
      </c>
      <c r="DO13" s="13">
        <f>IF('Données projet'!$A$166&gt;35,DO12+DN13-DW12,IF(A13&lt;'Données projet'!$A$166,$DL$205^A13,IF(A13='Données projet'!$A$166,'Données projet'!$B$166,DO12+DN13-DW12)))</f>
        <v>115</v>
      </c>
      <c r="DP13" s="18">
        <f>DO13*VLOOKUP('Données projet'!$B$14,Paramètres!$A$1:$I$88,3,0)*VLOOKUP('Données projet'!$B$14,Paramètres!$A$1:$I$88,5,0)</f>
        <v>84.317999999999998</v>
      </c>
      <c r="DQ13" s="14">
        <f t="shared" si="43"/>
        <v>23.189705803157239</v>
      </c>
      <c r="DR13" s="22">
        <f t="shared" si="16"/>
        <v>187.24258760716552</v>
      </c>
      <c r="DS13" s="60">
        <f t="shared" si="17"/>
        <v>379.18124959221041</v>
      </c>
      <c r="DT13" s="60">
        <f ca="1">AVERAGE(OFFSET($DS$3,0,0,'Données projet'!$E$14+1,1))-AVERAGE(OFFSET($H$3,0,0,'Données projet'!$E$14+1,1))</f>
        <v>212.77458587586861</v>
      </c>
      <c r="DU13" s="60">
        <f t="shared" si="44"/>
        <v>260.45879589483513</v>
      </c>
      <c r="DV13" s="16">
        <f>IF(ISNA(VLOOKUP(A13,'Données projet'!$A$165:$I$185,3,0)),0,VLOOKUP(A13,'Données projet'!$A$165:$I$185,3,0))</f>
        <v>1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0.215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projet'!$B$14,Paramètres!$A$1:$I$88,3,0)*0.475*44/12</f>
        <v>0</v>
      </c>
      <c r="EB13" s="23">
        <f>EXP(-LN(2)/25)*EB12+(1-EXP(-LN(2)/25))/(LN(2)/25)*Calculateur!DW13*Calculateur!DY13*VLOOKUP('Données projet'!$B$14,Paramètres!$A$1:$I$88,3,0)*0.475*44/12</f>
        <v>0</v>
      </c>
      <c r="EC13" s="23">
        <f>EXP(-LN(2)/2)*EC12+(1-EXP(-LN(2)/2))/(LN(2)/2)*DW13*DZ13*VLOOKUP('Données projet'!$B$14,Paramètres!$A$1:$I$88,3,0)*0.475*44/12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5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8">
        <f t="shared" si="1"/>
        <v>183.33333333333334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10.119999999999999</v>
      </c>
      <c r="N14" s="14">
        <f>IF('Données projet'!$A$36&gt;35,N13+M14-V13,IF(A14&lt;'Données projet'!$A$36,$K$205^A14,IF(A14='Données projet'!$A$36,'Données projet'!$B$36,N13+M14-V13)))</f>
        <v>11.41229605039323</v>
      </c>
      <c r="O14" s="14">
        <f>N14*VLOOKUP('Données projet'!$B$9,Paramètres!$A$1:$I$88,3,0)*VLOOKUP('Données projet'!$B$9,Paramètres!$A$1:$I$88,5,0)</f>
        <v>6.379473492169816</v>
      </c>
      <c r="P14" s="14">
        <f t="shared" si="33"/>
        <v>2.3695176446212898</v>
      </c>
      <c r="Q14" s="22">
        <f t="shared" si="2"/>
        <v>15.237826229911176</v>
      </c>
      <c r="R14" s="60">
        <f t="shared" si="0"/>
        <v>209.73362483902531</v>
      </c>
      <c r="S14" s="60">
        <f ca="1">AVERAGE(OFFSET($R$3,0,0,'Données projet'!$E$9+1,1))-AVERAGE(OFFSET($H$3,0,0,'Données projet'!$E$9+1,1))</f>
        <v>366.29380214443631</v>
      </c>
      <c r="T14" s="60">
        <f t="shared" si="34"/>
        <v>413.14502442862897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5.0517241379310347</v>
      </c>
      <c r="AI14" s="14">
        <f>IF('Données projet'!$A$62&gt;35,AI13+AH14-AQ13,IF(A14&lt;'Données projet'!$A$62,$AF$205^A14,IF(A14='Données projet'!$A$62,'Données projet'!$B$62,AI13+AH14-AQ13)))</f>
        <v>6.6301692709288158</v>
      </c>
      <c r="AJ14" s="14">
        <f>AI14*VLOOKUP('Données projet'!$B$10,Paramètres!$A$1:$I$88,3,0)*VLOOKUP('Données projet'!$B$10,Paramètres!$A$1:$I$88,5,0)</f>
        <v>5.7921158750834145</v>
      </c>
      <c r="AK14" s="14">
        <f t="shared" si="35"/>
        <v>2.175680160676329</v>
      </c>
      <c r="AL14" s="22">
        <f t="shared" si="4"/>
        <v>13.877244762281551</v>
      </c>
      <c r="AM14" s="60">
        <f t="shared" si="5"/>
        <v>208.37304337139568</v>
      </c>
      <c r="AN14" s="60">
        <f ca="1">AVERAGE(OFFSET($AM$3,0,0,'Données projet'!$E$10+1,1))-AVERAGE(OFFSET($H$3,0,0,'Données projet'!$E$10+1,1))</f>
        <v>436.5217771315057</v>
      </c>
      <c r="AO14" s="60">
        <f t="shared" si="36"/>
        <v>308.97310256098365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0.16216216216216217</v>
      </c>
      <c r="BD14" s="13">
        <f>IF('Données projet'!$A$88&gt;35,BD13+BC14-BL13,IF(A14&lt;'Données projet'!$A$88,$BA$205^A14,IF(A14='Données projet'!$A$88,'Données projet'!$B$88,BD13+BC14-BL13)))</f>
        <v>1.7837837837837842</v>
      </c>
      <c r="BE14" s="14">
        <f>BD14*VLOOKUP('Données projet'!$B$11,Paramètres!$A$1:$I$88,3,0)*VLOOKUP('Données projet'!$B$11,Paramètres!$A$1:$I$88,5,0)</f>
        <v>1.8087567567567573</v>
      </c>
      <c r="BF14" s="14">
        <f t="shared" si="37"/>
        <v>0.77798850455390067</v>
      </c>
      <c r="BG14" s="22">
        <f t="shared" si="7"/>
        <v>4.505247996782729</v>
      </c>
      <c r="BH14" s="60">
        <f t="shared" si="8"/>
        <v>199.00104660589687</v>
      </c>
      <c r="BI14" s="60">
        <f ca="1">AVERAGE(OFFSET($BH$3,0,0,'Données projet'!$E$11+1,1))-AVERAGE(OFFSET($H$3,0,0,'Données projet'!$E$11+1,1))</f>
        <v>108.30434106718693</v>
      </c>
      <c r="BJ14" s="60">
        <f t="shared" si="38"/>
        <v>67.653808657585842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5.75</v>
      </c>
      <c r="BY14" s="13">
        <f>IF('Données projet'!$A$114&gt;35,BY13+BX14-CG13,IF(A14&lt;'Données projet'!$A$114,$BV$205^A14,IF(A14='Données projet'!$A$114,'Données projet'!$B$114,BY13+BX14-CG13)))</f>
        <v>13.595144006008928</v>
      </c>
      <c r="BZ14" s="14">
        <f>BY14*VLOOKUP('Données projet'!$B$12,Paramètres!$A$1:$I$88,3,0)*VLOOKUP('Données projet'!$B$12,Paramètres!$A$1:$I$88,5,0)</f>
        <v>6.3625273948121777</v>
      </c>
      <c r="CA14" s="14">
        <f t="shared" si="39"/>
        <v>2.3639551741679612</v>
      </c>
      <c r="CB14" s="22">
        <f t="shared" si="10"/>
        <v>15.198623807640407</v>
      </c>
      <c r="CC14" s="60">
        <f t="shared" si="11"/>
        <v>209.69442241675455</v>
      </c>
      <c r="CD14" s="60">
        <f ca="1">AVERAGE(OFFSET($CC$3,0,0,'Données projet'!$E$12+1,1))-AVERAGE(OFFSET($H$3,0,0,'Données projet'!$E$12+1,1))</f>
        <v>171.08593400758221</v>
      </c>
      <c r="CE14" s="60">
        <f t="shared" si="40"/>
        <v>201.9528484086932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projet'!$B$12,Paramètres!$A$1:$I$88,3,0)*0.475*44/12</f>
        <v>0</v>
      </c>
      <c r="CL14" s="23">
        <f>EXP(-LN(2)/25)*CL13+(1-EXP(-LN(2)/25))/(LN(2)/25)*Calculateur!CG14*Calculateur!CI14*VLOOKUP('Données projet'!$B$12,Paramètres!$A$1:$I$88,3,0)*0.475*44/12</f>
        <v>0</v>
      </c>
      <c r="CM14" s="23">
        <f>EXP(-LN(2)/2)*CM13+(1-EXP(-LN(2)/2))/(LN(2)/2)*CG14*CJ14*VLOOKUP('Données projet'!$B$12,Paramètres!$A$1:$I$88,3,0)*0.475*44/12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4.333333333333333</v>
      </c>
      <c r="CT14" s="13">
        <f>IF('Données projet'!$A$140&gt;35,CT13+CS14-DB13,IF(A14&lt;'Données projet'!$A$140,$CQ$205^A14,IF(A14='Données projet'!$A$140,'Données projet'!$B$140,CT13+CS14-DB13)))</f>
        <v>21.353535673010011</v>
      </c>
      <c r="CU14" s="18">
        <f>CT14*VLOOKUP('Données projet'!$B$13,Paramètres!$A$1:$I$88,3,0)*VLOOKUP('Données projet'!$B$13,Paramètres!$A$1:$I$88,5,0)</f>
        <v>14.323951729455116</v>
      </c>
      <c r="CV14" s="14">
        <f t="shared" si="41"/>
        <v>4.8422721906912471</v>
      </c>
      <c r="CW14" s="22">
        <f t="shared" si="13"/>
        <v>33.38117332758825</v>
      </c>
      <c r="CX14" s="60">
        <f t="shared" si="14"/>
        <v>227.87697193670238</v>
      </c>
      <c r="CY14" s="60">
        <f ca="1">AVERAGE(OFFSET($CX$3,0,0,'Données projet'!$E$13+1,1))-AVERAGE(OFFSET($H$3,0,0,'Données projet'!$E$13+1,1))</f>
        <v>283.66646124753868</v>
      </c>
      <c r="CZ14" s="60">
        <f t="shared" si="42"/>
        <v>331.61926649572797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projet'!$B$13,Paramètres!$A$1:$I$88,3,0)*0.475*44/12</f>
        <v>0</v>
      </c>
      <c r="DG14" s="23">
        <f>EXP(-LN(2)/25)*DG13+(1-EXP(-LN(2)/25))/(LN(2)/25)*Calculateur!DB14*Calculateur!DD14*VLOOKUP('Données projet'!$B$13,Paramètres!$A$1:$I$88,3,0)*0.475*44/12</f>
        <v>0</v>
      </c>
      <c r="DH14" s="23">
        <f>EXP(-LN(2)/2)*DH13+(1-EXP(-LN(2)/2))/(LN(2)/2)*DB14*DE14*VLOOKUP('Données projet'!$B$13,Paramètres!$A$1:$I$88,3,0)*0.475*44/12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-6.4</v>
      </c>
      <c r="DO14" s="13">
        <f>IF('Données projet'!$A$166&gt;35,DO13+DN14-DW13,IF(A14&lt;'Données projet'!$A$166,$DL$205^A14,IF(A14='Données projet'!$A$166,'Données projet'!$B$166,DO13+DN14-DW13)))</f>
        <v>108.6</v>
      </c>
      <c r="DP14" s="18">
        <f>DO14*VLOOKUP('Données projet'!$B$14,Paramètres!$A$1:$I$88,3,0)*VLOOKUP('Données projet'!$B$14,Paramètres!$A$1:$I$88,5,0)</f>
        <v>79.625519999999995</v>
      </c>
      <c r="DQ14" s="14">
        <f t="shared" si="43"/>
        <v>22.045596833587442</v>
      </c>
      <c r="DR14" s="22">
        <f t="shared" si="16"/>
        <v>177.07719515183146</v>
      </c>
      <c r="DS14" s="60">
        <f t="shared" si="17"/>
        <v>371.57299376094556</v>
      </c>
      <c r="DT14" s="60">
        <f ca="1">AVERAGE(OFFSET($DS$3,0,0,'Données projet'!$E$14+1,1))-AVERAGE(OFFSET($H$3,0,0,'Données projet'!$E$14+1,1))</f>
        <v>212.77458587586861</v>
      </c>
      <c r="DU14" s="60">
        <f t="shared" si="44"/>
        <v>260.45879589483513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projet'!$B$14,Paramètres!$A$1:$I$88,3,0)*0.475*44/12</f>
        <v>0</v>
      </c>
      <c r="EB14" s="23">
        <f>EXP(-LN(2)/25)*EB13+(1-EXP(-LN(2)/25))/(LN(2)/25)*Calculateur!DW14*Calculateur!DY14*VLOOKUP('Données projet'!$B$14,Paramètres!$A$1:$I$88,3,0)*0.475*44/12</f>
        <v>0</v>
      </c>
      <c r="EC14" s="23">
        <f>EXP(-LN(2)/2)*EC13+(1-EXP(-LN(2)/2))/(LN(2)/2)*DW14*DZ14*VLOOKUP('Données projet'!$B$14,Paramètres!$A$1:$I$88,3,0)*0.475*44/12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5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8">
        <f t="shared" si="1"/>
        <v>183.33333333333334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10.119999999999999</v>
      </c>
      <c r="N15" s="14">
        <f>IF('Données projet'!$A$36&gt;35,N14+M15-V14,IF(A15&lt;'Données projet'!$A$36,$K$205^A15,IF(A15='Données projet'!$A$36,'Données projet'!$B$36,N14+M15-V14)))</f>
        <v>14.239601977703286</v>
      </c>
      <c r="O15" s="14">
        <f>N15*VLOOKUP('Données projet'!$B$9,Paramètres!$A$1:$I$88,3,0)*VLOOKUP('Données projet'!$B$9,Paramètres!$A$1:$I$88,5,0)</f>
        <v>7.9599375055361374</v>
      </c>
      <c r="P15" s="14">
        <f t="shared" si="33"/>
        <v>2.8813488265052238</v>
      </c>
      <c r="Q15" s="22">
        <f t="shared" si="2"/>
        <v>18.88190702830537</v>
      </c>
      <c r="R15" s="60">
        <f t="shared" si="0"/>
        <v>215.91168448103824</v>
      </c>
      <c r="S15" s="60">
        <f ca="1">AVERAGE(OFFSET($R$3,0,0,'Données projet'!$E$9+1,1))-AVERAGE(OFFSET($H$3,0,0,'Données projet'!$E$9+1,1))</f>
        <v>366.29380214443631</v>
      </c>
      <c r="T15" s="60">
        <f t="shared" si="34"/>
        <v>413.14502442862897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5.0517241379310347</v>
      </c>
      <c r="AI15" s="14">
        <f>IF('Données projet'!$A$62&gt;35,AI14+AH15-AQ14,IF(A15&lt;'Données projet'!$A$62,$AF$205^A15,IF(A15='Données projet'!$A$62,'Données projet'!$B$62,AI14+AH15-AQ14)))</f>
        <v>7.8742404480343664</v>
      </c>
      <c r="AJ15" s="14">
        <f>AI15*VLOOKUP('Données projet'!$B$10,Paramètres!$A$1:$I$88,3,0)*VLOOKUP('Données projet'!$B$10,Paramètres!$A$1:$I$88,5,0)</f>
        <v>6.8789364554028234</v>
      </c>
      <c r="AK15" s="14">
        <f t="shared" si="35"/>
        <v>2.5327124397698979</v>
      </c>
      <c r="AL15" s="22">
        <f t="shared" si="4"/>
        <v>16.391955159092486</v>
      </c>
      <c r="AM15" s="60">
        <f t="shared" si="5"/>
        <v>213.42173261182535</v>
      </c>
      <c r="AN15" s="60">
        <f ca="1">AVERAGE(OFFSET($AM$3,0,0,'Données projet'!$E$10+1,1))-AVERAGE(OFFSET($H$3,0,0,'Données projet'!$E$10+1,1))</f>
        <v>436.5217771315057</v>
      </c>
      <c r="AO15" s="60">
        <f t="shared" si="36"/>
        <v>308.97310256098365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0.16216216216216217</v>
      </c>
      <c r="BD15" s="13">
        <f>IF('Données projet'!$A$88&gt;35,BD14+BC15-BL14,IF(A15&lt;'Données projet'!$A$88,$BA$205^A15,IF(A15='Données projet'!$A$88,'Données projet'!$B$88,BD14+BC15-BL14)))</f>
        <v>1.9459459459459465</v>
      </c>
      <c r="BE15" s="14">
        <f>BD15*VLOOKUP('Données projet'!$B$11,Paramètres!$A$1:$I$88,3,0)*VLOOKUP('Données projet'!$B$11,Paramètres!$A$1:$I$88,5,0)</f>
        <v>1.97318918918919</v>
      </c>
      <c r="BF15" s="14">
        <f t="shared" si="37"/>
        <v>0.84016222747720226</v>
      </c>
      <c r="BG15" s="22">
        <f t="shared" si="7"/>
        <v>4.8999203840272996</v>
      </c>
      <c r="BH15" s="60">
        <f t="shared" si="8"/>
        <v>201.92969783676017</v>
      </c>
      <c r="BI15" s="60">
        <f ca="1">AVERAGE(OFFSET($BH$3,0,0,'Données projet'!$E$11+1,1))-AVERAGE(OFFSET($H$3,0,0,'Données projet'!$E$11+1,1))</f>
        <v>108.30434106718693</v>
      </c>
      <c r="BJ15" s="60">
        <f t="shared" si="38"/>
        <v>67.653808657585842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5.75</v>
      </c>
      <c r="BY15" s="13">
        <f>IF('Données projet'!$A$114&gt;35,BY14+BX15-CG14,IF(A15&lt;'Données projet'!$A$114,$BV$205^A15,IF(A15='Données projet'!$A$114,'Données projet'!$B$114,BY14+BX15-CG14)))</f>
        <v>17.23529432545471</v>
      </c>
      <c r="BZ15" s="14">
        <f>BY15*VLOOKUP('Données projet'!$B$12,Paramètres!$A$1:$I$88,3,0)*VLOOKUP('Données projet'!$B$12,Paramètres!$A$1:$I$88,5,0)</f>
        <v>8.0661177443128054</v>
      </c>
      <c r="CA15" s="14">
        <f t="shared" si="39"/>
        <v>2.915283990610841</v>
      </c>
      <c r="CB15" s="22">
        <f t="shared" si="10"/>
        <v>19.125941354992019</v>
      </c>
      <c r="CC15" s="60">
        <f t="shared" si="11"/>
        <v>216.1557188077249</v>
      </c>
      <c r="CD15" s="60">
        <f ca="1">AVERAGE(OFFSET($CC$3,0,0,'Données projet'!$E$12+1,1))-AVERAGE(OFFSET($H$3,0,0,'Données projet'!$E$12+1,1))</f>
        <v>171.08593400758221</v>
      </c>
      <c r="CE15" s="60">
        <f t="shared" si="40"/>
        <v>201.9528484086932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projet'!$B$12,Paramètres!$A$1:$I$88,3,0)*0.475*44/12</f>
        <v>0</v>
      </c>
      <c r="CL15" s="23">
        <f>EXP(-LN(2)/25)*CL14+(1-EXP(-LN(2)/25))/(LN(2)/25)*Calculateur!CG15*Calculateur!CI15*VLOOKUP('Données projet'!$B$12,Paramètres!$A$1:$I$88,3,0)*0.475*44/12</f>
        <v>0</v>
      </c>
      <c r="CM15" s="23">
        <f>EXP(-LN(2)/2)*CM14+(1-EXP(-LN(2)/2))/(LN(2)/2)*CG15*CJ15*VLOOKUP('Données projet'!$B$12,Paramètres!$A$1:$I$88,3,0)*0.475*44/12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4.333333333333333</v>
      </c>
      <c r="CT15" s="13">
        <f>IF('Données projet'!$A$140&gt;35,CT14+CS15-DB14,IF(A15&lt;'Données projet'!$A$140,$CQ$205^A15,IF(A15='Données projet'!$A$140,'Données projet'!$B$140,CT14+CS15-DB14)))</f>
        <v>28.205297528345746</v>
      </c>
      <c r="CU15" s="18">
        <f>CT15*VLOOKUP('Données projet'!$B$13,Paramètres!$A$1:$I$88,3,0)*VLOOKUP('Données projet'!$B$13,Paramètres!$A$1:$I$88,5,0)</f>
        <v>18.920113582014327</v>
      </c>
      <c r="CV15" s="14">
        <f t="shared" si="41"/>
        <v>6.1921558831520223</v>
      </c>
      <c r="CW15" s="22">
        <f t="shared" si="13"/>
        <v>43.737202651831389</v>
      </c>
      <c r="CX15" s="60">
        <f t="shared" si="14"/>
        <v>240.76698010456425</v>
      </c>
      <c r="CY15" s="60">
        <f ca="1">AVERAGE(OFFSET($CX$3,0,0,'Données projet'!$E$13+1,1))-AVERAGE(OFFSET($H$3,0,0,'Données projet'!$E$13+1,1))</f>
        <v>283.66646124753868</v>
      </c>
      <c r="CZ15" s="60">
        <f t="shared" si="42"/>
        <v>331.61926649572797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projet'!$B$13,Paramètres!$A$1:$I$88,3,0)*0.475*44/12</f>
        <v>0</v>
      </c>
      <c r="DG15" s="23">
        <f>EXP(-LN(2)/25)*DG14+(1-EXP(-LN(2)/25))/(LN(2)/25)*Calculateur!DB15*Calculateur!DD15*VLOOKUP('Données projet'!$B$13,Paramètres!$A$1:$I$88,3,0)*0.475*44/12</f>
        <v>0</v>
      </c>
      <c r="DH15" s="23">
        <f>EXP(-LN(2)/2)*DH14+(1-EXP(-LN(2)/2))/(LN(2)/2)*DB15*DE15*VLOOKUP('Données projet'!$B$13,Paramètres!$A$1:$I$88,3,0)*0.475*44/12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-6.4</v>
      </c>
      <c r="DO15" s="13">
        <f>IF('Données projet'!$A$166&gt;35,DO14+DN15-DW14,IF(A15&lt;'Données projet'!$A$166,$DL$205^A15,IF(A15='Données projet'!$A$166,'Données projet'!$B$166,DO14+DN15-DW14)))</f>
        <v>102.19999999999999</v>
      </c>
      <c r="DP15" s="18">
        <f>DO15*VLOOKUP('Données projet'!$B$14,Paramètres!$A$1:$I$88,3,0)*VLOOKUP('Données projet'!$B$14,Paramètres!$A$1:$I$88,5,0)</f>
        <v>74.933039999999991</v>
      </c>
      <c r="DQ15" s="14">
        <f t="shared" si="43"/>
        <v>20.893607828742322</v>
      </c>
      <c r="DR15" s="22">
        <f t="shared" si="16"/>
        <v>166.89807830172617</v>
      </c>
      <c r="DS15" s="60">
        <f t="shared" si="17"/>
        <v>363.92785575445907</v>
      </c>
      <c r="DT15" s="60">
        <f ca="1">AVERAGE(OFFSET($DS$3,0,0,'Données projet'!$E$14+1,1))-AVERAGE(OFFSET($H$3,0,0,'Données projet'!$E$14+1,1))</f>
        <v>212.77458587586861</v>
      </c>
      <c r="DU15" s="60">
        <f t="shared" si="44"/>
        <v>260.45879589483513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projet'!$B$14,Paramètres!$A$1:$I$88,3,0)*0.475*44/12</f>
        <v>0</v>
      </c>
      <c r="EB15" s="23">
        <f>EXP(-LN(2)/25)*EB14+(1-EXP(-LN(2)/25))/(LN(2)/25)*Calculateur!DW15*Calculateur!DY15*VLOOKUP('Données projet'!$B$14,Paramètres!$A$1:$I$88,3,0)*0.475*44/12</f>
        <v>0</v>
      </c>
      <c r="EC15" s="23">
        <f>EXP(-LN(2)/2)*EC14+(1-EXP(-LN(2)/2))/(LN(2)/2)*DW15*DZ15*VLOOKUP('Données projet'!$B$14,Paramètres!$A$1:$I$88,3,0)*0.475*44/12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5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8">
        <f t="shared" si="1"/>
        <v>183.33333333333334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10.119999999999999</v>
      </c>
      <c r="N16" s="14">
        <f>IF('Données projet'!$A$36&gt;35,N15+M16-V15,IF(A16&lt;'Données projet'!$A$36,$K$205^A16,IF(A16='Données projet'!$A$36,'Données projet'!$B$36,N15+M16-V15)))</f>
        <v>17.767350547870222</v>
      </c>
      <c r="O16" s="14">
        <f>N16*VLOOKUP('Données projet'!$B$9,Paramètres!$A$1:$I$88,3,0)*VLOOKUP('Données projet'!$B$9,Paramètres!$A$1:$I$88,5,0)</f>
        <v>9.9319489562594541</v>
      </c>
      <c r="P16" s="14">
        <f t="shared" si="33"/>
        <v>3.5037388638352742</v>
      </c>
      <c r="Q16" s="22">
        <f t="shared" si="2"/>
        <v>23.400489619998314</v>
      </c>
      <c r="R16" s="60">
        <f t="shared" si="0"/>
        <v>222.94148987161714</v>
      </c>
      <c r="S16" s="60">
        <f ca="1">AVERAGE(OFFSET($R$3,0,0,'Données projet'!$E$9+1,1))-AVERAGE(OFFSET($H$3,0,0,'Données projet'!$E$9+1,1))</f>
        <v>366.29380214443631</v>
      </c>
      <c r="T16" s="60">
        <f t="shared" si="34"/>
        <v>413.14502442862897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5.0517241379310347</v>
      </c>
      <c r="AI16" s="14">
        <f>IF('Données projet'!$A$62&gt;35,AI15+AH16-AQ15,IF(A16&lt;'Données projet'!$A$62,$AF$205^A16,IF(A16='Données projet'!$A$62,'Données projet'!$B$62,AI15+AH16-AQ15)))</f>
        <v>9.3517465542436167</v>
      </c>
      <c r="AJ16" s="14">
        <f>AI16*VLOOKUP('Données projet'!$B$10,Paramètres!$A$1:$I$88,3,0)*VLOOKUP('Données projet'!$B$10,Paramètres!$A$1:$I$88,5,0)</f>
        <v>8.1696857897872253</v>
      </c>
      <c r="AK16" s="14">
        <f t="shared" si="35"/>
        <v>2.9483342351989585</v>
      </c>
      <c r="AL16" s="22">
        <f t="shared" si="4"/>
        <v>19.363884876850936</v>
      </c>
      <c r="AM16" s="60">
        <f t="shared" si="5"/>
        <v>218.90488512846974</v>
      </c>
      <c r="AN16" s="60">
        <f ca="1">AVERAGE(OFFSET($AM$3,0,0,'Données projet'!$E$10+1,1))-AVERAGE(OFFSET($H$3,0,0,'Données projet'!$E$10+1,1))</f>
        <v>436.5217771315057</v>
      </c>
      <c r="AO16" s="60">
        <f t="shared" si="36"/>
        <v>308.97310256098365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0.16216216216216217</v>
      </c>
      <c r="BD16" s="13">
        <f>IF('Données projet'!$A$88&gt;35,BD15+BC16-BL15,IF(A16&lt;'Données projet'!$A$88,$BA$205^A16,IF(A16='Données projet'!$A$88,'Données projet'!$B$88,BD15+BC16-BL15)))</f>
        <v>2.1081081081081088</v>
      </c>
      <c r="BE16" s="14">
        <f>BD16*VLOOKUP('Données projet'!$B$11,Paramètres!$A$1:$I$88,3,0)*VLOOKUP('Données projet'!$B$11,Paramètres!$A$1:$I$88,5,0)</f>
        <v>2.1376216216216224</v>
      </c>
      <c r="BF16" s="14">
        <f t="shared" si="37"/>
        <v>0.90173504717589059</v>
      </c>
      <c r="BG16" s="22">
        <f t="shared" si="7"/>
        <v>5.293546198155668</v>
      </c>
      <c r="BH16" s="60">
        <f t="shared" si="8"/>
        <v>204.83454644977448</v>
      </c>
      <c r="BI16" s="60">
        <f ca="1">AVERAGE(OFFSET($BH$3,0,0,'Données projet'!$E$11+1,1))-AVERAGE(OFFSET($H$3,0,0,'Données projet'!$E$11+1,1))</f>
        <v>108.30434106718693</v>
      </c>
      <c r="BJ16" s="60">
        <f t="shared" si="38"/>
        <v>67.653808657585842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5.75</v>
      </c>
      <c r="BY16" s="13">
        <f>IF('Données projet'!$A$114&gt;35,BY15+BX16-CG15,IF(A16&lt;'Données projet'!$A$114,$BV$205^A16,IF(A16='Données projet'!$A$114,'Données projet'!$B$114,BY15+BX16-CG15)))</f>
        <v>21.850108417664106</v>
      </c>
      <c r="BZ16" s="14">
        <f>BY16*VLOOKUP('Données projet'!$B$12,Paramètres!$A$1:$I$88,3,0)*VLOOKUP('Données projet'!$B$12,Paramètres!$A$1:$I$88,5,0)</f>
        <v>10.225850739466802</v>
      </c>
      <c r="CA16" s="14">
        <f t="shared" si="39"/>
        <v>3.5951953906669201</v>
      </c>
      <c r="CB16" s="22">
        <f t="shared" si="10"/>
        <v>24.071655343316234</v>
      </c>
      <c r="CC16" s="60">
        <f t="shared" si="11"/>
        <v>223.61265559493503</v>
      </c>
      <c r="CD16" s="60">
        <f ca="1">AVERAGE(OFFSET($CC$3,0,0,'Données projet'!$E$12+1,1))-AVERAGE(OFFSET($H$3,0,0,'Données projet'!$E$12+1,1))</f>
        <v>171.08593400758221</v>
      </c>
      <c r="CE16" s="60">
        <f t="shared" si="40"/>
        <v>201.9528484086932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projet'!$B$12,Paramètres!$A$1:$I$88,3,0)*0.475*44/12</f>
        <v>0</v>
      </c>
      <c r="CL16" s="23">
        <f>EXP(-LN(2)/25)*CL15+(1-EXP(-LN(2)/25))/(LN(2)/25)*Calculateur!CG16*Calculateur!CI16*VLOOKUP('Données projet'!$B$12,Paramètres!$A$1:$I$88,3,0)*0.475*44/12</f>
        <v>0</v>
      </c>
      <c r="CM16" s="23">
        <f>EXP(-LN(2)/2)*CM15+(1-EXP(-LN(2)/2))/(LN(2)/2)*CG16*CJ16*VLOOKUP('Données projet'!$B$12,Paramètres!$A$1:$I$88,3,0)*0.475*44/12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4.333333333333333</v>
      </c>
      <c r="CT16" s="13">
        <f>IF('Données projet'!$A$140&gt;35,CT15+CS16-DB15,IF(A16&lt;'Données projet'!$A$140,$CQ$205^A16,IF(A16='Données projet'!$A$140,'Données projet'!$B$140,CT15+CS16-DB15)))</f>
        <v>37.255601172785397</v>
      </c>
      <c r="CU16" s="18">
        <f>CT16*VLOOKUP('Données projet'!$B$13,Paramètres!$A$1:$I$88,3,0)*VLOOKUP('Données projet'!$B$13,Paramètres!$A$1:$I$88,5,0)</f>
        <v>24.991057266704445</v>
      </c>
      <c r="CV16" s="14">
        <f t="shared" si="41"/>
        <v>7.9183476209710246</v>
      </c>
      <c r="CW16" s="22">
        <f t="shared" si="13"/>
        <v>57.317213512701443</v>
      </c>
      <c r="CX16" s="60">
        <f t="shared" si="14"/>
        <v>256.85821376432023</v>
      </c>
      <c r="CY16" s="60">
        <f ca="1">AVERAGE(OFFSET($CX$3,0,0,'Données projet'!$E$13+1,1))-AVERAGE(OFFSET($H$3,0,0,'Données projet'!$E$13+1,1))</f>
        <v>283.66646124753868</v>
      </c>
      <c r="CZ16" s="60">
        <f t="shared" si="42"/>
        <v>331.61926649572797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projet'!$B$13,Paramètres!$A$1:$I$88,3,0)*0.475*44/12</f>
        <v>0</v>
      </c>
      <c r="DG16" s="23">
        <f>EXP(-LN(2)/25)*DG15+(1-EXP(-LN(2)/25))/(LN(2)/25)*Calculateur!DB16*Calculateur!DD16*VLOOKUP('Données projet'!$B$13,Paramètres!$A$1:$I$88,3,0)*0.475*44/12</f>
        <v>0</v>
      </c>
      <c r="DH16" s="23">
        <f>EXP(-LN(2)/2)*DH15+(1-EXP(-LN(2)/2))/(LN(2)/2)*DB16*DE16*VLOOKUP('Données projet'!$B$13,Paramètres!$A$1:$I$88,3,0)*0.475*44/12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-6.4</v>
      </c>
      <c r="DO16" s="13">
        <f>IF('Données projet'!$A$166&gt;35,DO15+DN16-DW15,IF(A16&lt;'Données projet'!$A$166,$DL$205^A16,IF(A16='Données projet'!$A$166,'Données projet'!$B$166,DO15+DN16-DW15)))</f>
        <v>95.799999999999983</v>
      </c>
      <c r="DP16" s="18">
        <f>DO16*VLOOKUP('Données projet'!$B$14,Paramètres!$A$1:$I$88,3,0)*VLOOKUP('Données projet'!$B$14,Paramètres!$A$1:$I$88,5,0)</f>
        <v>70.240559999999988</v>
      </c>
      <c r="DQ16" s="14">
        <f t="shared" si="43"/>
        <v>19.73318516462114</v>
      </c>
      <c r="DR16" s="22">
        <f t="shared" si="16"/>
        <v>156.70427282838182</v>
      </c>
      <c r="DS16" s="60">
        <f t="shared" si="17"/>
        <v>356.24527308000063</v>
      </c>
      <c r="DT16" s="60">
        <f ca="1">AVERAGE(OFFSET($DS$3,0,0,'Données projet'!$E$14+1,1))-AVERAGE(OFFSET($H$3,0,0,'Données projet'!$E$14+1,1))</f>
        <v>212.77458587586861</v>
      </c>
      <c r="DU16" s="60">
        <f t="shared" si="44"/>
        <v>260.45879589483513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projet'!$B$14,Paramètres!$A$1:$I$88,3,0)*0.475*44/12</f>
        <v>0</v>
      </c>
      <c r="EB16" s="23">
        <f>EXP(-LN(2)/25)*EB15+(1-EXP(-LN(2)/25))/(LN(2)/25)*Calculateur!DW16*Calculateur!DY16*VLOOKUP('Données projet'!$B$14,Paramètres!$A$1:$I$88,3,0)*0.475*44/12</f>
        <v>0</v>
      </c>
      <c r="EC16" s="23">
        <f>EXP(-LN(2)/2)*EC15+(1-EXP(-LN(2)/2))/(LN(2)/2)*DW16*DZ16*VLOOKUP('Données projet'!$B$14,Paramètres!$A$1:$I$88,3,0)*0.475*44/12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5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8">
        <f t="shared" si="1"/>
        <v>183.33333333333334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10.119999999999999</v>
      </c>
      <c r="N17" s="14">
        <f>IF('Données projet'!$A$36&gt;35,N16+M17-V16,IF(A17&lt;'Données projet'!$A$36,$K$205^A17,IF(A17='Données projet'!$A$36,'Données projet'!$B$36,N16+M17-V16)))</f>
        <v>22.169070876082184</v>
      </c>
      <c r="O17" s="14">
        <f>N17*VLOOKUP('Données projet'!$B$9,Paramètres!$A$1:$I$88,3,0)*VLOOKUP('Données projet'!$B$9,Paramètres!$A$1:$I$88,5,0)</f>
        <v>12.392510619729942</v>
      </c>
      <c r="P17" s="14">
        <f t="shared" si="33"/>
        <v>4.260569186563723</v>
      </c>
      <c r="Q17" s="22">
        <f t="shared" si="2"/>
        <v>29.004113995961465</v>
      </c>
      <c r="R17" s="60">
        <f t="shared" si="0"/>
        <v>231.03397576823465</v>
      </c>
      <c r="S17" s="60">
        <f ca="1">AVERAGE(OFFSET($R$3,0,0,'Données projet'!$E$9+1,1))-AVERAGE(OFFSET($H$3,0,0,'Données projet'!$E$9+1,1))</f>
        <v>366.29380214443631</v>
      </c>
      <c r="T17" s="60">
        <f t="shared" si="34"/>
        <v>413.14502442862897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5.0517241379310347</v>
      </c>
      <c r="AI17" s="14">
        <f>IF('Données projet'!$A$62&gt;35,AI16+AH17-AQ16,IF(A17&lt;'Données projet'!$A$62,$AF$205^A17,IF(A17='Données projet'!$A$62,'Données projet'!$B$62,AI16+AH17-AQ16)))</f>
        <v>11.10648883431527</v>
      </c>
      <c r="AJ17" s="14">
        <f>AI17*VLOOKUP('Données projet'!$B$10,Paramètres!$A$1:$I$88,3,0)*VLOOKUP('Données projet'!$B$10,Paramètres!$A$1:$I$88,5,0)</f>
        <v>9.7026286456578212</v>
      </c>
      <c r="AK17" s="14">
        <f t="shared" si="35"/>
        <v>3.4321601718179946</v>
      </c>
      <c r="AL17" s="22">
        <f t="shared" si="4"/>
        <v>22.876423857103713</v>
      </c>
      <c r="AM17" s="60">
        <f t="shared" si="5"/>
        <v>224.9062856293769</v>
      </c>
      <c r="AN17" s="60">
        <f ca="1">AVERAGE(OFFSET($AM$3,0,0,'Données projet'!$E$10+1,1))-AVERAGE(OFFSET($H$3,0,0,'Données projet'!$E$10+1,1))</f>
        <v>436.5217771315057</v>
      </c>
      <c r="AO17" s="60">
        <f t="shared" si="36"/>
        <v>308.97310256098365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0.16216216216216217</v>
      </c>
      <c r="BD17" s="13">
        <f>IF('Données projet'!$A$88&gt;35,BD16+BC17-BL16,IF(A17&lt;'Données projet'!$A$88,$BA$205^A17,IF(A17='Données projet'!$A$88,'Données projet'!$B$88,BD16+BC17-BL16)))</f>
        <v>2.2702702702702711</v>
      </c>
      <c r="BE17" s="14">
        <f>BD17*VLOOKUP('Données projet'!$B$11,Paramètres!$A$1:$I$88,3,0)*VLOOKUP('Données projet'!$B$11,Paramètres!$A$1:$I$88,5,0)</f>
        <v>2.3020540540540551</v>
      </c>
      <c r="BF17" s="14">
        <f t="shared" si="37"/>
        <v>0.96275844252650877</v>
      </c>
      <c r="BG17" s="22">
        <f t="shared" si="7"/>
        <v>5.6862150982111492</v>
      </c>
      <c r="BH17" s="60">
        <f t="shared" si="8"/>
        <v>207.71607687048433</v>
      </c>
      <c r="BI17" s="60">
        <f ca="1">AVERAGE(OFFSET($BH$3,0,0,'Données projet'!$E$11+1,1))-AVERAGE(OFFSET($H$3,0,0,'Données projet'!$E$11+1,1))</f>
        <v>108.30434106718693</v>
      </c>
      <c r="BJ17" s="60">
        <f t="shared" si="38"/>
        <v>67.653808657585842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5.75</v>
      </c>
      <c r="BY17" s="13">
        <f>IF('Données projet'!$A$114&gt;35,BY16+BX17-CG16,IF(A17&lt;'Données projet'!$A$114,$BV$205^A17,IF(A17='Données projet'!$A$114,'Données projet'!$B$114,BY16+BX17-CG16)))</f>
        <v>27.700556129091808</v>
      </c>
      <c r="BZ17" s="14">
        <f>BY17*VLOOKUP('Données projet'!$B$12,Paramètres!$A$1:$I$88,3,0)*VLOOKUP('Données projet'!$B$12,Paramètres!$A$1:$I$88,5,0)</f>
        <v>12.963860268414967</v>
      </c>
      <c r="CA17" s="14">
        <f t="shared" si="39"/>
        <v>4.4336777956113931</v>
      </c>
      <c r="CB17" s="22">
        <f t="shared" si="10"/>
        <v>30.300712128179242</v>
      </c>
      <c r="CC17" s="60">
        <f t="shared" si="11"/>
        <v>232.33057390045244</v>
      </c>
      <c r="CD17" s="60">
        <f ca="1">AVERAGE(OFFSET($CC$3,0,0,'Données projet'!$E$12+1,1))-AVERAGE(OFFSET($H$3,0,0,'Données projet'!$E$12+1,1))</f>
        <v>171.08593400758221</v>
      </c>
      <c r="CE17" s="60">
        <f t="shared" si="40"/>
        <v>201.9528484086932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projet'!$B$12,Paramètres!$A$1:$I$88,3,0)*0.475*44/12</f>
        <v>0</v>
      </c>
      <c r="CL17" s="23">
        <f>EXP(-LN(2)/25)*CL16+(1-EXP(-LN(2)/25))/(LN(2)/25)*Calculateur!CG17*Calculateur!CI17*VLOOKUP('Données projet'!$B$12,Paramètres!$A$1:$I$88,3,0)*0.475*44/12</f>
        <v>0</v>
      </c>
      <c r="CM17" s="23">
        <f>EXP(-LN(2)/2)*CM16+(1-EXP(-LN(2)/2))/(LN(2)/2)*CG17*CJ17*VLOOKUP('Données projet'!$B$12,Paramètres!$A$1:$I$88,3,0)*0.475*44/12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4.333333333333333</v>
      </c>
      <c r="CT17" s="13">
        <f>IF('Données projet'!$A$140&gt;35,CT16+CS17-DB16,IF(A17&lt;'Données projet'!$A$140,$CQ$205^A17,IF(A17='Données projet'!$A$140,'Données projet'!$B$140,CT16+CS17-DB16)))</f>
        <v>49.209898153024547</v>
      </c>
      <c r="CU17" s="18">
        <f>CT17*VLOOKUP('Données projet'!$B$13,Paramètres!$A$1:$I$88,3,0)*VLOOKUP('Données projet'!$B$13,Paramètres!$A$1:$I$88,5,0)</f>
        <v>33.009999681048868</v>
      </c>
      <c r="CV17" s="14">
        <f t="shared" si="41"/>
        <v>10.125751067917388</v>
      </c>
      <c r="CW17" s="22">
        <f t="shared" si="13"/>
        <v>75.12809922111623</v>
      </c>
      <c r="CX17" s="60">
        <f t="shared" si="14"/>
        <v>277.15796099338945</v>
      </c>
      <c r="CY17" s="60">
        <f ca="1">AVERAGE(OFFSET($CX$3,0,0,'Données projet'!$E$13+1,1))-AVERAGE(OFFSET($H$3,0,0,'Données projet'!$E$13+1,1))</f>
        <v>283.66646124753868</v>
      </c>
      <c r="CZ17" s="60">
        <f t="shared" si="42"/>
        <v>331.61926649572797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projet'!$B$13,Paramètres!$A$1:$I$88,3,0)*0.475*44/12</f>
        <v>0</v>
      </c>
      <c r="DG17" s="23">
        <f>EXP(-LN(2)/25)*DG16+(1-EXP(-LN(2)/25))/(LN(2)/25)*Calculateur!DB17*Calculateur!DD17*VLOOKUP('Données projet'!$B$13,Paramètres!$A$1:$I$88,3,0)*0.475*44/12</f>
        <v>0</v>
      </c>
      <c r="DH17" s="23">
        <f>EXP(-LN(2)/2)*DH16+(1-EXP(-LN(2)/2))/(LN(2)/2)*DB17*DE17*VLOOKUP('Données projet'!$B$13,Paramètres!$A$1:$I$88,3,0)*0.475*44/12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-6.4</v>
      </c>
      <c r="DO17" s="13">
        <f>IF('Données projet'!$A$166&gt;35,DO16+DN17-DW16,IF(A17&lt;'Données projet'!$A$166,$DL$205^A17,IF(A17='Données projet'!$A$166,'Données projet'!$B$166,DO16+DN17-DW16)))</f>
        <v>89.399999999999977</v>
      </c>
      <c r="DP17" s="18">
        <f>DO17*VLOOKUP('Données projet'!$B$14,Paramètres!$A$1:$I$88,3,0)*VLOOKUP('Données projet'!$B$14,Paramètres!$A$1:$I$88,5,0)</f>
        <v>65.548079999999985</v>
      </c>
      <c r="DQ17" s="14">
        <f t="shared" si="43"/>
        <v>18.563696473533142</v>
      </c>
      <c r="DR17" s="22">
        <f t="shared" si="16"/>
        <v>146.49467735807016</v>
      </c>
      <c r="DS17" s="60">
        <f t="shared" si="17"/>
        <v>348.52453913034333</v>
      </c>
      <c r="DT17" s="60">
        <f ca="1">AVERAGE(OFFSET($DS$3,0,0,'Données projet'!$E$14+1,1))-AVERAGE(OFFSET($H$3,0,0,'Données projet'!$E$14+1,1))</f>
        <v>212.77458587586861</v>
      </c>
      <c r="DU17" s="60">
        <f t="shared" si="44"/>
        <v>260.45879589483513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projet'!$B$14,Paramètres!$A$1:$I$88,3,0)*0.475*44/12</f>
        <v>0</v>
      </c>
      <c r="EB17" s="23">
        <f>EXP(-LN(2)/25)*EB16+(1-EXP(-LN(2)/25))/(LN(2)/25)*Calculateur!DW17*Calculateur!DY17*VLOOKUP('Données projet'!$B$14,Paramètres!$A$1:$I$88,3,0)*0.475*44/12</f>
        <v>0</v>
      </c>
      <c r="EC17" s="23">
        <f>EXP(-LN(2)/2)*EC16+(1-EXP(-LN(2)/2))/(LN(2)/2)*DW17*DZ17*VLOOKUP('Données projet'!$B$14,Paramètres!$A$1:$I$88,3,0)*0.475*44/12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5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8">
        <f t="shared" si="1"/>
        <v>183.33333333333334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10.119999999999999</v>
      </c>
      <c r="N18" s="14">
        <f>IF('Données projet'!$A$36&gt;35,N17+M18-V17,IF(A18&lt;'Données projet'!$A$36,$K$205^A18,IF(A18='Données projet'!$A$36,'Données projet'!$B$36,N17+M18-V17)))</f>
        <v>27.661282540950811</v>
      </c>
      <c r="O18" s="14">
        <f>N18*VLOOKUP('Données projet'!$B$9,Paramètres!$A$1:$I$88,3,0)*VLOOKUP('Données projet'!$B$9,Paramètres!$A$1:$I$88,5,0)</f>
        <v>15.462656940391502</v>
      </c>
      <c r="P18" s="14">
        <f t="shared" si="33"/>
        <v>5.1808797684271957</v>
      </c>
      <c r="Q18" s="22">
        <f t="shared" si="2"/>
        <v>35.954159767859231</v>
      </c>
      <c r="R18" s="60">
        <f t="shared" si="0"/>
        <v>240.45090970074028</v>
      </c>
      <c r="S18" s="60">
        <f ca="1">AVERAGE(OFFSET($R$3,0,0,'Données projet'!$E$9+1,1))-AVERAGE(OFFSET($H$3,0,0,'Données projet'!$E$9+1,1))</f>
        <v>366.29380214443631</v>
      </c>
      <c r="T18" s="60">
        <f t="shared" si="34"/>
        <v>413.14502442862897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5.0517241379310347</v>
      </c>
      <c r="AI18" s="14">
        <f>IF('Données projet'!$A$62&gt;35,AI17+AH18-AQ17,IF(A18&lt;'Données projet'!$A$62,$AF$205^A18,IF(A18='Données projet'!$A$62,'Données projet'!$B$62,AI17+AH18-AQ17)))</f>
        <v>13.190487307506679</v>
      </c>
      <c r="AJ18" s="14">
        <f>AI18*VLOOKUP('Données projet'!$B$10,Paramètres!$A$1:$I$88,3,0)*VLOOKUP('Données projet'!$B$10,Paramètres!$A$1:$I$88,5,0)</f>
        <v>11.523209711837836</v>
      </c>
      <c r="AK18" s="14">
        <f t="shared" si="35"/>
        <v>3.9953826484054664</v>
      </c>
      <c r="AL18" s="22">
        <f t="shared" si="4"/>
        <v>27.028215027423755</v>
      </c>
      <c r="AM18" s="60">
        <f t="shared" si="5"/>
        <v>231.5249649603048</v>
      </c>
      <c r="AN18" s="60">
        <f ca="1">AVERAGE(OFFSET($AM$3,0,0,'Données projet'!$E$10+1,1))-AVERAGE(OFFSET($H$3,0,0,'Données projet'!$E$10+1,1))</f>
        <v>436.5217771315057</v>
      </c>
      <c r="AO18" s="60">
        <f t="shared" si="36"/>
        <v>308.97310256098365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0.16216216216216217</v>
      </c>
      <c r="BD18" s="13">
        <f>IF('Données projet'!$A$88&gt;35,BD17+BC18-BL17,IF(A18&lt;'Données projet'!$A$88,$BA$205^A18,IF(A18='Données projet'!$A$88,'Données projet'!$B$88,BD17+BC18-BL17)))</f>
        <v>2.4324324324324333</v>
      </c>
      <c r="BE18" s="14">
        <f>BD18*VLOOKUP('Données projet'!$B$11,Paramètres!$A$1:$I$88,3,0)*VLOOKUP('Données projet'!$B$11,Paramètres!$A$1:$I$88,5,0)</f>
        <v>2.4664864864864877</v>
      </c>
      <c r="BF18" s="14">
        <f t="shared" si="37"/>
        <v>1.0232761215609605</v>
      </c>
      <c r="BG18" s="22">
        <f t="shared" si="7"/>
        <v>6.0780032090159715</v>
      </c>
      <c r="BH18" s="60">
        <f t="shared" si="8"/>
        <v>210.57475314189702</v>
      </c>
      <c r="BI18" s="60">
        <f ca="1">AVERAGE(OFFSET($BH$3,0,0,'Données projet'!$E$11+1,1))-AVERAGE(OFFSET($H$3,0,0,'Données projet'!$E$11+1,1))</f>
        <v>108.30434106718693</v>
      </c>
      <c r="BJ18" s="60">
        <f t="shared" si="38"/>
        <v>67.653808657585842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5.75</v>
      </c>
      <c r="BY18" s="13">
        <f>IF('Données projet'!$A$114&gt;35,BY17+BX18-CG17,IF(A18&lt;'Données projet'!$A$114,$BV$205^A18,IF(A18='Données projet'!$A$114,'Données projet'!$B$114,BY17+BX18-CG17)))</f>
        <v>35.117482952196561</v>
      </c>
      <c r="BZ18" s="14">
        <f>BY18*VLOOKUP('Données projet'!$B$12,Paramètres!$A$1:$I$88,3,0)*VLOOKUP('Données projet'!$B$12,Paramètres!$A$1:$I$88,5,0)</f>
        <v>16.434982021627992</v>
      </c>
      <c r="CA18" s="14">
        <f t="shared" si="39"/>
        <v>5.4677136175486121</v>
      </c>
      <c r="CB18" s="22">
        <f t="shared" si="10"/>
        <v>38.147194904899251</v>
      </c>
      <c r="CC18" s="60">
        <f t="shared" si="11"/>
        <v>242.64394483778028</v>
      </c>
      <c r="CD18" s="60">
        <f ca="1">AVERAGE(OFFSET($CC$3,0,0,'Données projet'!$E$12+1,1))-AVERAGE(OFFSET($H$3,0,0,'Données projet'!$E$12+1,1))</f>
        <v>171.08593400758221</v>
      </c>
      <c r="CE18" s="60">
        <f t="shared" si="40"/>
        <v>201.9528484086932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projet'!$B$12,Paramètres!$A$1:$I$88,3,0)*0.475*44/12</f>
        <v>0</v>
      </c>
      <c r="CL18" s="23">
        <f>EXP(-LN(2)/25)*CL17+(1-EXP(-LN(2)/25))/(LN(2)/25)*Calculateur!CG18*Calculateur!CI18*VLOOKUP('Données projet'!$B$12,Paramètres!$A$1:$I$88,3,0)*0.475*44/12</f>
        <v>0</v>
      </c>
      <c r="CM18" s="23">
        <f>EXP(-LN(2)/2)*CM17+(1-EXP(-LN(2)/2))/(LN(2)/2)*CG18*CJ18*VLOOKUP('Données projet'!$B$12,Paramètres!$A$1:$I$88,3,0)*0.475*44/12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65</v>
      </c>
      <c r="CR18" s="13">
        <f>VLOOKUP(A18,'Données projet'!$A$139:$I$159,9,0)</f>
        <v>4.333333333333333</v>
      </c>
      <c r="CS18" s="13">
        <f t="array" ref="CS18">INDEX(CR:CR,MIN(IF(ISNUMBER(CR18:CR214),ROW(CR18:CR214),"")))</f>
        <v>4.333333333333333</v>
      </c>
      <c r="CT18" s="13">
        <f>IF('Données projet'!$A$140&gt;35,CT17+CS18-DB17,IF(A18&lt;'Données projet'!$A$140,$CQ$205^A18,IF(A18='Données projet'!$A$140,'Données projet'!$B$140,CT17+CS18-DB17)))</f>
        <v>65</v>
      </c>
      <c r="CU18" s="18">
        <f>CT18*VLOOKUP('Données projet'!$B$13,Paramètres!$A$1:$I$88,3,0)*VLOOKUP('Données projet'!$B$13,Paramètres!$A$1:$I$88,5,0)</f>
        <v>43.602000000000004</v>
      </c>
      <c r="CV18" s="14">
        <f t="shared" si="41"/>
        <v>12.948513957367396</v>
      </c>
      <c r="CW18" s="22">
        <f t="shared" si="13"/>
        <v>98.492145142414884</v>
      </c>
      <c r="CX18" s="60">
        <f t="shared" si="14"/>
        <v>302.98889507529594</v>
      </c>
      <c r="CY18" s="60">
        <f ca="1">AVERAGE(OFFSET($CX$3,0,0,'Données projet'!$E$13+1,1))-AVERAGE(OFFSET($H$3,0,0,'Données projet'!$E$13+1,1))</f>
        <v>283.66646124753868</v>
      </c>
      <c r="CZ18" s="60">
        <f t="shared" si="42"/>
        <v>331.61926649572797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14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projet'!$B$13,Paramètres!$A$1:$I$88,3,0)*0.475*44/12</f>
        <v>0</v>
      </c>
      <c r="DG18" s="23">
        <f>EXP(-LN(2)/25)*DG17+(1-EXP(-LN(2)/25))/(LN(2)/25)*Calculateur!DB18*Calculateur!DD18*VLOOKUP('Données projet'!$B$13,Paramètres!$A$1:$I$88,3,0)*0.475*44/12</f>
        <v>0</v>
      </c>
      <c r="DH18" s="23">
        <f>EXP(-LN(2)/2)*DH17+(1-EXP(-LN(2)/2))/(LN(2)/2)*DB18*DE18*VLOOKUP('Données projet'!$B$13,Paramètres!$A$1:$I$88,3,0)*0.475*44/12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83</v>
      </c>
      <c r="DM18" s="13">
        <f>VLOOKUP(A18,'Données projet'!$A$165:$I$185,9,0)</f>
        <v>-6.4</v>
      </c>
      <c r="DN18" s="13">
        <f t="array" ref="DN18">INDEX(DM:DM,MIN(IF(ISNUMBER(DM18:DM214),ROW(DM18:DM214),"")))</f>
        <v>-6.4</v>
      </c>
      <c r="DO18" s="13">
        <f>IF('Données projet'!$A$166&gt;35,DO17+DN18-DW17,IF(A18&lt;'Données projet'!$A$166,$DL$205^A18,IF(A18='Données projet'!$A$166,'Données projet'!$B$166,DO17+DN18-DW17)))</f>
        <v>82.999999999999972</v>
      </c>
      <c r="DP18" s="18">
        <f>DO18*VLOOKUP('Données projet'!$B$14,Paramètres!$A$1:$I$88,3,0)*VLOOKUP('Données projet'!$B$14,Paramètres!$A$1:$I$88,5,0)</f>
        <v>60.855599999999974</v>
      </c>
      <c r="DQ18" s="14">
        <f t="shared" si="43"/>
        <v>17.384412949542646</v>
      </c>
      <c r="DR18" s="22">
        <f t="shared" si="16"/>
        <v>136.26802255378672</v>
      </c>
      <c r="DS18" s="60">
        <f t="shared" si="17"/>
        <v>340.76477248666777</v>
      </c>
      <c r="DT18" s="60">
        <f ca="1">AVERAGE(OFFSET($DS$3,0,0,'Données projet'!$E$14+1,1))-AVERAGE(OFFSET($H$3,0,0,'Données projet'!$E$14+1,1))</f>
        <v>212.77458587586861</v>
      </c>
      <c r="DU18" s="60">
        <f t="shared" si="44"/>
        <v>260.45879589483513</v>
      </c>
      <c r="DV18" s="16">
        <f>IF(ISNA(VLOOKUP(A18,'Données projet'!$A$165:$I$185,3,0)),0,VLOOKUP(A18,'Données projet'!$A$165:$I$185,3,0))</f>
        <v>2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0.215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projet'!$B$14,Paramètres!$A$1:$I$88,3,0)*0.475*44/12</f>
        <v>0</v>
      </c>
      <c r="EB18" s="23">
        <f>EXP(-LN(2)/25)*EB17+(1-EXP(-LN(2)/25))/(LN(2)/25)*Calculateur!DW18*Calculateur!DY18*VLOOKUP('Données projet'!$B$14,Paramètres!$A$1:$I$88,3,0)*0.475*44/12</f>
        <v>0</v>
      </c>
      <c r="EC18" s="23">
        <f>EXP(-LN(2)/2)*EC17+(1-EXP(-LN(2)/2))/(LN(2)/2)*DW18*DZ18*VLOOKUP('Données projet'!$B$14,Paramètres!$A$1:$I$88,3,0)*0.475*44/12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5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8">
        <f t="shared" si="1"/>
        <v>183.33333333333334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10.119999999999999</v>
      </c>
      <c r="N19" s="14">
        <f>IF('Données projet'!$A$36&gt;35,N18+M19-V18,IF(A19&lt;'Données projet'!$A$36,$K$205^A19,IF(A19='Données projet'!$A$36,'Données projet'!$B$36,N18+M19-V18)))</f>
        <v>34.51414613121262</v>
      </c>
      <c r="O19" s="14">
        <f>N19*VLOOKUP('Données projet'!$B$9,Paramètres!$A$1:$I$88,3,0)*VLOOKUP('Données projet'!$B$9,Paramètres!$A$1:$I$88,5,0)</f>
        <v>19.293407687347855</v>
      </c>
      <c r="P19" s="14">
        <f t="shared" si="33"/>
        <v>6.2999834058666524</v>
      </c>
      <c r="Q19" s="22">
        <f t="shared" si="2"/>
        <v>44.575156154015268</v>
      </c>
      <c r="R19" s="60">
        <f t="shared" si="0"/>
        <v>251.51720207612934</v>
      </c>
      <c r="S19" s="60">
        <f ca="1">AVERAGE(OFFSET($R$3,0,0,'Données projet'!$E$9+1,1))-AVERAGE(OFFSET($H$3,0,0,'Données projet'!$E$9+1,1))</f>
        <v>366.29380214443631</v>
      </c>
      <c r="T19" s="60">
        <f t="shared" si="34"/>
        <v>413.14502442862897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5.0517241379310347</v>
      </c>
      <c r="AI19" s="14">
        <f>IF('Données projet'!$A$62&gt;35,AI18+AH19-AQ18,IF(A19&lt;'Données projet'!$A$62,$AF$205^A19,IF(A19='Données projet'!$A$62,'Données projet'!$B$62,AI18+AH19-AQ18)))</f>
        <v>15.665522921332993</v>
      </c>
      <c r="AJ19" s="14">
        <f>AI19*VLOOKUP('Données projet'!$B$10,Paramètres!$A$1:$I$88,3,0)*VLOOKUP('Données projet'!$B$10,Paramètres!$A$1:$I$88,5,0)</f>
        <v>13.685400824076506</v>
      </c>
      <c r="AK19" s="14">
        <f t="shared" si="35"/>
        <v>4.651030752659759</v>
      </c>
      <c r="AL19" s="22">
        <f t="shared" si="4"/>
        <v>31.935951662815665</v>
      </c>
      <c r="AM19" s="60">
        <f t="shared" si="5"/>
        <v>238.87799758492972</v>
      </c>
      <c r="AN19" s="60">
        <f ca="1">AVERAGE(OFFSET($AM$3,0,0,'Données projet'!$E$10+1,1))-AVERAGE(OFFSET($H$3,0,0,'Données projet'!$E$10+1,1))</f>
        <v>436.5217771315057</v>
      </c>
      <c r="AO19" s="60">
        <f t="shared" si="36"/>
        <v>308.97310256098365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0.16216216216216217</v>
      </c>
      <c r="BD19" s="13">
        <f>IF('Données projet'!$A$88&gt;35,BD18+BC19-BL18,IF(A19&lt;'Données projet'!$A$88,$BA$205^A19,IF(A19='Données projet'!$A$88,'Données projet'!$B$88,BD18+BC19-BL18)))</f>
        <v>2.5945945945945956</v>
      </c>
      <c r="BE19" s="14">
        <f>BD19*VLOOKUP('Données projet'!$B$11,Paramètres!$A$1:$I$88,3,0)*VLOOKUP('Données projet'!$B$11,Paramètres!$A$1:$I$88,5,0)</f>
        <v>2.6309189189189204</v>
      </c>
      <c r="BF19" s="14">
        <f t="shared" si="37"/>
        <v>1.083325634871543</v>
      </c>
      <c r="BG19" s="22">
        <f t="shared" si="7"/>
        <v>6.4689759311850565</v>
      </c>
      <c r="BH19" s="60">
        <f t="shared" si="8"/>
        <v>213.41102185329913</v>
      </c>
      <c r="BI19" s="60">
        <f ca="1">AVERAGE(OFFSET($BH$3,0,0,'Données projet'!$E$11+1,1))-AVERAGE(OFFSET($H$3,0,0,'Données projet'!$E$11+1,1))</f>
        <v>108.30434106718693</v>
      </c>
      <c r="BJ19" s="60">
        <f t="shared" si="38"/>
        <v>67.653808657585842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5.75</v>
      </c>
      <c r="BY19" s="13">
        <f>IF('Données projet'!$A$114&gt;35,BY18+BX19-CG18,IF(A19&lt;'Données projet'!$A$114,$BV$205^A19,IF(A19='Données projet'!$A$114,'Données projet'!$B$114,BY18+BX19-CG18)))</f>
        <v>44.52031948927695</v>
      </c>
      <c r="BZ19" s="14">
        <f>BY19*VLOOKUP('Données projet'!$B$12,Paramètres!$A$1:$I$88,3,0)*VLOOKUP('Données projet'!$B$12,Paramètres!$A$1:$I$88,5,0)</f>
        <v>20.835509520981613</v>
      </c>
      <c r="CA19" s="14">
        <f t="shared" si="39"/>
        <v>6.7429104192276883</v>
      </c>
      <c r="CB19" s="22">
        <f t="shared" si="10"/>
        <v>48.03241472919786</v>
      </c>
      <c r="CC19" s="60">
        <f t="shared" si="11"/>
        <v>254.97446065131192</v>
      </c>
      <c r="CD19" s="60">
        <f ca="1">AVERAGE(OFFSET($CC$3,0,0,'Données projet'!$E$12+1,1))-AVERAGE(OFFSET($H$3,0,0,'Données projet'!$E$12+1,1))</f>
        <v>171.08593400758221</v>
      </c>
      <c r="CE19" s="60">
        <f t="shared" si="40"/>
        <v>201.9528484086932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projet'!$B$12,Paramètres!$A$1:$I$88,3,0)*0.475*44/12</f>
        <v>0</v>
      </c>
      <c r="CL19" s="23">
        <f>EXP(-LN(2)/25)*CL18+(1-EXP(-LN(2)/25))/(LN(2)/25)*Calculateur!CG19*Calculateur!CI19*VLOOKUP('Données projet'!$B$12,Paramètres!$A$1:$I$88,3,0)*0.475*44/12</f>
        <v>0</v>
      </c>
      <c r="CM19" s="23">
        <f>EXP(-LN(2)/2)*CM18+(1-EXP(-LN(2)/2))/(LN(2)/2)*CG19*CJ19*VLOOKUP('Données projet'!$B$12,Paramètres!$A$1:$I$88,3,0)*0.475*44/12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11.6</v>
      </c>
      <c r="CT19" s="13">
        <f>IF('Données projet'!$A$140&gt;35,CT18+CS19-DB18,IF(A19&lt;'Données projet'!$A$140,$CQ$205^A19,IF(A19='Données projet'!$A$140,'Données projet'!$B$140,CT18+CS19-DB18)))</f>
        <v>62.599999999999994</v>
      </c>
      <c r="CU19" s="18">
        <f>CT19*VLOOKUP('Données projet'!$B$13,Paramètres!$A$1:$I$88,3,0)*VLOOKUP('Données projet'!$B$13,Paramètres!$A$1:$I$88,5,0)</f>
        <v>41.992079999999994</v>
      </c>
      <c r="CV19" s="14">
        <f t="shared" si="41"/>
        <v>12.525145169573571</v>
      </c>
      <c r="CW19" s="22">
        <f t="shared" si="13"/>
        <v>94.950833837007281</v>
      </c>
      <c r="CX19" s="60">
        <f t="shared" si="14"/>
        <v>301.89287975912134</v>
      </c>
      <c r="CY19" s="60">
        <f ca="1">AVERAGE(OFFSET($CX$3,0,0,'Données projet'!$E$13+1,1))-AVERAGE(OFFSET($H$3,0,0,'Données projet'!$E$13+1,1))</f>
        <v>283.66646124753868</v>
      </c>
      <c r="CZ19" s="60">
        <f t="shared" si="42"/>
        <v>331.61926649572797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projet'!$B$13,Paramètres!$A$1:$I$88,3,0)*0.475*44/12</f>
        <v>0</v>
      </c>
      <c r="DG19" s="23">
        <f>EXP(-LN(2)/25)*DG18+(1-EXP(-LN(2)/25))/(LN(2)/25)*Calculateur!DB19*Calculateur!DD19*VLOOKUP('Données projet'!$B$13,Paramètres!$A$1:$I$88,3,0)*0.475*44/12</f>
        <v>0</v>
      </c>
      <c r="DH19" s="23">
        <f>EXP(-LN(2)/2)*DH18+(1-EXP(-LN(2)/2))/(LN(2)/2)*DB19*DE19*VLOOKUP('Données projet'!$B$13,Paramètres!$A$1:$I$88,3,0)*0.475*44/12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>
        <f>VLOOKUP(A19,'Données projet'!$A$165:$I$185,2,0)</f>
        <v>92</v>
      </c>
      <c r="DM19" s="13">
        <f>VLOOKUP(A19,'Données projet'!$A$165:$I$185,9,0)</f>
        <v>9</v>
      </c>
      <c r="DN19" s="13">
        <f t="array" ref="DN19">INDEX(DM:DM,MIN(IF(ISNUMBER(DM19:DM215),ROW(DM19:DM215),"")))</f>
        <v>9</v>
      </c>
      <c r="DO19" s="13">
        <f>IF('Données projet'!$A$166&gt;35,DO18+DN19-DW18,IF(A19&lt;'Données projet'!$A$166,$DL$205^A19,IF(A19='Données projet'!$A$166,'Données projet'!$B$166,DO18+DN19-DW18)))</f>
        <v>91.999999999999972</v>
      </c>
      <c r="DP19" s="18">
        <f>DO19*VLOOKUP('Données projet'!$B$14,Paramètres!$A$1:$I$88,3,0)*VLOOKUP('Données projet'!$B$14,Paramètres!$A$1:$I$88,5,0)</f>
        <v>67.454399999999978</v>
      </c>
      <c r="DQ19" s="14">
        <f t="shared" si="43"/>
        <v>19.03993894863979</v>
      </c>
      <c r="DR19" s="22">
        <f t="shared" si="16"/>
        <v>150.64430700221425</v>
      </c>
      <c r="DS19" s="60">
        <f t="shared" si="17"/>
        <v>357.58635292432831</v>
      </c>
      <c r="DT19" s="60">
        <f ca="1">AVERAGE(OFFSET($DS$3,0,0,'Données projet'!$E$14+1,1))-AVERAGE(OFFSET($H$3,0,0,'Données projet'!$E$14+1,1))</f>
        <v>212.77458587586861</v>
      </c>
      <c r="DU19" s="60">
        <f t="shared" si="44"/>
        <v>260.45879589483513</v>
      </c>
      <c r="DV19" s="16">
        <f>IF(ISNA(VLOOKUP(A19,'Données projet'!$A$165:$I$185,3,0)),0,VLOOKUP(A19,'Données projet'!$A$165:$I$185,3,0))</f>
        <v>3</v>
      </c>
      <c r="DW19" s="16">
        <f>IF(ISNA(VLOOKUP(A19,'Données projet'!$A$165:$I$185,4,0)),0,VLOOKUP(A19,'Données projet'!$A$165:$I$185,4,0))</f>
        <v>33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0.215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projet'!$B$14,Paramètres!$A$1:$I$88,3,0)*0.475*44/12</f>
        <v>0</v>
      </c>
      <c r="EB19" s="23">
        <f>EXP(-LN(2)/25)*EB18+(1-EXP(-LN(2)/25))/(LN(2)/25)*Calculateur!DW19*Calculateur!DY19*VLOOKUP('Données projet'!$B$14,Paramètres!$A$1:$I$88,3,0)*0.475*44/12</f>
        <v>5.7280738472435742</v>
      </c>
      <c r="EC19" s="23">
        <f>EXP(-LN(2)/2)*EC18+(1-EXP(-LN(2)/2))/(LN(2)/2)*DW19*DZ19*VLOOKUP('Données projet'!$B$14,Paramètres!$A$1:$I$88,3,0)*0.475*44/12</f>
        <v>0</v>
      </c>
      <c r="ED19" s="24">
        <f t="shared" si="18"/>
        <v>5.7280738472435742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5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8">
        <f t="shared" si="1"/>
        <v>183.33333333333334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10.119999999999999</v>
      </c>
      <c r="N20" s="14">
        <f>IF('Données projet'!$A$36&gt;35,N19+M20-V19,IF(A20&lt;'Données projet'!$A$36,$K$205^A20,IF(A20='Données projet'!$A$36,'Données projet'!$B$36,N19+M20-V19)))</f>
        <v>43.06475238099182</v>
      </c>
      <c r="O20" s="14">
        <f>N20*VLOOKUP('Données projet'!$B$9,Paramètres!$A$1:$I$88,3,0)*VLOOKUP('Données projet'!$B$9,Paramètres!$A$1:$I$88,5,0)</f>
        <v>24.073196580974429</v>
      </c>
      <c r="P20" s="14">
        <f t="shared" si="33"/>
        <v>7.6608206884222216</v>
      </c>
      <c r="Q20" s="22">
        <f t="shared" si="2"/>
        <v>55.270080077532498</v>
      </c>
      <c r="R20" s="60">
        <f t="shared" si="0"/>
        <v>264.63620439340525</v>
      </c>
      <c r="S20" s="60">
        <f ca="1">AVERAGE(OFFSET($R$3,0,0,'Données projet'!$E$9+1,1))-AVERAGE(OFFSET($H$3,0,0,'Données projet'!$E$9+1,1))</f>
        <v>366.29380214443631</v>
      </c>
      <c r="T20" s="60">
        <f t="shared" si="34"/>
        <v>413.14502442862897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5.0517241379310347</v>
      </c>
      <c r="AI20" s="14">
        <f>IF('Données projet'!$A$62&gt;35,AI19+AH20-AQ19,IF(A20&lt;'Données projet'!$A$62,$AF$205^A20,IF(A20='Données projet'!$A$62,'Données projet'!$B$62,AI19+AH20-AQ19)))</f>
        <v>18.604969071851336</v>
      </c>
      <c r="AJ20" s="14">
        <f>AI20*VLOOKUP('Données projet'!$B$10,Paramètres!$A$1:$I$88,3,0)*VLOOKUP('Données projet'!$B$10,Paramètres!$A$1:$I$88,5,0)</f>
        <v>16.253300981169328</v>
      </c>
      <c r="AK20" s="14">
        <f t="shared" si="35"/>
        <v>5.414271664522551</v>
      </c>
      <c r="AL20" s="22">
        <f t="shared" si="4"/>
        <v>37.737689024580021</v>
      </c>
      <c r="AM20" s="60">
        <f t="shared" si="5"/>
        <v>247.10381334045275</v>
      </c>
      <c r="AN20" s="60">
        <f ca="1">AVERAGE(OFFSET($AM$3,0,0,'Données projet'!$E$10+1,1))-AVERAGE(OFFSET($H$3,0,0,'Données projet'!$E$10+1,1))</f>
        <v>436.5217771315057</v>
      </c>
      <c r="AO20" s="60">
        <f t="shared" si="36"/>
        <v>308.97310256098365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0.16216216216216217</v>
      </c>
      <c r="BD20" s="13">
        <f>IF('Données projet'!$A$88&gt;35,BD19+BC20-BL19,IF(A20&lt;'Données projet'!$A$88,$BA$205^A20,IF(A20='Données projet'!$A$88,'Données projet'!$B$88,BD19+BC20-BL19)))</f>
        <v>2.7567567567567579</v>
      </c>
      <c r="BE20" s="14">
        <f>BD20*VLOOKUP('Données projet'!$B$11,Paramètres!$A$1:$I$88,3,0)*VLOOKUP('Données projet'!$B$11,Paramètres!$A$1:$I$88,5,0)</f>
        <v>2.7953513513513526</v>
      </c>
      <c r="BF20" s="14">
        <f t="shared" si="37"/>
        <v>1.1429395739307251</v>
      </c>
      <c r="BG20" s="22">
        <f t="shared" si="7"/>
        <v>6.8591900281996177</v>
      </c>
      <c r="BH20" s="60">
        <f t="shared" si="8"/>
        <v>216.22531434407233</v>
      </c>
      <c r="BI20" s="60">
        <f ca="1">AVERAGE(OFFSET($BH$3,0,0,'Données projet'!$E$11+1,1))-AVERAGE(OFFSET($H$3,0,0,'Données projet'!$E$11+1,1))</f>
        <v>108.30434106718693</v>
      </c>
      <c r="BJ20" s="60">
        <f t="shared" si="38"/>
        <v>67.653808657585842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5.75</v>
      </c>
      <c r="BY20" s="13">
        <f>IF('Données projet'!$A$114&gt;35,BY19+BX20-CG19,IF(A20&lt;'Données projet'!$A$114,$BV$205^A20,IF(A20='Données projet'!$A$114,'Données projet'!$B$114,BY19+BX20-CG19)))</f>
        <v>56.440800444763006</v>
      </c>
      <c r="BZ20" s="14">
        <f>BY20*VLOOKUP('Données projet'!$B$12,Paramètres!$A$1:$I$88,3,0)*VLOOKUP('Données projet'!$B$12,Paramètres!$A$1:$I$88,5,0)</f>
        <v>26.414294608149088</v>
      </c>
      <c r="CA20" s="14">
        <f t="shared" si="39"/>
        <v>8.3155124979120405</v>
      </c>
      <c r="CB20" s="22">
        <f t="shared" si="10"/>
        <v>60.487747376389791</v>
      </c>
      <c r="CC20" s="60">
        <f t="shared" si="11"/>
        <v>269.85387169226249</v>
      </c>
      <c r="CD20" s="60">
        <f ca="1">AVERAGE(OFFSET($CC$3,0,0,'Données projet'!$E$12+1,1))-AVERAGE(OFFSET($H$3,0,0,'Données projet'!$E$12+1,1))</f>
        <v>171.08593400758221</v>
      </c>
      <c r="CE20" s="60">
        <f t="shared" si="40"/>
        <v>201.9528484086932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projet'!$B$12,Paramètres!$A$1:$I$88,3,0)*0.475*44/12</f>
        <v>0</v>
      </c>
      <c r="CL20" s="23">
        <f>EXP(-LN(2)/25)*CL19+(1-EXP(-LN(2)/25))/(LN(2)/25)*Calculateur!CG20*Calculateur!CI20*VLOOKUP('Données projet'!$B$12,Paramètres!$A$1:$I$88,3,0)*0.475*44/12</f>
        <v>0</v>
      </c>
      <c r="CM20" s="23">
        <f>EXP(-LN(2)/2)*CM19+(1-EXP(-LN(2)/2))/(LN(2)/2)*CG20*CJ20*VLOOKUP('Données projet'!$B$12,Paramètres!$A$1:$I$88,3,0)*0.475*44/12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11.6</v>
      </c>
      <c r="CT20" s="13">
        <f>IF('Données projet'!$A$140&gt;35,CT19+CS20-DB19,IF(A20&lt;'Données projet'!$A$140,$CQ$205^A20,IF(A20='Données projet'!$A$140,'Données projet'!$B$140,CT19+CS20-DB19)))</f>
        <v>74.199999999999989</v>
      </c>
      <c r="CU20" s="18">
        <f>CT20*VLOOKUP('Données projet'!$B$13,Paramètres!$A$1:$I$88,3,0)*VLOOKUP('Données projet'!$B$13,Paramètres!$A$1:$I$88,5,0)</f>
        <v>49.773359999999997</v>
      </c>
      <c r="CV20" s="14">
        <f t="shared" si="41"/>
        <v>14.555213428078659</v>
      </c>
      <c r="CW20" s="22">
        <f t="shared" si="13"/>
        <v>112.03893205390365</v>
      </c>
      <c r="CX20" s="60">
        <f t="shared" si="14"/>
        <v>321.40505636977639</v>
      </c>
      <c r="CY20" s="60">
        <f ca="1">AVERAGE(OFFSET($CX$3,0,0,'Données projet'!$E$13+1,1))-AVERAGE(OFFSET($H$3,0,0,'Données projet'!$E$13+1,1))</f>
        <v>283.66646124753868</v>
      </c>
      <c r="CZ20" s="60">
        <f t="shared" si="42"/>
        <v>331.61926649572797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projet'!$B$13,Paramètres!$A$1:$I$88,3,0)*0.475*44/12</f>
        <v>0</v>
      </c>
      <c r="DG20" s="23">
        <f>EXP(-LN(2)/25)*DG19+(1-EXP(-LN(2)/25))/(LN(2)/25)*Calculateur!DB20*Calculateur!DD20*VLOOKUP('Données projet'!$B$13,Paramètres!$A$1:$I$88,3,0)*0.475*44/12</f>
        <v>0</v>
      </c>
      <c r="DH20" s="23">
        <f>EXP(-LN(2)/2)*DH19+(1-EXP(-LN(2)/2))/(LN(2)/2)*DB20*DE20*VLOOKUP('Données projet'!$B$13,Paramètres!$A$1:$I$88,3,0)*0.475*44/12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8</v>
      </c>
      <c r="DO20" s="13">
        <f>IF('Données projet'!$A$166&gt;35,DO19+DN20-DW19,IF(A20&lt;'Données projet'!$A$166,$DL$205^A20,IF(A20='Données projet'!$A$166,'Données projet'!$B$166,DO19+DN20-DW19)))</f>
        <v>66.999999999999972</v>
      </c>
      <c r="DP20" s="18">
        <f>DO20*VLOOKUP('Données projet'!$B$14,Paramètres!$A$1:$I$88,3,0)*VLOOKUP('Données projet'!$B$14,Paramètres!$A$1:$I$88,5,0)</f>
        <v>49.12439999999998</v>
      </c>
      <c r="DQ20" s="14">
        <f t="shared" si="43"/>
        <v>14.387400160367713</v>
      </c>
      <c r="DR20" s="22">
        <f t="shared" si="16"/>
        <v>110.61638527930705</v>
      </c>
      <c r="DS20" s="60">
        <f t="shared" si="17"/>
        <v>319.98250959517975</v>
      </c>
      <c r="DT20" s="60">
        <f ca="1">AVERAGE(OFFSET($DS$3,0,0,'Données projet'!$E$14+1,1))-AVERAGE(OFFSET($H$3,0,0,'Données projet'!$E$14+1,1))</f>
        <v>212.77458587586861</v>
      </c>
      <c r="DU20" s="60">
        <f t="shared" si="44"/>
        <v>260.45879589483513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projet'!$B$14,Paramètres!$A$1:$I$88,3,0)*0.475*44/12</f>
        <v>0</v>
      </c>
      <c r="EB20" s="23">
        <f>EXP(-LN(2)/25)*EB19+(1-EXP(-LN(2)/25))/(LN(2)/25)*Calculateur!DW20*Calculateur!DY20*VLOOKUP('Données projet'!$B$14,Paramètres!$A$1:$I$88,3,0)*0.475*44/12</f>
        <v>5.5714393666643867</v>
      </c>
      <c r="EC20" s="23">
        <f>EXP(-LN(2)/2)*EC19+(1-EXP(-LN(2)/2))/(LN(2)/2)*DW20*DZ20*VLOOKUP('Données projet'!$B$14,Paramètres!$A$1:$I$88,3,0)*0.475*44/12</f>
        <v>0</v>
      </c>
      <c r="ED20" s="24">
        <f t="shared" si="18"/>
        <v>5.5714393666643867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5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8">
        <f t="shared" si="1"/>
        <v>183.33333333333334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10.119999999999999</v>
      </c>
      <c r="N21" s="14">
        <f>IF('Données projet'!$A$36&gt;35,N20+M21-V20,IF(A21&lt;'Données projet'!$A$36,$K$205^A21,IF(A21='Données projet'!$A$36,'Données projet'!$B$36,N20+M21-V20)))</f>
        <v>53.733703583035215</v>
      </c>
      <c r="O21" s="14">
        <f>N21*VLOOKUP('Données projet'!$B$9,Paramètres!$A$1:$I$88,3,0)*VLOOKUP('Données projet'!$B$9,Paramètres!$A$1:$I$88,5,0)</f>
        <v>30.037140302916686</v>
      </c>
      <c r="P21" s="14">
        <f t="shared" si="33"/>
        <v>9.315607651522777</v>
      </c>
      <c r="Q21" s="22">
        <f t="shared" si="2"/>
        <v>68.539369353982067</v>
      </c>
      <c r="R21" s="60">
        <f t="shared" si="0"/>
        <v>280.30872254598518</v>
      </c>
      <c r="S21" s="60">
        <f ca="1">AVERAGE(OFFSET($R$3,0,0,'Données projet'!$E$9+1,1))-AVERAGE(OFFSET($H$3,0,0,'Données projet'!$E$9+1,1))</f>
        <v>366.29380214443631</v>
      </c>
      <c r="T21" s="60">
        <f t="shared" si="34"/>
        <v>413.14502442862897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5.0517241379310347</v>
      </c>
      <c r="AI21" s="14">
        <f>IF('Données projet'!$A$62&gt;35,AI20+AH21-AQ20,IF(A21&lt;'Données projet'!$A$62,$AF$205^A21,IF(A21='Données projet'!$A$62,'Données projet'!$B$62,AI20+AH21-AQ20)))</f>
        <v>22.095966786603192</v>
      </c>
      <c r="AJ21" s="14">
        <f>AI21*VLOOKUP('Données projet'!$B$10,Paramètres!$A$1:$I$88,3,0)*VLOOKUP('Données projet'!$B$10,Paramètres!$A$1:$I$88,5,0)</f>
        <v>19.303036584776549</v>
      </c>
      <c r="AK21" s="14">
        <f t="shared" si="35"/>
        <v>6.3027615202260243</v>
      </c>
      <c r="AL21" s="22">
        <f t="shared" si="4"/>
        <v>44.596765032879482</v>
      </c>
      <c r="AM21" s="60">
        <f t="shared" si="5"/>
        <v>256.3661182248826</v>
      </c>
      <c r="AN21" s="60">
        <f ca="1">AVERAGE(OFFSET($AM$3,0,0,'Données projet'!$E$10+1,1))-AVERAGE(OFFSET($H$3,0,0,'Données projet'!$E$10+1,1))</f>
        <v>436.5217771315057</v>
      </c>
      <c r="AO21" s="60">
        <f t="shared" si="36"/>
        <v>308.97310256098365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0.16216216216216217</v>
      </c>
      <c r="BD21" s="13">
        <f>IF('Données projet'!$A$88&gt;35,BD20+BC21-BL20,IF(A21&lt;'Données projet'!$A$88,$BA$205^A21,IF(A21='Données projet'!$A$88,'Données projet'!$B$88,BD20+BC21-BL20)))</f>
        <v>2.9189189189189202</v>
      </c>
      <c r="BE21" s="14">
        <f>BD21*VLOOKUP('Données projet'!$B$11,Paramètres!$A$1:$I$88,3,0)*VLOOKUP('Données projet'!$B$11,Paramètres!$A$1:$I$88,5,0)</f>
        <v>2.9597837837837853</v>
      </c>
      <c r="BF21" s="14">
        <f t="shared" si="37"/>
        <v>1.2021464793182119</v>
      </c>
      <c r="BG21" s="22">
        <f t="shared" si="7"/>
        <v>7.2486952082359783</v>
      </c>
      <c r="BH21" s="60">
        <f t="shared" si="8"/>
        <v>219.01804840023908</v>
      </c>
      <c r="BI21" s="60">
        <f ca="1">AVERAGE(OFFSET($BH$3,0,0,'Données projet'!$E$11+1,1))-AVERAGE(OFFSET($H$3,0,0,'Données projet'!$E$11+1,1))</f>
        <v>108.30434106718693</v>
      </c>
      <c r="BJ21" s="60">
        <f t="shared" si="38"/>
        <v>67.653808657585842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5.75</v>
      </c>
      <c r="BY21" s="13">
        <f>IF('Données projet'!$A$114&gt;35,BY20+BX21-CG20,IF(A21&lt;'Données projet'!$A$114,$BV$205^A21,IF(A21='Données projet'!$A$114,'Données projet'!$B$114,BY20+BX21-CG20)))</f>
        <v>71.55303446582019</v>
      </c>
      <c r="BZ21" s="14">
        <f>BY21*VLOOKUP('Données projet'!$B$12,Paramètres!$A$1:$I$88,3,0)*VLOOKUP('Données projet'!$B$12,Paramètres!$A$1:$I$88,5,0)</f>
        <v>33.486820130003849</v>
      </c>
      <c r="CA21" s="14">
        <f t="shared" si="39"/>
        <v>10.254881616957807</v>
      </c>
      <c r="CB21" s="22">
        <f t="shared" si="10"/>
        <v>76.183463875958196</v>
      </c>
      <c r="CC21" s="60">
        <f t="shared" si="11"/>
        <v>287.95281706796129</v>
      </c>
      <c r="CD21" s="60">
        <f ca="1">AVERAGE(OFFSET($CC$3,0,0,'Données projet'!$E$12+1,1))-AVERAGE(OFFSET($H$3,0,0,'Données projet'!$E$12+1,1))</f>
        <v>171.08593400758221</v>
      </c>
      <c r="CE21" s="60">
        <f t="shared" si="40"/>
        <v>201.9528484086932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projet'!$B$12,Paramètres!$A$1:$I$88,3,0)*0.475*44/12</f>
        <v>0</v>
      </c>
      <c r="CL21" s="23">
        <f>EXP(-LN(2)/25)*CL20+(1-EXP(-LN(2)/25))/(LN(2)/25)*Calculateur!CG21*Calculateur!CI21*VLOOKUP('Données projet'!$B$12,Paramètres!$A$1:$I$88,3,0)*0.475*44/12</f>
        <v>0</v>
      </c>
      <c r="CM21" s="23">
        <f>EXP(-LN(2)/2)*CM20+(1-EXP(-LN(2)/2))/(LN(2)/2)*CG21*CJ21*VLOOKUP('Données projet'!$B$12,Paramètres!$A$1:$I$88,3,0)*0.475*44/12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11.6</v>
      </c>
      <c r="CT21" s="13">
        <f>IF('Données projet'!$A$140&gt;35,CT20+CS21-DB20,IF(A21&lt;'Données projet'!$A$140,$CQ$205^A21,IF(A21='Données projet'!$A$140,'Données projet'!$B$140,CT20+CS21-DB20)))</f>
        <v>85.799999999999983</v>
      </c>
      <c r="CU21" s="18">
        <f>CT21*VLOOKUP('Données projet'!$B$13,Paramètres!$A$1:$I$88,3,0)*VLOOKUP('Données projet'!$B$13,Paramètres!$A$1:$I$88,5,0)</f>
        <v>57.554639999999985</v>
      </c>
      <c r="CV21" s="14">
        <f t="shared" si="41"/>
        <v>16.548516025872313</v>
      </c>
      <c r="CW21" s="22">
        <f t="shared" si="13"/>
        <v>129.0629967450609</v>
      </c>
      <c r="CX21" s="60">
        <f t="shared" si="14"/>
        <v>340.83234993706401</v>
      </c>
      <c r="CY21" s="60">
        <f ca="1">AVERAGE(OFFSET($CX$3,0,0,'Données projet'!$E$13+1,1))-AVERAGE(OFFSET($H$3,0,0,'Données projet'!$E$13+1,1))</f>
        <v>283.66646124753868</v>
      </c>
      <c r="CZ21" s="60">
        <f t="shared" si="42"/>
        <v>331.61926649572797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projet'!$B$13,Paramètres!$A$1:$I$88,3,0)*0.475*44/12</f>
        <v>0</v>
      </c>
      <c r="DG21" s="23">
        <f>EXP(-LN(2)/25)*DG20+(1-EXP(-LN(2)/25))/(LN(2)/25)*Calculateur!DB21*Calculateur!DD21*VLOOKUP('Données projet'!$B$13,Paramètres!$A$1:$I$88,3,0)*0.475*44/12</f>
        <v>0</v>
      </c>
      <c r="DH21" s="23">
        <f>EXP(-LN(2)/2)*DH20+(1-EXP(-LN(2)/2))/(LN(2)/2)*DB21*DE21*VLOOKUP('Données projet'!$B$13,Paramètres!$A$1:$I$88,3,0)*0.475*44/12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8</v>
      </c>
      <c r="DO21" s="13">
        <f>IF('Données projet'!$A$166&gt;35,DO20+DN21-DW20,IF(A21&lt;'Données projet'!$A$166,$DL$205^A21,IF(A21='Données projet'!$A$166,'Données projet'!$B$166,DO20+DN21-DW20)))</f>
        <v>74.999999999999972</v>
      </c>
      <c r="DP21" s="18">
        <f>DO21*VLOOKUP('Données projet'!$B$14,Paramètres!$A$1:$I$88,3,0)*VLOOKUP('Données projet'!$B$14,Paramètres!$A$1:$I$88,5,0)</f>
        <v>54.989999999999981</v>
      </c>
      <c r="DQ21" s="14">
        <f t="shared" si="43"/>
        <v>15.895227919347008</v>
      </c>
      <c r="DR21" s="22">
        <f t="shared" si="16"/>
        <v>123.45843862619598</v>
      </c>
      <c r="DS21" s="60">
        <f t="shared" si="17"/>
        <v>335.22779181819908</v>
      </c>
      <c r="DT21" s="60">
        <f ca="1">AVERAGE(OFFSET($DS$3,0,0,'Données projet'!$E$14+1,1))-AVERAGE(OFFSET($H$3,0,0,'Données projet'!$E$14+1,1))</f>
        <v>212.77458587586861</v>
      </c>
      <c r="DU21" s="60">
        <f t="shared" si="44"/>
        <v>260.45879589483513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projet'!$B$14,Paramètres!$A$1:$I$88,3,0)*0.475*44/12</f>
        <v>0</v>
      </c>
      <c r="EB21" s="23">
        <f>EXP(-LN(2)/25)*EB20+(1-EXP(-LN(2)/25))/(LN(2)/25)*Calculateur!DW21*Calculateur!DY21*VLOOKUP('Données projet'!$B$14,Paramètres!$A$1:$I$88,3,0)*0.475*44/12</f>
        <v>5.4190880641936863</v>
      </c>
      <c r="EC21" s="23">
        <f>EXP(-LN(2)/2)*EC20+(1-EXP(-LN(2)/2))/(LN(2)/2)*DW21*DZ21*VLOOKUP('Données projet'!$B$14,Paramètres!$A$1:$I$88,3,0)*0.475*44/12</f>
        <v>0</v>
      </c>
      <c r="ED21" s="24">
        <f t="shared" si="18"/>
        <v>5.4190880641936863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5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8">
        <f t="shared" si="1"/>
        <v>183.33333333333334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10.119999999999999</v>
      </c>
      <c r="N22" s="14">
        <f>IF('Données projet'!$A$36&gt;35,N21+M22-V21,IF(A22&lt;'Données projet'!$A$36,$K$205^A22,IF(A22='Données projet'!$A$36,'Données projet'!$B$36,N21+M22-V21)))</f>
        <v>67.045802915702126</v>
      </c>
      <c r="O22" s="14">
        <f>N22*VLOOKUP('Données projet'!$B$9,Paramètres!$A$1:$I$88,3,0)*VLOOKUP('Données projet'!$B$9,Paramètres!$A$1:$I$88,5,0)</f>
        <v>37.478603829877493</v>
      </c>
      <c r="P22" s="14">
        <f t="shared" si="33"/>
        <v>11.3278393329661</v>
      </c>
      <c r="Q22" s="22">
        <f t="shared" si="2"/>
        <v>85.004555175285915</v>
      </c>
      <c r="R22" s="60">
        <f t="shared" si="0"/>
        <v>299.15664941830943</v>
      </c>
      <c r="S22" s="60">
        <f ca="1">AVERAGE(OFFSET($R$3,0,0,'Données projet'!$E$9+1,1))-AVERAGE(OFFSET($H$3,0,0,'Données projet'!$E$9+1,1))</f>
        <v>366.29380214443631</v>
      </c>
      <c r="T22" s="60">
        <f t="shared" si="34"/>
        <v>413.14502442862897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5.0517241379310347</v>
      </c>
      <c r="AI22" s="14">
        <f>IF('Données projet'!$A$62&gt;35,AI21+AH22-AQ21,IF(A22&lt;'Données projet'!$A$62,$AF$205^A22,IF(A22='Données projet'!$A$62,'Données projet'!$B$62,AI21+AH22-AQ21)))</f>
        <v>26.242008054361609</v>
      </c>
      <c r="AJ22" s="14">
        <f>AI22*VLOOKUP('Données projet'!$B$10,Paramètres!$A$1:$I$88,3,0)*VLOOKUP('Données projet'!$B$10,Paramètres!$A$1:$I$88,5,0)</f>
        <v>22.925018236290306</v>
      </c>
      <c r="AK22" s="14">
        <f t="shared" si="35"/>
        <v>7.3370538536405245</v>
      </c>
      <c r="AL22" s="22">
        <f t="shared" si="4"/>
        <v>52.7064422232962</v>
      </c>
      <c r="AM22" s="60">
        <f t="shared" si="5"/>
        <v>266.85853646631972</v>
      </c>
      <c r="AN22" s="60">
        <f ca="1">AVERAGE(OFFSET($AM$3,0,0,'Données projet'!$E$10+1,1))-AVERAGE(OFFSET($H$3,0,0,'Données projet'!$E$10+1,1))</f>
        <v>436.5217771315057</v>
      </c>
      <c r="AO22" s="60">
        <f t="shared" si="36"/>
        <v>308.97310256098365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0.16216216216216217</v>
      </c>
      <c r="BD22" s="13">
        <f>IF('Données projet'!$A$88&gt;35,BD21+BC22-BL21,IF(A22&lt;'Données projet'!$A$88,$BA$205^A22,IF(A22='Données projet'!$A$88,'Données projet'!$B$88,BD21+BC22-BL21)))</f>
        <v>3.0810810810810825</v>
      </c>
      <c r="BE22" s="14">
        <f>BD22*VLOOKUP('Données projet'!$B$11,Paramètres!$A$1:$I$88,3,0)*VLOOKUP('Données projet'!$B$11,Paramètres!$A$1:$I$88,5,0)</f>
        <v>3.1242162162162179</v>
      </c>
      <c r="BF22" s="14">
        <f t="shared" si="37"/>
        <v>1.2609715413335334</v>
      </c>
      <c r="BG22" s="22">
        <f t="shared" si="7"/>
        <v>7.6375353443991498</v>
      </c>
      <c r="BH22" s="60">
        <f t="shared" si="8"/>
        <v>221.78962958742267</v>
      </c>
      <c r="BI22" s="60">
        <f ca="1">AVERAGE(OFFSET($BH$3,0,0,'Données projet'!$E$11+1,1))-AVERAGE(OFFSET($H$3,0,0,'Données projet'!$E$11+1,1))</f>
        <v>108.30434106718693</v>
      </c>
      <c r="BJ22" s="60">
        <f t="shared" si="38"/>
        <v>67.653808657585842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5.75</v>
      </c>
      <c r="BY22" s="13">
        <f>IF('Données projet'!$A$114&gt;35,BY21+BX22-CG21,IF(A22&lt;'Données projet'!$A$114,$BV$205^A22,IF(A22='Données projet'!$A$114,'Données projet'!$B$114,BY21+BX22-CG21)))</f>
        <v>90.711625294497551</v>
      </c>
      <c r="BZ22" s="14">
        <f>BY22*VLOOKUP('Données projet'!$B$12,Paramètres!$A$1:$I$88,3,0)*VLOOKUP('Données projet'!$B$12,Paramètres!$A$1:$I$88,5,0)</f>
        <v>42.453040637824856</v>
      </c>
      <c r="CA22" s="14">
        <f t="shared" si="39"/>
        <v>12.646556301156998</v>
      </c>
      <c r="CB22" s="22">
        <f t="shared" si="10"/>
        <v>95.96513133539338</v>
      </c>
      <c r="CC22" s="60">
        <f t="shared" si="11"/>
        <v>310.11722557841688</v>
      </c>
      <c r="CD22" s="60">
        <f ca="1">AVERAGE(OFFSET($CC$3,0,0,'Données projet'!$E$12+1,1))-AVERAGE(OFFSET($H$3,0,0,'Données projet'!$E$12+1,1))</f>
        <v>171.08593400758221</v>
      </c>
      <c r="CE22" s="60">
        <f t="shared" si="40"/>
        <v>201.9528484086932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projet'!$B$12,Paramètres!$A$1:$I$88,3,0)*0.475*44/12</f>
        <v>0</v>
      </c>
      <c r="CL22" s="23">
        <f>EXP(-LN(2)/25)*CL21+(1-EXP(-LN(2)/25))/(LN(2)/25)*Calculateur!CG22*Calculateur!CI22*VLOOKUP('Données projet'!$B$12,Paramètres!$A$1:$I$88,3,0)*0.475*44/12</f>
        <v>0</v>
      </c>
      <c r="CM22" s="23">
        <f>EXP(-LN(2)/2)*CM21+(1-EXP(-LN(2)/2))/(LN(2)/2)*CG22*CJ22*VLOOKUP('Données projet'!$B$12,Paramètres!$A$1:$I$88,3,0)*0.475*44/12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11.6</v>
      </c>
      <c r="CT22" s="13">
        <f>IF('Données projet'!$A$140&gt;35,CT21+CS22-DB21,IF(A22&lt;'Données projet'!$A$140,$CQ$205^A22,IF(A22='Données projet'!$A$140,'Données projet'!$B$140,CT21+CS22-DB21)))</f>
        <v>97.399999999999977</v>
      </c>
      <c r="CU22" s="18">
        <f>CT22*VLOOKUP('Données projet'!$B$13,Paramètres!$A$1:$I$88,3,0)*VLOOKUP('Données projet'!$B$13,Paramètres!$A$1:$I$88,5,0)</f>
        <v>65.335919999999987</v>
      </c>
      <c r="CV22" s="14">
        <f t="shared" si="41"/>
        <v>18.510595118986068</v>
      </c>
      <c r="CW22" s="22">
        <f t="shared" si="13"/>
        <v>146.03268049890067</v>
      </c>
      <c r="CX22" s="60">
        <f t="shared" si="14"/>
        <v>360.18477474192423</v>
      </c>
      <c r="CY22" s="60">
        <f ca="1">AVERAGE(OFFSET($CX$3,0,0,'Données projet'!$E$13+1,1))-AVERAGE(OFFSET($H$3,0,0,'Données projet'!$E$13+1,1))</f>
        <v>283.66646124753868</v>
      </c>
      <c r="CZ22" s="60">
        <f t="shared" si="42"/>
        <v>331.61926649572797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projet'!$B$13,Paramètres!$A$1:$I$88,3,0)*0.475*44/12</f>
        <v>0</v>
      </c>
      <c r="DG22" s="23">
        <f>EXP(-LN(2)/25)*DG21+(1-EXP(-LN(2)/25))/(LN(2)/25)*Calculateur!DB22*Calculateur!DD22*VLOOKUP('Données projet'!$B$13,Paramètres!$A$1:$I$88,3,0)*0.475*44/12</f>
        <v>0</v>
      </c>
      <c r="DH22" s="23">
        <f>EXP(-LN(2)/2)*DH21+(1-EXP(-LN(2)/2))/(LN(2)/2)*DB22*DE22*VLOOKUP('Données projet'!$B$13,Paramètres!$A$1:$I$88,3,0)*0.475*44/12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8</v>
      </c>
      <c r="DO22" s="13">
        <f>IF('Données projet'!$A$166&gt;35,DO21+DN22-DW21,IF(A22&lt;'Données projet'!$A$166,$DL$205^A22,IF(A22='Données projet'!$A$166,'Données projet'!$B$166,DO21+DN22-DW21)))</f>
        <v>82.999999999999972</v>
      </c>
      <c r="DP22" s="18">
        <f>DO22*VLOOKUP('Données projet'!$B$14,Paramètres!$A$1:$I$88,3,0)*VLOOKUP('Données projet'!$B$14,Paramètres!$A$1:$I$88,5,0)</f>
        <v>60.855599999999974</v>
      </c>
      <c r="DQ22" s="14">
        <f t="shared" si="43"/>
        <v>17.384412949542646</v>
      </c>
      <c r="DR22" s="22">
        <f t="shared" si="16"/>
        <v>136.26802255378672</v>
      </c>
      <c r="DS22" s="60">
        <f t="shared" si="17"/>
        <v>350.42011679681025</v>
      </c>
      <c r="DT22" s="60">
        <f ca="1">AVERAGE(OFFSET($DS$3,0,0,'Données projet'!$E$14+1,1))-AVERAGE(OFFSET($H$3,0,0,'Données projet'!$E$14+1,1))</f>
        <v>212.77458587586861</v>
      </c>
      <c r="DU22" s="60">
        <f t="shared" si="44"/>
        <v>260.45879589483513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projet'!$B$14,Paramètres!$A$1:$I$88,3,0)*0.475*44/12</f>
        <v>0</v>
      </c>
      <c r="EB22" s="23">
        <f>EXP(-LN(2)/25)*EB21+(1-EXP(-LN(2)/25))/(LN(2)/25)*Calculateur!DW22*Calculateur!DY22*VLOOKUP('Données projet'!$B$14,Paramètres!$A$1:$I$88,3,0)*0.475*44/12</f>
        <v>5.270902816100854</v>
      </c>
      <c r="EC22" s="23">
        <f>EXP(-LN(2)/2)*EC21+(1-EXP(-LN(2)/2))/(LN(2)/2)*DW22*DZ22*VLOOKUP('Données projet'!$B$14,Paramètres!$A$1:$I$88,3,0)*0.475*44/12</f>
        <v>0</v>
      </c>
      <c r="ED22" s="24">
        <f t="shared" si="18"/>
        <v>5.270902816100854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5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8">
        <f t="shared" si="1"/>
        <v>183.33333333333334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10.119999999999999</v>
      </c>
      <c r="N23" s="14">
        <f>IF('Données projet'!$A$36&gt;35,N22+M23-V22,IF(A23&lt;'Données projet'!$A$36,$K$205^A23,IF(A23='Données projet'!$A$36,'Données projet'!$B$36,N22+M23-V22)))</f>
        <v>83.655869386795359</v>
      </c>
      <c r="O23" s="14">
        <f>N23*VLOOKUP('Données projet'!$B$9,Paramètres!$A$1:$I$88,3,0)*VLOOKUP('Données projet'!$B$9,Paramètres!$A$1:$I$88,5,0)</f>
        <v>46.763630987218605</v>
      </c>
      <c r="P23" s="14">
        <f t="shared" si="33"/>
        <v>13.774726110595493</v>
      </c>
      <c r="Q23" s="22">
        <f t="shared" si="2"/>
        <v>105.43763861202622</v>
      </c>
      <c r="R23" s="60">
        <f t="shared" si="0"/>
        <v>321.95234149892195</v>
      </c>
      <c r="S23" s="60">
        <f ca="1">AVERAGE(OFFSET($R$3,0,0,'Données projet'!$E$9+1,1))-AVERAGE(OFFSET($H$3,0,0,'Données projet'!$E$9+1,1))</f>
        <v>366.29380214443631</v>
      </c>
      <c r="T23" s="60">
        <f t="shared" si="34"/>
        <v>413.14502442862897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6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5.0517241379310347</v>
      </c>
      <c r="AI23" s="14">
        <f>IF('Données projet'!$A$62&gt;35,AI22+AH23-AQ22,IF(A23&lt;'Données projet'!$A$62,$AF$205^A23,IF(A23='Données projet'!$A$62,'Données projet'!$B$62,AI22+AH23-AQ22)))</f>
        <v>31.166003885501151</v>
      </c>
      <c r="AJ23" s="14">
        <f>AI23*VLOOKUP('Données projet'!$B$10,Paramètres!$A$1:$I$88,3,0)*VLOOKUP('Données projet'!$B$10,Paramètres!$A$1:$I$88,5,0)</f>
        <v>27.22662099437381</v>
      </c>
      <c r="AK23" s="14">
        <f t="shared" si="35"/>
        <v>8.5410750634415109</v>
      </c>
      <c r="AL23" s="22">
        <f t="shared" si="4"/>
        <v>62.295403967361686</v>
      </c>
      <c r="AM23" s="60">
        <f t="shared" si="5"/>
        <v>278.81010685425741</v>
      </c>
      <c r="AN23" s="60">
        <f ca="1">AVERAGE(OFFSET($AM$3,0,0,'Données projet'!$E$10+1,1))-AVERAGE(OFFSET($H$3,0,0,'Données projet'!$E$10+1,1))</f>
        <v>436.5217771315057</v>
      </c>
      <c r="AO23" s="60">
        <f t="shared" si="36"/>
        <v>308.97310256098365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0.16216216216216217</v>
      </c>
      <c r="BD23" s="13">
        <f>IF('Données projet'!$A$88&gt;35,BD22+BC23-BL22,IF(A23&lt;'Données projet'!$A$88,$BA$205^A23,IF(A23='Données projet'!$A$88,'Données projet'!$B$88,BD22+BC23-BL22)))</f>
        <v>3.2432432432432448</v>
      </c>
      <c r="BE23" s="14">
        <f>BD23*VLOOKUP('Données projet'!$B$11,Paramètres!$A$1:$I$88,3,0)*VLOOKUP('Données projet'!$B$11,Paramètres!$A$1:$I$88,5,0)</f>
        <v>3.2886486486486506</v>
      </c>
      <c r="BF23" s="14">
        <f t="shared" si="37"/>
        <v>1.3194371489034811</v>
      </c>
      <c r="BG23" s="22">
        <f t="shared" si="7"/>
        <v>8.0257494307366297</v>
      </c>
      <c r="BH23" s="60">
        <f t="shared" si="8"/>
        <v>224.54045231763234</v>
      </c>
      <c r="BI23" s="60">
        <f ca="1">AVERAGE(OFFSET($BH$3,0,0,'Données projet'!$E$11+1,1))-AVERAGE(OFFSET($H$3,0,0,'Données projet'!$E$11+1,1))</f>
        <v>108.30434106718693</v>
      </c>
      <c r="BJ23" s="60">
        <f t="shared" si="38"/>
        <v>67.653808657585842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115</v>
      </c>
      <c r="BW23" s="13">
        <f>VLOOKUP(A23,'Données projet'!$A$113:$I$133,9,0)</f>
        <v>5.75</v>
      </c>
      <c r="BX23" s="13">
        <f t="array" ref="BX23">INDEX(BW:BW,MIN(IF(ISNUMBER(BW23:BW219),ROW(BW23:BW219),"")))</f>
        <v>5.75</v>
      </c>
      <c r="BY23" s="13">
        <f>IF('Données projet'!$A$114&gt;35,BY22+BX23-CG22,IF(A23&lt;'Données projet'!$A$114,$BV$205^A23,IF(A23='Données projet'!$A$114,'Données projet'!$B$114,BY22+BX23-CG22)))</f>
        <v>115</v>
      </c>
      <c r="BZ23" s="14">
        <f>BY23*VLOOKUP('Données projet'!$B$12,Paramètres!$A$1:$I$88,3,0)*VLOOKUP('Données projet'!$B$12,Paramètres!$A$1:$I$88,5,0)</f>
        <v>53.82</v>
      </c>
      <c r="CA23" s="14">
        <f t="shared" si="39"/>
        <v>15.596024630246266</v>
      </c>
      <c r="CB23" s="22">
        <f t="shared" si="10"/>
        <v>120.89957623101225</v>
      </c>
      <c r="CC23" s="60">
        <f t="shared" si="11"/>
        <v>337.41427911790799</v>
      </c>
      <c r="CD23" s="60">
        <f ca="1">AVERAGE(OFFSET($CC$3,0,0,'Données projet'!$E$12+1,1))-AVERAGE(OFFSET($H$3,0,0,'Données projet'!$E$12+1,1))</f>
        <v>171.08593400758221</v>
      </c>
      <c r="CE23" s="60">
        <f t="shared" si="40"/>
        <v>201.9528484086932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40.25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0.55000000000000004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projet'!$B$12,Paramètres!$A$1:$I$88,3,0)*0.475*44/12</f>
        <v>0</v>
      </c>
      <c r="CL23" s="23">
        <f>EXP(-LN(2)/25)*CL22+(1-EXP(-LN(2)/25))/(LN(2)/25)*Calculateur!CG23*Calculateur!CI23*VLOOKUP('Données projet'!$B$12,Paramètres!$A$1:$I$88,3,0)*0.475*44/12</f>
        <v>13.689557982279302</v>
      </c>
      <c r="CM23" s="23">
        <f>EXP(-LN(2)/2)*CM22+(1-EXP(-LN(2)/2))/(LN(2)/2)*CG23*CJ23*VLOOKUP('Données projet'!$B$12,Paramètres!$A$1:$I$88,3,0)*0.475*44/12</f>
        <v>0</v>
      </c>
      <c r="CN23" s="24">
        <f t="shared" si="12"/>
        <v>13.689557982279302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109</v>
      </c>
      <c r="CR23" s="13">
        <f>VLOOKUP(A23,'Données projet'!$A$139:$I$159,9,0)</f>
        <v>11.6</v>
      </c>
      <c r="CS23" s="13">
        <f t="array" ref="CS23">INDEX(CR:CR,MIN(IF(ISNUMBER(CR23:CR219),ROW(CR23:CR219),"")))</f>
        <v>11.6</v>
      </c>
      <c r="CT23" s="13">
        <f>IF('Données projet'!$A$140&gt;35,CT22+CS23-DB22,IF(A23&lt;'Données projet'!$A$140,$CQ$205^A23,IF(A23='Données projet'!$A$140,'Données projet'!$B$140,CT22+CS23-DB22)))</f>
        <v>108.99999999999997</v>
      </c>
      <c r="CU23" s="18">
        <f>CT23*VLOOKUP('Données projet'!$B$13,Paramètres!$A$1:$I$88,3,0)*VLOOKUP('Données projet'!$B$13,Paramètres!$A$1:$I$88,5,0)</f>
        <v>73.117199999999983</v>
      </c>
      <c r="CV23" s="14">
        <f t="shared" si="41"/>
        <v>20.445594395400459</v>
      </c>
      <c r="CW23" s="22">
        <f t="shared" si="13"/>
        <v>162.95520023865575</v>
      </c>
      <c r="CX23" s="60">
        <f t="shared" si="14"/>
        <v>379.46990312555147</v>
      </c>
      <c r="CY23" s="60">
        <f ca="1">AVERAGE(OFFSET($CX$3,0,0,'Données projet'!$E$13+1,1))-AVERAGE(OFFSET($H$3,0,0,'Données projet'!$E$13+1,1))</f>
        <v>283.66646124753868</v>
      </c>
      <c r="CZ23" s="60">
        <f t="shared" si="42"/>
        <v>331.61926649572797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20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projet'!$B$13,Paramètres!$A$1:$I$88,3,0)*0.475*44/12</f>
        <v>0</v>
      </c>
      <c r="DG23" s="23">
        <f>EXP(-LN(2)/25)*DG22+(1-EXP(-LN(2)/25))/(LN(2)/25)*Calculateur!DB23*Calculateur!DD23*VLOOKUP('Données projet'!$B$13,Paramètres!$A$1:$I$88,3,0)*0.475*44/12</f>
        <v>0</v>
      </c>
      <c r="DH23" s="23">
        <f>EXP(-LN(2)/2)*DH22+(1-EXP(-LN(2)/2))/(LN(2)/2)*DB23*DE23*VLOOKUP('Données projet'!$B$13,Paramètres!$A$1:$I$88,3,0)*0.475*44/12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91</v>
      </c>
      <c r="DM23" s="13">
        <f>VLOOKUP(A23,'Données projet'!$A$165:$I$185,9,0)</f>
        <v>8</v>
      </c>
      <c r="DN23" s="13">
        <f t="array" ref="DN23">INDEX(DM:DM,MIN(IF(ISNUMBER(DM23:DM219),ROW(DM23:DM219),"")))</f>
        <v>8</v>
      </c>
      <c r="DO23" s="13">
        <f>IF('Données projet'!$A$166&gt;35,DO22+DN23-DW22,IF(A23&lt;'Données projet'!$A$166,$DL$205^A23,IF(A23='Données projet'!$A$166,'Données projet'!$B$166,DO22+DN23-DW22)))</f>
        <v>90.999999999999972</v>
      </c>
      <c r="DP23" s="18">
        <f>DO23*VLOOKUP('Données projet'!$B$14,Paramètres!$A$1:$I$88,3,0)*VLOOKUP('Données projet'!$B$14,Paramètres!$A$1:$I$88,5,0)</f>
        <v>66.721199999999968</v>
      </c>
      <c r="DQ23" s="14">
        <f t="shared" si="43"/>
        <v>18.856956599005905</v>
      </c>
      <c r="DR23" s="22">
        <f t="shared" si="16"/>
        <v>149.04862274326854</v>
      </c>
      <c r="DS23" s="60">
        <f t="shared" si="17"/>
        <v>365.56332563016429</v>
      </c>
      <c r="DT23" s="60">
        <f ca="1">AVERAGE(OFFSET($DS$3,0,0,'Données projet'!$E$14+1,1))-AVERAGE(OFFSET($H$3,0,0,'Données projet'!$E$14+1,1))</f>
        <v>212.77458587586861</v>
      </c>
      <c r="DU23" s="60">
        <f t="shared" si="44"/>
        <v>260.45879589483513</v>
      </c>
      <c r="DV23" s="16">
        <f>IF(ISNA(VLOOKUP(A23,'Données projet'!$A$165:$I$185,3,0)),0,VLOOKUP(A23,'Données projet'!$A$165:$I$185,3,0))</f>
        <v>4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0.215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projet'!$B$14,Paramètres!$A$1:$I$88,3,0)*0.475*44/12</f>
        <v>0</v>
      </c>
      <c r="EB23" s="23">
        <f>EXP(-LN(2)/25)*EB22+(1-EXP(-LN(2)/25))/(LN(2)/25)*Calculateur!DW23*Calculateur!DY23*VLOOKUP('Données projet'!$B$14,Paramètres!$A$1:$I$88,3,0)*0.475*44/12</f>
        <v>5.1267697014098434</v>
      </c>
      <c r="EC23" s="23">
        <f>EXP(-LN(2)/2)*EC22+(1-EXP(-LN(2)/2))/(LN(2)/2)*DW23*DZ23*VLOOKUP('Données projet'!$B$14,Paramètres!$A$1:$I$88,3,0)*0.475*44/12</f>
        <v>0</v>
      </c>
      <c r="ED23" s="24">
        <f t="shared" si="18"/>
        <v>5.1267697014098434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5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8">
        <f t="shared" si="1"/>
        <v>183.33333333333334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10.119999999999999</v>
      </c>
      <c r="N24" s="14">
        <f>IF('Données projet'!$A$36&gt;35,N23+M24-V23,IF(A24&lt;'Données projet'!$A$36,$K$205^A24,IF(A24='Données projet'!$A$36,'Données projet'!$B$36,N23+M24-V23)))</f>
        <v>104.38094822519551</v>
      </c>
      <c r="O24" s="14">
        <f>N24*VLOOKUP('Données projet'!$B$9,Paramètres!$A$1:$I$88,3,0)*VLOOKUP('Données projet'!$B$9,Paramètres!$A$1:$I$88,5,0)</f>
        <v>58.348950057884295</v>
      </c>
      <c r="P24" s="14">
        <f t="shared" si="33"/>
        <v>16.750156304718573</v>
      </c>
      <c r="Q24" s="22">
        <f t="shared" si="2"/>
        <v>130.79761024819999</v>
      </c>
      <c r="R24" s="60">
        <f t="shared" si="0"/>
        <v>349.65513862407437</v>
      </c>
      <c r="S24" s="60">
        <f ca="1">AVERAGE(OFFSET($R$3,0,0,'Données projet'!$E$9+1,1))-AVERAGE(OFFSET($H$3,0,0,'Données projet'!$E$9+1,1))</f>
        <v>366.29380214443631</v>
      </c>
      <c r="T24" s="60">
        <f t="shared" si="34"/>
        <v>413.14502442862897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5.0517241379310347</v>
      </c>
      <c r="AI24" s="14">
        <f>IF('Données projet'!$A$62&gt;35,AI23+AH24-AQ23,IF(A24&lt;'Données projet'!$A$62,$AF$205^A24,IF(A24='Données projet'!$A$62,'Données projet'!$B$62,AI23+AH24-AQ23)))</f>
        <v>37.013928056836818</v>
      </c>
      <c r="AJ24" s="14">
        <f>AI24*VLOOKUP('Données projet'!$B$10,Paramètres!$A$1:$I$88,3,0)*VLOOKUP('Données projet'!$B$10,Paramètres!$A$1:$I$88,5,0)</f>
        <v>32.335367550452645</v>
      </c>
      <c r="AK24" s="14">
        <f t="shared" si="35"/>
        <v>9.9426779051302603</v>
      </c>
      <c r="AL24" s="22">
        <f t="shared" si="4"/>
        <v>73.634262501806887</v>
      </c>
      <c r="AM24" s="60">
        <f t="shared" si="5"/>
        <v>292.4917908776813</v>
      </c>
      <c r="AN24" s="60">
        <f ca="1">AVERAGE(OFFSET($AM$3,0,0,'Données projet'!$E$10+1,1))-AVERAGE(OFFSET($H$3,0,0,'Données projet'!$E$10+1,1))</f>
        <v>436.5217771315057</v>
      </c>
      <c r="AO24" s="60">
        <f t="shared" si="36"/>
        <v>308.97310256098365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0.16216216216216217</v>
      </c>
      <c r="BD24" s="13">
        <f>IF('Données projet'!$A$88&gt;35,BD23+BC24-BL23,IF(A24&lt;'Données projet'!$A$88,$BA$205^A24,IF(A24='Données projet'!$A$88,'Données projet'!$B$88,BD23+BC24-BL23)))</f>
        <v>3.405405405405407</v>
      </c>
      <c r="BE24" s="14">
        <f>BD24*VLOOKUP('Données projet'!$B$11,Paramètres!$A$1:$I$88,3,0)*VLOOKUP('Données projet'!$B$11,Paramètres!$A$1:$I$88,5,0)</f>
        <v>3.4530810810810828</v>
      </c>
      <c r="BF24" s="14">
        <f t="shared" si="37"/>
        <v>1.3775633255882511</v>
      </c>
      <c r="BG24" s="22">
        <f t="shared" si="7"/>
        <v>8.4133723416157569</v>
      </c>
      <c r="BH24" s="60">
        <f t="shared" si="8"/>
        <v>227.27090071749015</v>
      </c>
      <c r="BI24" s="60">
        <f ca="1">AVERAGE(OFFSET($BH$3,0,0,'Données projet'!$E$11+1,1))-AVERAGE(OFFSET($H$3,0,0,'Données projet'!$E$11+1,1))</f>
        <v>108.30434106718693</v>
      </c>
      <c r="BJ24" s="60">
        <f t="shared" si="38"/>
        <v>67.653808657585842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6.5</v>
      </c>
      <c r="BY24" s="13">
        <f>IF('Données projet'!$A$114&gt;35,BY23+BX24-CG23,IF(A24&lt;'Données projet'!$A$114,$BV$205^A24,IF(A24='Données projet'!$A$114,'Données projet'!$B$114,BY23+BX24-CG23)))</f>
        <v>81.25</v>
      </c>
      <c r="BZ24" s="14">
        <f>BY24*VLOOKUP('Données projet'!$B$12,Paramètres!$A$1:$I$88,3,0)*VLOOKUP('Données projet'!$B$12,Paramètres!$A$1:$I$88,5,0)</f>
        <v>38.024999999999999</v>
      </c>
      <c r="CA24" s="14">
        <f t="shared" si="39"/>
        <v>11.473640286623249</v>
      </c>
      <c r="CB24" s="22">
        <f t="shared" si="10"/>
        <v>86.210131832535481</v>
      </c>
      <c r="CC24" s="60">
        <f t="shared" si="11"/>
        <v>305.06766020840985</v>
      </c>
      <c r="CD24" s="60">
        <f ca="1">AVERAGE(OFFSET($CC$3,0,0,'Données projet'!$E$12+1,1))-AVERAGE(OFFSET($H$3,0,0,'Données projet'!$E$12+1,1))</f>
        <v>171.08593400758221</v>
      </c>
      <c r="CE24" s="60">
        <f t="shared" si="40"/>
        <v>201.9528484086932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projet'!$B$12,Paramètres!$A$1:$I$88,3,0)*0.475*44/12</f>
        <v>0</v>
      </c>
      <c r="CL24" s="23">
        <f>EXP(-LN(2)/25)*CL23+(1-EXP(-LN(2)/25))/(LN(2)/25)*Calculateur!CG24*Calculateur!CI24*VLOOKUP('Données projet'!$B$12,Paramètres!$A$1:$I$88,3,0)*0.475*44/12</f>
        <v>13.315216299351308</v>
      </c>
      <c r="CM24" s="23">
        <f>EXP(-LN(2)/2)*CM23+(1-EXP(-LN(2)/2))/(LN(2)/2)*CG24*CJ24*VLOOKUP('Données projet'!$B$12,Paramètres!$A$1:$I$88,3,0)*0.475*44/12</f>
        <v>0</v>
      </c>
      <c r="CN24" s="24">
        <f t="shared" si="12"/>
        <v>13.315216299351308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12.2</v>
      </c>
      <c r="CT24" s="13">
        <f>IF('Données projet'!$A$140&gt;35,CT23+CS24-DB23,IF(A24&lt;'Données projet'!$A$140,$CQ$205^A24,IF(A24='Données projet'!$A$140,'Données projet'!$B$140,CT23+CS24-DB23)))</f>
        <v>101.19999999999997</v>
      </c>
      <c r="CU24" s="18">
        <f>CT24*VLOOKUP('Données projet'!$B$13,Paramètres!$A$1:$I$88,3,0)*VLOOKUP('Données projet'!$B$13,Paramètres!$A$1:$I$88,5,0)</f>
        <v>67.884959999999992</v>
      </c>
      <c r="CV24" s="14">
        <f t="shared" si="41"/>
        <v>19.147284406268646</v>
      </c>
      <c r="CW24" s="22">
        <f t="shared" si="13"/>
        <v>151.58115900758452</v>
      </c>
      <c r="CX24" s="60">
        <f t="shared" si="14"/>
        <v>370.4386873834589</v>
      </c>
      <c r="CY24" s="60">
        <f ca="1">AVERAGE(OFFSET($CX$3,0,0,'Données projet'!$E$13+1,1))-AVERAGE(OFFSET($H$3,0,0,'Données projet'!$E$13+1,1))</f>
        <v>283.66646124753868</v>
      </c>
      <c r="CZ24" s="60">
        <f t="shared" si="42"/>
        <v>331.61926649572797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projet'!$B$13,Paramètres!$A$1:$I$88,3,0)*0.475*44/12</f>
        <v>0</v>
      </c>
      <c r="DG24" s="23">
        <f>EXP(-LN(2)/25)*DG23+(1-EXP(-LN(2)/25))/(LN(2)/25)*Calculateur!DB24*Calculateur!DD24*VLOOKUP('Données projet'!$B$13,Paramètres!$A$1:$I$88,3,0)*0.475*44/12</f>
        <v>0</v>
      </c>
      <c r="DH24" s="23">
        <f>EXP(-LN(2)/2)*DH23+(1-EXP(-LN(2)/2))/(LN(2)/2)*DB24*DE24*VLOOKUP('Données projet'!$B$13,Paramètres!$A$1:$I$88,3,0)*0.475*44/12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8</v>
      </c>
      <c r="DO24" s="13">
        <f>IF('Données projet'!$A$166&gt;35,DO23+DN24-DW23,IF(A24&lt;'Données projet'!$A$166,$DL$205^A24,IF(A24='Données projet'!$A$166,'Données projet'!$B$166,DO23+DN24-DW23)))</f>
        <v>98.999999999999972</v>
      </c>
      <c r="DP24" s="18">
        <f>DO24*VLOOKUP('Données projet'!$B$14,Paramètres!$A$1:$I$88,3,0)*VLOOKUP('Données projet'!$B$14,Paramètres!$A$1:$I$88,5,0)</f>
        <v>72.586799999999982</v>
      </c>
      <c r="DQ24" s="14">
        <f t="shared" si="43"/>
        <v>20.314488197199065</v>
      </c>
      <c r="DR24" s="22">
        <f t="shared" si="16"/>
        <v>161.80307694345501</v>
      </c>
      <c r="DS24" s="60">
        <f t="shared" si="17"/>
        <v>380.66060531932942</v>
      </c>
      <c r="DT24" s="60">
        <f ca="1">AVERAGE(OFFSET($DS$3,0,0,'Données projet'!$E$14+1,1))-AVERAGE(OFFSET($H$3,0,0,'Données projet'!$E$14+1,1))</f>
        <v>212.77458587586861</v>
      </c>
      <c r="DU24" s="60">
        <f t="shared" si="44"/>
        <v>260.45879589483513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projet'!$B$14,Paramètres!$A$1:$I$88,3,0)*0.475*44/12</f>
        <v>0</v>
      </c>
      <c r="EB24" s="23">
        <f>EXP(-LN(2)/25)*EB23+(1-EXP(-LN(2)/25))/(LN(2)/25)*Calculateur!DW24*Calculateur!DY24*VLOOKUP('Données projet'!$B$14,Paramètres!$A$1:$I$88,3,0)*0.475*44/12</f>
        <v>4.9865779143196898</v>
      </c>
      <c r="EC24" s="23">
        <f>EXP(-LN(2)/2)*EC23+(1-EXP(-LN(2)/2))/(LN(2)/2)*DW24*DZ24*VLOOKUP('Données projet'!$B$14,Paramètres!$A$1:$I$88,3,0)*0.475*44/12</f>
        <v>0</v>
      </c>
      <c r="ED24" s="24">
        <f t="shared" si="18"/>
        <v>4.9865779143196898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5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8">
        <f t="shared" si="1"/>
        <v>183.33333333333334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10.119999999999999</v>
      </c>
      <c r="N25" s="14">
        <f>IF('Données projet'!$A$36&gt;35,N24+M25-V24,IF(A25&lt;'Données projet'!$A$36,$K$205^A25,IF(A25='Données projet'!$A$36,'Données projet'!$B$36,N24+M25-V24)))</f>
        <v>130.24050114182094</v>
      </c>
      <c r="O25" s="14">
        <f>N25*VLOOKUP('Données projet'!$B$9,Paramètres!$A$1:$I$88,3,0)*VLOOKUP('Données projet'!$B$9,Paramètres!$A$1:$I$88,5,0)</f>
        <v>72.804440138277911</v>
      </c>
      <c r="P25" s="14">
        <f t="shared" si="33"/>
        <v>20.368298721866509</v>
      </c>
      <c r="Q25" s="22">
        <f t="shared" si="2"/>
        <v>162.27585351475153</v>
      </c>
      <c r="R25" s="60">
        <f t="shared" si="0"/>
        <v>383.4567674182199</v>
      </c>
      <c r="S25" s="60">
        <f ca="1">AVERAGE(OFFSET($R$3,0,0,'Données projet'!$E$9+1,1))-AVERAGE(OFFSET($H$3,0,0,'Données projet'!$E$9+1,1))</f>
        <v>366.29380214443631</v>
      </c>
      <c r="T25" s="60">
        <f t="shared" si="34"/>
        <v>413.14502442862897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5.0517241379310347</v>
      </c>
      <c r="AI25" s="14">
        <f>IF('Données projet'!$A$62&gt;35,AI24+AH25-AQ24,IF(A25&lt;'Données projet'!$A$62,$AF$205^A25,IF(A25='Données projet'!$A$62,'Données projet'!$B$62,AI24+AH25-AQ24)))</f>
        <v>43.959144561168742</v>
      </c>
      <c r="AJ25" s="14">
        <f>AI25*VLOOKUP('Données projet'!$B$10,Paramètres!$A$1:$I$88,3,0)*VLOOKUP('Données projet'!$B$10,Paramètres!$A$1:$I$88,5,0)</f>
        <v>38.40270868863702</v>
      </c>
      <c r="AK25" s="14">
        <f t="shared" si="35"/>
        <v>11.574285811900172</v>
      </c>
      <c r="AL25" s="22">
        <f t="shared" si="4"/>
        <v>87.043265421768922</v>
      </c>
      <c r="AM25" s="60">
        <f t="shared" si="5"/>
        <v>308.22417932523729</v>
      </c>
      <c r="AN25" s="60">
        <f ca="1">AVERAGE(OFFSET($AM$3,0,0,'Données projet'!$E$10+1,1))-AVERAGE(OFFSET($H$3,0,0,'Données projet'!$E$10+1,1))</f>
        <v>436.5217771315057</v>
      </c>
      <c r="AO25" s="60">
        <f t="shared" si="36"/>
        <v>308.97310256098365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0.16216216216216217</v>
      </c>
      <c r="BD25" s="13">
        <f>IF('Données projet'!$A$88&gt;35,BD24+BC25-BL24,IF(A25&lt;'Données projet'!$A$88,$BA$205^A25,IF(A25='Données projet'!$A$88,'Données projet'!$B$88,BD24+BC25-BL24)))</f>
        <v>3.5675675675675693</v>
      </c>
      <c r="BE25" s="14">
        <f>BD25*VLOOKUP('Données projet'!$B$11,Paramètres!$A$1:$I$88,3,0)*VLOOKUP('Données projet'!$B$11,Paramètres!$A$1:$I$88,5,0)</f>
        <v>3.6175135135135155</v>
      </c>
      <c r="BF25" s="14">
        <f t="shared" si="37"/>
        <v>1.4353680801857434</v>
      </c>
      <c r="BG25" s="22">
        <f t="shared" si="7"/>
        <v>8.8004354423595412</v>
      </c>
      <c r="BH25" s="60">
        <f t="shared" si="8"/>
        <v>229.98134934582794</v>
      </c>
      <c r="BI25" s="60">
        <f ca="1">AVERAGE(OFFSET($BH$3,0,0,'Données projet'!$E$11+1,1))-AVERAGE(OFFSET($H$3,0,0,'Données projet'!$E$11+1,1))</f>
        <v>108.30434106718693</v>
      </c>
      <c r="BJ25" s="60">
        <f t="shared" si="38"/>
        <v>67.653808657585842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6.5</v>
      </c>
      <c r="BY25" s="13">
        <f>IF('Données projet'!$A$114&gt;35,BY24+BX25-CG24,IF(A25&lt;'Données projet'!$A$114,$BV$205^A25,IF(A25='Données projet'!$A$114,'Données projet'!$B$114,BY24+BX25-CG24)))</f>
        <v>87.75</v>
      </c>
      <c r="BZ25" s="14">
        <f>BY25*VLOOKUP('Données projet'!$B$12,Paramètres!$A$1:$I$88,3,0)*VLOOKUP('Données projet'!$B$12,Paramètres!$A$1:$I$88,5,0)</f>
        <v>41.067</v>
      </c>
      <c r="CA25" s="14">
        <f t="shared" si="39"/>
        <v>12.281020616191851</v>
      </c>
      <c r="CB25" s="22">
        <f t="shared" si="10"/>
        <v>92.914469239867472</v>
      </c>
      <c r="CC25" s="60">
        <f t="shared" si="11"/>
        <v>314.09538314333588</v>
      </c>
      <c r="CD25" s="60">
        <f ca="1">AVERAGE(OFFSET($CC$3,0,0,'Données projet'!$E$12+1,1))-AVERAGE(OFFSET($H$3,0,0,'Données projet'!$E$12+1,1))</f>
        <v>171.08593400758221</v>
      </c>
      <c r="CE25" s="60">
        <f t="shared" si="40"/>
        <v>201.9528484086932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projet'!$B$12,Paramètres!$A$1:$I$88,3,0)*0.475*44/12</f>
        <v>0</v>
      </c>
      <c r="CL25" s="23">
        <f>EXP(-LN(2)/25)*CL24+(1-EXP(-LN(2)/25))/(LN(2)/25)*Calculateur!CG25*Calculateur!CI25*VLOOKUP('Données projet'!$B$12,Paramètres!$A$1:$I$88,3,0)*0.475*44/12</f>
        <v>12.951111009428754</v>
      </c>
      <c r="CM25" s="23">
        <f>EXP(-LN(2)/2)*CM24+(1-EXP(-LN(2)/2))/(LN(2)/2)*CG25*CJ25*VLOOKUP('Données projet'!$B$12,Paramètres!$A$1:$I$88,3,0)*0.475*44/12</f>
        <v>0</v>
      </c>
      <c r="CN25" s="24">
        <f t="shared" si="12"/>
        <v>12.951111009428754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12.2</v>
      </c>
      <c r="CT25" s="13">
        <f>IF('Données projet'!$A$140&gt;35,CT24+CS25-DB24,IF(A25&lt;'Données projet'!$A$140,$CQ$205^A25,IF(A25='Données projet'!$A$140,'Données projet'!$B$140,CT24+CS25-DB24)))</f>
        <v>113.39999999999998</v>
      </c>
      <c r="CU25" s="18">
        <f>CT25*VLOOKUP('Données projet'!$B$13,Paramètres!$A$1:$I$88,3,0)*VLOOKUP('Données projet'!$B$13,Paramètres!$A$1:$I$88,5,0)</f>
        <v>76.068719999999985</v>
      </c>
      <c r="CV25" s="14">
        <f t="shared" si="41"/>
        <v>21.173165019355668</v>
      </c>
      <c r="CW25" s="22">
        <f t="shared" si="13"/>
        <v>169.36294974204441</v>
      </c>
      <c r="CX25" s="60">
        <f t="shared" si="14"/>
        <v>390.54386364551283</v>
      </c>
      <c r="CY25" s="60">
        <f ca="1">AVERAGE(OFFSET($CX$3,0,0,'Données projet'!$E$13+1,1))-AVERAGE(OFFSET($H$3,0,0,'Données projet'!$E$13+1,1))</f>
        <v>283.66646124753868</v>
      </c>
      <c r="CZ25" s="60">
        <f t="shared" si="42"/>
        <v>331.61926649572797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projet'!$B$13,Paramètres!$A$1:$I$88,3,0)*0.475*44/12</f>
        <v>0</v>
      </c>
      <c r="DG25" s="23">
        <f>EXP(-LN(2)/25)*DG24+(1-EXP(-LN(2)/25))/(LN(2)/25)*Calculateur!DB25*Calculateur!DD25*VLOOKUP('Données projet'!$B$13,Paramètres!$A$1:$I$88,3,0)*0.475*44/12</f>
        <v>0</v>
      </c>
      <c r="DH25" s="23">
        <f>EXP(-LN(2)/2)*DH24+(1-EXP(-LN(2)/2))/(LN(2)/2)*DB25*DE25*VLOOKUP('Données projet'!$B$13,Paramètres!$A$1:$I$88,3,0)*0.475*44/12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8</v>
      </c>
      <c r="DO25" s="13">
        <f>IF('Données projet'!$A$166&gt;35,DO24+DN25-DW24,IF(A25&lt;'Données projet'!$A$166,$DL$205^A25,IF(A25='Données projet'!$A$166,'Données projet'!$B$166,DO24+DN25-DW24)))</f>
        <v>106.99999999999997</v>
      </c>
      <c r="DP25" s="18">
        <f>DO25*VLOOKUP('Données projet'!$B$14,Paramètres!$A$1:$I$88,3,0)*VLOOKUP('Données projet'!$B$14,Paramètres!$A$1:$I$88,5,0)</f>
        <v>78.452399999999983</v>
      </c>
      <c r="DQ25" s="14">
        <f t="shared" si="43"/>
        <v>21.758358756045968</v>
      </c>
      <c r="DR25" s="22">
        <f t="shared" si="16"/>
        <v>174.53373816678004</v>
      </c>
      <c r="DS25" s="60">
        <f t="shared" si="17"/>
        <v>395.71465207024846</v>
      </c>
      <c r="DT25" s="60">
        <f ca="1">AVERAGE(OFFSET($DS$3,0,0,'Données projet'!$E$14+1,1))-AVERAGE(OFFSET($H$3,0,0,'Données projet'!$E$14+1,1))</f>
        <v>212.77458587586861</v>
      </c>
      <c r="DU25" s="60">
        <f t="shared" si="44"/>
        <v>260.45879589483513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projet'!$B$14,Paramètres!$A$1:$I$88,3,0)*0.475*44/12</f>
        <v>0</v>
      </c>
      <c r="EB25" s="23">
        <f>EXP(-LN(2)/25)*EB24+(1-EXP(-LN(2)/25))/(LN(2)/25)*Calculateur!DW25*Calculateur!DY25*VLOOKUP('Données projet'!$B$14,Paramètres!$A$1:$I$88,3,0)*0.475*44/12</f>
        <v>4.8502196790198822</v>
      </c>
      <c r="EC25" s="23">
        <f>EXP(-LN(2)/2)*EC24+(1-EXP(-LN(2)/2))/(LN(2)/2)*DW25*DZ25*VLOOKUP('Données projet'!$B$14,Paramètres!$A$1:$I$88,3,0)*0.475*44/12</f>
        <v>0</v>
      </c>
      <c r="ED25" s="24">
        <f t="shared" si="18"/>
        <v>4.8502196790198822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5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8">
        <f t="shared" si="1"/>
        <v>183.33333333333334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10.119999999999999</v>
      </c>
      <c r="N26" s="14">
        <f>IF('Données projet'!$A$36&gt;35,N25+M26-V25,IF(A26&lt;'Données projet'!$A$36,$K$205^A26,IF(A26='Données projet'!$A$36,'Données projet'!$B$36,N25+M26-V25)))</f>
        <v>162.50655340931482</v>
      </c>
      <c r="O26" s="14">
        <f>N26*VLOOKUP('Données projet'!$B$9,Paramètres!$A$1:$I$88,3,0)*VLOOKUP('Données projet'!$B$9,Paramètres!$A$1:$I$88,5,0)</f>
        <v>90.841163355806984</v>
      </c>
      <c r="P26" s="14">
        <f t="shared" si="33"/>
        <v>24.767983371374214</v>
      </c>
      <c r="Q26" s="22">
        <f t="shared" si="2"/>
        <v>201.35259721650723</v>
      </c>
      <c r="R26" s="60">
        <f t="shared" si="0"/>
        <v>424.83779392605373</v>
      </c>
      <c r="S26" s="60">
        <f ca="1">AVERAGE(OFFSET($R$3,0,0,'Données projet'!$E$9+1,1))-AVERAGE(OFFSET($H$3,0,0,'Données projet'!$E$9+1,1))</f>
        <v>366.29380214443631</v>
      </c>
      <c r="T26" s="60">
        <f t="shared" si="34"/>
        <v>413.14502442862897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5.0517241379310347</v>
      </c>
      <c r="AI26" s="14">
        <f>IF('Données projet'!$A$62&gt;35,AI25+AH26-AQ25,IF(A26&lt;'Données projet'!$A$62,$AF$205^A26,IF(A26='Données projet'!$A$62,'Données projet'!$B$62,AI25+AH26-AQ25)))</f>
        <v>52.207547050462203</v>
      </c>
      <c r="AJ26" s="14">
        <f>AI26*VLOOKUP('Données projet'!$B$10,Paramètres!$A$1:$I$88,3,0)*VLOOKUP('Données projet'!$B$10,Paramètres!$A$1:$I$88,5,0)</f>
        <v>45.608513103283784</v>
      </c>
      <c r="AK26" s="14">
        <f t="shared" si="35"/>
        <v>13.473642949494558</v>
      </c>
      <c r="AL26" s="22">
        <f t="shared" si="4"/>
        <v>102.90142179192226</v>
      </c>
      <c r="AM26" s="60">
        <f t="shared" si="5"/>
        <v>326.38661850146877</v>
      </c>
      <c r="AN26" s="60">
        <f ca="1">AVERAGE(OFFSET($AM$3,0,0,'Données projet'!$E$10+1,1))-AVERAGE(OFFSET($H$3,0,0,'Données projet'!$E$10+1,1))</f>
        <v>436.5217771315057</v>
      </c>
      <c r="AO26" s="60">
        <f t="shared" si="36"/>
        <v>308.97310256098365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0.16216216216216217</v>
      </c>
      <c r="BD26" s="13">
        <f>IF('Données projet'!$A$88&gt;35,BD25+BC26-BL25,IF(A26&lt;'Données projet'!$A$88,$BA$205^A26,IF(A26='Données projet'!$A$88,'Données projet'!$B$88,BD25+BC26-BL25)))</f>
        <v>3.7297297297297316</v>
      </c>
      <c r="BE26" s="14">
        <f>BD26*VLOOKUP('Données projet'!$B$11,Paramètres!$A$1:$I$88,3,0)*VLOOKUP('Données projet'!$B$11,Paramètres!$A$1:$I$88,5,0)</f>
        <v>3.7819459459459481</v>
      </c>
      <c r="BF26" s="14">
        <f t="shared" si="37"/>
        <v>1.4928676917876664</v>
      </c>
      <c r="BG26" s="22">
        <f t="shared" si="7"/>
        <v>9.1869670857193793</v>
      </c>
      <c r="BH26" s="60">
        <f t="shared" si="8"/>
        <v>232.67216379526587</v>
      </c>
      <c r="BI26" s="60">
        <f ca="1">AVERAGE(OFFSET($BH$3,0,0,'Données projet'!$E$11+1,1))-AVERAGE(OFFSET($H$3,0,0,'Données projet'!$E$11+1,1))</f>
        <v>108.30434106718693</v>
      </c>
      <c r="BJ26" s="60">
        <f t="shared" si="38"/>
        <v>67.653808657585842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6.5</v>
      </c>
      <c r="BY26" s="13">
        <f>IF('Données projet'!$A$114&gt;35,BY25+BX26-CG25,IF(A26&lt;'Données projet'!$A$114,$BV$205^A26,IF(A26='Données projet'!$A$114,'Données projet'!$B$114,BY25+BX26-CG25)))</f>
        <v>94.25</v>
      </c>
      <c r="BZ26" s="14">
        <f>BY26*VLOOKUP('Données projet'!$B$12,Paramètres!$A$1:$I$88,3,0)*VLOOKUP('Données projet'!$B$12,Paramètres!$A$1:$I$88,5,0)</f>
        <v>44.109000000000002</v>
      </c>
      <c r="CA26" s="14">
        <f t="shared" si="39"/>
        <v>13.081462764279204</v>
      </c>
      <c r="CB26" s="22">
        <f t="shared" si="10"/>
        <v>99.60672264778627</v>
      </c>
      <c r="CC26" s="60">
        <f t="shared" si="11"/>
        <v>323.09191935733276</v>
      </c>
      <c r="CD26" s="60">
        <f ca="1">AVERAGE(OFFSET($CC$3,0,0,'Données projet'!$E$12+1,1))-AVERAGE(OFFSET($H$3,0,0,'Données projet'!$E$12+1,1))</f>
        <v>171.08593400758221</v>
      </c>
      <c r="CE26" s="60">
        <f t="shared" si="40"/>
        <v>201.9528484086932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projet'!$B$12,Paramètres!$A$1:$I$88,3,0)*0.475*44/12</f>
        <v>0</v>
      </c>
      <c r="CL26" s="23">
        <f>EXP(-LN(2)/25)*CL25+(1-EXP(-LN(2)/25))/(LN(2)/25)*Calculateur!CG26*Calculateur!CI26*VLOOKUP('Données projet'!$B$12,Paramètres!$A$1:$I$88,3,0)*0.475*44/12</f>
        <v>12.596962197806597</v>
      </c>
      <c r="CM26" s="23">
        <f>EXP(-LN(2)/2)*CM25+(1-EXP(-LN(2)/2))/(LN(2)/2)*CG26*CJ26*VLOOKUP('Données projet'!$B$12,Paramètres!$A$1:$I$88,3,0)*0.475*44/12</f>
        <v>0</v>
      </c>
      <c r="CN26" s="24">
        <f t="shared" si="12"/>
        <v>12.596962197806597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12.2</v>
      </c>
      <c r="CT26" s="13">
        <f>IF('Données projet'!$A$140&gt;35,CT25+CS26-DB25,IF(A26&lt;'Données projet'!$A$140,$CQ$205^A26,IF(A26='Données projet'!$A$140,'Données projet'!$B$140,CT25+CS26-DB25)))</f>
        <v>125.59999999999998</v>
      </c>
      <c r="CU26" s="18">
        <f>CT26*VLOOKUP('Données projet'!$B$13,Paramètres!$A$1:$I$88,3,0)*VLOOKUP('Données projet'!$B$13,Paramètres!$A$1:$I$88,5,0)</f>
        <v>84.252479999999991</v>
      </c>
      <c r="CV26" s="14">
        <f t="shared" si="41"/>
        <v>23.173782829214268</v>
      </c>
      <c r="CW26" s="22">
        <f t="shared" si="13"/>
        <v>187.10074109421484</v>
      </c>
      <c r="CX26" s="60">
        <f t="shared" si="14"/>
        <v>410.58593780376134</v>
      </c>
      <c r="CY26" s="60">
        <f ca="1">AVERAGE(OFFSET($CX$3,0,0,'Données projet'!$E$13+1,1))-AVERAGE(OFFSET($H$3,0,0,'Données projet'!$E$13+1,1))</f>
        <v>283.66646124753868</v>
      </c>
      <c r="CZ26" s="60">
        <f t="shared" si="42"/>
        <v>331.61926649572797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projet'!$B$13,Paramètres!$A$1:$I$88,3,0)*0.475*44/12</f>
        <v>0</v>
      </c>
      <c r="DG26" s="23">
        <f>EXP(-LN(2)/25)*DG25+(1-EXP(-LN(2)/25))/(LN(2)/25)*Calculateur!DB26*Calculateur!DD26*VLOOKUP('Données projet'!$B$13,Paramètres!$A$1:$I$88,3,0)*0.475*44/12</f>
        <v>0</v>
      </c>
      <c r="DH26" s="23">
        <f>EXP(-LN(2)/2)*DH25+(1-EXP(-LN(2)/2))/(LN(2)/2)*DB26*DE26*VLOOKUP('Données projet'!$B$13,Paramètres!$A$1:$I$88,3,0)*0.475*44/12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8</v>
      </c>
      <c r="DO26" s="13">
        <f>IF('Données projet'!$A$166&gt;35,DO25+DN26-DW25,IF(A26&lt;'Données projet'!$A$166,$DL$205^A26,IF(A26='Données projet'!$A$166,'Données projet'!$B$166,DO25+DN26-DW25)))</f>
        <v>114.99999999999997</v>
      </c>
      <c r="DP26" s="18">
        <f>DO26*VLOOKUP('Données projet'!$B$14,Paramètres!$A$1:$I$88,3,0)*VLOOKUP('Données projet'!$B$14,Paramètres!$A$1:$I$88,5,0)</f>
        <v>84.317999999999969</v>
      </c>
      <c r="DQ26" s="14">
        <f t="shared" si="43"/>
        <v>23.189705803157239</v>
      </c>
      <c r="DR26" s="22">
        <f t="shared" si="16"/>
        <v>187.24258760716546</v>
      </c>
      <c r="DS26" s="60">
        <f t="shared" si="17"/>
        <v>410.72778431671196</v>
      </c>
      <c r="DT26" s="60">
        <f ca="1">AVERAGE(OFFSET($DS$3,0,0,'Données projet'!$E$14+1,1))-AVERAGE(OFFSET($H$3,0,0,'Données projet'!$E$14+1,1))</f>
        <v>212.77458587586861</v>
      </c>
      <c r="DU26" s="60">
        <f t="shared" si="44"/>
        <v>260.45879589483513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projet'!$B$14,Paramètres!$A$1:$I$88,3,0)*0.475*44/12</f>
        <v>0</v>
      </c>
      <c r="EB26" s="23">
        <f>EXP(-LN(2)/25)*EB25+(1-EXP(-LN(2)/25))/(LN(2)/25)*Calculateur!DW26*Calculateur!DY26*VLOOKUP('Données projet'!$B$14,Paramètres!$A$1:$I$88,3,0)*0.475*44/12</f>
        <v>4.7175901668351159</v>
      </c>
      <c r="EC26" s="23">
        <f>EXP(-LN(2)/2)*EC25+(1-EXP(-LN(2)/2))/(LN(2)/2)*DW26*DZ26*VLOOKUP('Données projet'!$B$14,Paramètres!$A$1:$I$88,3,0)*0.475*44/12</f>
        <v>0</v>
      </c>
      <c r="ED26" s="24">
        <f t="shared" si="18"/>
        <v>4.7175901668351159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5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8">
        <f t="shared" si="1"/>
        <v>183.33333333333334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10.119999999999999</v>
      </c>
      <c r="N27" s="14">
        <f>IF('Données projet'!$A$36&gt;35,N26+M27-V26,IF(A27&lt;'Données projet'!$A$36,$K$205^A27,IF(A27='Données projet'!$A$36,'Données projet'!$B$36,N26+M27-V26)))</f>
        <v>202.76626448341133</v>
      </c>
      <c r="O27" s="14">
        <f>N27*VLOOKUP('Données projet'!$B$9,Paramètres!$A$1:$I$88,3,0)*VLOOKUP('Données projet'!$B$9,Paramètres!$A$1:$I$88,5,0)</f>
        <v>113.34634184622693</v>
      </c>
      <c r="P27" s="14">
        <f t="shared" si="33"/>
        <v>30.118028445158924</v>
      </c>
      <c r="Q27" s="22">
        <f t="shared" si="2"/>
        <v>249.86711159083032</v>
      </c>
      <c r="R27" s="60">
        <f t="shared" si="0"/>
        <v>475.63781977445012</v>
      </c>
      <c r="S27" s="60">
        <f ca="1">AVERAGE(OFFSET($R$3,0,0,'Données projet'!$E$9+1,1))-AVERAGE(OFFSET($H$3,0,0,'Données projet'!$E$9+1,1))</f>
        <v>366.29380214443631</v>
      </c>
      <c r="T27" s="60">
        <f t="shared" si="34"/>
        <v>413.14502442862897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5.0517241379310347</v>
      </c>
      <c r="AI27" s="14">
        <f>IF('Données projet'!$A$62&gt;35,AI26+AH27-AQ26,IF(A27&lt;'Données projet'!$A$62,$AF$205^A27,IF(A27='Données projet'!$A$62,'Données projet'!$B$62,AI26+AH27-AQ26)))</f>
        <v>62.003662633460465</v>
      </c>
      <c r="AJ27" s="14">
        <f>AI27*VLOOKUP('Données projet'!$B$10,Paramètres!$A$1:$I$88,3,0)*VLOOKUP('Données projet'!$B$10,Paramètres!$A$1:$I$88,5,0)</f>
        <v>54.16639967659107</v>
      </c>
      <c r="AK27" s="14">
        <f t="shared" si="35"/>
        <v>15.684687356157552</v>
      </c>
      <c r="AL27" s="22">
        <f t="shared" si="4"/>
        <v>121.6573099153705</v>
      </c>
      <c r="AM27" s="60">
        <f t="shared" si="5"/>
        <v>347.42801809899032</v>
      </c>
      <c r="AN27" s="60">
        <f ca="1">AVERAGE(OFFSET($AM$3,0,0,'Données projet'!$E$10+1,1))-AVERAGE(OFFSET($H$3,0,0,'Données projet'!$E$10+1,1))</f>
        <v>436.5217771315057</v>
      </c>
      <c r="AO27" s="60">
        <f t="shared" si="36"/>
        <v>308.97310256098365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0.16216216216216217</v>
      </c>
      <c r="BD27" s="13">
        <f>IF('Données projet'!$A$88&gt;35,BD26+BC27-BL26,IF(A27&lt;'Données projet'!$A$88,$BA$205^A27,IF(A27='Données projet'!$A$88,'Données projet'!$B$88,BD26+BC27-BL26)))</f>
        <v>3.8918918918918939</v>
      </c>
      <c r="BE27" s="14">
        <f>BD27*VLOOKUP('Données projet'!$B$11,Paramètres!$A$1:$I$88,3,0)*VLOOKUP('Données projet'!$B$11,Paramètres!$A$1:$I$88,5,0)</f>
        <v>3.9463783783783803</v>
      </c>
      <c r="BF27" s="14">
        <f t="shared" si="37"/>
        <v>1.5500769438618092</v>
      </c>
      <c r="BG27" s="22">
        <f t="shared" si="7"/>
        <v>9.5729930195683295</v>
      </c>
      <c r="BH27" s="60">
        <f t="shared" si="8"/>
        <v>235.34370120318812</v>
      </c>
      <c r="BI27" s="60">
        <f ca="1">AVERAGE(OFFSET($BH$3,0,0,'Données projet'!$E$11+1,1))-AVERAGE(OFFSET($H$3,0,0,'Données projet'!$E$11+1,1))</f>
        <v>108.30434106718693</v>
      </c>
      <c r="BJ27" s="60">
        <f t="shared" si="38"/>
        <v>67.653808657585842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6.5</v>
      </c>
      <c r="BY27" s="13">
        <f>IF('Données projet'!$A$114&gt;35,BY26+BX27-CG26,IF(A27&lt;'Données projet'!$A$114,$BV$205^A27,IF(A27='Données projet'!$A$114,'Données projet'!$B$114,BY26+BX27-CG26)))</f>
        <v>100.75</v>
      </c>
      <c r="BZ27" s="14">
        <f>BY27*VLOOKUP('Données projet'!$B$12,Paramètres!$A$1:$I$88,3,0)*VLOOKUP('Données projet'!$B$12,Paramètres!$A$1:$I$88,5,0)</f>
        <v>47.150999999999996</v>
      </c>
      <c r="CA27" s="14">
        <f t="shared" si="39"/>
        <v>13.875499658600519</v>
      </c>
      <c r="CB27" s="22">
        <f t="shared" si="10"/>
        <v>106.28782023872922</v>
      </c>
      <c r="CC27" s="60">
        <f t="shared" si="11"/>
        <v>332.05852842234901</v>
      </c>
      <c r="CD27" s="60">
        <f ca="1">AVERAGE(OFFSET($CC$3,0,0,'Données projet'!$E$12+1,1))-AVERAGE(OFFSET($H$3,0,0,'Données projet'!$E$12+1,1))</f>
        <v>171.08593400758221</v>
      </c>
      <c r="CE27" s="60">
        <f t="shared" si="40"/>
        <v>201.9528484086932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projet'!$B$12,Paramètres!$A$1:$I$88,3,0)*0.475*44/12</f>
        <v>0</v>
      </c>
      <c r="CL27" s="23">
        <f>EXP(-LN(2)/25)*CL26+(1-EXP(-LN(2)/25))/(LN(2)/25)*Calculateur!CG27*Calculateur!CI27*VLOOKUP('Données projet'!$B$12,Paramètres!$A$1:$I$88,3,0)*0.475*44/12</f>
        <v>12.252497604062125</v>
      </c>
      <c r="CM27" s="23">
        <f>EXP(-LN(2)/2)*CM26+(1-EXP(-LN(2)/2))/(LN(2)/2)*CG27*CJ27*VLOOKUP('Données projet'!$B$12,Paramètres!$A$1:$I$88,3,0)*0.475*44/12</f>
        <v>0</v>
      </c>
      <c r="CN27" s="24">
        <f t="shared" si="12"/>
        <v>12.252497604062125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12.2</v>
      </c>
      <c r="CT27" s="13">
        <f>IF('Données projet'!$A$140&gt;35,CT26+CS27-DB26,IF(A27&lt;'Données projet'!$A$140,$CQ$205^A27,IF(A27='Données projet'!$A$140,'Données projet'!$B$140,CT26+CS27-DB26)))</f>
        <v>137.79999999999998</v>
      </c>
      <c r="CU27" s="18">
        <f>CT27*VLOOKUP('Données projet'!$B$13,Paramètres!$A$1:$I$88,3,0)*VLOOKUP('Données projet'!$B$13,Paramètres!$A$1:$I$88,5,0)</f>
        <v>92.436239999999984</v>
      </c>
      <c r="CV27" s="14">
        <f t="shared" si="41"/>
        <v>25.15187094412299</v>
      </c>
      <c r="CW27" s="22">
        <f t="shared" si="13"/>
        <v>204.79929322768086</v>
      </c>
      <c r="CX27" s="60">
        <f t="shared" si="14"/>
        <v>430.57000141130067</v>
      </c>
      <c r="CY27" s="60">
        <f ca="1">AVERAGE(OFFSET($CX$3,0,0,'Données projet'!$E$13+1,1))-AVERAGE(OFFSET($H$3,0,0,'Données projet'!$E$13+1,1))</f>
        <v>283.66646124753868</v>
      </c>
      <c r="CZ27" s="60">
        <f t="shared" si="42"/>
        <v>331.61926649572797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projet'!$B$13,Paramètres!$A$1:$I$88,3,0)*0.475*44/12</f>
        <v>0</v>
      </c>
      <c r="DG27" s="23">
        <f>EXP(-LN(2)/25)*DG26+(1-EXP(-LN(2)/25))/(LN(2)/25)*Calculateur!DB27*Calculateur!DD27*VLOOKUP('Données projet'!$B$13,Paramètres!$A$1:$I$88,3,0)*0.475*44/12</f>
        <v>0</v>
      </c>
      <c r="DH27" s="23">
        <f>EXP(-LN(2)/2)*DH26+(1-EXP(-LN(2)/2))/(LN(2)/2)*DB27*DE27*VLOOKUP('Données projet'!$B$13,Paramètres!$A$1:$I$88,3,0)*0.475*44/12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8</v>
      </c>
      <c r="DO27" s="13">
        <f>IF('Données projet'!$A$166&gt;35,DO26+DN27-DW26,IF(A27&lt;'Données projet'!$A$166,$DL$205^A27,IF(A27='Données projet'!$A$166,'Données projet'!$B$166,DO26+DN27-DW26)))</f>
        <v>122.99999999999997</v>
      </c>
      <c r="DP27" s="18">
        <f>DO27*VLOOKUP('Données projet'!$B$14,Paramètres!$A$1:$I$88,3,0)*VLOOKUP('Données projet'!$B$14,Paramètres!$A$1:$I$88,5,0)</f>
        <v>90.18359999999997</v>
      </c>
      <c r="DQ27" s="14">
        <f t="shared" si="43"/>
        <v>24.609499639553768</v>
      </c>
      <c r="DR27" s="22">
        <f t="shared" si="16"/>
        <v>199.93131520555607</v>
      </c>
      <c r="DS27" s="60">
        <f t="shared" si="17"/>
        <v>425.70202338917591</v>
      </c>
      <c r="DT27" s="60">
        <f ca="1">AVERAGE(OFFSET($DS$3,0,0,'Données projet'!$E$14+1,1))-AVERAGE(OFFSET($H$3,0,0,'Données projet'!$E$14+1,1))</f>
        <v>212.77458587586861</v>
      </c>
      <c r="DU27" s="60">
        <f t="shared" si="44"/>
        <v>260.45879589483513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projet'!$B$14,Paramètres!$A$1:$I$88,3,0)*0.475*44/12</f>
        <v>0</v>
      </c>
      <c r="EB27" s="23">
        <f>EXP(-LN(2)/25)*EB26+(1-EXP(-LN(2)/25))/(LN(2)/25)*Calculateur!DW27*Calculateur!DY27*VLOOKUP('Données projet'!$B$14,Paramètres!$A$1:$I$88,3,0)*0.475*44/12</f>
        <v>4.5885874156357254</v>
      </c>
      <c r="EC27" s="23">
        <f>EXP(-LN(2)/2)*EC26+(1-EXP(-LN(2)/2))/(LN(2)/2)*DW27*DZ27*VLOOKUP('Données projet'!$B$14,Paramètres!$A$1:$I$88,3,0)*0.475*44/12</f>
        <v>0</v>
      </c>
      <c r="ED27" s="24">
        <f t="shared" si="18"/>
        <v>4.5885874156357254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5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8">
        <f t="shared" si="1"/>
        <v>183.33333333333334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253</v>
      </c>
      <c r="L28" s="13">
        <f>VLOOKUP(A28,'Données projet'!$A$35:$I$55,9,0)</f>
        <v>10.119999999999999</v>
      </c>
      <c r="M28" s="13">
        <f t="array" ref="M28">INDEX(L:L,MIN(IF(ISNUMBER(L28:L224),ROW(L28:L224),"")))</f>
        <v>10.119999999999999</v>
      </c>
      <c r="N28" s="14">
        <f>IF('Données projet'!$A$36&gt;35,N27+M28-V27,IF(A28&lt;'Données projet'!$A$36,$K$205^A28,IF(A28='Données projet'!$A$36,'Données projet'!$B$36,N27+M28-V27)))</f>
        <v>253</v>
      </c>
      <c r="O28" s="14">
        <f>N28*VLOOKUP('Données projet'!$B$9,Paramètres!$A$1:$I$88,3,0)*VLOOKUP('Données projet'!$B$9,Paramètres!$A$1:$I$88,5,0)</f>
        <v>141.42699999999999</v>
      </c>
      <c r="P28" s="14">
        <f t="shared" si="33"/>
        <v>36.623717959686019</v>
      </c>
      <c r="Q28" s="22">
        <f t="shared" si="2"/>
        <v>310.10500044645312</v>
      </c>
      <c r="R28" s="60">
        <f t="shared" si="0"/>
        <v>538.14277441278523</v>
      </c>
      <c r="S28" s="60">
        <f ca="1">AVERAGE(OFFSET($R$3,0,0,'Données projet'!$E$9+1,1))-AVERAGE(OFFSET($H$3,0,0,'Données projet'!$E$9+1,1))</f>
        <v>366.29380214443631</v>
      </c>
      <c r="T28" s="60">
        <f t="shared" si="34"/>
        <v>413.14502442862897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59</v>
      </c>
      <c r="W28" s="17">
        <f>IF(ISNA(VLOOKUP(A28,'Données projet'!$A$35:$I$55,5,0)),0%,VLOOKUP(A28,'Données projet'!$A$35:$I$55,5,0)*VLOOKUP('Données projet'!$B$9,Paramètres!$A$1:$I$88,7,0))</f>
        <v>5.5000000000000007E-2</v>
      </c>
      <c r="X28" s="17">
        <f>IF(ISNA(VLOOKUP(A28,'Données projet'!$A$35:$I$55,6,0)),0%,VLOOKUP(A28,'Données projet'!$A$35:$I$55,6,0)*VLOOKUP('Données projet'!$B$9,Paramètres!$A$1:$I$88,7,0))</f>
        <v>0.44000000000000006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2.4063282267668318</v>
      </c>
      <c r="AA28" s="23">
        <f>EXP(-LN(2)/25)*AA27+(1-EXP(-LN(2)/25))/(LN(2)/25)*Calculateur!V28*Calculateur!X28*VLOOKUP('Données projet'!$B$9,Paramètres!$A$1:$I$88,3,0)*0.475*44/12</f>
        <v>19.174828765240907</v>
      </c>
      <c r="AB28" s="23">
        <f>EXP(-LN(2)/2)*AB27+(1-EXP(-LN(2)/2))/(LN(2)/2)*V28*Y28*VLOOKUP('Données projet'!$B$9,Paramètres!$A$1:$I$88,3,0)*0.475*44/12</f>
        <v>0</v>
      </c>
      <c r="AC28" s="24">
        <f t="shared" si="3"/>
        <v>21.581156992007738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5.0517241379310347</v>
      </c>
      <c r="AI28" s="14">
        <f>IF('Données projet'!$A$62&gt;35,AI27+AH28-AQ27,IF(A28&lt;'Données projet'!$A$62,$AF$205^A28,IF(A28='Données projet'!$A$62,'Données projet'!$B$62,AI27+AH28-AQ27)))</f>
        <v>73.637900977191094</v>
      </c>
      <c r="AJ28" s="14">
        <f>AI28*VLOOKUP('Données projet'!$B$10,Paramètres!$A$1:$I$88,3,0)*VLOOKUP('Données projet'!$B$10,Paramètres!$A$1:$I$88,5,0)</f>
        <v>64.33007029367414</v>
      </c>
      <c r="AK28" s="14">
        <f t="shared" si="35"/>
        <v>18.258567366121063</v>
      </c>
      <c r="AL28" s="22">
        <f t="shared" si="4"/>
        <v>143.84187725747665</v>
      </c>
      <c r="AM28" s="60">
        <f t="shared" si="5"/>
        <v>371.87965122380876</v>
      </c>
      <c r="AN28" s="60">
        <f ca="1">AVERAGE(OFFSET($AM$3,0,0,'Données projet'!$E$10+1,1))-AVERAGE(OFFSET($H$3,0,0,'Données projet'!$E$10+1,1))</f>
        <v>436.5217771315057</v>
      </c>
      <c r="AO28" s="60">
        <f t="shared" si="36"/>
        <v>308.97310256098365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0.16216216216216217</v>
      </c>
      <c r="BD28" s="13">
        <f>IF('Données projet'!$A$88&gt;35,BD27+BC28-BL27,IF(A28&lt;'Données projet'!$A$88,$BA$205^A28,IF(A28='Données projet'!$A$88,'Données projet'!$B$88,BD27+BC28-BL27)))</f>
        <v>4.0540540540540562</v>
      </c>
      <c r="BE28" s="14">
        <f>BD28*VLOOKUP('Données projet'!$B$11,Paramètres!$A$1:$I$88,3,0)*VLOOKUP('Données projet'!$B$11,Paramètres!$A$1:$I$88,5,0)</f>
        <v>4.110810810810813</v>
      </c>
      <c r="BF28" s="14">
        <f t="shared" si="37"/>
        <v>1.6070093182212737</v>
      </c>
      <c r="BG28" s="22">
        <f t="shared" si="7"/>
        <v>9.9585367247308838</v>
      </c>
      <c r="BH28" s="60">
        <f t="shared" si="8"/>
        <v>237.996310691063</v>
      </c>
      <c r="BI28" s="60">
        <f ca="1">AVERAGE(OFFSET($BH$3,0,0,'Données projet'!$E$11+1,1))-AVERAGE(OFFSET($H$3,0,0,'Données projet'!$E$11+1,1))</f>
        <v>108.30434106718693</v>
      </c>
      <c r="BJ28" s="60">
        <f t="shared" si="38"/>
        <v>67.653808657585842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6.5</v>
      </c>
      <c r="BY28" s="13">
        <f>IF('Données projet'!$A$114&gt;35,BY27+BX28-CG27,IF(A28&lt;'Données projet'!$A$114,$BV$205^A28,IF(A28='Données projet'!$A$114,'Données projet'!$B$114,BY27+BX28-CG27)))</f>
        <v>107.25</v>
      </c>
      <c r="BZ28" s="14">
        <f>BY28*VLOOKUP('Données projet'!$B$12,Paramètres!$A$1:$I$88,3,0)*VLOOKUP('Données projet'!$B$12,Paramètres!$A$1:$I$88,5,0)</f>
        <v>50.192999999999998</v>
      </c>
      <c r="CA28" s="14">
        <f t="shared" si="39"/>
        <v>14.663591573784165</v>
      </c>
      <c r="CB28" s="22">
        <f t="shared" si="10"/>
        <v>112.95856365767406</v>
      </c>
      <c r="CC28" s="60">
        <f t="shared" si="11"/>
        <v>340.99633762400617</v>
      </c>
      <c r="CD28" s="60">
        <f ca="1">AVERAGE(OFFSET($CC$3,0,0,'Données projet'!$E$12+1,1))-AVERAGE(OFFSET($H$3,0,0,'Données projet'!$E$12+1,1))</f>
        <v>171.08593400758221</v>
      </c>
      <c r="CE28" s="60">
        <f t="shared" si="40"/>
        <v>201.9528484086932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projet'!$B$12,Paramètres!$A$1:$I$88,3,0)*0.475*44/12</f>
        <v>0</v>
      </c>
      <c r="CL28" s="23">
        <f>EXP(-LN(2)/25)*CL27+(1-EXP(-LN(2)/25))/(LN(2)/25)*Calculateur!CG28*Calculateur!CI28*VLOOKUP('Données projet'!$B$12,Paramètres!$A$1:$I$88,3,0)*0.475*44/12</f>
        <v>11.917452412748201</v>
      </c>
      <c r="CM28" s="23">
        <f>EXP(-LN(2)/2)*CM27+(1-EXP(-LN(2)/2))/(LN(2)/2)*CG28*CJ28*VLOOKUP('Données projet'!$B$12,Paramètres!$A$1:$I$88,3,0)*0.475*44/12</f>
        <v>0</v>
      </c>
      <c r="CN28" s="24">
        <f t="shared" si="12"/>
        <v>11.917452412748201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150</v>
      </c>
      <c r="CR28" s="13">
        <f>VLOOKUP(A28,'Données projet'!$A$139:$I$159,9,0)</f>
        <v>12.2</v>
      </c>
      <c r="CS28" s="13">
        <f t="array" ref="CS28">INDEX(CR:CR,MIN(IF(ISNUMBER(CR28:CR224),ROW(CR28:CR224),"")))</f>
        <v>12.2</v>
      </c>
      <c r="CT28" s="13">
        <f>IF('Données projet'!$A$140&gt;35,CT27+CS28-DB27,IF(A28&lt;'Données projet'!$A$140,$CQ$205^A28,IF(A28='Données projet'!$A$140,'Données projet'!$B$140,CT27+CS28-DB27)))</f>
        <v>149.99999999999997</v>
      </c>
      <c r="CU28" s="18">
        <f>CT28*VLOOKUP('Données projet'!$B$13,Paramètres!$A$1:$I$88,3,0)*VLOOKUP('Données projet'!$B$13,Paramètres!$A$1:$I$88,5,0)</f>
        <v>100.61999999999998</v>
      </c>
      <c r="CV28" s="14">
        <f t="shared" si="41"/>
        <v>27.109650822934128</v>
      </c>
      <c r="CW28" s="22">
        <f t="shared" si="13"/>
        <v>222.46247518327689</v>
      </c>
      <c r="CX28" s="60">
        <f t="shared" si="14"/>
        <v>450.50024914960898</v>
      </c>
      <c r="CY28" s="60">
        <f ca="1">AVERAGE(OFFSET($CX$3,0,0,'Données projet'!$E$13+1,1))-AVERAGE(OFFSET($H$3,0,0,'Données projet'!$E$13+1,1))</f>
        <v>283.66646124753868</v>
      </c>
      <c r="CZ28" s="60">
        <f t="shared" si="42"/>
        <v>331.61926649572797</v>
      </c>
      <c r="DA28" s="16">
        <f>IF(ISNA(VLOOKUP(A28,'Données projet'!$A$139:$I$159,3,0)),0,VLOOKUP(A28,'Données projet'!$A$139:$I$159,3,0))</f>
        <v>3</v>
      </c>
      <c r="DB28" s="16">
        <f>IF(ISNA(VLOOKUP(A28,'Données projet'!$A$139:$I$159,4,0)),0,VLOOKUP(A28,'Données projet'!$A$139:$I$159,4,0))</f>
        <v>23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projet'!$B$13,Paramètres!$A$1:$I$88,3,0)*0.475*44/12</f>
        <v>0</v>
      </c>
      <c r="DG28" s="23">
        <f>EXP(-LN(2)/25)*DG27+(1-EXP(-LN(2)/25))/(LN(2)/25)*Calculateur!DB28*Calculateur!DD28*VLOOKUP('Données projet'!$B$13,Paramètres!$A$1:$I$88,3,0)*0.475*44/12</f>
        <v>0</v>
      </c>
      <c r="DH28" s="23">
        <f>EXP(-LN(2)/2)*DH27+(1-EXP(-LN(2)/2))/(LN(2)/2)*DB28*DE28*VLOOKUP('Données projet'!$B$13,Paramètres!$A$1:$I$88,3,0)*0.475*44/12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131</v>
      </c>
      <c r="DM28" s="13">
        <f>VLOOKUP(A28,'Données projet'!$A$165:$I$185,9,0)</f>
        <v>8</v>
      </c>
      <c r="DN28" s="13">
        <f t="array" ref="DN28">INDEX(DM:DM,MIN(IF(ISNUMBER(DM28:DM224),ROW(DM28:DM224),"")))</f>
        <v>8</v>
      </c>
      <c r="DO28" s="13">
        <f>IF('Données projet'!$A$166&gt;35,DO27+DN28-DW27,IF(A28&lt;'Données projet'!$A$166,$DL$205^A28,IF(A28='Données projet'!$A$166,'Données projet'!$B$166,DO27+DN28-DW27)))</f>
        <v>130.99999999999997</v>
      </c>
      <c r="DP28" s="18">
        <f>DO28*VLOOKUP('Données projet'!$B$14,Paramètres!$A$1:$I$88,3,0)*VLOOKUP('Données projet'!$B$14,Paramètres!$A$1:$I$88,5,0)</f>
        <v>96.049199999999985</v>
      </c>
      <c r="DQ28" s="14">
        <f t="shared" si="43"/>
        <v>26.018577210521574</v>
      </c>
      <c r="DR28" s="22">
        <f t="shared" si="16"/>
        <v>212.60137864165836</v>
      </c>
      <c r="DS28" s="60">
        <f t="shared" si="17"/>
        <v>440.63915260799047</v>
      </c>
      <c r="DT28" s="60">
        <f ca="1">AVERAGE(OFFSET($DS$3,0,0,'Données projet'!$E$14+1,1))-AVERAGE(OFFSET($H$3,0,0,'Données projet'!$E$14+1,1))</f>
        <v>212.77458587586861</v>
      </c>
      <c r="DU28" s="60">
        <f t="shared" si="44"/>
        <v>260.45879589483513</v>
      </c>
      <c r="DV28" s="16">
        <f>IF(ISNA(VLOOKUP(A28,'Données projet'!$A$165:$I$185,3,0)),0,VLOOKUP(A28,'Données projet'!$A$165:$I$185,3,0))</f>
        <v>5</v>
      </c>
      <c r="DW28" s="16">
        <f>IF(ISNA(VLOOKUP(A28,'Données projet'!$A$165:$I$185,4,0)),0,VLOOKUP(A28,'Données projet'!$A$165:$I$185,4,0))</f>
        <v>41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0.215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projet'!$B$14,Paramètres!$A$1:$I$88,3,0)*0.475*44/12</f>
        <v>0</v>
      </c>
      <c r="EB28" s="23">
        <f>EXP(-LN(2)/25)*EB27+(1-EXP(-LN(2)/25))/(LN(2)/25)*Calculateur!DW28*Calculateur!DY28*VLOOKUP('Données projet'!$B$14,Paramètres!$A$1:$I$88,3,0)*0.475*44/12</f>
        <v>11.579810061663558</v>
      </c>
      <c r="EC28" s="23">
        <f>EXP(-LN(2)/2)*EC27+(1-EXP(-LN(2)/2))/(LN(2)/2)*DW28*DZ28*VLOOKUP('Données projet'!$B$14,Paramètres!$A$1:$I$88,3,0)*0.475*44/12</f>
        <v>0</v>
      </c>
      <c r="ED28" s="24">
        <f t="shared" si="18"/>
        <v>11.579810061663558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5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8">
        <f t="shared" si="1"/>
        <v>183.33333333333334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19.714285714285715</v>
      </c>
      <c r="N29" s="14">
        <f>IF('Données projet'!$A$36&gt;35,N28+M29-V28,IF(A29&lt;'Données projet'!$A$36,$K$205^A29,IF(A29='Données projet'!$A$36,'Données projet'!$B$36,N28+M29-V28)))</f>
        <v>213.71428571428572</v>
      </c>
      <c r="O29" s="14">
        <f>N29*VLOOKUP('Données projet'!$B$9,Paramètres!$A$1:$I$88,3,0)*VLOOKUP('Données projet'!$B$9,Paramètres!$A$1:$I$88,5,0)</f>
        <v>119.46628571428572</v>
      </c>
      <c r="P29" s="14">
        <f t="shared" si="33"/>
        <v>31.550486926257484</v>
      </c>
      <c r="Q29" s="22">
        <f t="shared" si="2"/>
        <v>263.02087901561271</v>
      </c>
      <c r="R29" s="60">
        <f t="shared" si="0"/>
        <v>493.30759306480286</v>
      </c>
      <c r="S29" s="60">
        <f ca="1">AVERAGE(OFFSET($R$3,0,0,'Données projet'!$E$9+1,1))-AVERAGE(OFFSET($H$3,0,0,'Données projet'!$E$9+1,1))</f>
        <v>366.29380214443631</v>
      </c>
      <c r="T29" s="60">
        <f t="shared" si="34"/>
        <v>413.14502442862897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2.3591415979552277</v>
      </c>
      <c r="AA29" s="23">
        <f>EXP(-LN(2)/25)*AA28+(1-EXP(-LN(2)/25))/(LN(2)/25)*Calculateur!V29*Calculateur!X29*VLOOKUP('Données projet'!$B$9,Paramètres!$A$1:$I$88,3,0)*0.475*44/12</f>
        <v>18.650492064294973</v>
      </c>
      <c r="AB29" s="23">
        <f>EXP(-LN(2)/2)*AB28+(1-EXP(-LN(2)/2))/(LN(2)/2)*V29*Y29*VLOOKUP('Données projet'!$B$9,Paramètres!$A$1:$I$88,3,0)*0.475*44/12</f>
        <v>0</v>
      </c>
      <c r="AC29" s="24">
        <f t="shared" si="3"/>
        <v>21.009633662250202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5.0517241379310347</v>
      </c>
      <c r="AI29" s="14">
        <f>IF('Données projet'!$A$62&gt;35,AI28+AH29-AQ28,IF(A29&lt;'Données projet'!$A$62,$AF$205^A29,IF(A29='Données projet'!$A$62,'Données projet'!$B$62,AI28+AH29-AQ28)))</f>
        <v>87.455163614807347</v>
      </c>
      <c r="AJ29" s="14">
        <f>AI29*VLOOKUP('Données projet'!$B$10,Paramètres!$A$1:$I$88,3,0)*VLOOKUP('Données projet'!$B$10,Paramètres!$A$1:$I$88,5,0)</f>
        <v>76.400830933895705</v>
      </c>
      <c r="AK29" s="14">
        <f t="shared" si="35"/>
        <v>21.254824829664436</v>
      </c>
      <c r="AL29" s="22">
        <f t="shared" si="4"/>
        <v>170.08360045486725</v>
      </c>
      <c r="AM29" s="60">
        <f t="shared" si="5"/>
        <v>400.37031450405743</v>
      </c>
      <c r="AN29" s="60">
        <f ca="1">AVERAGE(OFFSET($AM$3,0,0,'Données projet'!$E$10+1,1))-AVERAGE(OFFSET($H$3,0,0,'Données projet'!$E$10+1,1))</f>
        <v>436.5217771315057</v>
      </c>
      <c r="AO29" s="60">
        <f t="shared" si="36"/>
        <v>308.97310256098365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0.16216216216216217</v>
      </c>
      <c r="BD29" s="13">
        <f>IF('Données projet'!$A$88&gt;35,BD28+BC29-BL28,IF(A29&lt;'Données projet'!$A$88,$BA$205^A29,IF(A29='Données projet'!$A$88,'Données projet'!$B$88,BD28+BC29-BL28)))</f>
        <v>4.2162162162162184</v>
      </c>
      <c r="BE29" s="14">
        <f>BD29*VLOOKUP('Données projet'!$B$11,Paramètres!$A$1:$I$88,3,0)*VLOOKUP('Données projet'!$B$11,Paramètres!$A$1:$I$88,5,0)</f>
        <v>4.2752432432432466</v>
      </c>
      <c r="BF29" s="14">
        <f t="shared" si="37"/>
        <v>1.6636771570850193</v>
      </c>
      <c r="BG29" s="22">
        <f t="shared" si="7"/>
        <v>10.343619697238397</v>
      </c>
      <c r="BH29" s="60">
        <f t="shared" si="8"/>
        <v>240.63033374642859</v>
      </c>
      <c r="BI29" s="60">
        <f ca="1">AVERAGE(OFFSET($BH$3,0,0,'Données projet'!$E$11+1,1))-AVERAGE(OFFSET($H$3,0,0,'Données projet'!$E$11+1,1))</f>
        <v>108.30434106718693</v>
      </c>
      <c r="BJ29" s="60">
        <f t="shared" si="38"/>
        <v>67.653808657585842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6.5</v>
      </c>
      <c r="BY29" s="13">
        <f>IF('Données projet'!$A$114&gt;35,BY28+BX29-CG28,IF(A29&lt;'Données projet'!$A$114,$BV$205^A29,IF(A29='Données projet'!$A$114,'Données projet'!$B$114,BY28+BX29-CG28)))</f>
        <v>113.75</v>
      </c>
      <c r="BZ29" s="14">
        <f>BY29*VLOOKUP('Données projet'!$B$12,Paramètres!$A$1:$I$88,3,0)*VLOOKUP('Données projet'!$B$12,Paramètres!$A$1:$I$88,5,0)</f>
        <v>53.234999999999999</v>
      </c>
      <c r="CA29" s="14">
        <f t="shared" si="39"/>
        <v>15.446139841251489</v>
      </c>
      <c r="CB29" s="22">
        <f t="shared" si="10"/>
        <v>119.61965189017968</v>
      </c>
      <c r="CC29" s="60">
        <f t="shared" si="11"/>
        <v>349.90636593936983</v>
      </c>
      <c r="CD29" s="60">
        <f ca="1">AVERAGE(OFFSET($CC$3,0,0,'Données projet'!$E$12+1,1))-AVERAGE(OFFSET($H$3,0,0,'Données projet'!$E$12+1,1))</f>
        <v>171.08593400758221</v>
      </c>
      <c r="CE29" s="60">
        <f t="shared" si="40"/>
        <v>201.9528484086932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projet'!$B$12,Paramètres!$A$1:$I$88,3,0)*0.475*44/12</f>
        <v>0</v>
      </c>
      <c r="CL29" s="23">
        <f>EXP(-LN(2)/25)*CL28+(1-EXP(-LN(2)/25))/(LN(2)/25)*Calculateur!CG29*Calculateur!CI29*VLOOKUP('Données projet'!$B$12,Paramètres!$A$1:$I$88,3,0)*0.475*44/12</f>
        <v>11.591569049810017</v>
      </c>
      <c r="CM29" s="23">
        <f>EXP(-LN(2)/2)*CM28+(1-EXP(-LN(2)/2))/(LN(2)/2)*CG29*CJ29*VLOOKUP('Données projet'!$B$12,Paramètres!$A$1:$I$88,3,0)*0.475*44/12</f>
        <v>0</v>
      </c>
      <c r="CN29" s="24">
        <f t="shared" si="12"/>
        <v>11.591569049810017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12</v>
      </c>
      <c r="CT29" s="13">
        <f>IF('Données projet'!$A$140&gt;35,CT28+CS29-DB28,IF(A29&lt;'Données projet'!$A$140,$CQ$205^A29,IF(A29='Données projet'!$A$140,'Données projet'!$B$140,CT28+CS29-DB28)))</f>
        <v>138.99999999999997</v>
      </c>
      <c r="CU29" s="18">
        <f>CT29*VLOOKUP('Données projet'!$B$13,Paramètres!$A$1:$I$88,3,0)*VLOOKUP('Données projet'!$B$13,Paramètres!$A$1:$I$88,5,0)</f>
        <v>93.241199999999992</v>
      </c>
      <c r="CV29" s="14">
        <f t="shared" si="41"/>
        <v>25.345307511339666</v>
      </c>
      <c r="CW29" s="22">
        <f t="shared" si="13"/>
        <v>206.53816724891658</v>
      </c>
      <c r="CX29" s="60">
        <f t="shared" si="14"/>
        <v>436.82488129810679</v>
      </c>
      <c r="CY29" s="60">
        <f ca="1">AVERAGE(OFFSET($CX$3,0,0,'Données projet'!$E$13+1,1))-AVERAGE(OFFSET($H$3,0,0,'Données projet'!$E$13+1,1))</f>
        <v>283.66646124753868</v>
      </c>
      <c r="CZ29" s="60">
        <f t="shared" si="42"/>
        <v>331.61926649572797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projet'!$B$13,Paramètres!$A$1:$I$88,3,0)*0.475*44/12</f>
        <v>0</v>
      </c>
      <c r="DG29" s="23">
        <f>EXP(-LN(2)/25)*DG28+(1-EXP(-LN(2)/25))/(LN(2)/25)*Calculateur!DB29*Calculateur!DD29*VLOOKUP('Données projet'!$B$13,Paramètres!$A$1:$I$88,3,0)*0.475*44/12</f>
        <v>0</v>
      </c>
      <c r="DH29" s="23">
        <f>EXP(-LN(2)/2)*DH28+(1-EXP(-LN(2)/2))/(LN(2)/2)*DB29*DE29*VLOOKUP('Données projet'!$B$13,Paramètres!$A$1:$I$88,3,0)*0.475*44/12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7.2</v>
      </c>
      <c r="DO29" s="13">
        <f>IF('Données projet'!$A$166&gt;35,DO28+DN29-DW28,IF(A29&lt;'Données projet'!$A$166,$DL$205^A29,IF(A29='Données projet'!$A$166,'Données projet'!$B$166,DO28+DN29-DW28)))</f>
        <v>97.19999999999996</v>
      </c>
      <c r="DP29" s="18">
        <f>DO29*VLOOKUP('Données projet'!$B$14,Paramètres!$A$1:$I$88,3,0)*VLOOKUP('Données projet'!$B$14,Paramètres!$A$1:$I$88,5,0)</f>
        <v>71.267039999999966</v>
      </c>
      <c r="DQ29" s="14">
        <f t="shared" si="43"/>
        <v>19.987779001267139</v>
      </c>
      <c r="DR29" s="22">
        <f t="shared" si="16"/>
        <v>158.93547642720688</v>
      </c>
      <c r="DS29" s="60">
        <f t="shared" si="17"/>
        <v>389.22219047639703</v>
      </c>
      <c r="DT29" s="60">
        <f ca="1">AVERAGE(OFFSET($DS$3,0,0,'Données projet'!$E$14+1,1))-AVERAGE(OFFSET($H$3,0,0,'Données projet'!$E$14+1,1))</f>
        <v>212.77458587586861</v>
      </c>
      <c r="DU29" s="60">
        <f t="shared" si="44"/>
        <v>260.45879589483513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projet'!$B$14,Paramètres!$A$1:$I$88,3,0)*0.475*44/12</f>
        <v>0</v>
      </c>
      <c r="EB29" s="23">
        <f>EXP(-LN(2)/25)*EB28+(1-EXP(-LN(2)/25))/(LN(2)/25)*Calculateur!DW29*Calculateur!DY29*VLOOKUP('Données projet'!$B$14,Paramètres!$A$1:$I$88,3,0)*0.475*44/12</f>
        <v>11.263159546571623</v>
      </c>
      <c r="EC29" s="23">
        <f>EXP(-LN(2)/2)*EC28+(1-EXP(-LN(2)/2))/(LN(2)/2)*DW29*DZ29*VLOOKUP('Données projet'!$B$14,Paramètres!$A$1:$I$88,3,0)*0.475*44/12</f>
        <v>0</v>
      </c>
      <c r="ED29" s="24">
        <f t="shared" si="18"/>
        <v>11.263159546571623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5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8">
        <f t="shared" si="1"/>
        <v>183.33333333333334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19.714285714285715</v>
      </c>
      <c r="N30" s="14">
        <f>IF('Données projet'!$A$36&gt;35,N29+M30-V29,IF(A30&lt;'Données projet'!$A$36,$K$205^A30,IF(A30='Données projet'!$A$36,'Données projet'!$B$36,N29+M30-V29)))</f>
        <v>233.42857142857144</v>
      </c>
      <c r="O30" s="14">
        <f>N30*VLOOKUP('Données projet'!$B$9,Paramètres!$A$1:$I$88,3,0)*VLOOKUP('Données projet'!$B$9,Paramètres!$A$1:$I$88,5,0)</f>
        <v>130.48657142857144</v>
      </c>
      <c r="P30" s="14">
        <f t="shared" si="33"/>
        <v>34.108767245824239</v>
      </c>
      <c r="Q30" s="22">
        <f t="shared" si="2"/>
        <v>286.67021485790582</v>
      </c>
      <c r="R30" s="60">
        <f t="shared" si="0"/>
        <v>519.18805773046938</v>
      </c>
      <c r="S30" s="60">
        <f ca="1">AVERAGE(OFFSET($R$3,0,0,'Données projet'!$E$9+1,1))-AVERAGE(OFFSET($H$3,0,0,'Données projet'!$E$9+1,1))</f>
        <v>366.29380214443631</v>
      </c>
      <c r="T30" s="60">
        <f t="shared" si="34"/>
        <v>413.14502442862897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2.3128802701536175</v>
      </c>
      <c r="AA30" s="23">
        <f>EXP(-LN(2)/25)*AA29+(1-EXP(-LN(2)/25))/(LN(2)/25)*Calculateur!V30*Calculateur!X30*VLOOKUP('Données projet'!$B$9,Paramètres!$A$1:$I$88,3,0)*0.475*44/12</f>
        <v>18.140493378010074</v>
      </c>
      <c r="AB30" s="23">
        <f>EXP(-LN(2)/2)*AB29+(1-EXP(-LN(2)/2))/(LN(2)/2)*V30*Y30*VLOOKUP('Données projet'!$B$9,Paramètres!$A$1:$I$88,3,0)*0.475*44/12</f>
        <v>0</v>
      </c>
      <c r="AC30" s="24">
        <f t="shared" si="3"/>
        <v>20.453373648163691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5.0517241379310347</v>
      </c>
      <c r="AI30" s="14">
        <f>IF('Données projet'!$A$62&gt;35,AI29+AH30-AQ29,IF(A30&lt;'Données projet'!$A$62,$AF$205^A30,IF(A30='Données projet'!$A$62,'Données projet'!$B$62,AI29+AH30-AQ29)))</f>
        <v>103.86506868605302</v>
      </c>
      <c r="AJ30" s="14">
        <f>AI30*VLOOKUP('Données projet'!$B$10,Paramètres!$A$1:$I$88,3,0)*VLOOKUP('Données projet'!$B$10,Paramètres!$A$1:$I$88,5,0)</f>
        <v>90.73652400413593</v>
      </c>
      <c r="AK30" s="14">
        <f t="shared" si="35"/>
        <v>24.742772501306888</v>
      </c>
      <c r="AL30" s="22">
        <f t="shared" si="4"/>
        <v>201.12644141364623</v>
      </c>
      <c r="AM30" s="60">
        <f t="shared" si="5"/>
        <v>433.64428428620977</v>
      </c>
      <c r="AN30" s="60">
        <f ca="1">AVERAGE(OFFSET($AM$3,0,0,'Données projet'!$E$10+1,1))-AVERAGE(OFFSET($H$3,0,0,'Données projet'!$E$10+1,1))</f>
        <v>436.5217771315057</v>
      </c>
      <c r="AO30" s="60">
        <f t="shared" si="36"/>
        <v>308.97310256098365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0.16216216216216217</v>
      </c>
      <c r="BD30" s="13">
        <f>IF('Données projet'!$A$88&gt;35,BD29+BC30-BL29,IF(A30&lt;'Données projet'!$A$88,$BA$205^A30,IF(A30='Données projet'!$A$88,'Données projet'!$B$88,BD29+BC30-BL29)))</f>
        <v>4.3783783783783807</v>
      </c>
      <c r="BE30" s="14">
        <f>BD30*VLOOKUP('Données projet'!$B$11,Paramètres!$A$1:$I$88,3,0)*VLOOKUP('Données projet'!$B$11,Paramètres!$A$1:$I$88,5,0)</f>
        <v>4.4396756756756783</v>
      </c>
      <c r="BF30" s="14">
        <f t="shared" si="37"/>
        <v>1.7200917995047404</v>
      </c>
      <c r="BG30" s="22">
        <f t="shared" si="7"/>
        <v>10.728261685939231</v>
      </c>
      <c r="BH30" s="60">
        <f t="shared" si="8"/>
        <v>243.24610455850274</v>
      </c>
      <c r="BI30" s="60">
        <f ca="1">AVERAGE(OFFSET($BH$3,0,0,'Données projet'!$E$11+1,1))-AVERAGE(OFFSET($H$3,0,0,'Données projet'!$E$11+1,1))</f>
        <v>108.30434106718693</v>
      </c>
      <c r="BJ30" s="60">
        <f t="shared" si="38"/>
        <v>67.653808657585842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6.5</v>
      </c>
      <c r="BY30" s="13">
        <f>IF('Données projet'!$A$114&gt;35,BY29+BX30-CG29,IF(A30&lt;'Données projet'!$A$114,$BV$205^A30,IF(A30='Données projet'!$A$114,'Données projet'!$B$114,BY29+BX30-CG29)))</f>
        <v>120.25</v>
      </c>
      <c r="BZ30" s="14">
        <f>BY30*VLOOKUP('Données projet'!$B$12,Paramètres!$A$1:$I$88,3,0)*VLOOKUP('Données projet'!$B$12,Paramètres!$A$1:$I$88,5,0)</f>
        <v>56.277000000000001</v>
      </c>
      <c r="CA30" s="14">
        <f t="shared" si="39"/>
        <v>16.223497335301602</v>
      </c>
      <c r="CB30" s="22">
        <f t="shared" si="10"/>
        <v>126.27169952565028</v>
      </c>
      <c r="CC30" s="60">
        <f t="shared" si="11"/>
        <v>358.78954239821377</v>
      </c>
      <c r="CD30" s="60">
        <f ca="1">AVERAGE(OFFSET($CC$3,0,0,'Données projet'!$E$12+1,1))-AVERAGE(OFFSET($H$3,0,0,'Données projet'!$E$12+1,1))</f>
        <v>171.08593400758221</v>
      </c>
      <c r="CE30" s="60">
        <f t="shared" si="40"/>
        <v>201.9528484086932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projet'!$B$12,Paramètres!$A$1:$I$88,3,0)*0.475*44/12</f>
        <v>0</v>
      </c>
      <c r="CL30" s="23">
        <f>EXP(-LN(2)/25)*CL29+(1-EXP(-LN(2)/25))/(LN(2)/25)*Calculateur!CG30*Calculateur!CI30*VLOOKUP('Données projet'!$B$12,Paramètres!$A$1:$I$88,3,0)*0.475*44/12</f>
        <v>11.27459698456884</v>
      </c>
      <c r="CM30" s="23">
        <f>EXP(-LN(2)/2)*CM29+(1-EXP(-LN(2)/2))/(LN(2)/2)*CG30*CJ30*VLOOKUP('Données projet'!$B$12,Paramètres!$A$1:$I$88,3,0)*0.475*44/12</f>
        <v>0</v>
      </c>
      <c r="CN30" s="24">
        <f t="shared" si="12"/>
        <v>11.27459698456884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12</v>
      </c>
      <c r="CT30" s="13">
        <f>IF('Données projet'!$A$140&gt;35,CT29+CS30-DB29,IF(A30&lt;'Données projet'!$A$140,$CQ$205^A30,IF(A30='Données projet'!$A$140,'Données projet'!$B$140,CT29+CS30-DB29)))</f>
        <v>150.99999999999997</v>
      </c>
      <c r="CU30" s="18">
        <f>CT30*VLOOKUP('Données projet'!$B$13,Paramètres!$A$1:$I$88,3,0)*VLOOKUP('Données projet'!$B$13,Paramètres!$A$1:$I$88,5,0)</f>
        <v>101.29079999999999</v>
      </c>
      <c r="CV30" s="14">
        <f t="shared" si="41"/>
        <v>27.269282931321147</v>
      </c>
      <c r="CW30" s="22">
        <f t="shared" si="13"/>
        <v>223.9088111053843</v>
      </c>
      <c r="CX30" s="60">
        <f t="shared" si="14"/>
        <v>456.42665397794781</v>
      </c>
      <c r="CY30" s="60">
        <f ca="1">AVERAGE(OFFSET($CX$3,0,0,'Données projet'!$E$13+1,1))-AVERAGE(OFFSET($H$3,0,0,'Données projet'!$E$13+1,1))</f>
        <v>283.66646124753868</v>
      </c>
      <c r="CZ30" s="60">
        <f t="shared" si="42"/>
        <v>331.61926649572797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projet'!$B$13,Paramètres!$A$1:$I$88,3,0)*0.475*44/12</f>
        <v>0</v>
      </c>
      <c r="DG30" s="23">
        <f>EXP(-LN(2)/25)*DG29+(1-EXP(-LN(2)/25))/(LN(2)/25)*Calculateur!DB30*Calculateur!DD30*VLOOKUP('Données projet'!$B$13,Paramètres!$A$1:$I$88,3,0)*0.475*44/12</f>
        <v>0</v>
      </c>
      <c r="DH30" s="23">
        <f>EXP(-LN(2)/2)*DH29+(1-EXP(-LN(2)/2))/(LN(2)/2)*DB30*DE30*VLOOKUP('Données projet'!$B$13,Paramètres!$A$1:$I$88,3,0)*0.475*44/12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7.2</v>
      </c>
      <c r="DO30" s="13">
        <f>IF('Données projet'!$A$166&gt;35,DO29+DN30-DW29,IF(A30&lt;'Données projet'!$A$166,$DL$205^A30,IF(A30='Données projet'!$A$166,'Données projet'!$B$166,DO29+DN30-DW29)))</f>
        <v>104.39999999999996</v>
      </c>
      <c r="DP30" s="18">
        <f>DO30*VLOOKUP('Données projet'!$B$14,Paramètres!$A$1:$I$88,3,0)*VLOOKUP('Données projet'!$B$14,Paramètres!$A$1:$I$88,5,0)</f>
        <v>76.546079999999961</v>
      </c>
      <c r="DQ30" s="14">
        <f t="shared" si="43"/>
        <v>21.29052583797349</v>
      </c>
      <c r="DR30" s="22">
        <f t="shared" si="16"/>
        <v>170.39875516780376</v>
      </c>
      <c r="DS30" s="60">
        <f t="shared" si="17"/>
        <v>402.91659804036726</v>
      </c>
      <c r="DT30" s="60">
        <f ca="1">AVERAGE(OFFSET($DS$3,0,0,'Données projet'!$E$14+1,1))-AVERAGE(OFFSET($H$3,0,0,'Données projet'!$E$14+1,1))</f>
        <v>212.77458587586861</v>
      </c>
      <c r="DU30" s="60">
        <f t="shared" si="44"/>
        <v>260.45879589483513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projet'!$B$14,Paramètres!$A$1:$I$88,3,0)*0.475*44/12</f>
        <v>0</v>
      </c>
      <c r="EB30" s="23">
        <f>EXP(-LN(2)/25)*EB29+(1-EXP(-LN(2)/25))/(LN(2)/25)*Calculateur!DW30*Calculateur!DY30*VLOOKUP('Données projet'!$B$14,Paramètres!$A$1:$I$88,3,0)*0.475*44/12</f>
        <v>10.955167856466804</v>
      </c>
      <c r="EC30" s="23">
        <f>EXP(-LN(2)/2)*EC29+(1-EXP(-LN(2)/2))/(LN(2)/2)*DW30*DZ30*VLOOKUP('Données projet'!$B$14,Paramètres!$A$1:$I$88,3,0)*0.475*44/12</f>
        <v>0</v>
      </c>
      <c r="ED30" s="24">
        <f t="shared" si="18"/>
        <v>10.955167856466804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5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8">
        <f t="shared" si="1"/>
        <v>183.33333333333334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19.714285714285715</v>
      </c>
      <c r="N31" s="14">
        <f>IF('Données projet'!$A$36&gt;35,N30+M31-V30,IF(A31&lt;'Données projet'!$A$36,$K$205^A31,IF(A31='Données projet'!$A$36,'Données projet'!$B$36,N30+M31-V30)))</f>
        <v>253.14285714285717</v>
      </c>
      <c r="O31" s="14">
        <f>N31*VLOOKUP('Données projet'!$B$9,Paramètres!$A$1:$I$88,3,0)*VLOOKUP('Données projet'!$B$9,Paramètres!$A$1:$I$88,5,0)</f>
        <v>141.50685714285717</v>
      </c>
      <c r="P31" s="14">
        <f t="shared" si="33"/>
        <v>36.641989926907435</v>
      </c>
      <c r="Q31" s="22">
        <f t="shared" si="2"/>
        <v>310.27590864650665</v>
      </c>
      <c r="R31" s="60">
        <f t="shared" si="0"/>
        <v>545.00737806849077</v>
      </c>
      <c r="S31" s="60">
        <f ca="1">AVERAGE(OFFSET($R$3,0,0,'Données projet'!$E$9+1,1))-AVERAGE(OFFSET($H$3,0,0,'Données projet'!$E$9+1,1))</f>
        <v>366.29380214443631</v>
      </c>
      <c r="T31" s="60">
        <f t="shared" si="34"/>
        <v>413.14502442862897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2.267526098773573</v>
      </c>
      <c r="AA31" s="23">
        <f>EXP(-LN(2)/25)*AA30+(1-EXP(-LN(2)/25))/(LN(2)/25)*Calculateur!V31*Calculateur!X31*VLOOKUP('Données projet'!$B$9,Paramètres!$A$1:$I$88,3,0)*0.475*44/12</f>
        <v>17.644440632621304</v>
      </c>
      <c r="AB31" s="23">
        <f>EXP(-LN(2)/2)*AB30+(1-EXP(-LN(2)/2))/(LN(2)/2)*V31*Y31*VLOOKUP('Données projet'!$B$9,Paramètres!$A$1:$I$88,3,0)*0.475*44/12</f>
        <v>0</v>
      </c>
      <c r="AC31" s="24">
        <f t="shared" si="3"/>
        <v>19.911966731394877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5.0517241379310347</v>
      </c>
      <c r="AI31" s="14">
        <f>IF('Données projet'!$A$62&gt;35,AI30+AH31-AQ30,IF(A31&lt;'Données projet'!$A$62,$AF$205^A31,IF(A31='Données projet'!$A$62,'Données projet'!$B$62,AI30+AH31-AQ30)))</f>
        <v>123.35409422676975</v>
      </c>
      <c r="AJ31" s="14">
        <f>AI31*VLOOKUP('Données projet'!$B$10,Paramètres!$A$1:$I$88,3,0)*VLOOKUP('Données projet'!$B$10,Paramètres!$A$1:$I$88,5,0)</f>
        <v>107.76213671650608</v>
      </c>
      <c r="AK31" s="14">
        <f t="shared" si="35"/>
        <v>28.803097459406025</v>
      </c>
      <c r="AL31" s="22">
        <f t="shared" si="4"/>
        <v>237.85111618971357</v>
      </c>
      <c r="AM31" s="60">
        <f t="shared" si="5"/>
        <v>472.58258561169765</v>
      </c>
      <c r="AN31" s="60">
        <f ca="1">AVERAGE(OFFSET($AM$3,0,0,'Données projet'!$E$10+1,1))-AVERAGE(OFFSET($H$3,0,0,'Données projet'!$E$10+1,1))</f>
        <v>436.5217771315057</v>
      </c>
      <c r="AO31" s="60">
        <f t="shared" si="36"/>
        <v>308.97310256098365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0.16216216216216217</v>
      </c>
      <c r="BD31" s="13">
        <f>IF('Données projet'!$A$88&gt;35,BD30+BC31-BL30,IF(A31&lt;'Données projet'!$A$88,$BA$205^A31,IF(A31='Données projet'!$A$88,'Données projet'!$B$88,BD30+BC31-BL30)))</f>
        <v>4.540540540540543</v>
      </c>
      <c r="BE31" s="14">
        <f>BD31*VLOOKUP('Données projet'!$B$11,Paramètres!$A$1:$I$88,3,0)*VLOOKUP('Données projet'!$B$11,Paramètres!$A$1:$I$88,5,0)</f>
        <v>4.604108108108111</v>
      </c>
      <c r="BF31" s="14">
        <f t="shared" si="37"/>
        <v>1.7762636970121828</v>
      </c>
      <c r="BG31" s="22">
        <f t="shared" si="7"/>
        <v>11.112480893917846</v>
      </c>
      <c r="BH31" s="60">
        <f t="shared" si="8"/>
        <v>245.84395031590194</v>
      </c>
      <c r="BI31" s="60">
        <f ca="1">AVERAGE(OFFSET($BH$3,0,0,'Données projet'!$E$11+1,1))-AVERAGE(OFFSET($H$3,0,0,'Données projet'!$E$11+1,1))</f>
        <v>108.30434106718693</v>
      </c>
      <c r="BJ31" s="60">
        <f t="shared" si="38"/>
        <v>67.653808657585842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6.5</v>
      </c>
      <c r="BY31" s="13">
        <f>IF('Données projet'!$A$114&gt;35,BY30+BX31-CG30,IF(A31&lt;'Données projet'!$A$114,$BV$205^A31,IF(A31='Données projet'!$A$114,'Données projet'!$B$114,BY30+BX31-CG30)))</f>
        <v>126.75</v>
      </c>
      <c r="BZ31" s="14">
        <f>BY31*VLOOKUP('Données projet'!$B$12,Paramètres!$A$1:$I$88,3,0)*VLOOKUP('Données projet'!$B$12,Paramètres!$A$1:$I$88,5,0)</f>
        <v>59.318999999999996</v>
      </c>
      <c r="CA31" s="14">
        <f t="shared" si="39"/>
        <v>16.995976627104721</v>
      </c>
      <c r="CB31" s="22">
        <f t="shared" si="10"/>
        <v>132.91525095887405</v>
      </c>
      <c r="CC31" s="60">
        <f t="shared" si="11"/>
        <v>367.64672038085814</v>
      </c>
      <c r="CD31" s="60">
        <f ca="1">AVERAGE(OFFSET($CC$3,0,0,'Données projet'!$E$12+1,1))-AVERAGE(OFFSET($H$3,0,0,'Données projet'!$E$12+1,1))</f>
        <v>171.08593400758221</v>
      </c>
      <c r="CE31" s="60">
        <f t="shared" si="40"/>
        <v>201.9528484086932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projet'!$B$12,Paramètres!$A$1:$I$88,3,0)*0.475*44/12</f>
        <v>0</v>
      </c>
      <c r="CL31" s="23">
        <f>EXP(-LN(2)/25)*CL30+(1-EXP(-LN(2)/25))/(LN(2)/25)*Calculateur!CG31*Calculateur!CI31*VLOOKUP('Données projet'!$B$12,Paramètres!$A$1:$I$88,3,0)*0.475*44/12</f>
        <v>10.966292537120518</v>
      </c>
      <c r="CM31" s="23">
        <f>EXP(-LN(2)/2)*CM30+(1-EXP(-LN(2)/2))/(LN(2)/2)*CG31*CJ31*VLOOKUP('Données projet'!$B$12,Paramètres!$A$1:$I$88,3,0)*0.475*44/12</f>
        <v>0</v>
      </c>
      <c r="CN31" s="24">
        <f t="shared" si="12"/>
        <v>10.966292537120518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12</v>
      </c>
      <c r="CT31" s="13">
        <f>IF('Données projet'!$A$140&gt;35,CT30+CS31-DB30,IF(A31&lt;'Données projet'!$A$140,$CQ$205^A31,IF(A31='Données projet'!$A$140,'Données projet'!$B$140,CT30+CS31-DB30)))</f>
        <v>162.99999999999997</v>
      </c>
      <c r="CU31" s="18">
        <f>CT31*VLOOKUP('Données projet'!$B$13,Paramètres!$A$1:$I$88,3,0)*VLOOKUP('Données projet'!$B$13,Paramètres!$A$1:$I$88,5,0)</f>
        <v>109.34039999999999</v>
      </c>
      <c r="CV31" s="14">
        <f t="shared" si="41"/>
        <v>29.175523311259294</v>
      </c>
      <c r="CW31" s="22">
        <f t="shared" si="13"/>
        <v>241.24856643377657</v>
      </c>
      <c r="CX31" s="60">
        <f t="shared" si="14"/>
        <v>475.98003585576066</v>
      </c>
      <c r="CY31" s="60">
        <f ca="1">AVERAGE(OFFSET($CX$3,0,0,'Données projet'!$E$13+1,1))-AVERAGE(OFFSET($H$3,0,0,'Données projet'!$E$13+1,1))</f>
        <v>283.66646124753868</v>
      </c>
      <c r="CZ31" s="60">
        <f t="shared" si="42"/>
        <v>331.61926649572797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projet'!$B$13,Paramètres!$A$1:$I$88,3,0)*0.475*44/12</f>
        <v>0</v>
      </c>
      <c r="DG31" s="23">
        <f>EXP(-LN(2)/25)*DG30+(1-EXP(-LN(2)/25))/(LN(2)/25)*Calculateur!DB31*Calculateur!DD31*VLOOKUP('Données projet'!$B$13,Paramètres!$A$1:$I$88,3,0)*0.475*44/12</f>
        <v>0</v>
      </c>
      <c r="DH31" s="23">
        <f>EXP(-LN(2)/2)*DH30+(1-EXP(-LN(2)/2))/(LN(2)/2)*DB31*DE31*VLOOKUP('Données projet'!$B$13,Paramètres!$A$1:$I$88,3,0)*0.475*44/12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7.2</v>
      </c>
      <c r="DO31" s="13">
        <f>IF('Données projet'!$A$166&gt;35,DO30+DN31-DW30,IF(A31&lt;'Données projet'!$A$166,$DL$205^A31,IF(A31='Données projet'!$A$166,'Données projet'!$B$166,DO30+DN31-DW30)))</f>
        <v>111.59999999999997</v>
      </c>
      <c r="DP31" s="18">
        <f>DO31*VLOOKUP('Données projet'!$B$14,Paramètres!$A$1:$I$88,3,0)*VLOOKUP('Données projet'!$B$14,Paramètres!$A$1:$I$88,5,0)</f>
        <v>81.825119999999984</v>
      </c>
      <c r="DQ31" s="14">
        <f t="shared" si="43"/>
        <v>22.582847906191663</v>
      </c>
      <c r="DR31" s="22">
        <f t="shared" si="16"/>
        <v>181.84387743661708</v>
      </c>
      <c r="DS31" s="60">
        <f t="shared" si="17"/>
        <v>416.57534685860116</v>
      </c>
      <c r="DT31" s="60">
        <f ca="1">AVERAGE(OFFSET($DS$3,0,0,'Données projet'!$E$14+1,1))-AVERAGE(OFFSET($H$3,0,0,'Données projet'!$E$14+1,1))</f>
        <v>212.77458587586861</v>
      </c>
      <c r="DU31" s="60">
        <f t="shared" si="44"/>
        <v>260.45879589483513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projet'!$B$14,Paramètres!$A$1:$I$88,3,0)*0.475*44/12</f>
        <v>0</v>
      </c>
      <c r="EB31" s="23">
        <f>EXP(-LN(2)/25)*EB30+(1-EXP(-LN(2)/25))/(LN(2)/25)*Calculateur!DW31*Calculateur!DY31*VLOOKUP('Données projet'!$B$14,Paramètres!$A$1:$I$88,3,0)*0.475*44/12</f>
        <v>10.655598215324481</v>
      </c>
      <c r="EC31" s="23">
        <f>EXP(-LN(2)/2)*EC30+(1-EXP(-LN(2)/2))/(LN(2)/2)*DW31*DZ31*VLOOKUP('Données projet'!$B$14,Paramètres!$A$1:$I$88,3,0)*0.475*44/12</f>
        <v>0</v>
      </c>
      <c r="ED31" s="24">
        <f t="shared" si="18"/>
        <v>10.655598215324481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5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8">
        <f t="shared" si="1"/>
        <v>183.33333333333334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19.714285714285715</v>
      </c>
      <c r="N32" s="14">
        <f>IF('Données projet'!$A$36&gt;35,N31+M32-V31,IF(A32&lt;'Données projet'!$A$36,$K$205^A32,IF(A32='Données projet'!$A$36,'Données projet'!$B$36,N31+M32-V31)))</f>
        <v>272.85714285714289</v>
      </c>
      <c r="O32" s="14">
        <f>N32*VLOOKUP('Données projet'!$B$9,Paramètres!$A$1:$I$88,3,0)*VLOOKUP('Données projet'!$B$9,Paramètres!$A$1:$I$88,5,0)</f>
        <v>152.52714285714288</v>
      </c>
      <c r="P32" s="14">
        <f t="shared" si="33"/>
        <v>39.152328281389373</v>
      </c>
      <c r="Q32" s="22">
        <f t="shared" si="2"/>
        <v>333.84174556627698</v>
      </c>
      <c r="R32" s="60">
        <f t="shared" si="0"/>
        <v>570.76964288905288</v>
      </c>
      <c r="S32" s="60">
        <f ca="1">AVERAGE(OFFSET($R$3,0,0,'Données projet'!$E$9+1,1))-AVERAGE(OFFSET($H$3,0,0,'Données projet'!$E$9+1,1))</f>
        <v>366.29380214443631</v>
      </c>
      <c r="T32" s="60">
        <f t="shared" si="34"/>
        <v>413.14502442862897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2.2230612950309783</v>
      </c>
      <c r="AA32" s="23">
        <f>EXP(-LN(2)/25)*AA31+(1-EXP(-LN(2)/25))/(LN(2)/25)*Calculateur!V32*Calculateur!X32*VLOOKUP('Données projet'!$B$9,Paramètres!$A$1:$I$88,3,0)*0.475*44/12</f>
        <v>17.161952475641467</v>
      </c>
      <c r="AB32" s="23">
        <f>EXP(-LN(2)/2)*AB31+(1-EXP(-LN(2)/2))/(LN(2)/2)*V32*Y32*VLOOKUP('Données projet'!$B$9,Paramètres!$A$1:$I$88,3,0)*0.475*44/12</f>
        <v>0</v>
      </c>
      <c r="AC32" s="24">
        <f t="shared" si="3"/>
        <v>19.385013770672444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>
        <f>VLOOKUP(A32,'Données projet'!$A$61:$I$81,2,0)</f>
        <v>146.5</v>
      </c>
      <c r="AG32" s="13">
        <f>VLOOKUP(A32,'Données projet'!$A$61:$I$81,9,0)</f>
        <v>5.0517241379310347</v>
      </c>
      <c r="AH32" s="13">
        <f t="array" ref="AH32">INDEX(AG:AG,MIN(IF(ISNUMBER(AG32:AG228),ROW(AG32:AG228),"")))</f>
        <v>5.0517241379310347</v>
      </c>
      <c r="AI32" s="14">
        <f>IF('Données projet'!$A$62&gt;35,AI31+AH32-AQ31,IF(A32&lt;'Données projet'!$A$62,$AF$205^A32,IF(A32='Données projet'!$A$62,'Données projet'!$B$62,AI31+AH32-AQ31)))</f>
        <v>146.5</v>
      </c>
      <c r="AJ32" s="14">
        <f>AI32*VLOOKUP('Données projet'!$B$10,Paramètres!$A$1:$I$88,3,0)*VLOOKUP('Données projet'!$B$10,Paramètres!$A$1:$I$88,5,0)</f>
        <v>127.98240000000001</v>
      </c>
      <c r="AK32" s="14">
        <f t="shared" si="35"/>
        <v>33.529727649244734</v>
      </c>
      <c r="AL32" s="22">
        <f t="shared" si="4"/>
        <v>281.30028898910126</v>
      </c>
      <c r="AM32" s="60">
        <f t="shared" si="5"/>
        <v>518.22818631187715</v>
      </c>
      <c r="AN32" s="60">
        <f ca="1">AVERAGE(OFFSET($AM$3,0,0,'Données projet'!$E$10+1,1))-AVERAGE(OFFSET($H$3,0,0,'Données projet'!$E$10+1,1))</f>
        <v>436.5217771315057</v>
      </c>
      <c r="AO32" s="60">
        <f t="shared" si="36"/>
        <v>308.97310256098365</v>
      </c>
      <c r="AP32" s="16">
        <f>IF(ISNA(VLOOKUP(A32,'Données projet'!$A$61:$I$81,3,0)),0,VLOOKUP(A32,'Données projet'!$A$61:$I$81,3,0))</f>
        <v>1</v>
      </c>
      <c r="AQ32" s="16">
        <f>IF(ISNA(VLOOKUP(A32,'Données projet'!$A$61:$I$81,4,0)),0,VLOOKUP(A32,'Données projet'!$A$61:$I$81,4,0))</f>
        <v>26.5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0.215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5.4806328751189355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5.4806328751189355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0.16216216216216217</v>
      </c>
      <c r="BD32" s="13">
        <f>IF('Données projet'!$A$88&gt;35,BD31+BC32-BL31,IF(A32&lt;'Données projet'!$A$88,$BA$205^A32,IF(A32='Données projet'!$A$88,'Données projet'!$B$88,BD31+BC32-BL31)))</f>
        <v>4.7027027027027053</v>
      </c>
      <c r="BE32" s="14">
        <f>BD32*VLOOKUP('Données projet'!$B$11,Paramètres!$A$1:$I$88,3,0)*VLOOKUP('Données projet'!$B$11,Paramètres!$A$1:$I$88,5,0)</f>
        <v>4.7685405405405437</v>
      </c>
      <c r="BF32" s="14">
        <f t="shared" si="37"/>
        <v>1.8322025122811472</v>
      </c>
      <c r="BG32" s="22">
        <f t="shared" si="7"/>
        <v>11.49629415033111</v>
      </c>
      <c r="BH32" s="60">
        <f t="shared" si="8"/>
        <v>248.42419147310693</v>
      </c>
      <c r="BI32" s="60">
        <f ca="1">AVERAGE(OFFSET($BH$3,0,0,'Données projet'!$E$11+1,1))-AVERAGE(OFFSET($H$3,0,0,'Données projet'!$E$11+1,1))</f>
        <v>108.30434106718693</v>
      </c>
      <c r="BJ32" s="60">
        <f t="shared" si="38"/>
        <v>67.653808657585842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6.5</v>
      </c>
      <c r="BY32" s="13">
        <f>IF('Données projet'!$A$114&gt;35,BY31+BX32-CG31,IF(A32&lt;'Données projet'!$A$114,$BV$205^A32,IF(A32='Données projet'!$A$114,'Données projet'!$B$114,BY31+BX32-CG31)))</f>
        <v>133.25</v>
      </c>
      <c r="BZ32" s="14">
        <f>BY32*VLOOKUP('Données projet'!$B$12,Paramètres!$A$1:$I$88,3,0)*VLOOKUP('Données projet'!$B$12,Paramètres!$A$1:$I$88,5,0)</f>
        <v>62.361000000000004</v>
      </c>
      <c r="CA32" s="14">
        <f t="shared" si="39"/>
        <v>17.763856418462989</v>
      </c>
      <c r="CB32" s="22">
        <f t="shared" si="10"/>
        <v>139.55079159548973</v>
      </c>
      <c r="CC32" s="60">
        <f t="shared" si="11"/>
        <v>376.47868891826556</v>
      </c>
      <c r="CD32" s="60">
        <f ca="1">AVERAGE(OFFSET($CC$3,0,0,'Données projet'!$E$12+1,1))-AVERAGE(OFFSET($H$3,0,0,'Données projet'!$E$12+1,1))</f>
        <v>171.08593400758221</v>
      </c>
      <c r="CE32" s="60">
        <f t="shared" si="40"/>
        <v>201.9528484086932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projet'!$B$12,Paramètres!$A$1:$I$88,3,0)*0.475*44/12</f>
        <v>0</v>
      </c>
      <c r="CL32" s="23">
        <f>EXP(-LN(2)/25)*CL31+(1-EXP(-LN(2)/25))/(LN(2)/25)*Calculateur!CG32*Calculateur!CI32*VLOOKUP('Données projet'!$B$12,Paramètres!$A$1:$I$88,3,0)*0.475*44/12</f>
        <v>10.666418691000697</v>
      </c>
      <c r="CM32" s="23">
        <f>EXP(-LN(2)/2)*CM31+(1-EXP(-LN(2)/2))/(LN(2)/2)*CG32*CJ32*VLOOKUP('Données projet'!$B$12,Paramètres!$A$1:$I$88,3,0)*0.475*44/12</f>
        <v>0</v>
      </c>
      <c r="CN32" s="24">
        <f t="shared" si="12"/>
        <v>10.666418691000697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12</v>
      </c>
      <c r="CT32" s="13">
        <f>IF('Données projet'!$A$140&gt;35,CT31+CS32-DB31,IF(A32&lt;'Données projet'!$A$140,$CQ$205^A32,IF(A32='Données projet'!$A$140,'Données projet'!$B$140,CT31+CS32-DB31)))</f>
        <v>174.99999999999997</v>
      </c>
      <c r="CU32" s="18">
        <f>CT32*VLOOKUP('Données projet'!$B$13,Paramètres!$A$1:$I$88,3,0)*VLOOKUP('Données projet'!$B$13,Paramètres!$A$1:$I$88,5,0)</f>
        <v>117.38999999999999</v>
      </c>
      <c r="CV32" s="14">
        <f t="shared" si="41"/>
        <v>31.065482772413461</v>
      </c>
      <c r="CW32" s="22">
        <f t="shared" si="13"/>
        <v>258.55996582862014</v>
      </c>
      <c r="CX32" s="60">
        <f t="shared" si="14"/>
        <v>495.48786315139597</v>
      </c>
      <c r="CY32" s="60">
        <f ca="1">AVERAGE(OFFSET($CX$3,0,0,'Données projet'!$E$13+1,1))-AVERAGE(OFFSET($H$3,0,0,'Données projet'!$E$13+1,1))</f>
        <v>283.66646124753868</v>
      </c>
      <c r="CZ32" s="60">
        <f t="shared" si="42"/>
        <v>331.61926649572797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projet'!$B$13,Paramètres!$A$1:$I$88,3,0)*0.475*44/12</f>
        <v>0</v>
      </c>
      <c r="DG32" s="23">
        <f>EXP(-LN(2)/25)*DG31+(1-EXP(-LN(2)/25))/(LN(2)/25)*Calculateur!DB32*Calculateur!DD32*VLOOKUP('Données projet'!$B$13,Paramètres!$A$1:$I$88,3,0)*0.475*44/12</f>
        <v>0</v>
      </c>
      <c r="DH32" s="23">
        <f>EXP(-LN(2)/2)*DH31+(1-EXP(-LN(2)/2))/(LN(2)/2)*DB32*DE32*VLOOKUP('Données projet'!$B$13,Paramètres!$A$1:$I$88,3,0)*0.475*44/12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7.2</v>
      </c>
      <c r="DO32" s="13">
        <f>IF('Données projet'!$A$166&gt;35,DO31+DN32-DW31,IF(A32&lt;'Données projet'!$A$166,$DL$205^A32,IF(A32='Données projet'!$A$166,'Données projet'!$B$166,DO31+DN32-DW31)))</f>
        <v>118.79999999999997</v>
      </c>
      <c r="DP32" s="18">
        <f>DO32*VLOOKUP('Données projet'!$B$14,Paramètres!$A$1:$I$88,3,0)*VLOOKUP('Données projet'!$B$14,Paramètres!$A$1:$I$88,5,0)</f>
        <v>87.104159999999979</v>
      </c>
      <c r="DQ32" s="14">
        <f t="shared" si="43"/>
        <v>23.865494318543401</v>
      </c>
      <c r="DR32" s="22">
        <f t="shared" si="16"/>
        <v>193.27214793812971</v>
      </c>
      <c r="DS32" s="60">
        <f t="shared" si="17"/>
        <v>430.20004526090554</v>
      </c>
      <c r="DT32" s="60">
        <f ca="1">AVERAGE(OFFSET($DS$3,0,0,'Données projet'!$E$14+1,1))-AVERAGE(OFFSET($H$3,0,0,'Données projet'!$E$14+1,1))</f>
        <v>212.77458587586861</v>
      </c>
      <c r="DU32" s="60">
        <f t="shared" si="44"/>
        <v>260.45879589483513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projet'!$B$14,Paramètres!$A$1:$I$88,3,0)*0.475*44/12</f>
        <v>0</v>
      </c>
      <c r="EB32" s="23">
        <f>EXP(-LN(2)/25)*EB31+(1-EXP(-LN(2)/25))/(LN(2)/25)*Calculateur!DW32*Calculateur!DY32*VLOOKUP('Données projet'!$B$14,Paramètres!$A$1:$I$88,3,0)*0.475*44/12</f>
        <v>10.364220321772876</v>
      </c>
      <c r="EC32" s="23">
        <f>EXP(-LN(2)/2)*EC31+(1-EXP(-LN(2)/2))/(LN(2)/2)*DW32*DZ32*VLOOKUP('Données projet'!$B$14,Paramètres!$A$1:$I$88,3,0)*0.475*44/12</f>
        <v>0</v>
      </c>
      <c r="ED32" s="24">
        <f t="shared" si="18"/>
        <v>10.364220321772876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5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8">
        <f t="shared" si="1"/>
        <v>183.33333333333334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19.714285714285715</v>
      </c>
      <c r="N33" s="14">
        <f>IF('Données projet'!$A$36&gt;35,N32+M33-V32,IF(A33&lt;'Données projet'!$A$36,$K$205^A33,IF(A33='Données projet'!$A$36,'Données projet'!$B$36,N32+M33-V32)))</f>
        <v>292.57142857142861</v>
      </c>
      <c r="O33" s="14">
        <f>N33*VLOOKUP('Données projet'!$B$9,Paramètres!$A$1:$I$88,3,0)*VLOOKUP('Données projet'!$B$9,Paramètres!$A$1:$I$88,5,0)</f>
        <v>163.54742857142861</v>
      </c>
      <c r="P33" s="14">
        <f t="shared" si="33"/>
        <v>41.641623770535254</v>
      </c>
      <c r="Q33" s="22">
        <f t="shared" si="2"/>
        <v>357.37093282892039</v>
      </c>
      <c r="R33" s="60">
        <f t="shared" si="0"/>
        <v>596.47835776196234</v>
      </c>
      <c r="S33" s="60">
        <f ca="1">AVERAGE(OFFSET($R$3,0,0,'Données projet'!$E$9+1,1))-AVERAGE(OFFSET($H$3,0,0,'Données projet'!$E$9+1,1))</f>
        <v>366.29380214443631</v>
      </c>
      <c r="T33" s="60">
        <f t="shared" si="34"/>
        <v>413.14502442862897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2.1794684189689235</v>
      </c>
      <c r="AA33" s="23">
        <f>EXP(-LN(2)/25)*AA32+(1-EXP(-LN(2)/25))/(LN(2)/25)*Calculateur!V33*Calculateur!X33*VLOOKUP('Données projet'!$B$9,Paramètres!$A$1:$I$88,3,0)*0.475*44/12</f>
        <v>16.692657982687194</v>
      </c>
      <c r="AB33" s="23">
        <f>EXP(-LN(2)/2)*AB32+(1-EXP(-LN(2)/2))/(LN(2)/2)*V33*Y33*VLOOKUP('Données projet'!$B$9,Paramètres!$A$1:$I$88,3,0)*0.475*44/12</f>
        <v>0</v>
      </c>
      <c r="AC33" s="24">
        <f t="shared" si="3"/>
        <v>18.872126401656118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11.52</v>
      </c>
      <c r="AI33" s="14">
        <f>IF('Données projet'!$A$62&gt;35,AI32+AH33-AQ32,IF(A33&lt;'Données projet'!$A$62,$AF$205^A33,IF(A33='Données projet'!$A$62,'Données projet'!$B$62,AI32+AH33-AQ32)))</f>
        <v>131.52000000000001</v>
      </c>
      <c r="AJ33" s="14">
        <f>AI33*VLOOKUP('Données projet'!$B$10,Paramètres!$A$1:$I$88,3,0)*VLOOKUP('Données projet'!$B$10,Paramètres!$A$1:$I$88,5,0)</f>
        <v>114.89587200000003</v>
      </c>
      <c r="AK33" s="14">
        <f t="shared" si="35"/>
        <v>30.48155056149761</v>
      </c>
      <c r="AL33" s="22">
        <f t="shared" si="4"/>
        <v>253.19901096127504</v>
      </c>
      <c r="AM33" s="60">
        <f t="shared" si="5"/>
        <v>492.30643589431702</v>
      </c>
      <c r="AN33" s="60">
        <f ca="1">AVERAGE(OFFSET($AM$3,0,0,'Données projet'!$E$10+1,1))-AVERAGE(OFFSET($H$3,0,0,'Données projet'!$E$10+1,1))</f>
        <v>436.5217771315057</v>
      </c>
      <c r="AO33" s="60">
        <f t="shared" si="36"/>
        <v>308.97310256098365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5.330764680934851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5.330764680934851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0.16216216216216217</v>
      </c>
      <c r="BD33" s="13">
        <f>IF('Données projet'!$A$88&gt;35,BD32+BC33-BL32,IF(A33&lt;'Données projet'!$A$88,$BA$205^A33,IF(A33='Données projet'!$A$88,'Données projet'!$B$88,BD32+BC33-BL32)))</f>
        <v>4.8648648648648676</v>
      </c>
      <c r="BE33" s="14">
        <f>BD33*VLOOKUP('Données projet'!$B$11,Paramètres!$A$1:$I$88,3,0)*VLOOKUP('Données projet'!$B$11,Paramètres!$A$1:$I$88,5,0)</f>
        <v>4.9329729729729763</v>
      </c>
      <c r="BF33" s="14">
        <f t="shared" si="37"/>
        <v>1.8879172037986192</v>
      </c>
      <c r="BG33" s="22">
        <f t="shared" si="7"/>
        <v>11.879717057877194</v>
      </c>
      <c r="BH33" s="60">
        <f t="shared" si="8"/>
        <v>250.98714199091918</v>
      </c>
      <c r="BI33" s="60">
        <f ca="1">AVERAGE(OFFSET($BH$3,0,0,'Données projet'!$E$11+1,1))-AVERAGE(OFFSET($H$3,0,0,'Données projet'!$E$11+1,1))</f>
        <v>108.30434106718693</v>
      </c>
      <c r="BJ33" s="60">
        <f t="shared" si="38"/>
        <v>67.653808657585842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0</v>
      </c>
      <c r="BR33" s="23">
        <f>EXP(-LN(2)/2)*BR32+(1-EXP(-LN(2)/2))/(LN(2)/2)*BL33*BO33*VLOOKUP('Données projet'!$B$11,Paramètres!$A$1:$I$88,3,0)*0.475*44/12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139.75</v>
      </c>
      <c r="BW33" s="13">
        <f>VLOOKUP(A33,'Données projet'!$A$113:$I$133,9,0)</f>
        <v>6.5</v>
      </c>
      <c r="BX33" s="13">
        <f t="array" ref="BX33">INDEX(BW:BW,MIN(IF(ISNUMBER(BW33:BW229),ROW(BW33:BW229),"")))</f>
        <v>6.5</v>
      </c>
      <c r="BY33" s="13">
        <f>IF('Données projet'!$A$114&gt;35,BY32+BX33-CG32,IF(A33&lt;'Données projet'!$A$114,$BV$205^A33,IF(A33='Données projet'!$A$114,'Données projet'!$B$114,BY32+BX33-CG32)))</f>
        <v>139.75</v>
      </c>
      <c r="BZ33" s="14">
        <f>BY33*VLOOKUP('Données projet'!$B$12,Paramètres!$A$1:$I$88,3,0)*VLOOKUP('Données projet'!$B$12,Paramètres!$A$1:$I$88,5,0)</f>
        <v>65.402999999999992</v>
      </c>
      <c r="CA33" s="14">
        <f t="shared" si="39"/>
        <v>18.527386684584453</v>
      </c>
      <c r="CB33" s="22">
        <f t="shared" si="10"/>
        <v>146.17875680898459</v>
      </c>
      <c r="CC33" s="60">
        <f t="shared" si="11"/>
        <v>385.28618174202654</v>
      </c>
      <c r="CD33" s="60">
        <f ca="1">AVERAGE(OFFSET($CC$3,0,0,'Données projet'!$E$12+1,1))-AVERAGE(OFFSET($H$3,0,0,'Données projet'!$E$12+1,1))</f>
        <v>171.08593400758221</v>
      </c>
      <c r="CE33" s="60">
        <f t="shared" si="40"/>
        <v>201.9528484086932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34.9375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0.55000000000000004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projet'!$B$12,Paramètres!$A$1:$I$88,3,0)*0.475*44/12</f>
        <v>0</v>
      </c>
      <c r="CL33" s="23">
        <f>EXP(-LN(2)/25)*CL32+(1-EXP(-LN(2)/25))/(LN(2)/25)*Calculateur!CG33*Calculateur!CI33*VLOOKUP('Données projet'!$B$12,Paramètres!$A$1:$I$88,3,0)*0.475*44/12</f>
        <v>22.257451296212032</v>
      </c>
      <c r="CM33" s="23">
        <f>EXP(-LN(2)/2)*CM32+(1-EXP(-LN(2)/2))/(LN(2)/2)*CG33*CJ33*VLOOKUP('Données projet'!$B$12,Paramètres!$A$1:$I$88,3,0)*0.475*44/12</f>
        <v>0</v>
      </c>
      <c r="CN33" s="24">
        <f t="shared" si="12"/>
        <v>22.257451296212032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187</v>
      </c>
      <c r="CR33" s="13">
        <f>VLOOKUP(A33,'Données projet'!$A$139:$I$159,9,0)</f>
        <v>12</v>
      </c>
      <c r="CS33" s="13">
        <f t="array" ref="CS33">INDEX(CR:CR,MIN(IF(ISNUMBER(CR33:CR229),ROW(CR33:CR229),"")))</f>
        <v>12</v>
      </c>
      <c r="CT33" s="13">
        <f>IF('Données projet'!$A$140&gt;35,CT32+CS33-DB32,IF(A33&lt;'Données projet'!$A$140,$CQ$205^A33,IF(A33='Données projet'!$A$140,'Données projet'!$B$140,CT32+CS33-DB32)))</f>
        <v>186.99999999999997</v>
      </c>
      <c r="CU33" s="18">
        <f>CT33*VLOOKUP('Données projet'!$B$13,Paramètres!$A$1:$I$88,3,0)*VLOOKUP('Données projet'!$B$13,Paramètres!$A$1:$I$88,5,0)</f>
        <v>125.43959999999997</v>
      </c>
      <c r="CV33" s="14">
        <f t="shared" si="41"/>
        <v>32.940404724987246</v>
      </c>
      <c r="CW33" s="22">
        <f t="shared" si="13"/>
        <v>275.84517489601939</v>
      </c>
      <c r="CX33" s="60">
        <f t="shared" si="14"/>
        <v>514.95259982906134</v>
      </c>
      <c r="CY33" s="60">
        <f ca="1">AVERAGE(OFFSET($CX$3,0,0,'Données projet'!$E$13+1,1))-AVERAGE(OFFSET($H$3,0,0,'Données projet'!$E$13+1,1))</f>
        <v>283.66646124753868</v>
      </c>
      <c r="CZ33" s="60">
        <f t="shared" si="42"/>
        <v>331.61926649572797</v>
      </c>
      <c r="DA33" s="16">
        <f>IF(ISNA(VLOOKUP(A33,'Données projet'!$A$139:$I$159,3,0)),0,VLOOKUP(A33,'Données projet'!$A$139:$I$159,3,0))</f>
        <v>4</v>
      </c>
      <c r="DB33" s="16">
        <f>IF(ISNA(VLOOKUP(A33,'Données projet'!$A$139:$I$159,4,0)),0,VLOOKUP(A33,'Données projet'!$A$139:$I$159,4,0))</f>
        <v>24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projet'!$B$13,Paramètres!$A$1:$I$88,3,0)*0.475*44/12</f>
        <v>0</v>
      </c>
      <c r="DG33" s="23">
        <f>EXP(-LN(2)/25)*DG32+(1-EXP(-LN(2)/25))/(LN(2)/25)*Calculateur!DB33*Calculateur!DD33*VLOOKUP('Données projet'!$B$13,Paramètres!$A$1:$I$88,3,0)*0.475*44/12</f>
        <v>0</v>
      </c>
      <c r="DH33" s="23">
        <f>EXP(-LN(2)/2)*DH32+(1-EXP(-LN(2)/2))/(LN(2)/2)*DB33*DE33*VLOOKUP('Données projet'!$B$13,Paramètres!$A$1:$I$88,3,0)*0.475*44/12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126</v>
      </c>
      <c r="DM33" s="13">
        <f>VLOOKUP(A33,'Données projet'!$A$165:$I$185,9,0)</f>
        <v>7.2</v>
      </c>
      <c r="DN33" s="13">
        <f t="array" ref="DN33">INDEX(DM:DM,MIN(IF(ISNUMBER(DM33:DM229),ROW(DM33:DM229),"")))</f>
        <v>7.2</v>
      </c>
      <c r="DO33" s="13">
        <f>IF('Données projet'!$A$166&gt;35,DO32+DN33-DW32,IF(A33&lt;'Données projet'!$A$166,$DL$205^A33,IF(A33='Données projet'!$A$166,'Données projet'!$B$166,DO32+DN33-DW32)))</f>
        <v>125.99999999999997</v>
      </c>
      <c r="DP33" s="18">
        <f>DO33*VLOOKUP('Données projet'!$B$14,Paramètres!$A$1:$I$88,3,0)*VLOOKUP('Données projet'!$B$14,Paramètres!$A$1:$I$88,5,0)</f>
        <v>92.383199999999974</v>
      </c>
      <c r="DQ33" s="14">
        <f t="shared" si="43"/>
        <v>25.13911825557507</v>
      </c>
      <c r="DR33" s="22">
        <f t="shared" si="16"/>
        <v>204.68470429512652</v>
      </c>
      <c r="DS33" s="60">
        <f t="shared" si="17"/>
        <v>443.79212922816851</v>
      </c>
      <c r="DT33" s="60">
        <f ca="1">AVERAGE(OFFSET($DS$3,0,0,'Données projet'!$E$14+1,1))-AVERAGE(OFFSET($H$3,0,0,'Données projet'!$E$14+1,1))</f>
        <v>212.77458587586861</v>
      </c>
      <c r="DU33" s="60">
        <f t="shared" si="44"/>
        <v>260.45879589483513</v>
      </c>
      <c r="DV33" s="16">
        <f>IF(ISNA(VLOOKUP(A33,'Données projet'!$A$165:$I$185,3,0)),0,VLOOKUP(A33,'Données projet'!$A$165:$I$185,3,0))</f>
        <v>6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0.25800000000000001</v>
      </c>
      <c r="DY33" s="17">
        <f>IF(ISNA(VLOOKUP(A33,'Données projet'!$A$165:$I$185,6,0)),0%,VLOOKUP(A33,'Données projet'!$A$165:$I$185,6,0)*VLOOKUP('Données projet'!$B$14,Paramètres!$A$1:$I$88,7,0))</f>
        <v>0.129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projet'!$B$14,Paramètres!$A$1:$I$88,3,0)*0.475*44/12</f>
        <v>0</v>
      </c>
      <c r="EB33" s="23">
        <f>EXP(-LN(2)/25)*EB32+(1-EXP(-LN(2)/25))/(LN(2)/25)*Calculateur!DW33*Calculateur!DY33*VLOOKUP('Données projet'!$B$14,Paramètres!$A$1:$I$88,3,0)*0.475*44/12</f>
        <v>10.080810172043337</v>
      </c>
      <c r="EC33" s="23">
        <f>EXP(-LN(2)/2)*EC32+(1-EXP(-LN(2)/2))/(LN(2)/2)*DW33*DZ33*VLOOKUP('Données projet'!$B$14,Paramètres!$A$1:$I$88,3,0)*0.475*44/12</f>
        <v>0</v>
      </c>
      <c r="ED33" s="24">
        <f t="shared" si="18"/>
        <v>10.080810172043337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5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8">
        <f t="shared" si="1"/>
        <v>183.33333333333334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19.714285714285715</v>
      </c>
      <c r="N34" s="14">
        <f>IF('Données projet'!$A$36&gt;35,N33+M34-V33,IF(A34&lt;'Données projet'!$A$36,$K$205^A34,IF(A34='Données projet'!$A$36,'Données projet'!$B$36,N33+M34-V33)))</f>
        <v>312.28571428571433</v>
      </c>
      <c r="O34" s="14">
        <f>N34*VLOOKUP('Données projet'!$B$9,Paramètres!$A$1:$I$88,3,0)*VLOOKUP('Données projet'!$B$9,Paramètres!$A$1:$I$88,5,0)</f>
        <v>174.56771428571432</v>
      </c>
      <c r="P34" s="14">
        <f t="shared" si="33"/>
        <v>44.111455647166053</v>
      </c>
      <c r="Q34" s="22">
        <f t="shared" si="2"/>
        <v>380.86622096643327</v>
      </c>
      <c r="R34" s="60">
        <f t="shared" si="0"/>
        <v>620.91434417925086</v>
      </c>
      <c r="S34" s="60">
        <f ca="1">AVERAGE(OFFSET($R$3,0,0,'Données projet'!$E$9+1,1))-AVERAGE(OFFSET($H$3,0,0,'Données projet'!$E$9+1,1))</f>
        <v>366.29380214443631</v>
      </c>
      <c r="T34" s="60">
        <f t="shared" si="34"/>
        <v>413.14502442862897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2.1367303726174165</v>
      </c>
      <c r="AA34" s="23">
        <f>EXP(-LN(2)/25)*AA33+(1-EXP(-LN(2)/25))/(LN(2)/25)*Calculateur!V34*Calculateur!X34*VLOOKUP('Données projet'!$B$9,Paramètres!$A$1:$I$88,3,0)*0.475*44/12</f>
        <v>16.236196372321881</v>
      </c>
      <c r="AB34" s="23">
        <f>EXP(-LN(2)/2)*AB33+(1-EXP(-LN(2)/2))/(LN(2)/2)*V34*Y34*VLOOKUP('Données projet'!$B$9,Paramètres!$A$1:$I$88,3,0)*0.475*44/12</f>
        <v>0</v>
      </c>
      <c r="AC34" s="24">
        <f t="shared" si="3"/>
        <v>18.372926744939299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11.52</v>
      </c>
      <c r="AI34" s="14">
        <f>IF('Données projet'!$A$62&gt;35,AI33+AH34-AQ33,IF(A34&lt;'Données projet'!$A$62,$AF$205^A34,IF(A34='Données projet'!$A$62,'Données projet'!$B$62,AI33+AH34-AQ33)))</f>
        <v>143.04000000000002</v>
      </c>
      <c r="AJ34" s="14">
        <f>AI34*VLOOKUP('Données projet'!$B$10,Paramètres!$A$1:$I$88,3,0)*VLOOKUP('Données projet'!$B$10,Paramètres!$A$1:$I$88,5,0)</f>
        <v>124.95974400000003</v>
      </c>
      <c r="AK34" s="14">
        <f t="shared" si="35"/>
        <v>32.829037416283434</v>
      </c>
      <c r="AL34" s="22">
        <f t="shared" si="4"/>
        <v>274.81546096669371</v>
      </c>
      <c r="AM34" s="60">
        <f t="shared" si="5"/>
        <v>514.86358417951124</v>
      </c>
      <c r="AN34" s="60">
        <f ca="1">AVERAGE(OFFSET($AM$3,0,0,'Données projet'!$E$10+1,1))-AVERAGE(OFFSET($H$3,0,0,'Données projet'!$E$10+1,1))</f>
        <v>436.5217771315057</v>
      </c>
      <c r="AO34" s="60">
        <f t="shared" si="36"/>
        <v>308.97310256098365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5.1849946404019569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5.1849946404019569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0.16216216216216217</v>
      </c>
      <c r="BD34" s="13">
        <f>IF('Données projet'!$A$88&gt;35,BD33+BC34-BL33,IF(A34&lt;'Données projet'!$A$88,$BA$205^A34,IF(A34='Données projet'!$A$88,'Données projet'!$B$88,BD33+BC34-BL33)))</f>
        <v>5.0270270270270299</v>
      </c>
      <c r="BE34" s="14">
        <f>BD34*VLOOKUP('Données projet'!$B$11,Paramètres!$A$1:$I$88,3,0)*VLOOKUP('Données projet'!$B$11,Paramètres!$A$1:$I$88,5,0)</f>
        <v>5.097405405405409</v>
      </c>
      <c r="BF34" s="14">
        <f t="shared" si="37"/>
        <v>1.9434160989292761</v>
      </c>
      <c r="BG34" s="22">
        <f t="shared" si="7"/>
        <v>12.262764120049576</v>
      </c>
      <c r="BH34" s="60">
        <f t="shared" si="8"/>
        <v>252.31088733286714</v>
      </c>
      <c r="BI34" s="60">
        <f ca="1">AVERAGE(OFFSET($BH$3,0,0,'Données projet'!$E$11+1,1))-AVERAGE(OFFSET($H$3,0,0,'Données projet'!$E$11+1,1))</f>
        <v>108.30434106718693</v>
      </c>
      <c r="BJ34" s="60">
        <f t="shared" si="38"/>
        <v>67.653808657585842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0</v>
      </c>
      <c r="BR34" s="23">
        <f>EXP(-LN(2)/2)*BR33+(1-EXP(-LN(2)/2))/(LN(2)/2)*BL34*BO34*VLOOKUP('Données projet'!$B$11,Paramètres!$A$1:$I$88,3,0)*0.475*44/12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7</v>
      </c>
      <c r="BY34" s="13">
        <f>IF('Données projet'!$A$114&gt;35,BY33+BX34-CG33,IF(A34&lt;'Données projet'!$A$114,$BV$205^A34,IF(A34='Données projet'!$A$114,'Données projet'!$B$114,BY33+BX34-CG33)))</f>
        <v>111.8125</v>
      </c>
      <c r="BZ34" s="14">
        <f>BY34*VLOOKUP('Données projet'!$B$12,Paramètres!$A$1:$I$88,3,0)*VLOOKUP('Données projet'!$B$12,Paramètres!$A$1:$I$88,5,0)</f>
        <v>52.328249999999997</v>
      </c>
      <c r="CA34" s="14">
        <f t="shared" si="39"/>
        <v>15.213438419122088</v>
      </c>
      <c r="CB34" s="22">
        <f t="shared" si="10"/>
        <v>117.63510732997095</v>
      </c>
      <c r="CC34" s="60">
        <f t="shared" si="11"/>
        <v>357.68323054278852</v>
      </c>
      <c r="CD34" s="60">
        <f ca="1">AVERAGE(OFFSET($CC$3,0,0,'Données projet'!$E$12+1,1))-AVERAGE(OFFSET($H$3,0,0,'Données projet'!$E$12+1,1))</f>
        <v>171.08593400758221</v>
      </c>
      <c r="CE34" s="60">
        <f t="shared" si="40"/>
        <v>201.9528484086932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projet'!$B$12,Paramètres!$A$1:$I$88,3,0)*0.475*44/12</f>
        <v>0</v>
      </c>
      <c r="CL34" s="23">
        <f>EXP(-LN(2)/25)*CL33+(1-EXP(-LN(2)/25))/(LN(2)/25)*Calculateur!CG34*Calculateur!CI34*VLOOKUP('Données projet'!$B$12,Paramètres!$A$1:$I$88,3,0)*0.475*44/12</f>
        <v>21.648820120048622</v>
      </c>
      <c r="CM34" s="23">
        <f>EXP(-LN(2)/2)*CM33+(1-EXP(-LN(2)/2))/(LN(2)/2)*CG34*CJ34*VLOOKUP('Données projet'!$B$12,Paramètres!$A$1:$I$88,3,0)*0.475*44/12</f>
        <v>0</v>
      </c>
      <c r="CN34" s="24">
        <f t="shared" si="12"/>
        <v>21.648820120048622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11.2</v>
      </c>
      <c r="CT34" s="13">
        <f>IF('Données projet'!$A$140&gt;35,CT33+CS34-DB33,IF(A34&lt;'Données projet'!$A$140,$CQ$205^A34,IF(A34='Données projet'!$A$140,'Données projet'!$B$140,CT33+CS34-DB33)))</f>
        <v>174.19999999999996</v>
      </c>
      <c r="CU34" s="18">
        <f>CT34*VLOOKUP('Données projet'!$B$13,Paramètres!$A$1:$I$88,3,0)*VLOOKUP('Données projet'!$B$13,Paramètres!$A$1:$I$88,5,0)</f>
        <v>116.85335999999997</v>
      </c>
      <c r="CV34" s="14">
        <f t="shared" si="41"/>
        <v>30.939966081410784</v>
      </c>
      <c r="CW34" s="22">
        <f t="shared" si="13"/>
        <v>257.40670959179039</v>
      </c>
      <c r="CX34" s="60">
        <f t="shared" si="14"/>
        <v>497.45483280460792</v>
      </c>
      <c r="CY34" s="60">
        <f ca="1">AVERAGE(OFFSET($CX$3,0,0,'Données projet'!$E$13+1,1))-AVERAGE(OFFSET($H$3,0,0,'Données projet'!$E$13+1,1))</f>
        <v>283.66646124753868</v>
      </c>
      <c r="CZ34" s="60">
        <f t="shared" si="42"/>
        <v>331.61926649572797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projet'!$B$13,Paramètres!$A$1:$I$88,3,0)*0.475*44/12</f>
        <v>0</v>
      </c>
      <c r="DG34" s="23">
        <f>EXP(-LN(2)/25)*DG33+(1-EXP(-LN(2)/25))/(LN(2)/25)*Calculateur!DB34*Calculateur!DD34*VLOOKUP('Données projet'!$B$13,Paramètres!$A$1:$I$88,3,0)*0.475*44/12</f>
        <v>0</v>
      </c>
      <c r="DH34" s="23">
        <f>EXP(-LN(2)/2)*DH33+(1-EXP(-LN(2)/2))/(LN(2)/2)*DB34*DE34*VLOOKUP('Données projet'!$B$13,Paramètres!$A$1:$I$88,3,0)*0.475*44/12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7.4</v>
      </c>
      <c r="DO34" s="13">
        <f>IF('Données projet'!$A$166&gt;35,DO33+DN34-DW33,IF(A34&lt;'Données projet'!$A$166,$DL$205^A34,IF(A34='Données projet'!$A$166,'Données projet'!$B$166,DO33+DN34-DW33)))</f>
        <v>133.39999999999998</v>
      </c>
      <c r="DP34" s="18">
        <f>DO34*VLOOKUP('Données projet'!$B$14,Paramètres!$A$1:$I$88,3,0)*VLOOKUP('Données projet'!$B$14,Paramètres!$A$1:$I$88,5,0)</f>
        <v>97.808879999999988</v>
      </c>
      <c r="DQ34" s="14">
        <f t="shared" si="43"/>
        <v>26.439322255227292</v>
      </c>
      <c r="DR34" s="22">
        <f t="shared" si="16"/>
        <v>216.39895226118747</v>
      </c>
      <c r="DS34" s="60">
        <f t="shared" si="17"/>
        <v>456.44707547400503</v>
      </c>
      <c r="DT34" s="60">
        <f ca="1">AVERAGE(OFFSET($DS$3,0,0,'Données projet'!$E$14+1,1))-AVERAGE(OFFSET($H$3,0,0,'Données projet'!$E$14+1,1))</f>
        <v>212.77458587586861</v>
      </c>
      <c r="DU34" s="60">
        <f t="shared" si="44"/>
        <v>260.45879589483513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projet'!$B$14,Paramètres!$A$1:$I$88,3,0)*0.475*44/12</f>
        <v>0</v>
      </c>
      <c r="EB34" s="23">
        <f>EXP(-LN(2)/25)*EB33+(1-EXP(-LN(2)/25))/(LN(2)/25)*Calculateur!DW34*Calculateur!DY34*VLOOKUP('Données projet'!$B$14,Paramètres!$A$1:$I$88,3,0)*0.475*44/12</f>
        <v>9.8051498877620453</v>
      </c>
      <c r="EC34" s="23">
        <f>EXP(-LN(2)/2)*EC33+(1-EXP(-LN(2)/2))/(LN(2)/2)*DW34*DZ34*VLOOKUP('Données projet'!$B$14,Paramètres!$A$1:$I$88,3,0)*0.475*44/12</f>
        <v>0</v>
      </c>
      <c r="ED34" s="24">
        <f t="shared" si="18"/>
        <v>9.8051498877620453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5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8">
        <f t="shared" si="1"/>
        <v>183.33333333333334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>
        <f>VLOOKUP(A35,'Données projet'!$A$35:$I$55,2,0)</f>
        <v>332</v>
      </c>
      <c r="L35" s="13">
        <f>VLOOKUP(A35,'Données projet'!$A$35:$I$55,9,0)</f>
        <v>19.714285714285715</v>
      </c>
      <c r="M35" s="13">
        <f t="array" ref="M35">INDEX(L:L,MIN(IF(ISNUMBER(L35:L231),ROW(L35:L231),"")))</f>
        <v>19.714285714285715</v>
      </c>
      <c r="N35" s="14">
        <f>IF('Données projet'!$A$36&gt;35,N34+M35-V34,IF(A35&lt;'Données projet'!$A$36,$K$205^A35,IF(A35='Données projet'!$A$36,'Données projet'!$B$36,N34+M35-V34)))</f>
        <v>332.00000000000006</v>
      </c>
      <c r="O35" s="14">
        <f>N35*VLOOKUP('Données projet'!$B$9,Paramètres!$A$1:$I$88,3,0)*VLOOKUP('Données projet'!$B$9,Paramètres!$A$1:$I$88,5,0)</f>
        <v>185.58800000000002</v>
      </c>
      <c r="P35" s="14">
        <f t="shared" si="33"/>
        <v>46.563192499694225</v>
      </c>
      <c r="Q35" s="22">
        <f t="shared" ref="Q35:Q66" si="53">(O35+P35)*0.475*44/12</f>
        <v>404.32999360363414</v>
      </c>
      <c r="R35" s="60">
        <f t="shared" si="0"/>
        <v>645.30249608415943</v>
      </c>
      <c r="S35" s="60">
        <f ca="1">AVERAGE(OFFSET($R$3,0,0,'Données projet'!$E$9+1,1))-AVERAGE(OFFSET($H$3,0,0,'Données projet'!$E$9+1,1))</f>
        <v>366.29380214443631</v>
      </c>
      <c r="T35" s="60">
        <f t="shared" si="34"/>
        <v>413.14502442862897</v>
      </c>
      <c r="U35" s="16">
        <f>IF(ISNA(VLOOKUP(A35,'Données projet'!$A$35:$I$55,3,0)),0,VLOOKUP(A35,'Données projet'!$A$35:$I$55,3,0))</f>
        <v>2</v>
      </c>
      <c r="V35" s="16">
        <f>IF(ISNA(VLOOKUP(A35,'Données projet'!$A$35:$I$55,4,0)),0,VLOOKUP(A35,'Données projet'!$A$35:$I$55,4,0))</f>
        <v>79</v>
      </c>
      <c r="W35" s="17">
        <f>IF(ISNA(VLOOKUP(A35,'Données projet'!$A$35:$I$55,5,0)),0%,VLOOKUP(A35,'Données projet'!$A$35:$I$55,5,0)*VLOOKUP('Données projet'!$B$9,Paramètres!$A$1:$I$88,7,0))</f>
        <v>0.16500000000000001</v>
      </c>
      <c r="X35" s="17">
        <f>IF(ISNA(VLOOKUP(A35,'Données projet'!$A$35:$I$55,6,0)),0%,VLOOKUP(A35,'Données projet'!$A$35:$I$55,6,0)*VLOOKUP('Données projet'!$B$9,Paramètres!$A$1:$I$88,7,0))</f>
        <v>0.27500000000000002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11.760928524537043</v>
      </c>
      <c r="AA35" s="23">
        <f>EXP(-LN(2)/25)*AA34+(1-EXP(-LN(2)/25))/(LN(2)/25)*Calculateur!V35*Calculateur!X35*VLOOKUP('Données projet'!$B$9,Paramètres!$A$1:$I$88,3,0)*0.475*44/12</f>
        <v>31.83894842842119</v>
      </c>
      <c r="AB35" s="23">
        <f>EXP(-LN(2)/2)*AB34+(1-EXP(-LN(2)/2))/(LN(2)/2)*V35*Y35*VLOOKUP('Données projet'!$B$9,Paramètres!$A$1:$I$88,3,0)*0.475*44/12</f>
        <v>0</v>
      </c>
      <c r="AC35" s="24">
        <f t="shared" si="3"/>
        <v>43.599876952958233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11.52</v>
      </c>
      <c r="AI35" s="14">
        <f>IF('Données projet'!$A$62&gt;35,AI34+AH35-AQ34,IF(A35&lt;'Données projet'!$A$62,$AF$205^A35,IF(A35='Données projet'!$A$62,'Données projet'!$B$62,AI34+AH35-AQ34)))</f>
        <v>154.56000000000003</v>
      </c>
      <c r="AJ35" s="14">
        <f>AI35*VLOOKUP('Données projet'!$B$10,Paramètres!$A$1:$I$88,3,0)*VLOOKUP('Données projet'!$B$10,Paramètres!$A$1:$I$88,5,0)</f>
        <v>135.02361600000006</v>
      </c>
      <c r="AK35" s="14">
        <f t="shared" si="35"/>
        <v>35.154595584555466</v>
      </c>
      <c r="AL35" s="22">
        <f t="shared" si="4"/>
        <v>296.39371850976755</v>
      </c>
      <c r="AM35" s="60">
        <f t="shared" si="5"/>
        <v>537.36622099029285</v>
      </c>
      <c r="AN35" s="60">
        <f ca="1">AVERAGE(OFFSET($AM$3,0,0,'Données projet'!$E$10+1,1))-AVERAGE(OFFSET($H$3,0,0,'Données projet'!$E$10+1,1))</f>
        <v>436.5217771315057</v>
      </c>
      <c r="AO35" s="60">
        <f t="shared" si="36"/>
        <v>308.97310256098365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5.0432106892931481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5.0432106892931481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0.16216216216216217</v>
      </c>
      <c r="BD35" s="13">
        <f>IF('Données projet'!$A$88&gt;35,BD34+BC35-BL34,IF(A35&lt;'Données projet'!$A$88,$BA$205^A35,IF(A35='Données projet'!$A$88,'Données projet'!$B$88,BD34+BC35-BL34)))</f>
        <v>5.1891891891891921</v>
      </c>
      <c r="BE35" s="14">
        <f>BD35*VLOOKUP('Données projet'!$B$11,Paramètres!$A$1:$I$88,3,0)*VLOOKUP('Données projet'!$B$11,Paramètres!$A$1:$I$88,5,0)</f>
        <v>5.2618378378378408</v>
      </c>
      <c r="BF35" s="14">
        <f t="shared" si="37"/>
        <v>1.9987069572874854</v>
      </c>
      <c r="BG35" s="22">
        <f t="shared" si="7"/>
        <v>12.645448851509942</v>
      </c>
      <c r="BH35" s="60">
        <f t="shared" si="8"/>
        <v>253.61795133203526</v>
      </c>
      <c r="BI35" s="60">
        <f ca="1">AVERAGE(OFFSET($BH$3,0,0,'Données projet'!$E$11+1,1))-AVERAGE(OFFSET($H$3,0,0,'Données projet'!$E$11+1,1))</f>
        <v>108.30434106718693</v>
      </c>
      <c r="BJ35" s="60">
        <f t="shared" si="38"/>
        <v>67.653808657585842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0</v>
      </c>
      <c r="BR35" s="23">
        <f>EXP(-LN(2)/2)*BR34+(1-EXP(-LN(2)/2))/(LN(2)/2)*BL35*BO35*VLOOKUP('Données projet'!$B$11,Paramètres!$A$1:$I$88,3,0)*0.475*44/12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</v>
      </c>
      <c r="BY35" s="13">
        <f>IF('Données projet'!$A$114&gt;35,BY34+BX35-CG34,IF(A35&lt;'Données projet'!$A$114,$BV$205^A35,IF(A35='Données projet'!$A$114,'Données projet'!$B$114,BY34+BX35-CG34)))</f>
        <v>118.8125</v>
      </c>
      <c r="BZ35" s="14">
        <f>BY35*VLOOKUP('Données projet'!$B$12,Paramètres!$A$1:$I$88,3,0)*VLOOKUP('Données projet'!$B$12,Paramètres!$A$1:$I$88,5,0)</f>
        <v>55.60425</v>
      </c>
      <c r="CA35" s="14">
        <f t="shared" si="39"/>
        <v>16.052012247861281</v>
      </c>
      <c r="CB35" s="22">
        <f t="shared" si="10"/>
        <v>124.80132341502504</v>
      </c>
      <c r="CC35" s="60">
        <f t="shared" si="11"/>
        <v>365.77382589555037</v>
      </c>
      <c r="CD35" s="60">
        <f ca="1">AVERAGE(OFFSET($CC$3,0,0,'Données projet'!$E$12+1,1))-AVERAGE(OFFSET($H$3,0,0,'Données projet'!$E$12+1,1))</f>
        <v>171.08593400758221</v>
      </c>
      <c r="CE35" s="60">
        <f t="shared" si="40"/>
        <v>201.9528484086932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projet'!$B$12,Paramètres!$A$1:$I$88,3,0)*0.475*44/12</f>
        <v>0</v>
      </c>
      <c r="CL35" s="23">
        <f>EXP(-LN(2)/25)*CL34+(1-EXP(-LN(2)/25))/(LN(2)/25)*Calculateur!CG35*Calculateur!CI35*VLOOKUP('Données projet'!$B$12,Paramètres!$A$1:$I$88,3,0)*0.475*44/12</f>
        <v>21.056831995403922</v>
      </c>
      <c r="CM35" s="23">
        <f>EXP(-LN(2)/2)*CM34+(1-EXP(-LN(2)/2))/(LN(2)/2)*CG35*CJ35*VLOOKUP('Données projet'!$B$12,Paramètres!$A$1:$I$88,3,0)*0.475*44/12</f>
        <v>0</v>
      </c>
      <c r="CN35" s="24">
        <f t="shared" si="12"/>
        <v>21.056831995403922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11.2</v>
      </c>
      <c r="CT35" s="13">
        <f>IF('Données projet'!$A$140&gt;35,CT34+CS35-DB34,IF(A35&lt;'Données projet'!$A$140,$CQ$205^A35,IF(A35='Données projet'!$A$140,'Données projet'!$B$140,CT34+CS35-DB34)))</f>
        <v>185.39999999999995</v>
      </c>
      <c r="CU35" s="18">
        <f>CT35*VLOOKUP('Données projet'!$B$13,Paramètres!$A$1:$I$88,3,0)*VLOOKUP('Données projet'!$B$13,Paramètres!$A$1:$I$88,5,0)</f>
        <v>124.36631999999997</v>
      </c>
      <c r="CV35" s="14">
        <f t="shared" si="41"/>
        <v>32.691243810345568</v>
      </c>
      <c r="CW35" s="22">
        <f t="shared" si="13"/>
        <v>273.54192363635178</v>
      </c>
      <c r="CX35" s="60">
        <f t="shared" si="14"/>
        <v>514.51442611687708</v>
      </c>
      <c r="CY35" s="60">
        <f ca="1">AVERAGE(OFFSET($CX$3,0,0,'Données projet'!$E$13+1,1))-AVERAGE(OFFSET($H$3,0,0,'Données projet'!$E$13+1,1))</f>
        <v>283.66646124753868</v>
      </c>
      <c r="CZ35" s="60">
        <f t="shared" si="42"/>
        <v>331.61926649572797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projet'!$B$13,Paramètres!$A$1:$I$88,3,0)*0.475*44/12</f>
        <v>0</v>
      </c>
      <c r="DG35" s="23">
        <f>EXP(-LN(2)/25)*DG34+(1-EXP(-LN(2)/25))/(LN(2)/25)*Calculateur!DB35*Calculateur!DD35*VLOOKUP('Données projet'!$B$13,Paramètres!$A$1:$I$88,3,0)*0.475*44/12</f>
        <v>0</v>
      </c>
      <c r="DH35" s="23">
        <f>EXP(-LN(2)/2)*DH34+(1-EXP(-LN(2)/2))/(LN(2)/2)*DB35*DE35*VLOOKUP('Données projet'!$B$13,Paramètres!$A$1:$I$88,3,0)*0.475*44/12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7.4</v>
      </c>
      <c r="DO35" s="13">
        <f>IF('Données projet'!$A$166&gt;35,DO34+DN35-DW34,IF(A35&lt;'Données projet'!$A$166,$DL$205^A35,IF(A35='Données projet'!$A$166,'Données projet'!$B$166,DO34+DN35-DW34)))</f>
        <v>140.79999999999998</v>
      </c>
      <c r="DP35" s="18">
        <f>DO35*VLOOKUP('Données projet'!$B$14,Paramètres!$A$1:$I$88,3,0)*VLOOKUP('Données projet'!$B$14,Paramètres!$A$1:$I$88,5,0)</f>
        <v>103.23455999999999</v>
      </c>
      <c r="DQ35" s="14">
        <f t="shared" si="43"/>
        <v>27.731153388041118</v>
      </c>
      <c r="DR35" s="22">
        <f t="shared" si="16"/>
        <v>228.09861748417157</v>
      </c>
      <c r="DS35" s="60">
        <f t="shared" si="17"/>
        <v>469.07111996469689</v>
      </c>
      <c r="DT35" s="60">
        <f ca="1">AVERAGE(OFFSET($DS$3,0,0,'Données projet'!$E$14+1,1))-AVERAGE(OFFSET($H$3,0,0,'Données projet'!$E$14+1,1))</f>
        <v>212.77458587586861</v>
      </c>
      <c r="DU35" s="60">
        <f t="shared" si="44"/>
        <v>260.45879589483513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projet'!$B$14,Paramètres!$A$1:$I$88,3,0)*0.475*44/12</f>
        <v>0</v>
      </c>
      <c r="EB35" s="23">
        <f>EXP(-LN(2)/25)*EB34+(1-EXP(-LN(2)/25))/(LN(2)/25)*Calculateur!DW35*Calculateur!DY35*VLOOKUP('Données projet'!$B$14,Paramètres!$A$1:$I$88,3,0)*0.475*44/12</f>
        <v>9.5370275484507694</v>
      </c>
      <c r="EC35" s="23">
        <f>EXP(-LN(2)/2)*EC34+(1-EXP(-LN(2)/2))/(LN(2)/2)*DW35*DZ35*VLOOKUP('Données projet'!$B$14,Paramètres!$A$1:$I$88,3,0)*0.475*44/12</f>
        <v>0</v>
      </c>
      <c r="ED35" s="24">
        <f t="shared" si="18"/>
        <v>9.5370275484507694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5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8">
        <f t="shared" si="1"/>
        <v>183.33333333333334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19.714285714285715</v>
      </c>
      <c r="N36" s="14">
        <f>IF('Données projet'!$A$36&gt;35,N35+M36-V35,IF(A36&lt;'Données projet'!$A$36,$K$205^A36,IF(A36='Données projet'!$A$36,'Données projet'!$B$36,N35+M36-V35)))</f>
        <v>272.71428571428578</v>
      </c>
      <c r="O36" s="14">
        <f>N36*VLOOKUP('Données projet'!$B$9,Paramètres!$A$1:$I$88,3,0)*VLOOKUP('Données projet'!$B$9,Paramètres!$A$1:$I$88,5,0)</f>
        <v>152.44728571428575</v>
      </c>
      <c r="P36" s="14">
        <f t="shared" si="33"/>
        <v>39.134215165354775</v>
      </c>
      <c r="Q36" s="22">
        <f t="shared" si="53"/>
        <v>333.67111403204058</v>
      </c>
      <c r="R36" s="60">
        <f t="shared" si="0"/>
        <v>575.55195986658134</v>
      </c>
      <c r="S36" s="60">
        <f ca="1">AVERAGE(OFFSET($R$3,0,0,'Données projet'!$E$9+1,1))-AVERAGE(OFFSET($H$3,0,0,'Données projet'!$E$9+1,1))</f>
        <v>366.29380214443631</v>
      </c>
      <c r="T36" s="60">
        <f t="shared" si="34"/>
        <v>413.14502442862897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11.530303889628952</v>
      </c>
      <c r="AA36" s="23">
        <f>EXP(-LN(2)/25)*AA35+(1-EXP(-LN(2)/25))/(LN(2)/25)*Calculateur!V36*Calculateur!X36*VLOOKUP('Données projet'!$B$9,Paramètres!$A$1:$I$88,3,0)*0.475*44/12</f>
        <v>30.968310709308483</v>
      </c>
      <c r="AB36" s="23">
        <f>EXP(-LN(2)/2)*AB35+(1-EXP(-LN(2)/2))/(LN(2)/2)*V36*Y36*VLOOKUP('Données projet'!$B$9,Paramètres!$A$1:$I$88,3,0)*0.475*44/12</f>
        <v>0</v>
      </c>
      <c r="AC36" s="24">
        <f t="shared" si="3"/>
        <v>42.498614598937436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11.52</v>
      </c>
      <c r="AI36" s="14">
        <f>IF('Données projet'!$A$62&gt;35,AI35+AH36-AQ35,IF(A36&lt;'Données projet'!$A$62,$AF$205^A36,IF(A36='Données projet'!$A$62,'Données projet'!$B$62,AI35+AH36-AQ35)))</f>
        <v>166.08000000000004</v>
      </c>
      <c r="AJ36" s="14">
        <f>AI36*VLOOKUP('Données projet'!$B$10,Paramètres!$A$1:$I$88,3,0)*VLOOKUP('Données projet'!$B$10,Paramètres!$A$1:$I$88,5,0)</f>
        <v>145.08748800000006</v>
      </c>
      <c r="AK36" s="14">
        <f t="shared" si="35"/>
        <v>37.460045356045228</v>
      </c>
      <c r="AL36" s="22">
        <f t="shared" si="4"/>
        <v>317.93695392844546</v>
      </c>
      <c r="AM36" s="60">
        <f t="shared" si="5"/>
        <v>559.81779976298617</v>
      </c>
      <c r="AN36" s="60">
        <f ca="1">AVERAGE(OFFSET($AM$3,0,0,'Données projet'!$E$10+1,1))-AVERAGE(OFFSET($H$3,0,0,'Données projet'!$E$10+1,1))</f>
        <v>436.5217771315057</v>
      </c>
      <c r="AO36" s="60">
        <f t="shared" si="36"/>
        <v>308.97310256098365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4.905303827783503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4.905303827783503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0.16216216216216217</v>
      </c>
      <c r="BD36" s="13">
        <f>IF('Données projet'!$A$88&gt;35,BD35+BC36-BL35,IF(A36&lt;'Données projet'!$A$88,$BA$205^A36,IF(A36='Données projet'!$A$88,'Données projet'!$B$88,BD35+BC36-BL35)))</f>
        <v>5.3513513513513544</v>
      </c>
      <c r="BE36" s="14">
        <f>BD36*VLOOKUP('Données projet'!$B$11,Paramètres!$A$1:$I$88,3,0)*VLOOKUP('Données projet'!$B$11,Paramètres!$A$1:$I$88,5,0)</f>
        <v>5.4262702702702734</v>
      </c>
      <c r="BF36" s="14">
        <f t="shared" si="37"/>
        <v>2.0537970259652676</v>
      </c>
      <c r="BG36" s="22">
        <f t="shared" si="7"/>
        <v>13.027783874276899</v>
      </c>
      <c r="BH36" s="60">
        <f t="shared" si="8"/>
        <v>254.90862970881764</v>
      </c>
      <c r="BI36" s="60">
        <f ca="1">AVERAGE(OFFSET($BH$3,0,0,'Données projet'!$E$11+1,1))-AVERAGE(OFFSET($H$3,0,0,'Données projet'!$E$11+1,1))</f>
        <v>108.30434106718693</v>
      </c>
      <c r="BJ36" s="60">
        <f t="shared" si="38"/>
        <v>67.653808657585842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0</v>
      </c>
      <c r="BR36" s="23">
        <f>EXP(-LN(2)/2)*BR35+(1-EXP(-LN(2)/2))/(LN(2)/2)*BL36*BO36*VLOOKUP('Données projet'!$B$11,Paramètres!$A$1:$I$88,3,0)*0.475*44/12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</v>
      </c>
      <c r="BY36" s="13">
        <f>IF('Données projet'!$A$114&gt;35,BY35+BX36-CG35,IF(A36&lt;'Données projet'!$A$114,$BV$205^A36,IF(A36='Données projet'!$A$114,'Données projet'!$B$114,BY35+BX36-CG35)))</f>
        <v>125.8125</v>
      </c>
      <c r="BZ36" s="14">
        <f>BY36*VLOOKUP('Données projet'!$B$12,Paramètres!$A$1:$I$88,3,0)*VLOOKUP('Données projet'!$B$12,Paramètres!$A$1:$I$88,5,0)</f>
        <v>58.880249999999997</v>
      </c>
      <c r="CA36" s="14">
        <f t="shared" si="39"/>
        <v>16.884851423644715</v>
      </c>
      <c r="CB36" s="22">
        <f t="shared" si="10"/>
        <v>131.9575516461812</v>
      </c>
      <c r="CC36" s="60">
        <f t="shared" si="11"/>
        <v>373.83839748072194</v>
      </c>
      <c r="CD36" s="60">
        <f ca="1">AVERAGE(OFFSET($CC$3,0,0,'Données projet'!$E$12+1,1))-AVERAGE(OFFSET($H$3,0,0,'Données projet'!$E$12+1,1))</f>
        <v>171.08593400758221</v>
      </c>
      <c r="CE36" s="60">
        <f t="shared" si="40"/>
        <v>201.9528484086932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projet'!$B$12,Paramètres!$A$1:$I$88,3,0)*0.475*44/12</f>
        <v>0</v>
      </c>
      <c r="CL36" s="23">
        <f>EXP(-LN(2)/25)*CL35+(1-EXP(-LN(2)/25))/(LN(2)/25)*Calculateur!CG36*Calculateur!CI36*VLOOKUP('Données projet'!$B$12,Paramètres!$A$1:$I$88,3,0)*0.475*44/12</f>
        <v>20.481031817158932</v>
      </c>
      <c r="CM36" s="23">
        <f>EXP(-LN(2)/2)*CM35+(1-EXP(-LN(2)/2))/(LN(2)/2)*CG36*CJ36*VLOOKUP('Données projet'!$B$12,Paramètres!$A$1:$I$88,3,0)*0.475*44/12</f>
        <v>0</v>
      </c>
      <c r="CN36" s="24">
        <f t="shared" si="12"/>
        <v>20.481031817158932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11.2</v>
      </c>
      <c r="CT36" s="13">
        <f>IF('Données projet'!$A$140&gt;35,CT35+CS36-DB35,IF(A36&lt;'Données projet'!$A$140,$CQ$205^A36,IF(A36='Données projet'!$A$140,'Données projet'!$B$140,CT35+CS36-DB35)))</f>
        <v>196.59999999999994</v>
      </c>
      <c r="CU36" s="18">
        <f>CT36*VLOOKUP('Données projet'!$B$13,Paramètres!$A$1:$I$88,3,0)*VLOOKUP('Données projet'!$B$13,Paramètres!$A$1:$I$88,5,0)</f>
        <v>131.87927999999997</v>
      </c>
      <c r="CV36" s="14">
        <f t="shared" si="41"/>
        <v>34.430242365301694</v>
      </c>
      <c r="CW36" s="22">
        <f t="shared" si="13"/>
        <v>289.6557514529004</v>
      </c>
      <c r="CX36" s="60">
        <f t="shared" si="14"/>
        <v>531.53659728744117</v>
      </c>
      <c r="CY36" s="60">
        <f ca="1">AVERAGE(OFFSET($CX$3,0,0,'Données projet'!$E$13+1,1))-AVERAGE(OFFSET($H$3,0,0,'Données projet'!$E$13+1,1))</f>
        <v>283.66646124753868</v>
      </c>
      <c r="CZ36" s="60">
        <f t="shared" si="42"/>
        <v>331.61926649572797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projet'!$B$13,Paramètres!$A$1:$I$88,3,0)*0.475*44/12</f>
        <v>0</v>
      </c>
      <c r="DG36" s="23">
        <f>EXP(-LN(2)/25)*DG35+(1-EXP(-LN(2)/25))/(LN(2)/25)*Calculateur!DB36*Calculateur!DD36*VLOOKUP('Données projet'!$B$13,Paramètres!$A$1:$I$88,3,0)*0.475*44/12</f>
        <v>0</v>
      </c>
      <c r="DH36" s="23">
        <f>EXP(-LN(2)/2)*DH35+(1-EXP(-LN(2)/2))/(LN(2)/2)*DB36*DE36*VLOOKUP('Données projet'!$B$13,Paramètres!$A$1:$I$88,3,0)*0.475*44/12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7.4</v>
      </c>
      <c r="DO36" s="13">
        <f>IF('Données projet'!$A$166&gt;35,DO35+DN36-DW35,IF(A36&lt;'Données projet'!$A$166,$DL$205^A36,IF(A36='Données projet'!$A$166,'Données projet'!$B$166,DO35+DN36-DW35)))</f>
        <v>148.19999999999999</v>
      </c>
      <c r="DP36" s="18">
        <f>DO36*VLOOKUP('Données projet'!$B$14,Paramètres!$A$1:$I$88,3,0)*VLOOKUP('Données projet'!$B$14,Paramètres!$A$1:$I$88,5,0)</f>
        <v>108.66024</v>
      </c>
      <c r="DQ36" s="14">
        <f t="shared" si="43"/>
        <v>29.015101890437414</v>
      </c>
      <c r="DR36" s="22">
        <f t="shared" si="16"/>
        <v>239.78455379251179</v>
      </c>
      <c r="DS36" s="60">
        <f t="shared" si="17"/>
        <v>481.66539962705252</v>
      </c>
      <c r="DT36" s="60">
        <f ca="1">AVERAGE(OFFSET($DS$3,0,0,'Données projet'!$E$14+1,1))-AVERAGE(OFFSET($H$3,0,0,'Données projet'!$E$14+1,1))</f>
        <v>212.77458587586861</v>
      </c>
      <c r="DU36" s="60">
        <f t="shared" si="44"/>
        <v>260.45879589483513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projet'!$B$14,Paramètres!$A$1:$I$88,3,0)*0.475*44/12</f>
        <v>0</v>
      </c>
      <c r="EB36" s="23">
        <f>EXP(-LN(2)/25)*EB35+(1-EXP(-LN(2)/25))/(LN(2)/25)*Calculateur!DW36*Calculateur!DY36*VLOOKUP('Données projet'!$B$14,Paramètres!$A$1:$I$88,3,0)*0.475*44/12</f>
        <v>9.2762370286079019</v>
      </c>
      <c r="EC36" s="23">
        <f>EXP(-LN(2)/2)*EC35+(1-EXP(-LN(2)/2))/(LN(2)/2)*DW36*DZ36*VLOOKUP('Données projet'!$B$14,Paramètres!$A$1:$I$88,3,0)*0.475*44/12</f>
        <v>0</v>
      </c>
      <c r="ED36" s="24">
        <f t="shared" si="18"/>
        <v>9.2762370286079019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5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8">
        <f t="shared" si="1"/>
        <v>183.33333333333334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19.714285714285715</v>
      </c>
      <c r="N37" s="14">
        <f>IF('Données projet'!$A$36&gt;35,N36+M37-V36,IF(A37&lt;'Données projet'!$A$36,$K$205^A37,IF(A37='Données projet'!$A$36,'Données projet'!$B$36,N36+M37-V36)))</f>
        <v>292.4285714285715</v>
      </c>
      <c r="O37" s="14">
        <f>N37*VLOOKUP('Données projet'!$B$9,Paramètres!$A$1:$I$88,3,0)*VLOOKUP('Données projet'!$B$9,Paramètres!$A$1:$I$88,5,0)</f>
        <v>163.46757142857146</v>
      </c>
      <c r="P37" s="14">
        <f t="shared" si="33"/>
        <v>41.623657176502142</v>
      </c>
      <c r="Q37" s="22">
        <f t="shared" si="53"/>
        <v>357.20055648716988</v>
      </c>
      <c r="R37" s="60">
        <f t="shared" si="0"/>
        <v>599.9739879492854</v>
      </c>
      <c r="S37" s="60">
        <f ca="1">AVERAGE(OFFSET($R$3,0,0,'Données projet'!$E$9+1,1))-AVERAGE(OFFSET($H$3,0,0,'Données projet'!$E$9+1,1))</f>
        <v>366.29380214443631</v>
      </c>
      <c r="T37" s="60">
        <f t="shared" si="34"/>
        <v>413.14502442862897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11.304201663144271</v>
      </c>
      <c r="AA37" s="23">
        <f>EXP(-LN(2)/25)*AA36+(1-EXP(-LN(2)/25))/(LN(2)/25)*Calculateur!V37*Calculateur!X37*VLOOKUP('Données projet'!$B$9,Paramètres!$A$1:$I$88,3,0)*0.475*44/12</f>
        <v>30.121480624409759</v>
      </c>
      <c r="AB37" s="23">
        <f>EXP(-LN(2)/2)*AB36+(1-EXP(-LN(2)/2))/(LN(2)/2)*V37*Y37*VLOOKUP('Données projet'!$B$9,Paramètres!$A$1:$I$88,3,0)*0.475*44/12</f>
        <v>0</v>
      </c>
      <c r="AC37" s="24">
        <f t="shared" si="3"/>
        <v>41.425682287554032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>
        <f>VLOOKUP(A37,'Données projet'!$A$61:$I$81,2,0)</f>
        <v>177.6</v>
      </c>
      <c r="AG37" s="13">
        <f>VLOOKUP(A37,'Données projet'!$A$61:$I$81,9,0)</f>
        <v>11.52</v>
      </c>
      <c r="AH37" s="13">
        <f t="array" ref="AH37">INDEX(AG:AG,MIN(IF(ISNUMBER(AG37:AG233),ROW(AG37:AG233),"")))</f>
        <v>11.52</v>
      </c>
      <c r="AI37" s="14">
        <f>IF('Données projet'!$A$62&gt;35,AI36+AH37-AQ36,IF(A37&lt;'Données projet'!$A$62,$AF$205^A37,IF(A37='Données projet'!$A$62,'Données projet'!$B$62,AI36+AH37-AQ36)))</f>
        <v>177.60000000000005</v>
      </c>
      <c r="AJ37" s="14">
        <f>AI37*VLOOKUP('Données projet'!$B$10,Paramètres!$A$1:$I$88,3,0)*VLOOKUP('Données projet'!$B$10,Paramètres!$A$1:$I$88,5,0)</f>
        <v>155.15136000000007</v>
      </c>
      <c r="AK37" s="14">
        <f t="shared" si="35"/>
        <v>39.746940196236942</v>
      </c>
      <c r="AL37" s="22">
        <f t="shared" si="4"/>
        <v>339.44787284177949</v>
      </c>
      <c r="AM37" s="60">
        <f t="shared" si="5"/>
        <v>582.22130430389507</v>
      </c>
      <c r="AN37" s="60">
        <f ca="1">AVERAGE(OFFSET($AM$3,0,0,'Données projet'!$E$10+1,1))-AVERAGE(OFFSET($H$3,0,0,'Données projet'!$E$10+1,1))</f>
        <v>436.5217771315057</v>
      </c>
      <c r="AO37" s="60">
        <f t="shared" si="36"/>
        <v>308.97310256098365</v>
      </c>
      <c r="AP37" s="16">
        <f>IF(ISNA(VLOOKUP(A37,'Données projet'!$A$61:$I$81,3,0)),0,VLOOKUP(A37,'Données projet'!$A$61:$I$81,3,0))</f>
        <v>2</v>
      </c>
      <c r="AQ37" s="16">
        <f>IF(ISNA(VLOOKUP(A37,'Données projet'!$A$61:$I$81,4,0)),0,VLOOKUP(A37,'Données projet'!$A$61:$I$81,4,0))</f>
        <v>23.1</v>
      </c>
      <c r="AR37" s="17">
        <f>IF(ISNA(VLOOKUP(A37,'Données projet'!$A$61:$I$81,5,0)),0%,VLOOKUP(A37,'Données projet'!$A$61:$I$81,5,0)*VLOOKUP('Données projet'!$B$10,Paramètres!$A$1:$I$88,7,0))</f>
        <v>0.25800000000000001</v>
      </c>
      <c r="AS37" s="17">
        <f>IF(ISNA(VLOOKUP(A37,'Données projet'!$A$61:$I$81,6,0)),0%,VLOOKUP(A37,'Données projet'!$A$61:$I$81,6,0)*VLOOKUP('Données projet'!$B$10,Paramètres!$A$1:$I$88,7,0))</f>
        <v>8.6000000000000007E-2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5.7556108366328012</v>
      </c>
      <c r="AV37" s="23">
        <f>EXP(-LN(2)/25)*AV36+(1-EXP(-LN(2)/25))/(LN(2)/25)*Calculateur!AQ37*Calculateur!AS37*VLOOKUP('Données projet'!$B$10,Paramètres!$A$1:$I$88,3,0)*0.475*44/12</f>
        <v>6.6821509712238187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12.437761807856621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0.16216216216216217</v>
      </c>
      <c r="BD37" s="13">
        <f>IF('Données projet'!$A$88&gt;35,BD36+BC37-BL36,IF(A37&lt;'Données projet'!$A$88,$BA$205^A37,IF(A37='Données projet'!$A$88,'Données projet'!$B$88,BD36+BC37-BL36)))</f>
        <v>5.5135135135135167</v>
      </c>
      <c r="BE37" s="14">
        <f>BD37*VLOOKUP('Données projet'!$B$11,Paramètres!$A$1:$I$88,3,0)*VLOOKUP('Données projet'!$B$11,Paramètres!$A$1:$I$88,5,0)</f>
        <v>5.5907027027027061</v>
      </c>
      <c r="BF37" s="14">
        <f t="shared" si="37"/>
        <v>2.1086930878778771</v>
      </c>
      <c r="BG37" s="22">
        <f t="shared" si="7"/>
        <v>13.409781001927849</v>
      </c>
      <c r="BH37" s="60">
        <f t="shared" si="8"/>
        <v>256.18321246404344</v>
      </c>
      <c r="BI37" s="60">
        <f ca="1">AVERAGE(OFFSET($BH$3,0,0,'Données projet'!$E$11+1,1))-AVERAGE(OFFSET($H$3,0,0,'Données projet'!$E$11+1,1))</f>
        <v>108.30434106718693</v>
      </c>
      <c r="BJ37" s="60">
        <f t="shared" si="38"/>
        <v>67.653808657585842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0</v>
      </c>
      <c r="BR37" s="23">
        <f>EXP(-LN(2)/2)*BR36+(1-EXP(-LN(2)/2))/(LN(2)/2)*BL37*BO37*VLOOKUP('Données projet'!$B$11,Paramètres!$A$1:$I$88,3,0)*0.475*44/12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7</v>
      </c>
      <c r="BY37" s="13">
        <f>IF('Données projet'!$A$114&gt;35,BY36+BX37-CG36,IF(A37&lt;'Données projet'!$A$114,$BV$205^A37,IF(A37='Données projet'!$A$114,'Données projet'!$B$114,BY36+BX37-CG36)))</f>
        <v>132.8125</v>
      </c>
      <c r="BZ37" s="14">
        <f>BY37*VLOOKUP('Données projet'!$B$12,Paramètres!$A$1:$I$88,3,0)*VLOOKUP('Données projet'!$B$12,Paramètres!$A$1:$I$88,5,0)</f>
        <v>62.15625</v>
      </c>
      <c r="CA37" s="14">
        <f t="shared" si="39"/>
        <v>17.712311378195903</v>
      </c>
      <c r="CB37" s="22">
        <f t="shared" si="10"/>
        <v>139.10441106702453</v>
      </c>
      <c r="CC37" s="60">
        <f t="shared" si="11"/>
        <v>381.87784252914014</v>
      </c>
      <c r="CD37" s="60">
        <f ca="1">AVERAGE(OFFSET($CC$3,0,0,'Données projet'!$E$12+1,1))-AVERAGE(OFFSET($H$3,0,0,'Données projet'!$E$12+1,1))</f>
        <v>171.08593400758221</v>
      </c>
      <c r="CE37" s="60">
        <f t="shared" si="40"/>
        <v>201.9528484086932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projet'!$B$12,Paramètres!$A$1:$I$88,3,0)*0.475*44/12</f>
        <v>0</v>
      </c>
      <c r="CL37" s="23">
        <f>EXP(-LN(2)/25)*CL36+(1-EXP(-LN(2)/25))/(LN(2)/25)*Calculateur!CG37*Calculateur!CI37*VLOOKUP('Données projet'!$B$12,Paramètres!$A$1:$I$88,3,0)*0.475*44/12</f>
        <v>19.920976925068068</v>
      </c>
      <c r="CM37" s="23">
        <f>EXP(-LN(2)/2)*CM36+(1-EXP(-LN(2)/2))/(LN(2)/2)*CG37*CJ37*VLOOKUP('Données projet'!$B$12,Paramètres!$A$1:$I$88,3,0)*0.475*44/12</f>
        <v>0</v>
      </c>
      <c r="CN37" s="24">
        <f t="shared" si="12"/>
        <v>19.920976925068068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11.2</v>
      </c>
      <c r="CT37" s="13">
        <f>IF('Données projet'!$A$140&gt;35,CT36+CS37-DB36,IF(A37&lt;'Données projet'!$A$140,$CQ$205^A37,IF(A37='Données projet'!$A$140,'Données projet'!$B$140,CT36+CS37-DB36)))</f>
        <v>207.79999999999993</v>
      </c>
      <c r="CU37" s="18">
        <f>CT37*VLOOKUP('Données projet'!$B$13,Paramètres!$A$1:$I$88,3,0)*VLOOKUP('Données projet'!$B$13,Paramètres!$A$1:$I$88,5,0)</f>
        <v>139.39223999999996</v>
      </c>
      <c r="CV37" s="14">
        <f t="shared" si="41"/>
        <v>36.157740979589278</v>
      </c>
      <c r="CW37" s="22">
        <f t="shared" si="13"/>
        <v>305.74955020611787</v>
      </c>
      <c r="CX37" s="60">
        <f t="shared" si="14"/>
        <v>548.52298166823346</v>
      </c>
      <c r="CY37" s="60">
        <f ca="1">AVERAGE(OFFSET($CX$3,0,0,'Données projet'!$E$13+1,1))-AVERAGE(OFFSET($H$3,0,0,'Données projet'!$E$13+1,1))</f>
        <v>283.66646124753868</v>
      </c>
      <c r="CZ37" s="60">
        <f t="shared" si="42"/>
        <v>331.61926649572797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projet'!$B$13,Paramètres!$A$1:$I$88,3,0)*0.475*44/12</f>
        <v>0</v>
      </c>
      <c r="DG37" s="23">
        <f>EXP(-LN(2)/25)*DG36+(1-EXP(-LN(2)/25))/(LN(2)/25)*Calculateur!DB37*Calculateur!DD37*VLOOKUP('Données projet'!$B$13,Paramètres!$A$1:$I$88,3,0)*0.475*44/12</f>
        <v>0</v>
      </c>
      <c r="DH37" s="23">
        <f>EXP(-LN(2)/2)*DH36+(1-EXP(-LN(2)/2))/(LN(2)/2)*DB37*DE37*VLOOKUP('Données projet'!$B$13,Paramètres!$A$1:$I$88,3,0)*0.475*44/12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7.4</v>
      </c>
      <c r="DO37" s="13">
        <f>IF('Données projet'!$A$166&gt;35,DO36+DN37-DW36,IF(A37&lt;'Données projet'!$A$166,$DL$205^A37,IF(A37='Données projet'!$A$166,'Données projet'!$B$166,DO36+DN37-DW36)))</f>
        <v>155.6</v>
      </c>
      <c r="DP37" s="18">
        <f>DO37*VLOOKUP('Données projet'!$B$14,Paramètres!$A$1:$I$88,3,0)*VLOOKUP('Données projet'!$B$14,Paramètres!$A$1:$I$88,5,0)</f>
        <v>114.08591999999999</v>
      </c>
      <c r="DQ37" s="14">
        <f t="shared" si="43"/>
        <v>30.291606275752436</v>
      </c>
      <c r="DR37" s="22">
        <f t="shared" si="16"/>
        <v>251.45752493026876</v>
      </c>
      <c r="DS37" s="60">
        <f t="shared" si="17"/>
        <v>494.23095639238431</v>
      </c>
      <c r="DT37" s="60">
        <f ca="1">AVERAGE(OFFSET($DS$3,0,0,'Données projet'!$E$14+1,1))-AVERAGE(OFFSET($H$3,0,0,'Données projet'!$E$14+1,1))</f>
        <v>212.77458587586861</v>
      </c>
      <c r="DU37" s="60">
        <f t="shared" si="44"/>
        <v>260.45879589483513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projet'!$B$14,Paramètres!$A$1:$I$88,3,0)*0.475*44/12</f>
        <v>0</v>
      </c>
      <c r="EB37" s="23">
        <f>EXP(-LN(2)/25)*EB36+(1-EXP(-LN(2)/25))/(LN(2)/25)*Calculateur!DW37*Calculateur!DY37*VLOOKUP('Données projet'!$B$14,Paramètres!$A$1:$I$88,3,0)*0.475*44/12</f>
        <v>9.022577839244514</v>
      </c>
      <c r="EC37" s="23">
        <f>EXP(-LN(2)/2)*EC36+(1-EXP(-LN(2)/2))/(LN(2)/2)*DW37*DZ37*VLOOKUP('Données projet'!$B$14,Paramètres!$A$1:$I$88,3,0)*0.475*44/12</f>
        <v>0</v>
      </c>
      <c r="ED37" s="24">
        <f t="shared" si="18"/>
        <v>9.022577839244514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5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8">
        <f t="shared" si="1"/>
        <v>183.33333333333334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19.714285714285715</v>
      </c>
      <c r="N38" s="14">
        <f>IF('Données projet'!$A$36&gt;35,N37+M38-V37,IF(A38&lt;'Données projet'!$A$36,$K$205^A38,IF(A38='Données projet'!$A$36,'Données projet'!$B$36,N37+M38-V37)))</f>
        <v>312.14285714285722</v>
      </c>
      <c r="O38" s="14">
        <f>N38*VLOOKUP('Données projet'!$B$9,Paramètres!$A$1:$I$88,3,0)*VLOOKUP('Données projet'!$B$9,Paramètres!$A$1:$I$88,5,0)</f>
        <v>174.48785714285722</v>
      </c>
      <c r="P38" s="14">
        <f t="shared" si="33"/>
        <v>44.093624942634548</v>
      </c>
      <c r="Q38" s="22">
        <f t="shared" si="53"/>
        <v>380.69608129889815</v>
      </c>
      <c r="R38" s="60">
        <f t="shared" si="0"/>
        <v>624.34661402347263</v>
      </c>
      <c r="S38" s="60">
        <f ca="1">AVERAGE(OFFSET($R$3,0,0,'Données projet'!$E$9+1,1))-AVERAGE(OFFSET($H$3,0,0,'Données projet'!$E$9+1,1))</f>
        <v>366.29380214443631</v>
      </c>
      <c r="T38" s="60">
        <f t="shared" si="34"/>
        <v>413.14502442862897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11.082533163412213</v>
      </c>
      <c r="AA38" s="23">
        <f>EXP(-LN(2)/25)*AA37+(1-EXP(-LN(2)/25))/(LN(2)/25)*Calculateur!V38*Calculateur!X38*VLOOKUP('Données projet'!$B$9,Paramètres!$A$1:$I$88,3,0)*0.475*44/12</f>
        <v>29.297807152715453</v>
      </c>
      <c r="AB38" s="23">
        <f>EXP(-LN(2)/2)*AB37+(1-EXP(-LN(2)/2))/(LN(2)/2)*V38*Y38*VLOOKUP('Données projet'!$B$9,Paramètres!$A$1:$I$88,3,0)*0.475*44/12</f>
        <v>0</v>
      </c>
      <c r="AC38" s="24">
        <f t="shared" si="3"/>
        <v>40.380340316127665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10.212499999999999</v>
      </c>
      <c r="AI38" s="14">
        <f>IF('Données projet'!$A$62&gt;35,AI37+AH38-AQ37,IF(A38&lt;'Données projet'!$A$62,$AF$205^A38,IF(A38='Données projet'!$A$62,'Données projet'!$B$62,AI37+AH38-AQ37)))</f>
        <v>164.71250000000006</v>
      </c>
      <c r="AJ38" s="14">
        <f>AI38*VLOOKUP('Données projet'!$B$10,Paramètres!$A$1:$I$88,3,0)*VLOOKUP('Données projet'!$B$10,Paramètres!$A$1:$I$88,5,0)</f>
        <v>143.89284000000009</v>
      </c>
      <c r="AK38" s="14">
        <f t="shared" si="35"/>
        <v>37.187371991533887</v>
      </c>
      <c r="AL38" s="22">
        <f t="shared" si="4"/>
        <v>315.3813692185883</v>
      </c>
      <c r="AM38" s="60">
        <f t="shared" si="5"/>
        <v>559.03190194316278</v>
      </c>
      <c r="AN38" s="60">
        <f ca="1">AVERAGE(OFFSET($AM$3,0,0,'Données projet'!$E$10+1,1))-AVERAGE(OFFSET($H$3,0,0,'Données projet'!$E$10+1,1))</f>
        <v>436.5217771315057</v>
      </c>
      <c r="AO38" s="60">
        <f t="shared" si="36"/>
        <v>308.97310256098365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5.6427468187024017</v>
      </c>
      <c r="AV38" s="23">
        <f>EXP(-LN(2)/25)*AV37+(1-EXP(-LN(2)/25))/(LN(2)/25)*Calculateur!AQ38*Calculateur!AS38*VLOOKUP('Données projet'!$B$10,Paramètres!$A$1:$I$88,3,0)*0.475*44/12</f>
        <v>6.4994272015166565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12.142174020219059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0.16216216216216217</v>
      </c>
      <c r="BD38" s="13">
        <f>IF('Données projet'!$A$88&gt;35,BD37+BC38-BL37,IF(A38&lt;'Données projet'!$A$88,$BA$205^A38,IF(A38='Données projet'!$A$88,'Données projet'!$B$88,BD37+BC38-BL37)))</f>
        <v>5.675675675675679</v>
      </c>
      <c r="BE38" s="14">
        <f>BD38*VLOOKUP('Données projet'!$B$11,Paramètres!$A$1:$I$88,3,0)*VLOOKUP('Données projet'!$B$11,Paramètres!$A$1:$I$88,5,0)</f>
        <v>5.7551351351351387</v>
      </c>
      <c r="BF38" s="14">
        <f t="shared" si="37"/>
        <v>2.1634015042618424</v>
      </c>
      <c r="BG38" s="22">
        <f t="shared" si="7"/>
        <v>13.791451313616408</v>
      </c>
      <c r="BH38" s="60">
        <f t="shared" si="8"/>
        <v>257.44198403819092</v>
      </c>
      <c r="BI38" s="60">
        <f ca="1">AVERAGE(OFFSET($BH$3,0,0,'Données projet'!$E$11+1,1))-AVERAGE(OFFSET($H$3,0,0,'Données projet'!$E$11+1,1))</f>
        <v>108.30434106718693</v>
      </c>
      <c r="BJ38" s="60">
        <f t="shared" si="38"/>
        <v>67.653808657585842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0</v>
      </c>
      <c r="BQ38" s="23">
        <f>EXP(-LN(2)/25)*BQ37+(1-EXP(-LN(2)/25))/(LN(2)/25)*Calculateur!BL38*Calculateur!BN38*VLOOKUP('Données projet'!$B$11,Paramètres!$A$1:$I$88,3,0)*0.475*44/12</f>
        <v>0</v>
      </c>
      <c r="BR38" s="23">
        <f>EXP(-LN(2)/2)*BR37+(1-EXP(-LN(2)/2))/(LN(2)/2)*BL38*BO38*VLOOKUP('Données projet'!$B$11,Paramètres!$A$1:$I$88,3,0)*0.475*44/12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7</v>
      </c>
      <c r="BY38" s="13">
        <f>IF('Données projet'!$A$114&gt;35,BY37+BX38-CG37,IF(A38&lt;'Données projet'!$A$114,$BV$205^A38,IF(A38='Données projet'!$A$114,'Données projet'!$B$114,BY37+BX38-CG37)))</f>
        <v>139.8125</v>
      </c>
      <c r="BZ38" s="14">
        <f>BY38*VLOOKUP('Données projet'!$B$12,Paramètres!$A$1:$I$88,3,0)*VLOOKUP('Données projet'!$B$12,Paramètres!$A$1:$I$88,5,0)</f>
        <v>65.432249999999996</v>
      </c>
      <c r="CA38" s="14">
        <f t="shared" si="39"/>
        <v>18.534707960450309</v>
      </c>
      <c r="CB38" s="22">
        <f t="shared" si="10"/>
        <v>146.24245178111761</v>
      </c>
      <c r="CC38" s="60">
        <f t="shared" si="11"/>
        <v>389.89298450569208</v>
      </c>
      <c r="CD38" s="60">
        <f ca="1">AVERAGE(OFFSET($CC$3,0,0,'Données projet'!$E$12+1,1))-AVERAGE(OFFSET($H$3,0,0,'Données projet'!$E$12+1,1))</f>
        <v>171.08593400758221</v>
      </c>
      <c r="CE38" s="60">
        <f t="shared" si="40"/>
        <v>201.9528484086932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projet'!$B$12,Paramètres!$A$1:$I$88,3,0)*0.475*44/12</f>
        <v>0</v>
      </c>
      <c r="CL38" s="23">
        <f>EXP(-LN(2)/25)*CL37+(1-EXP(-LN(2)/25))/(LN(2)/25)*Calculateur!CG38*Calculateur!CI38*VLOOKUP('Données projet'!$B$12,Paramètres!$A$1:$I$88,3,0)*0.475*44/12</f>
        <v>19.376236763453434</v>
      </c>
      <c r="CM38" s="23">
        <f>EXP(-LN(2)/2)*CM37+(1-EXP(-LN(2)/2))/(LN(2)/2)*CG38*CJ38*VLOOKUP('Données projet'!$B$12,Paramètres!$A$1:$I$88,3,0)*0.475*44/12</f>
        <v>0</v>
      </c>
      <c r="CN38" s="24">
        <f t="shared" si="12"/>
        <v>19.376236763453434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219</v>
      </c>
      <c r="CR38" s="13">
        <f>VLOOKUP(A38,'Données projet'!$A$139:$I$159,9,0)</f>
        <v>11.2</v>
      </c>
      <c r="CS38" s="13">
        <f t="array" ref="CS38">INDEX(CR:CR,MIN(IF(ISNUMBER(CR38:CR234),ROW(CR38:CR234),"")))</f>
        <v>11.2</v>
      </c>
      <c r="CT38" s="13">
        <f>IF('Données projet'!$A$140&gt;35,CT37+CS38-DB37,IF(A38&lt;'Données projet'!$A$140,$CQ$205^A38,IF(A38='Données projet'!$A$140,'Données projet'!$B$140,CT37+CS38-DB37)))</f>
        <v>218.99999999999991</v>
      </c>
      <c r="CU38" s="18">
        <f>CT38*VLOOKUP('Données projet'!$B$13,Paramètres!$A$1:$I$88,3,0)*VLOOKUP('Données projet'!$B$13,Paramètres!$A$1:$I$88,5,0)</f>
        <v>146.90519999999995</v>
      </c>
      <c r="CV38" s="14">
        <f t="shared" si="41"/>
        <v>37.874430144259527</v>
      </c>
      <c r="CW38" s="22">
        <f t="shared" si="13"/>
        <v>321.82452250125192</v>
      </c>
      <c r="CX38" s="60">
        <f t="shared" si="14"/>
        <v>565.4750552258264</v>
      </c>
      <c r="CY38" s="60">
        <f ca="1">AVERAGE(OFFSET($CX$3,0,0,'Données projet'!$E$13+1,1))-AVERAGE(OFFSET($H$3,0,0,'Données projet'!$E$13+1,1))</f>
        <v>283.66646124753868</v>
      </c>
      <c r="CZ38" s="60">
        <f t="shared" si="42"/>
        <v>331.61926649572797</v>
      </c>
      <c r="DA38" s="16">
        <f>IF(ISNA(VLOOKUP(A38,'Données projet'!$A$139:$I$159,3,0)),0,VLOOKUP(A38,'Données projet'!$A$139:$I$159,3,0))</f>
        <v>5</v>
      </c>
      <c r="DB38" s="16">
        <f>IF(ISNA(VLOOKUP(A38,'Données projet'!$A$139:$I$159,4,0)),0,VLOOKUP(A38,'Données projet'!$A$139:$I$159,4,0))</f>
        <v>25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projet'!$B$13,Paramètres!$A$1:$I$88,3,0)*0.475*44/12</f>
        <v>0</v>
      </c>
      <c r="DG38" s="23">
        <f>EXP(-LN(2)/25)*DG37+(1-EXP(-LN(2)/25))/(LN(2)/25)*Calculateur!DB38*Calculateur!DD38*VLOOKUP('Données projet'!$B$13,Paramètres!$A$1:$I$88,3,0)*0.475*44/12</f>
        <v>0</v>
      </c>
      <c r="DH38" s="23">
        <f>EXP(-LN(2)/2)*DH37+(1-EXP(-LN(2)/2))/(LN(2)/2)*DB38*DE38*VLOOKUP('Données projet'!$B$13,Paramètres!$A$1:$I$88,3,0)*0.475*44/12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163</v>
      </c>
      <c r="DM38" s="13">
        <f>VLOOKUP(A38,'Données projet'!$A$165:$I$185,9,0)</f>
        <v>7.4</v>
      </c>
      <c r="DN38" s="13">
        <f t="array" ref="DN38">INDEX(DM:DM,MIN(IF(ISNUMBER(DM38:DM234),ROW(DM38:DM234),"")))</f>
        <v>7.4</v>
      </c>
      <c r="DO38" s="13">
        <f>IF('Données projet'!$A$166&gt;35,DO37+DN38-DW37,IF(A38&lt;'Données projet'!$A$166,$DL$205^A38,IF(A38='Données projet'!$A$166,'Données projet'!$B$166,DO37+DN38-DW37)))</f>
        <v>163</v>
      </c>
      <c r="DP38" s="18">
        <f>DO38*VLOOKUP('Données projet'!$B$14,Paramètres!$A$1:$I$88,3,0)*VLOOKUP('Données projet'!$B$14,Paramètres!$A$1:$I$88,5,0)</f>
        <v>119.5116</v>
      </c>
      <c r="DQ38" s="14">
        <f t="shared" si="43"/>
        <v>31.561060990985474</v>
      </c>
      <c r="DR38" s="22">
        <f t="shared" si="16"/>
        <v>263.11821789263303</v>
      </c>
      <c r="DS38" s="60">
        <f t="shared" si="17"/>
        <v>506.7687506172075</v>
      </c>
      <c r="DT38" s="60">
        <f ca="1">AVERAGE(OFFSET($DS$3,0,0,'Données projet'!$E$14+1,1))-AVERAGE(OFFSET($H$3,0,0,'Données projet'!$E$14+1,1))</f>
        <v>212.77458587586861</v>
      </c>
      <c r="DU38" s="60">
        <f t="shared" si="44"/>
        <v>260.45879589483513</v>
      </c>
      <c r="DV38" s="16">
        <f>IF(ISNA(VLOOKUP(A38,'Données projet'!$A$165:$I$185,3,0)),0,VLOOKUP(A38,'Données projet'!$A$165:$I$185,3,0))</f>
        <v>7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0.25800000000000001</v>
      </c>
      <c r="DY38" s="17">
        <f>IF(ISNA(VLOOKUP(A38,'Données projet'!$A$165:$I$185,6,0)),0%,VLOOKUP(A38,'Données projet'!$A$165:$I$185,6,0)*VLOOKUP('Données projet'!$B$14,Paramètres!$A$1:$I$88,7,0))</f>
        <v>0.129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projet'!$B$14,Paramètres!$A$1:$I$88,3,0)*0.475*44/12</f>
        <v>0</v>
      </c>
      <c r="EB38" s="23">
        <f>EXP(-LN(2)/25)*EB37+(1-EXP(-LN(2)/25))/(LN(2)/25)*Calculateur!DW38*Calculateur!DY38*VLOOKUP('Données projet'!$B$14,Paramètres!$A$1:$I$88,3,0)*0.475*44/12</f>
        <v>8.775854973753626</v>
      </c>
      <c r="EC38" s="23">
        <f>EXP(-LN(2)/2)*EC37+(1-EXP(-LN(2)/2))/(LN(2)/2)*DW38*DZ38*VLOOKUP('Données projet'!$B$14,Paramètres!$A$1:$I$88,3,0)*0.475*44/12</f>
        <v>0</v>
      </c>
      <c r="ED38" s="24">
        <f t="shared" si="18"/>
        <v>8.775854973753626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5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8">
        <f t="shared" si="1"/>
        <v>183.33333333333334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19.714285714285715</v>
      </c>
      <c r="N39" s="14">
        <f>IF('Données projet'!$A$36&gt;35,N38+M39-V38,IF(A39&lt;'Données projet'!$A$36,$K$205^A39,IF(A39='Données projet'!$A$36,'Données projet'!$B$36,N38+M39-V38)))</f>
        <v>331.85714285714295</v>
      </c>
      <c r="O39" s="14">
        <f>N39*VLOOKUP('Données projet'!$B$9,Paramètres!$A$1:$I$88,3,0)*VLOOKUP('Données projet'!$B$9,Paramètres!$A$1:$I$88,5,0)</f>
        <v>185.5081428571429</v>
      </c>
      <c r="P39" s="14">
        <f t="shared" si="33"/>
        <v>46.545488425938196</v>
      </c>
      <c r="Q39" s="22">
        <f t="shared" si="53"/>
        <v>404.16007448469958</v>
      </c>
      <c r="R39" s="60">
        <f t="shared" si="0"/>
        <v>648.67249272573395</v>
      </c>
      <c r="S39" s="60">
        <f ca="1">AVERAGE(OFFSET($R$3,0,0,'Données projet'!$E$9+1,1))-AVERAGE(OFFSET($H$3,0,0,'Données projet'!$E$9+1,1))</f>
        <v>366.29380214443631</v>
      </c>
      <c r="T39" s="60">
        <f t="shared" si="34"/>
        <v>413.14502442862897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10.865211447755467</v>
      </c>
      <c r="AA39" s="23">
        <f>EXP(-LN(2)/25)*AA38+(1-EXP(-LN(2)/25))/(LN(2)/25)*Calculateur!V39*Calculateur!X39*VLOOKUP('Données projet'!$B$9,Paramètres!$A$1:$I$88,3,0)*0.475*44/12</f>
        <v>28.496657075419733</v>
      </c>
      <c r="AB39" s="23">
        <f>EXP(-LN(2)/2)*AB38+(1-EXP(-LN(2)/2))/(LN(2)/2)*V39*Y39*VLOOKUP('Données projet'!$B$9,Paramètres!$A$1:$I$88,3,0)*0.475*44/12</f>
        <v>0</v>
      </c>
      <c r="AC39" s="24">
        <f t="shared" si="3"/>
        <v>39.361868523175204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10.212499999999999</v>
      </c>
      <c r="AI39" s="14">
        <f>IF('Données projet'!$A$62&gt;35,AI38+AH39-AQ38,IF(A39&lt;'Données projet'!$A$62,$AF$205^A39,IF(A39='Données projet'!$A$62,'Données projet'!$B$62,AI38+AH39-AQ38)))</f>
        <v>174.92500000000007</v>
      </c>
      <c r="AJ39" s="14">
        <f>AI39*VLOOKUP('Données projet'!$B$10,Paramètres!$A$1:$I$88,3,0)*VLOOKUP('Données projet'!$B$10,Paramètres!$A$1:$I$88,5,0)</f>
        <v>152.81448000000006</v>
      </c>
      <c r="AK39" s="14">
        <f t="shared" si="35"/>
        <v>39.217492673671899</v>
      </c>
      <c r="AL39" s="22">
        <f t="shared" si="4"/>
        <v>334.45568573997866</v>
      </c>
      <c r="AM39" s="60">
        <f t="shared" si="5"/>
        <v>578.96810398101309</v>
      </c>
      <c r="AN39" s="60">
        <f ca="1">AVERAGE(OFFSET($AM$3,0,0,'Données projet'!$E$10+1,1))-AVERAGE(OFFSET($H$3,0,0,'Données projet'!$E$10+1,1))</f>
        <v>436.5217771315057</v>
      </c>
      <c r="AO39" s="60">
        <f t="shared" si="36"/>
        <v>308.97310256098365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5.5320959953233642</v>
      </c>
      <c r="AV39" s="23">
        <f>EXP(-LN(2)/25)*AV38+(1-EXP(-LN(2)/25))/(LN(2)/25)*Calculateur!AQ39*Calculateur!AS39*VLOOKUP('Données projet'!$B$10,Paramètres!$A$1:$I$88,3,0)*0.475*44/12</f>
        <v>6.3217000229011617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11.853796018224525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0.16216216216216217</v>
      </c>
      <c r="BD39" s="13">
        <f>IF('Données projet'!$A$88&gt;35,BD38+BC39-BL38,IF(A39&lt;'Données projet'!$A$88,$BA$205^A39,IF(A39='Données projet'!$A$88,'Données projet'!$B$88,BD38+BC39-BL38)))</f>
        <v>5.8378378378378413</v>
      </c>
      <c r="BE39" s="14">
        <f>BD39*VLOOKUP('Données projet'!$B$11,Paramètres!$A$1:$I$88,3,0)*VLOOKUP('Données projet'!$B$11,Paramètres!$A$1:$I$88,5,0)</f>
        <v>5.9195675675675714</v>
      </c>
      <c r="BF39" s="14">
        <f t="shared" si="37"/>
        <v>2.2179282521795725</v>
      </c>
      <c r="BG39" s="22">
        <f t="shared" si="7"/>
        <v>14.172805219392941</v>
      </c>
      <c r="BH39" s="60">
        <f t="shared" si="8"/>
        <v>258.68522346042738</v>
      </c>
      <c r="BI39" s="60">
        <f ca="1">AVERAGE(OFFSET($BH$3,0,0,'Données projet'!$E$11+1,1))-AVERAGE(OFFSET($H$3,0,0,'Données projet'!$E$11+1,1))</f>
        <v>108.30434106718693</v>
      </c>
      <c r="BJ39" s="60">
        <f t="shared" si="38"/>
        <v>67.653808657585842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0</v>
      </c>
      <c r="BQ39" s="23">
        <f>EXP(-LN(2)/25)*BQ38+(1-EXP(-LN(2)/25))/(LN(2)/25)*Calculateur!BL39*Calculateur!BN39*VLOOKUP('Données projet'!$B$11,Paramètres!$A$1:$I$88,3,0)*0.475*44/12</f>
        <v>0</v>
      </c>
      <c r="BR39" s="23">
        <f>EXP(-LN(2)/2)*BR38+(1-EXP(-LN(2)/2))/(LN(2)/2)*BL39*BO39*VLOOKUP('Données projet'!$B$11,Paramètres!$A$1:$I$88,3,0)*0.475*44/12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</v>
      </c>
      <c r="BY39" s="13">
        <f>IF('Données projet'!$A$114&gt;35,BY38+BX39-CG38,IF(A39&lt;'Données projet'!$A$114,$BV$205^A39,IF(A39='Données projet'!$A$114,'Données projet'!$B$114,BY38+BX39-CG38)))</f>
        <v>146.8125</v>
      </c>
      <c r="BZ39" s="14">
        <f>BY39*VLOOKUP('Données projet'!$B$12,Paramètres!$A$1:$I$88,3,0)*VLOOKUP('Données projet'!$B$12,Paramètres!$A$1:$I$88,5,0)</f>
        <v>68.708250000000007</v>
      </c>
      <c r="CA39" s="14">
        <f t="shared" si="39"/>
        <v>19.352323605495691</v>
      </c>
      <c r="CB39" s="22">
        <f t="shared" si="10"/>
        <v>153.37216569623834</v>
      </c>
      <c r="CC39" s="60">
        <f t="shared" si="11"/>
        <v>397.88458393727274</v>
      </c>
      <c r="CD39" s="60">
        <f ca="1">AVERAGE(OFFSET($CC$3,0,0,'Données projet'!$E$12+1,1))-AVERAGE(OFFSET($H$3,0,0,'Données projet'!$E$12+1,1))</f>
        <v>171.08593400758221</v>
      </c>
      <c r="CE39" s="60">
        <f t="shared" si="40"/>
        <v>201.9528484086932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projet'!$B$12,Paramètres!$A$1:$I$88,3,0)*0.475*44/12</f>
        <v>0</v>
      </c>
      <c r="CL39" s="23">
        <f>EXP(-LN(2)/25)*CL38+(1-EXP(-LN(2)/25))/(LN(2)/25)*Calculateur!CG39*Calculateur!CI39*VLOOKUP('Données projet'!$B$12,Paramètres!$A$1:$I$88,3,0)*0.475*44/12</f>
        <v>18.846392550204794</v>
      </c>
      <c r="CM39" s="23">
        <f>EXP(-LN(2)/2)*CM38+(1-EXP(-LN(2)/2))/(LN(2)/2)*CG39*CJ39*VLOOKUP('Données projet'!$B$12,Paramètres!$A$1:$I$88,3,0)*0.475*44/12</f>
        <v>0</v>
      </c>
      <c r="CN39" s="24">
        <f t="shared" si="12"/>
        <v>18.846392550204794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10.8</v>
      </c>
      <c r="CT39" s="13">
        <f>IF('Données projet'!$A$140&gt;35,CT38+CS39-DB38,IF(A39&lt;'Données projet'!$A$140,$CQ$205^A39,IF(A39='Données projet'!$A$140,'Données projet'!$B$140,CT38+CS39-DB38)))</f>
        <v>204.79999999999993</v>
      </c>
      <c r="CU39" s="18">
        <f>CT39*VLOOKUP('Données projet'!$B$13,Paramètres!$A$1:$I$88,3,0)*VLOOKUP('Données projet'!$B$13,Paramètres!$A$1:$I$88,5,0)</f>
        <v>137.37983999999994</v>
      </c>
      <c r="CV39" s="14">
        <f t="shared" si="41"/>
        <v>35.696105227147584</v>
      </c>
      <c r="CW39" s="22">
        <f t="shared" si="13"/>
        <v>301.4406046039486</v>
      </c>
      <c r="CX39" s="60">
        <f t="shared" si="14"/>
        <v>545.95302284498302</v>
      </c>
      <c r="CY39" s="60">
        <f ca="1">AVERAGE(OFFSET($CX$3,0,0,'Données projet'!$E$13+1,1))-AVERAGE(OFFSET($H$3,0,0,'Données projet'!$E$13+1,1))</f>
        <v>283.66646124753868</v>
      </c>
      <c r="CZ39" s="60">
        <f t="shared" si="42"/>
        <v>331.61926649572797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projet'!$B$13,Paramètres!$A$1:$I$88,3,0)*0.475*44/12</f>
        <v>0</v>
      </c>
      <c r="DG39" s="23">
        <f>EXP(-LN(2)/25)*DG38+(1-EXP(-LN(2)/25))/(LN(2)/25)*Calculateur!DB39*Calculateur!DD39*VLOOKUP('Données projet'!$B$13,Paramètres!$A$1:$I$88,3,0)*0.475*44/12</f>
        <v>0</v>
      </c>
      <c r="DH39" s="23">
        <f>EXP(-LN(2)/2)*DH38+(1-EXP(-LN(2)/2))/(LN(2)/2)*DB39*DE39*VLOOKUP('Données projet'!$B$13,Paramètres!$A$1:$I$88,3,0)*0.475*44/12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6.8</v>
      </c>
      <c r="DO39" s="13">
        <f>IF('Données projet'!$A$166&gt;35,DO38+DN39-DW38,IF(A39&lt;'Données projet'!$A$166,$DL$205^A39,IF(A39='Données projet'!$A$166,'Données projet'!$B$166,DO38+DN39-DW38)))</f>
        <v>169.8</v>
      </c>
      <c r="DP39" s="18">
        <f>DO39*VLOOKUP('Données projet'!$B$14,Paramètres!$A$1:$I$88,3,0)*VLOOKUP('Données projet'!$B$14,Paramètres!$A$1:$I$88,5,0)</f>
        <v>124.49736</v>
      </c>
      <c r="DQ39" s="14">
        <f t="shared" si="43"/>
        <v>32.721677992091536</v>
      </c>
      <c r="DR39" s="22">
        <f t="shared" si="16"/>
        <v>273.82315783622607</v>
      </c>
      <c r="DS39" s="60">
        <f t="shared" si="17"/>
        <v>518.3355760772605</v>
      </c>
      <c r="DT39" s="60">
        <f ca="1">AVERAGE(OFFSET($DS$3,0,0,'Données projet'!$E$14+1,1))-AVERAGE(OFFSET($H$3,0,0,'Données projet'!$E$14+1,1))</f>
        <v>212.77458587586861</v>
      </c>
      <c r="DU39" s="60">
        <f t="shared" si="44"/>
        <v>260.45879589483513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projet'!$B$14,Paramètres!$A$1:$I$88,3,0)*0.475*44/12</f>
        <v>0</v>
      </c>
      <c r="EB39" s="23">
        <f>EXP(-LN(2)/25)*EB38+(1-EXP(-LN(2)/25))/(LN(2)/25)*Calculateur!DW39*Calculateur!DY39*VLOOKUP('Données projet'!$B$14,Paramètres!$A$1:$I$88,3,0)*0.475*44/12</f>
        <v>8.5358787579941779</v>
      </c>
      <c r="EC39" s="23">
        <f>EXP(-LN(2)/2)*EC38+(1-EXP(-LN(2)/2))/(LN(2)/2)*DW39*DZ39*VLOOKUP('Données projet'!$B$14,Paramètres!$A$1:$I$88,3,0)*0.475*44/12</f>
        <v>0</v>
      </c>
      <c r="ED39" s="24">
        <f t="shared" si="18"/>
        <v>8.5358787579941779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5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8">
        <f t="shared" si="1"/>
        <v>183.33333333333334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19.714285714285715</v>
      </c>
      <c r="N40" s="14">
        <f>IF('Données projet'!$A$36&gt;35,N39+M40-V39,IF(A40&lt;'Données projet'!$A$36,$K$205^A40,IF(A40='Données projet'!$A$36,'Données projet'!$B$36,N39+M40-V39)))</f>
        <v>351.57142857142867</v>
      </c>
      <c r="O40" s="14">
        <f>N40*VLOOKUP('Données projet'!$B$9,Paramètres!$A$1:$I$88,3,0)*VLOOKUP('Données projet'!$B$9,Paramètres!$A$1:$I$88,5,0)</f>
        <v>196.52842857142863</v>
      </c>
      <c r="P40" s="14">
        <f t="shared" si="33"/>
        <v>48.980445625371871</v>
      </c>
      <c r="Q40" s="22">
        <f t="shared" si="53"/>
        <v>427.59462255942753</v>
      </c>
      <c r="R40" s="60">
        <f t="shared" si="0"/>
        <v>672.95397453009866</v>
      </c>
      <c r="S40" s="60">
        <f ca="1">AVERAGE(OFFSET($R$3,0,0,'Données projet'!$E$9+1,1))-AVERAGE(OFFSET($H$3,0,0,'Données projet'!$E$9+1,1))</f>
        <v>366.29380214443631</v>
      </c>
      <c r="T40" s="60">
        <f t="shared" si="34"/>
        <v>413.14502442862897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10.65215127838959</v>
      </c>
      <c r="AA40" s="23">
        <f>EXP(-LN(2)/25)*AA39+(1-EXP(-LN(2)/25))/(LN(2)/25)*Calculateur!V40*Calculateur!X40*VLOOKUP('Données projet'!$B$9,Paramètres!$A$1:$I$88,3,0)*0.475*44/12</f>
        <v>27.717414489118315</v>
      </c>
      <c r="AB40" s="23">
        <f>EXP(-LN(2)/2)*AB39+(1-EXP(-LN(2)/2))/(LN(2)/2)*V40*Y40*VLOOKUP('Données projet'!$B$9,Paramètres!$A$1:$I$88,3,0)*0.475*44/12</f>
        <v>0</v>
      </c>
      <c r="AC40" s="24">
        <f t="shared" si="3"/>
        <v>38.369565767507908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10.212499999999999</v>
      </c>
      <c r="AI40" s="14">
        <f>IF('Données projet'!$A$62&gt;35,AI39+AH40-AQ39,IF(A40&lt;'Données projet'!$A$62,$AF$205^A40,IF(A40='Données projet'!$A$62,'Données projet'!$B$62,AI39+AH40-AQ39)))</f>
        <v>185.13750000000007</v>
      </c>
      <c r="AJ40" s="14">
        <f>AI40*VLOOKUP('Données projet'!$B$10,Paramètres!$A$1:$I$88,3,0)*VLOOKUP('Données projet'!$B$10,Paramètres!$A$1:$I$88,5,0)</f>
        <v>161.73612000000008</v>
      </c>
      <c r="AK40" s="14">
        <f t="shared" si="35"/>
        <v>41.233855819285729</v>
      </c>
      <c r="AL40" s="22">
        <f t="shared" si="4"/>
        <v>353.50604121858942</v>
      </c>
      <c r="AM40" s="60">
        <f t="shared" si="5"/>
        <v>598.86539318926054</v>
      </c>
      <c r="AN40" s="60">
        <f ca="1">AVERAGE(OFFSET($AM$3,0,0,'Données projet'!$E$10+1,1))-AVERAGE(OFFSET($H$3,0,0,'Données projet'!$E$10+1,1))</f>
        <v>436.5217771315057</v>
      </c>
      <c r="AO40" s="60">
        <f t="shared" si="36"/>
        <v>308.97310256098365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5.423614967100451</v>
      </c>
      <c r="AV40" s="23">
        <f>EXP(-LN(2)/25)*AV39+(1-EXP(-LN(2)/25))/(LN(2)/25)*Calculateur!AQ40*Calculateur!AS40*VLOOKUP('Données projet'!$B$10,Paramètres!$A$1:$I$88,3,0)*0.475*44/12</f>
        <v>6.1488328033311737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11.572447770431625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>
        <f>VLOOKUP(A40,'Données projet'!$A$87:$I$107,2,0)</f>
        <v>6</v>
      </c>
      <c r="BB40" s="13">
        <f>VLOOKUP(A40,'Données projet'!$A$87:$I$107,9,0)</f>
        <v>0.16216216216216217</v>
      </c>
      <c r="BC40" s="13">
        <f t="array" ref="BC40">INDEX(BB:BB,MIN(IF(ISNUMBER(BB40:BB236),ROW(BB40:BB236),"")))</f>
        <v>0.16216216216216217</v>
      </c>
      <c r="BD40" s="13">
        <f>IF('Données projet'!$A$88&gt;35,BD39+BC40-BL39,IF(A40&lt;'Données projet'!$A$88,$BA$205^A40,IF(A40='Données projet'!$A$88,'Données projet'!$B$88,BD39+BC40-BL39)))</f>
        <v>6.0000000000000036</v>
      </c>
      <c r="BE40" s="14">
        <f>BD40*VLOOKUP('Données projet'!$B$11,Paramètres!$A$1:$I$88,3,0)*VLOOKUP('Données projet'!$B$11,Paramètres!$A$1:$I$88,5,0)</f>
        <v>6.0840000000000041</v>
      </c>
      <c r="BF40" s="14">
        <f t="shared" si="37"/>
        <v>2.2722789577396276</v>
      </c>
      <c r="BG40" s="22">
        <f t="shared" si="7"/>
        <v>14.55385251806319</v>
      </c>
      <c r="BH40" s="60">
        <f t="shared" si="8"/>
        <v>259.91320448873427</v>
      </c>
      <c r="BI40" s="60">
        <f ca="1">AVERAGE(OFFSET($BH$3,0,0,'Données projet'!$E$11+1,1))-AVERAGE(OFFSET($H$3,0,0,'Données projet'!$E$11+1,1))</f>
        <v>108.30434106718693</v>
      </c>
      <c r="BJ40" s="60">
        <f t="shared" si="38"/>
        <v>67.653808657585842</v>
      </c>
      <c r="BK40" s="16">
        <f>IF(ISNA(VLOOKUP(A40,'Données projet'!$A$87:$I$107,3,0)),0,VLOOKUP(A40,'Données projet'!$A$87:$I$107,3,0))</f>
        <v>1</v>
      </c>
      <c r="BL40" s="16">
        <f>IF(ISNA(VLOOKUP(A40,'Données projet'!$A$87:$I$107,4,0)),0,VLOOKUP(A40,'Données projet'!$A$87:$I$107,4,0))</f>
        <v>2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0</v>
      </c>
      <c r="BQ40" s="23">
        <f>EXP(-LN(2)/25)*BQ39+(1-EXP(-LN(2)/25))/(LN(2)/25)*Calculateur!BL40*Calculateur!BN40*VLOOKUP('Données projet'!$B$11,Paramètres!$A$1:$I$88,3,0)*0.475*44/12</f>
        <v>0</v>
      </c>
      <c r="BR40" s="23">
        <f>EXP(-LN(2)/2)*BR39+(1-EXP(-LN(2)/2))/(LN(2)/2)*BL40*BO40*VLOOKUP('Données projet'!$B$11,Paramètres!$A$1:$I$88,3,0)*0.475*44/12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</v>
      </c>
      <c r="BY40" s="13">
        <f>IF('Données projet'!$A$114&gt;35,BY39+BX40-CG39,IF(A40&lt;'Données projet'!$A$114,$BV$205^A40,IF(A40='Données projet'!$A$114,'Données projet'!$B$114,BY39+BX40-CG39)))</f>
        <v>153.8125</v>
      </c>
      <c r="BZ40" s="14">
        <f>BY40*VLOOKUP('Données projet'!$B$12,Paramètres!$A$1:$I$88,3,0)*VLOOKUP('Données projet'!$B$12,Paramètres!$A$1:$I$88,5,0)</f>
        <v>71.984250000000003</v>
      </c>
      <c r="CA40" s="14">
        <f t="shared" si="39"/>
        <v>20.16541229363775</v>
      </c>
      <c r="CB40" s="22">
        <f t="shared" si="10"/>
        <v>160.49399516141906</v>
      </c>
      <c r="CC40" s="60">
        <f t="shared" si="11"/>
        <v>405.85334713209016</v>
      </c>
      <c r="CD40" s="60">
        <f ca="1">AVERAGE(OFFSET($CC$3,0,0,'Données projet'!$E$12+1,1))-AVERAGE(OFFSET($H$3,0,0,'Données projet'!$E$12+1,1))</f>
        <v>171.08593400758221</v>
      </c>
      <c r="CE40" s="60">
        <f t="shared" si="40"/>
        <v>201.9528484086932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projet'!$B$12,Paramètres!$A$1:$I$88,3,0)*0.475*44/12</f>
        <v>0</v>
      </c>
      <c r="CL40" s="23">
        <f>EXP(-LN(2)/25)*CL39+(1-EXP(-LN(2)/25))/(LN(2)/25)*Calculateur!CG40*Calculateur!CI40*VLOOKUP('Données projet'!$B$12,Paramètres!$A$1:$I$88,3,0)*0.475*44/12</f>
        <v>18.331036954830733</v>
      </c>
      <c r="CM40" s="23">
        <f>EXP(-LN(2)/2)*CM39+(1-EXP(-LN(2)/2))/(LN(2)/2)*CG40*CJ40*VLOOKUP('Données projet'!$B$12,Paramètres!$A$1:$I$88,3,0)*0.475*44/12</f>
        <v>0</v>
      </c>
      <c r="CN40" s="24">
        <f t="shared" si="12"/>
        <v>18.331036954830733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10.8</v>
      </c>
      <c r="CT40" s="13">
        <f>IF('Données projet'!$A$140&gt;35,CT39+CS40-DB39,IF(A40&lt;'Données projet'!$A$140,$CQ$205^A40,IF(A40='Données projet'!$A$140,'Données projet'!$B$140,CT39+CS40-DB39)))</f>
        <v>215.59999999999994</v>
      </c>
      <c r="CU40" s="18">
        <f>CT40*VLOOKUP('Données projet'!$B$13,Paramètres!$A$1:$I$88,3,0)*VLOOKUP('Données projet'!$B$13,Paramètres!$A$1:$I$88,5,0)</f>
        <v>144.62447999999995</v>
      </c>
      <c r="CV40" s="14">
        <f t="shared" si="41"/>
        <v>37.354396867221055</v>
      </c>
      <c r="CW40" s="22">
        <f t="shared" si="13"/>
        <v>316.94654387707652</v>
      </c>
      <c r="CX40" s="60">
        <f t="shared" si="14"/>
        <v>562.30589584774759</v>
      </c>
      <c r="CY40" s="60">
        <f ca="1">AVERAGE(OFFSET($CX$3,0,0,'Données projet'!$E$13+1,1))-AVERAGE(OFFSET($H$3,0,0,'Données projet'!$E$13+1,1))</f>
        <v>283.66646124753868</v>
      </c>
      <c r="CZ40" s="60">
        <f t="shared" si="42"/>
        <v>331.61926649572797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projet'!$B$13,Paramètres!$A$1:$I$88,3,0)*0.475*44/12</f>
        <v>0</v>
      </c>
      <c r="DG40" s="23">
        <f>EXP(-LN(2)/25)*DG39+(1-EXP(-LN(2)/25))/(LN(2)/25)*Calculateur!DB40*Calculateur!DD40*VLOOKUP('Données projet'!$B$13,Paramètres!$A$1:$I$88,3,0)*0.475*44/12</f>
        <v>0</v>
      </c>
      <c r="DH40" s="23">
        <f>EXP(-LN(2)/2)*DH39+(1-EXP(-LN(2)/2))/(LN(2)/2)*DB40*DE40*VLOOKUP('Données projet'!$B$13,Paramètres!$A$1:$I$88,3,0)*0.475*44/12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6.8</v>
      </c>
      <c r="DO40" s="13">
        <f>IF('Données projet'!$A$166&gt;35,DO39+DN40-DW39,IF(A40&lt;'Données projet'!$A$166,$DL$205^A40,IF(A40='Données projet'!$A$166,'Données projet'!$B$166,DO39+DN40-DW39)))</f>
        <v>176.60000000000002</v>
      </c>
      <c r="DP40" s="18">
        <f>DO40*VLOOKUP('Données projet'!$B$14,Paramètres!$A$1:$I$88,3,0)*VLOOKUP('Données projet'!$B$14,Paramètres!$A$1:$I$88,5,0)</f>
        <v>129.48312000000001</v>
      </c>
      <c r="DQ40" s="14">
        <f t="shared" si="43"/>
        <v>33.876895861516381</v>
      </c>
      <c r="DR40" s="22">
        <f t="shared" si="16"/>
        <v>284.51869429214099</v>
      </c>
      <c r="DS40" s="60">
        <f t="shared" si="17"/>
        <v>529.87804626281206</v>
      </c>
      <c r="DT40" s="60">
        <f ca="1">AVERAGE(OFFSET($DS$3,0,0,'Données projet'!$E$14+1,1))-AVERAGE(OFFSET($H$3,0,0,'Données projet'!$E$14+1,1))</f>
        <v>212.77458587586861</v>
      </c>
      <c r="DU40" s="60">
        <f t="shared" si="44"/>
        <v>260.45879589483513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projet'!$B$14,Paramètres!$A$1:$I$88,3,0)*0.475*44/12</f>
        <v>0</v>
      </c>
      <c r="EB40" s="23">
        <f>EXP(-LN(2)/25)*EB39+(1-EXP(-LN(2)/25))/(LN(2)/25)*Calculateur!DW40*Calculateur!DY40*VLOOKUP('Données projet'!$B$14,Paramètres!$A$1:$I$88,3,0)*0.475*44/12</f>
        <v>8.3024647044744722</v>
      </c>
      <c r="EC40" s="23">
        <f>EXP(-LN(2)/2)*EC39+(1-EXP(-LN(2)/2))/(LN(2)/2)*DW40*DZ40*VLOOKUP('Données projet'!$B$14,Paramètres!$A$1:$I$88,3,0)*0.475*44/12</f>
        <v>0</v>
      </c>
      <c r="ED40" s="24">
        <f t="shared" si="18"/>
        <v>8.3024647044744722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5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8">
        <f t="shared" si="1"/>
        <v>183.33333333333334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19.714285714285715</v>
      </c>
      <c r="N41" s="14">
        <f>IF('Données projet'!$A$36&gt;35,N40+M41-V40,IF(A41&lt;'Données projet'!$A$36,$K$205^A41,IF(A41='Données projet'!$A$36,'Données projet'!$B$36,N40+M41-V40)))</f>
        <v>371.28571428571439</v>
      </c>
      <c r="O41" s="14">
        <f>N41*VLOOKUP('Données projet'!$B$9,Paramètres!$A$1:$I$88,3,0)*VLOOKUP('Données projet'!$B$9,Paramètres!$A$1:$I$88,5,0)</f>
        <v>207.54871428571434</v>
      </c>
      <c r="P41" s="14">
        <f t="shared" si="33"/>
        <v>51.3995525965097</v>
      </c>
      <c r="Q41" s="22">
        <f t="shared" si="53"/>
        <v>451.00156481987352</v>
      </c>
      <c r="R41" s="60">
        <f t="shared" si="0"/>
        <v>697.19315811343222</v>
      </c>
      <c r="S41" s="60">
        <f ca="1">AVERAGE(OFFSET($R$3,0,0,'Données projet'!$E$9+1,1))-AVERAGE(OFFSET($H$3,0,0,'Données projet'!$E$9+1,1))</f>
        <v>366.29380214443631</v>
      </c>
      <c r="T41" s="60">
        <f t="shared" si="34"/>
        <v>413.14502442862897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10.443269088991109</v>
      </c>
      <c r="AA41" s="23">
        <f>EXP(-LN(2)/25)*AA40+(1-EXP(-LN(2)/25))/(LN(2)/25)*Calculateur!V41*Calculateur!X41*VLOOKUP('Données projet'!$B$9,Paramètres!$A$1:$I$88,3,0)*0.475*44/12</f>
        <v>26.959480332317895</v>
      </c>
      <c r="AB41" s="23">
        <f>EXP(-LN(2)/2)*AB40+(1-EXP(-LN(2)/2))/(LN(2)/2)*V41*Y41*VLOOKUP('Données projet'!$B$9,Paramètres!$A$1:$I$88,3,0)*0.475*44/12</f>
        <v>0</v>
      </c>
      <c r="AC41" s="24">
        <f t="shared" si="3"/>
        <v>37.402749421309004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10.212499999999999</v>
      </c>
      <c r="AI41" s="14">
        <f>IF('Données projet'!$A$62&gt;35,AI40+AH41-AQ40,IF(A41&lt;'Données projet'!$A$62,$AF$205^A41,IF(A41='Données projet'!$A$62,'Données projet'!$B$62,AI40+AH41-AQ40)))</f>
        <v>195.35000000000008</v>
      </c>
      <c r="AJ41" s="14">
        <f>AI41*VLOOKUP('Données projet'!$B$10,Paramètres!$A$1:$I$88,3,0)*VLOOKUP('Données projet'!$B$10,Paramètres!$A$1:$I$88,5,0)</f>
        <v>170.65776000000011</v>
      </c>
      <c r="AK41" s="14">
        <f t="shared" si="35"/>
        <v>43.237306818575448</v>
      </c>
      <c r="AL41" s="22">
        <f t="shared" si="4"/>
        <v>372.53390804235238</v>
      </c>
      <c r="AM41" s="60">
        <f t="shared" si="5"/>
        <v>618.72550133591108</v>
      </c>
      <c r="AN41" s="60">
        <f ca="1">AVERAGE(OFFSET($AM$3,0,0,'Données projet'!$E$10+1,1))-AVERAGE(OFFSET($H$3,0,0,'Données projet'!$E$10+1,1))</f>
        <v>436.5217771315057</v>
      </c>
      <c r="AO41" s="60">
        <f t="shared" si="36"/>
        <v>308.97310256098365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5.3172611856740959</v>
      </c>
      <c r="AV41" s="23">
        <f>EXP(-LN(2)/25)*AV40+(1-EXP(-LN(2)/25))/(LN(2)/25)*Calculateur!AQ41*Calculateur!AS41*VLOOKUP('Données projet'!$B$10,Paramètres!$A$1:$I$88,3,0)*0.475*44/12</f>
        <v>5.9806926469710193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11.297953832645115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4.125</v>
      </c>
      <c r="BD41" s="13">
        <f>IF('Données projet'!$A$88&gt;35,BD40+BC41-BL40,IF(A41&lt;'Données projet'!$A$88,$BA$205^A41,IF(A41='Données projet'!$A$88,'Données projet'!$B$88,BD40+BC41-BL40)))</f>
        <v>8.1250000000000036</v>
      </c>
      <c r="BE41" s="14">
        <f>BD41*VLOOKUP('Données projet'!$B$11,Paramètres!$A$1:$I$88,3,0)*VLOOKUP('Données projet'!$B$11,Paramètres!$A$1:$I$88,5,0)</f>
        <v>8.2387500000000049</v>
      </c>
      <c r="BF41" s="14">
        <f t="shared" si="37"/>
        <v>2.9703466181679747</v>
      </c>
      <c r="BG41" s="22">
        <f t="shared" si="7"/>
        <v>19.522509943309228</v>
      </c>
      <c r="BH41" s="60">
        <f t="shared" si="8"/>
        <v>265.71410323686797</v>
      </c>
      <c r="BI41" s="60">
        <f ca="1">AVERAGE(OFFSET($BH$3,0,0,'Données projet'!$E$11+1,1))-AVERAGE(OFFSET($H$3,0,0,'Données projet'!$E$11+1,1))</f>
        <v>108.30434106718693</v>
      </c>
      <c r="BJ41" s="60">
        <f t="shared" si="38"/>
        <v>67.653808657585842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0</v>
      </c>
      <c r="BQ41" s="23">
        <f>EXP(-LN(2)/25)*BQ40+(1-EXP(-LN(2)/25))/(LN(2)/25)*Calculateur!BL41*Calculateur!BN41*VLOOKUP('Données projet'!$B$11,Paramètres!$A$1:$I$88,3,0)*0.475*44/12</f>
        <v>0</v>
      </c>
      <c r="BR41" s="23">
        <f>EXP(-LN(2)/2)*BR40+(1-EXP(-LN(2)/2))/(LN(2)/2)*BL41*BO41*VLOOKUP('Données projet'!$B$11,Paramètres!$A$1:$I$88,3,0)*0.475*44/12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</v>
      </c>
      <c r="BY41" s="13">
        <f>IF('Données projet'!$A$114&gt;35,BY40+BX41-CG40,IF(A41&lt;'Données projet'!$A$114,$BV$205^A41,IF(A41='Données projet'!$A$114,'Données projet'!$B$114,BY40+BX41-CG40)))</f>
        <v>160.8125</v>
      </c>
      <c r="BZ41" s="14">
        <f>BY41*VLOOKUP('Données projet'!$B$12,Paramètres!$A$1:$I$88,3,0)*VLOOKUP('Données projet'!$B$12,Paramètres!$A$1:$I$88,5,0)</f>
        <v>75.260249999999999</v>
      </c>
      <c r="CA41" s="14">
        <f t="shared" si="39"/>
        <v>20.974203581198573</v>
      </c>
      <c r="CB41" s="22">
        <f t="shared" si="10"/>
        <v>167.60833998725417</v>
      </c>
      <c r="CC41" s="60">
        <f t="shared" si="11"/>
        <v>413.79993328081287</v>
      </c>
      <c r="CD41" s="60">
        <f ca="1">AVERAGE(OFFSET($CC$3,0,0,'Données projet'!$E$12+1,1))-AVERAGE(OFFSET($H$3,0,0,'Données projet'!$E$12+1,1))</f>
        <v>171.08593400758221</v>
      </c>
      <c r="CE41" s="60">
        <f t="shared" si="40"/>
        <v>201.9528484086932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projet'!$B$12,Paramètres!$A$1:$I$88,3,0)*0.475*44/12</f>
        <v>0</v>
      </c>
      <c r="CL41" s="23">
        <f>EXP(-LN(2)/25)*CL40+(1-EXP(-LN(2)/25))/(LN(2)/25)*Calculateur!CG41*Calculateur!CI41*VLOOKUP('Données projet'!$B$12,Paramètres!$A$1:$I$88,3,0)*0.475*44/12</f>
        <v>17.829773785313549</v>
      </c>
      <c r="CM41" s="23">
        <f>EXP(-LN(2)/2)*CM40+(1-EXP(-LN(2)/2))/(LN(2)/2)*CG41*CJ41*VLOOKUP('Données projet'!$B$12,Paramètres!$A$1:$I$88,3,0)*0.475*44/12</f>
        <v>0</v>
      </c>
      <c r="CN41" s="24">
        <f t="shared" si="12"/>
        <v>17.829773785313549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10.8</v>
      </c>
      <c r="CT41" s="13">
        <f>IF('Données projet'!$A$140&gt;35,CT40+CS41-DB40,IF(A41&lt;'Données projet'!$A$140,$CQ$205^A41,IF(A41='Données projet'!$A$140,'Données projet'!$B$140,CT40+CS41-DB40)))</f>
        <v>226.39999999999995</v>
      </c>
      <c r="CU41" s="18">
        <f>CT41*VLOOKUP('Données projet'!$B$13,Paramètres!$A$1:$I$88,3,0)*VLOOKUP('Données projet'!$B$13,Paramètres!$A$1:$I$88,5,0)</f>
        <v>151.86911999999998</v>
      </c>
      <c r="CV41" s="14">
        <f t="shared" si="41"/>
        <v>39.003043220127985</v>
      </c>
      <c r="CW41" s="22">
        <f t="shared" si="13"/>
        <v>332.43568427505619</v>
      </c>
      <c r="CX41" s="60">
        <f t="shared" si="14"/>
        <v>578.62727756861489</v>
      </c>
      <c r="CY41" s="60">
        <f ca="1">AVERAGE(OFFSET($CX$3,0,0,'Données projet'!$E$13+1,1))-AVERAGE(OFFSET($H$3,0,0,'Données projet'!$E$13+1,1))</f>
        <v>283.66646124753868</v>
      </c>
      <c r="CZ41" s="60">
        <f t="shared" si="42"/>
        <v>331.61926649572797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projet'!$B$13,Paramètres!$A$1:$I$88,3,0)*0.475*44/12</f>
        <v>0</v>
      </c>
      <c r="DG41" s="23">
        <f>EXP(-LN(2)/25)*DG40+(1-EXP(-LN(2)/25))/(LN(2)/25)*Calculateur!DB41*Calculateur!DD41*VLOOKUP('Données projet'!$B$13,Paramètres!$A$1:$I$88,3,0)*0.475*44/12</f>
        <v>0</v>
      </c>
      <c r="DH41" s="23">
        <f>EXP(-LN(2)/2)*DH40+(1-EXP(-LN(2)/2))/(LN(2)/2)*DB41*DE41*VLOOKUP('Données projet'!$B$13,Paramètres!$A$1:$I$88,3,0)*0.475*44/12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6.8</v>
      </c>
      <c r="DO41" s="13">
        <f>IF('Données projet'!$A$166&gt;35,DO40+DN41-DW40,IF(A41&lt;'Données projet'!$A$166,$DL$205^A41,IF(A41='Données projet'!$A$166,'Données projet'!$B$166,DO40+DN41-DW40)))</f>
        <v>183.40000000000003</v>
      </c>
      <c r="DP41" s="18">
        <f>DO41*VLOOKUP('Données projet'!$B$14,Paramètres!$A$1:$I$88,3,0)*VLOOKUP('Données projet'!$B$14,Paramètres!$A$1:$I$88,5,0)</f>
        <v>134.46888000000001</v>
      </c>
      <c r="DQ41" s="14">
        <f t="shared" si="43"/>
        <v>35.026946289458124</v>
      </c>
      <c r="DR41" s="22">
        <f t="shared" si="16"/>
        <v>295.20523078747289</v>
      </c>
      <c r="DS41" s="60">
        <f t="shared" si="17"/>
        <v>541.39682408103158</v>
      </c>
      <c r="DT41" s="60">
        <f ca="1">AVERAGE(OFFSET($DS$3,0,0,'Données projet'!$E$14+1,1))-AVERAGE(OFFSET($H$3,0,0,'Données projet'!$E$14+1,1))</f>
        <v>212.77458587586861</v>
      </c>
      <c r="DU41" s="60">
        <f t="shared" si="44"/>
        <v>260.45879589483513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projet'!$B$14,Paramètres!$A$1:$I$88,3,0)*0.475*44/12</f>
        <v>0</v>
      </c>
      <c r="EB41" s="23">
        <f>EXP(-LN(2)/25)*EB40+(1-EXP(-LN(2)/25))/(LN(2)/25)*Calculateur!DW41*Calculateur!DY41*VLOOKUP('Données projet'!$B$14,Paramètres!$A$1:$I$88,3,0)*0.475*44/12</f>
        <v>8.0754333705229744</v>
      </c>
      <c r="EC41" s="23">
        <f>EXP(-LN(2)/2)*EC40+(1-EXP(-LN(2)/2))/(LN(2)/2)*DW41*DZ41*VLOOKUP('Données projet'!$B$14,Paramètres!$A$1:$I$88,3,0)*0.475*44/12</f>
        <v>0</v>
      </c>
      <c r="ED41" s="24">
        <f t="shared" si="18"/>
        <v>8.0754333705229744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5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8">
        <f t="shared" si="1"/>
        <v>183.33333333333334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>
        <f>VLOOKUP(A42,'Données projet'!$A$35:$I$55,2,0)</f>
        <v>391</v>
      </c>
      <c r="L42" s="13">
        <f>VLOOKUP(A42,'Données projet'!$A$35:$I$55,9,0)</f>
        <v>19.714285714285715</v>
      </c>
      <c r="M42" s="13">
        <f t="array" ref="M42">INDEX(L:L,MIN(IF(ISNUMBER(L42:L238),ROW(L42:L238),"")))</f>
        <v>19.714285714285715</v>
      </c>
      <c r="N42" s="14">
        <f>IF('Données projet'!$A$36&gt;35,N41+M42-V41,IF(A42&lt;'Données projet'!$A$36,$K$205^A42,IF(A42='Données projet'!$A$36,'Données projet'!$B$36,N41+M42-V41)))</f>
        <v>391.00000000000011</v>
      </c>
      <c r="O42" s="14">
        <f>N42*VLOOKUP('Données projet'!$B$9,Paramètres!$A$1:$I$88,3,0)*VLOOKUP('Données projet'!$B$9,Paramètres!$A$1:$I$88,5,0)</f>
        <v>218.56900000000007</v>
      </c>
      <c r="P42" s="14">
        <f t="shared" si="33"/>
        <v>53.803746913464231</v>
      </c>
      <c r="Q42" s="22">
        <f t="shared" si="53"/>
        <v>474.38253420761703</v>
      </c>
      <c r="R42" s="60">
        <f t="shared" si="0"/>
        <v>721.39193129772411</v>
      </c>
      <c r="S42" s="60">
        <f ca="1">AVERAGE(OFFSET($R$3,0,0,'Données projet'!$E$9+1,1))-AVERAGE(OFFSET($H$3,0,0,'Données projet'!$E$9+1,1))</f>
        <v>366.29380214443631</v>
      </c>
      <c r="T42" s="60">
        <f t="shared" si="34"/>
        <v>413.14502442862897</v>
      </c>
      <c r="U42" s="16">
        <f>IF(ISNA(VLOOKUP(A42,'Données projet'!$A$35:$I$55,3,0)),0,VLOOKUP(A42,'Données projet'!$A$35:$I$55,3,0))</f>
        <v>3</v>
      </c>
      <c r="V42" s="16">
        <f>IF(ISNA(VLOOKUP(A42,'Données projet'!$A$35:$I$55,4,0)),0,VLOOKUP(A42,'Données projet'!$A$35:$I$55,4,0))</f>
        <v>80</v>
      </c>
      <c r="W42" s="17">
        <f>IF(ISNA(VLOOKUP(A42,'Données projet'!$A$35:$I$55,5,0)),0%,VLOOKUP(A42,'Données projet'!$A$35:$I$55,5,0)*VLOOKUP('Données projet'!$B$9,Paramètres!$A$1:$I$88,7,0))</f>
        <v>0.16500000000000001</v>
      </c>
      <c r="X42" s="17">
        <f>IF(ISNA(VLOOKUP(A42,'Données projet'!$A$35:$I$55,6,0)),0%,VLOOKUP(A42,'Données projet'!$A$35:$I$55,6,0)*VLOOKUP('Données projet'!$B$9,Paramètres!$A$1:$I$88,7,0))</f>
        <v>0.27500000000000002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20.026936755718456</v>
      </c>
      <c r="AA42" s="23">
        <f>EXP(-LN(2)/25)*AA41+(1-EXP(-LN(2)/25))/(LN(2)/25)*Calculateur!V42*Calculateur!X42*VLOOKUP('Données projet'!$B$9,Paramètres!$A$1:$I$88,3,0)*0.475*44/12</f>
        <v>42.472126810690582</v>
      </c>
      <c r="AB42" s="23">
        <f>EXP(-LN(2)/2)*AB41+(1-EXP(-LN(2)/2))/(LN(2)/2)*V42*Y42*VLOOKUP('Données projet'!$B$9,Paramètres!$A$1:$I$88,3,0)*0.475*44/12</f>
        <v>0</v>
      </c>
      <c r="AC42" s="24">
        <f t="shared" si="3"/>
        <v>62.499063566409035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10.212499999999999</v>
      </c>
      <c r="AI42" s="14">
        <f>IF('Données projet'!$A$62&gt;35,AI41+AH42-AQ41,IF(A42&lt;'Données projet'!$A$62,$AF$205^A42,IF(A42='Données projet'!$A$62,'Données projet'!$B$62,AI41+AH42-AQ41)))</f>
        <v>205.56250000000009</v>
      </c>
      <c r="AJ42" s="14">
        <f>AI42*VLOOKUP('Données projet'!$B$10,Paramètres!$A$1:$I$88,3,0)*VLOOKUP('Données projet'!$B$10,Paramètres!$A$1:$I$88,5,0)</f>
        <v>179.57940000000008</v>
      </c>
      <c r="AK42" s="14">
        <f t="shared" si="35"/>
        <v>45.228597678839186</v>
      </c>
      <c r="AL42" s="22">
        <f t="shared" si="4"/>
        <v>391.54059595731172</v>
      </c>
      <c r="AM42" s="60">
        <f t="shared" si="5"/>
        <v>638.54999304741887</v>
      </c>
      <c r="AN42" s="60">
        <f ca="1">AVERAGE(OFFSET($AM$3,0,0,'Données projet'!$E$10+1,1))-AVERAGE(OFFSET($H$3,0,0,'Données projet'!$E$10+1,1))</f>
        <v>436.5217771315057</v>
      </c>
      <c r="AO42" s="60">
        <f t="shared" si="36"/>
        <v>308.97310256098365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5.2129929370321095</v>
      </c>
      <c r="AV42" s="23">
        <f>EXP(-LN(2)/25)*AV41+(1-EXP(-LN(2)/25))/(LN(2)/25)*Calculateur!AQ42*Calculateur!AS42*VLOOKUP('Données projet'!$B$10,Paramètres!$A$1:$I$88,3,0)*0.475*44/12</f>
        <v>5.8171502920286393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11.030143229060748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4.125</v>
      </c>
      <c r="BD42" s="13">
        <f>IF('Données projet'!$A$88&gt;35,BD41+BC42-BL41,IF(A42&lt;'Données projet'!$A$88,$BA$205^A42,IF(A42='Données projet'!$A$88,'Données projet'!$B$88,BD41+BC42-BL41)))</f>
        <v>12.250000000000004</v>
      </c>
      <c r="BE42" s="14">
        <f>BD42*VLOOKUP('Données projet'!$B$11,Paramètres!$A$1:$I$88,3,0)*VLOOKUP('Données projet'!$B$11,Paramètres!$A$1:$I$88,5,0)</f>
        <v>12.421500000000005</v>
      </c>
      <c r="BF42" s="14">
        <f t="shared" si="37"/>
        <v>4.269374480965106</v>
      </c>
      <c r="BG42" s="22">
        <f t="shared" si="7"/>
        <v>29.069939721014233</v>
      </c>
      <c r="BH42" s="60">
        <f t="shared" si="8"/>
        <v>276.07933681112132</v>
      </c>
      <c r="BI42" s="60">
        <f ca="1">AVERAGE(OFFSET($BH$3,0,0,'Données projet'!$E$11+1,1))-AVERAGE(OFFSET($H$3,0,0,'Données projet'!$E$11+1,1))</f>
        <v>108.30434106718693</v>
      </c>
      <c r="BJ42" s="60">
        <f t="shared" si="38"/>
        <v>67.653808657585842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0</v>
      </c>
      <c r="BQ42" s="23">
        <f>EXP(-LN(2)/25)*BQ41+(1-EXP(-LN(2)/25))/(LN(2)/25)*Calculateur!BL42*Calculateur!BN42*VLOOKUP('Données projet'!$B$11,Paramètres!$A$1:$I$88,3,0)*0.475*44/12</f>
        <v>0</v>
      </c>
      <c r="BR42" s="23">
        <f>EXP(-LN(2)/2)*BR41+(1-EXP(-LN(2)/2))/(LN(2)/2)*BL42*BO42*VLOOKUP('Données projet'!$B$11,Paramètres!$A$1:$I$88,3,0)*0.475*44/12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</v>
      </c>
      <c r="BY42" s="13">
        <f>IF('Données projet'!$A$114&gt;35,BY41+BX42-CG41,IF(A42&lt;'Données projet'!$A$114,$BV$205^A42,IF(A42='Données projet'!$A$114,'Données projet'!$B$114,BY41+BX42-CG41)))</f>
        <v>167.8125</v>
      </c>
      <c r="BZ42" s="14">
        <f>BY42*VLOOKUP('Données projet'!$B$12,Paramètres!$A$1:$I$88,3,0)*VLOOKUP('Données projet'!$B$12,Paramètres!$A$1:$I$88,5,0)</f>
        <v>78.536249999999995</v>
      </c>
      <c r="CA42" s="14">
        <f t="shared" si="39"/>
        <v>21.778905909684912</v>
      </c>
      <c r="CB42" s="22">
        <f t="shared" si="10"/>
        <v>174.71556320936784</v>
      </c>
      <c r="CC42" s="60">
        <f t="shared" si="11"/>
        <v>421.72496029947496</v>
      </c>
      <c r="CD42" s="60">
        <f ca="1">AVERAGE(OFFSET($CC$3,0,0,'Données projet'!$E$12+1,1))-AVERAGE(OFFSET($H$3,0,0,'Données projet'!$E$12+1,1))</f>
        <v>171.08593400758221</v>
      </c>
      <c r="CE42" s="60">
        <f t="shared" si="40"/>
        <v>201.9528484086932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projet'!$B$12,Paramètres!$A$1:$I$88,3,0)*0.475*44/12</f>
        <v>0</v>
      </c>
      <c r="CL42" s="23">
        <f>EXP(-LN(2)/25)*CL41+(1-EXP(-LN(2)/25))/(LN(2)/25)*Calculateur!CG42*Calculateur!CI42*VLOOKUP('Données projet'!$B$12,Paramètres!$A$1:$I$88,3,0)*0.475*44/12</f>
        <v>17.342217683527096</v>
      </c>
      <c r="CM42" s="23">
        <f>EXP(-LN(2)/2)*CM41+(1-EXP(-LN(2)/2))/(LN(2)/2)*CG42*CJ42*VLOOKUP('Données projet'!$B$12,Paramètres!$A$1:$I$88,3,0)*0.475*44/12</f>
        <v>0</v>
      </c>
      <c r="CN42" s="24">
        <f t="shared" si="12"/>
        <v>17.342217683527096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10.8</v>
      </c>
      <c r="CT42" s="13">
        <f>IF('Données projet'!$A$140&gt;35,CT41+CS42-DB41,IF(A42&lt;'Données projet'!$A$140,$CQ$205^A42,IF(A42='Données projet'!$A$140,'Données projet'!$B$140,CT41+CS42-DB41)))</f>
        <v>237.19999999999996</v>
      </c>
      <c r="CU42" s="18">
        <f>CT42*VLOOKUP('Données projet'!$B$13,Paramètres!$A$1:$I$88,3,0)*VLOOKUP('Données projet'!$B$13,Paramètres!$A$1:$I$88,5,0)</f>
        <v>159.11375999999998</v>
      </c>
      <c r="CV42" s="14">
        <f t="shared" si="41"/>
        <v>40.642556927929157</v>
      </c>
      <c r="CW42" s="22">
        <f t="shared" si="13"/>
        <v>347.90891864947656</v>
      </c>
      <c r="CX42" s="60">
        <f t="shared" si="14"/>
        <v>594.9183157395837</v>
      </c>
      <c r="CY42" s="60">
        <f ca="1">AVERAGE(OFFSET($CX$3,0,0,'Données projet'!$E$13+1,1))-AVERAGE(OFFSET($H$3,0,0,'Données projet'!$E$13+1,1))</f>
        <v>283.66646124753868</v>
      </c>
      <c r="CZ42" s="60">
        <f t="shared" si="42"/>
        <v>331.61926649572797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projet'!$B$13,Paramètres!$A$1:$I$88,3,0)*0.475*44/12</f>
        <v>0</v>
      </c>
      <c r="DG42" s="23">
        <f>EXP(-LN(2)/25)*DG41+(1-EXP(-LN(2)/25))/(LN(2)/25)*Calculateur!DB42*Calculateur!DD42*VLOOKUP('Données projet'!$B$13,Paramètres!$A$1:$I$88,3,0)*0.475*44/12</f>
        <v>0</v>
      </c>
      <c r="DH42" s="23">
        <f>EXP(-LN(2)/2)*DH41+(1-EXP(-LN(2)/2))/(LN(2)/2)*DB42*DE42*VLOOKUP('Données projet'!$B$13,Paramètres!$A$1:$I$88,3,0)*0.475*44/12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6.8</v>
      </c>
      <c r="DO42" s="13">
        <f>IF('Données projet'!$A$166&gt;35,DO41+DN42-DW41,IF(A42&lt;'Données projet'!$A$166,$DL$205^A42,IF(A42='Données projet'!$A$166,'Données projet'!$B$166,DO41+DN42-DW41)))</f>
        <v>190.20000000000005</v>
      </c>
      <c r="DP42" s="18">
        <f>DO42*VLOOKUP('Données projet'!$B$14,Paramètres!$A$1:$I$88,3,0)*VLOOKUP('Données projet'!$B$14,Paramètres!$A$1:$I$88,5,0)</f>
        <v>139.45464000000004</v>
      </c>
      <c r="DQ42" s="14">
        <f t="shared" si="43"/>
        <v>36.172042811708707</v>
      </c>
      <c r="DR42" s="22">
        <f t="shared" si="16"/>
        <v>305.88313923039271</v>
      </c>
      <c r="DS42" s="60">
        <f t="shared" si="17"/>
        <v>552.89253632049986</v>
      </c>
      <c r="DT42" s="60">
        <f ca="1">AVERAGE(OFFSET($DS$3,0,0,'Données projet'!$E$14+1,1))-AVERAGE(OFFSET($H$3,0,0,'Données projet'!$E$14+1,1))</f>
        <v>212.77458587586861</v>
      </c>
      <c r="DU42" s="60">
        <f t="shared" si="44"/>
        <v>260.45879589483513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projet'!$B$14,Paramètres!$A$1:$I$88,3,0)*0.475*44/12</f>
        <v>0</v>
      </c>
      <c r="EB42" s="23">
        <f>EXP(-LN(2)/25)*EB41+(1-EXP(-LN(2)/25))/(LN(2)/25)*Calculateur!DW42*Calculateur!DY42*VLOOKUP('Données projet'!$B$14,Paramètres!$A$1:$I$88,3,0)*0.475*44/12</f>
        <v>7.8546102203374391</v>
      </c>
      <c r="EC42" s="23">
        <f>EXP(-LN(2)/2)*EC41+(1-EXP(-LN(2)/2))/(LN(2)/2)*DW42*DZ42*VLOOKUP('Données projet'!$B$14,Paramètres!$A$1:$I$88,3,0)*0.475*44/12</f>
        <v>0</v>
      </c>
      <c r="ED42" s="24">
        <f t="shared" si="18"/>
        <v>7.8546102203374391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5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8">
        <f t="shared" si="1"/>
        <v>183.33333333333334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19</v>
      </c>
      <c r="N43" s="14">
        <f>IF('Données projet'!$A$36&gt;35,N42+M43-V42,IF(A43&lt;'Données projet'!$A$36,$K$205^A43,IF(A43='Données projet'!$A$36,'Données projet'!$B$36,N42+M43-V42)))</f>
        <v>330.00000000000011</v>
      </c>
      <c r="O43" s="14">
        <f>N43*VLOOKUP('Données projet'!$B$9,Paramètres!$A$1:$I$88,3,0)*VLOOKUP('Données projet'!$B$9,Paramètres!$A$1:$I$88,5,0)</f>
        <v>184.47000000000006</v>
      </c>
      <c r="P43" s="14">
        <f t="shared" si="33"/>
        <v>46.315254582516594</v>
      </c>
      <c r="Q43" s="22">
        <f t="shared" si="53"/>
        <v>401.9509850645498</v>
      </c>
      <c r="R43" s="60">
        <f t="shared" si="0"/>
        <v>649.76399888367064</v>
      </c>
      <c r="S43" s="60">
        <f ca="1">AVERAGE(OFFSET($R$3,0,0,'Données projet'!$E$9+1,1))-AVERAGE(OFFSET($H$3,0,0,'Données projet'!$E$9+1,1))</f>
        <v>366.29380214443631</v>
      </c>
      <c r="T43" s="60">
        <f t="shared" si="34"/>
        <v>413.14502442862897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19.634220741164086</v>
      </c>
      <c r="AA43" s="23">
        <f>EXP(-LN(2)/25)*AA42+(1-EXP(-LN(2)/25))/(LN(2)/25)*Calculateur!V43*Calculateur!X43*VLOOKUP('Données projet'!$B$9,Paramètres!$A$1:$I$88,3,0)*0.475*44/12</f>
        <v>41.310724269540174</v>
      </c>
      <c r="AB43" s="23">
        <f>EXP(-LN(2)/2)*AB42+(1-EXP(-LN(2)/2))/(LN(2)/2)*V43*Y43*VLOOKUP('Données projet'!$B$9,Paramètres!$A$1:$I$88,3,0)*0.475*44/12</f>
        <v>0</v>
      </c>
      <c r="AC43" s="24">
        <f t="shared" si="3"/>
        <v>60.944945010704259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10.212499999999999</v>
      </c>
      <c r="AI43" s="14">
        <f>IF('Données projet'!$A$62&gt;35,AI42+AH43-AQ42,IF(A43&lt;'Données projet'!$A$62,$AF$205^A43,IF(A43='Données projet'!$A$62,'Données projet'!$B$62,AI42+AH43-AQ42)))</f>
        <v>215.77500000000009</v>
      </c>
      <c r="AJ43" s="14">
        <f>AI43*VLOOKUP('Données projet'!$B$10,Paramètres!$A$1:$I$88,3,0)*VLOOKUP('Données projet'!$B$10,Paramètres!$A$1:$I$88,5,0)</f>
        <v>188.5010400000001</v>
      </c>
      <c r="AK43" s="14">
        <f t="shared" si="35"/>
        <v>47.208401465736486</v>
      </c>
      <c r="AL43" s="22">
        <f t="shared" si="4"/>
        <v>410.52727721949122</v>
      </c>
      <c r="AM43" s="60">
        <f t="shared" si="5"/>
        <v>658.34029103861201</v>
      </c>
      <c r="AN43" s="60">
        <f ca="1">AVERAGE(OFFSET($AM$3,0,0,'Données projet'!$E$10+1,1))-AVERAGE(OFFSET($H$3,0,0,'Données projet'!$E$10+1,1))</f>
        <v>436.5217771315057</v>
      </c>
      <c r="AO43" s="60">
        <f t="shared" si="36"/>
        <v>308.97310256098365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5.1107693251486408</v>
      </c>
      <c r="AV43" s="23">
        <f>EXP(-LN(2)/25)*AV42+(1-EXP(-LN(2)/25))/(LN(2)/25)*Calculateur!AQ43*Calculateur!AS43*VLOOKUP('Données projet'!$B$10,Paramètres!$A$1:$I$88,3,0)*0.475*44/12</f>
        <v>5.6580800113824772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10.768849336531119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4.125</v>
      </c>
      <c r="BD43" s="13">
        <f>IF('Données projet'!$A$88&gt;35,BD42+BC43-BL42,IF(A43&lt;'Données projet'!$A$88,$BA$205^A43,IF(A43='Données projet'!$A$88,'Données projet'!$B$88,BD42+BC43-BL42)))</f>
        <v>16.375000000000004</v>
      </c>
      <c r="BE43" s="14">
        <f>BD43*VLOOKUP('Données projet'!$B$11,Paramètres!$A$1:$I$88,3,0)*VLOOKUP('Données projet'!$B$11,Paramètres!$A$1:$I$88,5,0)</f>
        <v>16.604250000000004</v>
      </c>
      <c r="BF43" s="14">
        <f t="shared" si="37"/>
        <v>5.5174423777974901</v>
      </c>
      <c r="BG43" s="22">
        <f t="shared" si="7"/>
        <v>38.528614224663961</v>
      </c>
      <c r="BH43" s="60">
        <f t="shared" si="8"/>
        <v>286.34162804378479</v>
      </c>
      <c r="BI43" s="60">
        <f ca="1">AVERAGE(OFFSET($BH$3,0,0,'Données projet'!$E$11+1,1))-AVERAGE(OFFSET($H$3,0,0,'Données projet'!$E$11+1,1))</f>
        <v>108.30434106718693</v>
      </c>
      <c r="BJ43" s="60">
        <f t="shared" si="38"/>
        <v>67.653808657585842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0</v>
      </c>
      <c r="BQ43" s="23">
        <f>EXP(-LN(2)/25)*BQ42+(1-EXP(-LN(2)/25))/(LN(2)/25)*Calculateur!BL43*Calculateur!BN43*VLOOKUP('Données projet'!$B$11,Paramètres!$A$1:$I$88,3,0)*0.475*44/12</f>
        <v>0</v>
      </c>
      <c r="BR43" s="23">
        <f>EXP(-LN(2)/2)*BR42+(1-EXP(-LN(2)/2))/(LN(2)/2)*BL43*BO43*VLOOKUP('Données projet'!$B$11,Paramètres!$A$1:$I$88,3,0)*0.475*44/12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174.8125</v>
      </c>
      <c r="BW43" s="13">
        <f>VLOOKUP(A43,'Données projet'!$A$113:$I$133,9,0)</f>
        <v>7</v>
      </c>
      <c r="BX43" s="13">
        <f t="array" ref="BX43">INDEX(BW:BW,MIN(IF(ISNUMBER(BW43:BW239),ROW(BW43:BW239),"")))</f>
        <v>7</v>
      </c>
      <c r="BY43" s="13">
        <f>IF('Données projet'!$A$114&gt;35,BY42+BX43-CG42,IF(A43&lt;'Données projet'!$A$114,$BV$205^A43,IF(A43='Données projet'!$A$114,'Données projet'!$B$114,BY42+BX43-CG42)))</f>
        <v>174.8125</v>
      </c>
      <c r="BZ43" s="14">
        <f>BY43*VLOOKUP('Données projet'!$B$12,Paramètres!$A$1:$I$88,3,0)*VLOOKUP('Données projet'!$B$12,Paramètres!$A$1:$I$88,5,0)</f>
        <v>81.812250000000006</v>
      </c>
      <c r="CA43" s="14">
        <f t="shared" si="39"/>
        <v>22.579709347253292</v>
      </c>
      <c r="CB43" s="22">
        <f t="shared" si="10"/>
        <v>181.81599586313283</v>
      </c>
      <c r="CC43" s="60">
        <f t="shared" si="11"/>
        <v>429.62900968225364</v>
      </c>
      <c r="CD43" s="60">
        <f ca="1">AVERAGE(OFFSET($CC$3,0,0,'Données projet'!$E$12+1,1))-AVERAGE(OFFSET($H$3,0,0,'Données projet'!$E$12+1,1))</f>
        <v>171.08593400758221</v>
      </c>
      <c r="CE43" s="60">
        <f t="shared" si="40"/>
        <v>201.9528484086932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34.962499999999999</v>
      </c>
      <c r="CH43" s="17">
        <f>IF(ISNA(VLOOKUP(A43,'Données projet'!$A$113:$I$133,5,0)),0%,VLOOKUP(A43,'Données projet'!$A$113:$I$133,5,0)*VLOOKUP('Données projet'!$B$12,Paramètres!$A$1:$I$88,7,0))</f>
        <v>0.27500000000000002</v>
      </c>
      <c r="CI43" s="17">
        <f>IF(ISNA(VLOOKUP(A43,'Données projet'!$A$113:$I$133,6,0)),0%,VLOOKUP(A43,'Données projet'!$A$113:$I$133,6,0)*VLOOKUP('Données projet'!$B$12,Paramètres!$A$1:$I$88,7,0))</f>
        <v>0.27500000000000002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projet'!$B$12,Paramètres!$A$1:$I$88,3,0)*0.475*44/12</f>
        <v>5.9691072578243434</v>
      </c>
      <c r="CL43" s="23">
        <f>EXP(-LN(2)/25)*CL42+(1-EXP(-LN(2)/25))/(LN(2)/25)*Calculateur!CG43*Calculateur!CI43*VLOOKUP('Données projet'!$B$12,Paramètres!$A$1:$I$88,3,0)*0.475*44/12</f>
        <v>22.813598437125567</v>
      </c>
      <c r="CM43" s="23">
        <f>EXP(-LN(2)/2)*CM42+(1-EXP(-LN(2)/2))/(LN(2)/2)*CG43*CJ43*VLOOKUP('Données projet'!$B$12,Paramètres!$A$1:$I$88,3,0)*0.475*44/12</f>
        <v>0</v>
      </c>
      <c r="CN43" s="24">
        <f t="shared" si="12"/>
        <v>28.782705694949911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248</v>
      </c>
      <c r="CR43" s="13">
        <f>VLOOKUP(A43,'Données projet'!$A$139:$I$159,9,0)</f>
        <v>10.8</v>
      </c>
      <c r="CS43" s="13">
        <f t="array" ref="CS43">INDEX(CR:CR,MIN(IF(ISNUMBER(CR43:CR239),ROW(CR43:CR239),"")))</f>
        <v>10.8</v>
      </c>
      <c r="CT43" s="13">
        <f>IF('Données projet'!$A$140&gt;35,CT42+CS43-DB42,IF(A43&lt;'Données projet'!$A$140,$CQ$205^A43,IF(A43='Données projet'!$A$140,'Données projet'!$B$140,CT42+CS43-DB42)))</f>
        <v>247.99999999999997</v>
      </c>
      <c r="CU43" s="18">
        <f>CT43*VLOOKUP('Données projet'!$B$13,Paramètres!$A$1:$I$88,3,0)*VLOOKUP('Données projet'!$B$13,Paramètres!$A$1:$I$88,5,0)</f>
        <v>166.35839999999999</v>
      </c>
      <c r="CV43" s="14">
        <f t="shared" si="41"/>
        <v>42.27340131152765</v>
      </c>
      <c r="CW43" s="22">
        <f t="shared" si="13"/>
        <v>363.36705395091059</v>
      </c>
      <c r="CX43" s="60">
        <f t="shared" si="14"/>
        <v>611.18006777003143</v>
      </c>
      <c r="CY43" s="60">
        <f ca="1">AVERAGE(OFFSET($CX$3,0,0,'Données projet'!$E$13+1,1))-AVERAGE(OFFSET($H$3,0,0,'Données projet'!$E$13+1,1))</f>
        <v>283.66646124753868</v>
      </c>
      <c r="CZ43" s="60">
        <f t="shared" si="42"/>
        <v>331.61926649572797</v>
      </c>
      <c r="DA43" s="16">
        <f>IF(ISNA(VLOOKUP(A43,'Données projet'!$A$139:$I$159,3,0)),0,VLOOKUP(A43,'Données projet'!$A$139:$I$159,3,0))</f>
        <v>6</v>
      </c>
      <c r="DB43" s="16">
        <f>IF(ISNA(VLOOKUP(A43,'Données projet'!$A$139:$I$159,4,0)),0,VLOOKUP(A43,'Données projet'!$A$139:$I$159,4,0))</f>
        <v>25</v>
      </c>
      <c r="DC43" s="17">
        <f>IF(ISNA(VLOOKUP(A43,'Données projet'!$A$139:$I$159,5,0)),0%,VLOOKUP(A43,'Données projet'!$A$139:$I$159,5,0)*VLOOKUP('Données projet'!$B$13,Paramètres!$A$1:$I$88,7,0))</f>
        <v>0.159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projet'!$B$13,Paramètres!$A$1:$I$88,3,0)*0.475*44/12</f>
        <v>2.9476593840980443</v>
      </c>
      <c r="DG43" s="23">
        <f>EXP(-LN(2)/25)*DG42+(1-EXP(-LN(2)/25))/(LN(2)/25)*Calculateur!DB43*Calculateur!DD43*VLOOKUP('Données projet'!$B$13,Paramètres!$A$1:$I$88,3,0)*0.475*44/12</f>
        <v>0</v>
      </c>
      <c r="DH43" s="23">
        <f>EXP(-LN(2)/2)*DH42+(1-EXP(-LN(2)/2))/(LN(2)/2)*DB43*DE43*VLOOKUP('Données projet'!$B$13,Paramètres!$A$1:$I$88,3,0)*0.475*44/12</f>
        <v>0</v>
      </c>
      <c r="DI43" s="24">
        <f t="shared" si="15"/>
        <v>2.9476593840980443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197</v>
      </c>
      <c r="DM43" s="13">
        <f>VLOOKUP(A43,'Données projet'!$A$165:$I$185,9,0)</f>
        <v>6.8</v>
      </c>
      <c r="DN43" s="13">
        <f t="array" ref="DN43">INDEX(DM:DM,MIN(IF(ISNUMBER(DM43:DM239),ROW(DM43:DM239),"")))</f>
        <v>6.8</v>
      </c>
      <c r="DO43" s="13">
        <f>IF('Données projet'!$A$166&gt;35,DO42+DN43-DW42,IF(A43&lt;'Données projet'!$A$166,$DL$205^A43,IF(A43='Données projet'!$A$166,'Données projet'!$B$166,DO42+DN43-DW42)))</f>
        <v>197.00000000000006</v>
      </c>
      <c r="DP43" s="18">
        <f>DO43*VLOOKUP('Données projet'!$B$14,Paramètres!$A$1:$I$88,3,0)*VLOOKUP('Données projet'!$B$14,Paramètres!$A$1:$I$88,5,0)</f>
        <v>144.44040000000004</v>
      </c>
      <c r="DQ43" s="14">
        <f t="shared" si="43"/>
        <v>37.312382829927081</v>
      </c>
      <c r="DR43" s="22">
        <f t="shared" si="16"/>
        <v>316.55276342878972</v>
      </c>
      <c r="DS43" s="60">
        <f t="shared" si="17"/>
        <v>564.3657772479105</v>
      </c>
      <c r="DT43" s="60">
        <f ca="1">AVERAGE(OFFSET($DS$3,0,0,'Données projet'!$E$14+1,1))-AVERAGE(OFFSET($H$3,0,0,'Données projet'!$E$14+1,1))</f>
        <v>212.77458587586861</v>
      </c>
      <c r="DU43" s="60">
        <f t="shared" si="44"/>
        <v>260.45879589483513</v>
      </c>
      <c r="DV43" s="16">
        <f>IF(ISNA(VLOOKUP(A43,'Données projet'!$A$165:$I$185,3,0)),0,VLOOKUP(A43,'Données projet'!$A$165:$I$185,3,0))</f>
        <v>8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0.25800000000000001</v>
      </c>
      <c r="DY43" s="17">
        <f>IF(ISNA(VLOOKUP(A43,'Données projet'!$A$165:$I$185,6,0)),0%,VLOOKUP(A43,'Données projet'!$A$165:$I$185,6,0)*VLOOKUP('Données projet'!$B$14,Paramètres!$A$1:$I$88,7,0))</f>
        <v>0.129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projet'!$B$14,Paramètres!$A$1:$I$88,3,0)*0.475*44/12</f>
        <v>0</v>
      </c>
      <c r="EB43" s="23">
        <f>EXP(-LN(2)/25)*EB42+(1-EXP(-LN(2)/25))/(LN(2)/25)*Calculateur!DW43*Calculateur!DY43*VLOOKUP('Données projet'!$B$14,Paramètres!$A$1:$I$88,3,0)*0.475*44/12</f>
        <v>7.6398254908063121</v>
      </c>
      <c r="EC43" s="23">
        <f>EXP(-LN(2)/2)*EC42+(1-EXP(-LN(2)/2))/(LN(2)/2)*DW43*DZ43*VLOOKUP('Données projet'!$B$14,Paramètres!$A$1:$I$88,3,0)*0.475*44/12</f>
        <v>0</v>
      </c>
      <c r="ED43" s="24">
        <f t="shared" si="18"/>
        <v>7.6398254908063121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5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8">
        <f t="shared" si="1"/>
        <v>183.33333333333334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</v>
      </c>
      <c r="N44" s="14">
        <f>IF('Données projet'!$A$36&gt;35,N43+M44-V43,IF(A44&lt;'Données projet'!$A$36,$K$205^A44,IF(A44='Données projet'!$A$36,'Données projet'!$B$36,N43+M44-V43)))</f>
        <v>349.00000000000011</v>
      </c>
      <c r="O44" s="14">
        <f>N44*VLOOKUP('Données projet'!$B$9,Paramètres!$A$1:$I$88,3,0)*VLOOKUP('Données projet'!$B$9,Paramètres!$A$1:$I$88,5,0)</f>
        <v>195.09100000000007</v>
      </c>
      <c r="P44" s="14">
        <f t="shared" si="33"/>
        <v>48.663762686246173</v>
      </c>
      <c r="Q44" s="22">
        <f t="shared" si="53"/>
        <v>424.53954501187883</v>
      </c>
      <c r="R44" s="60">
        <f t="shared" si="0"/>
        <v>673.14223460638277</v>
      </c>
      <c r="S44" s="60">
        <f ca="1">AVERAGE(OFFSET($R$3,0,0,'Données projet'!$E$9+1,1))-AVERAGE(OFFSET($H$3,0,0,'Données projet'!$E$9+1,1))</f>
        <v>366.29380214443631</v>
      </c>
      <c r="T44" s="60">
        <f t="shared" si="34"/>
        <v>413.14502442862897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19.249205648122008</v>
      </c>
      <c r="AA44" s="23">
        <f>EXP(-LN(2)/25)*AA43+(1-EXP(-LN(2)/25))/(LN(2)/25)*Calculateur!V44*Calculateur!X44*VLOOKUP('Données projet'!$B$9,Paramètres!$A$1:$I$88,3,0)*0.475*44/12</f>
        <v>40.181080341953027</v>
      </c>
      <c r="AB44" s="23">
        <f>EXP(-LN(2)/2)*AB43+(1-EXP(-LN(2)/2))/(LN(2)/2)*V44*Y44*VLOOKUP('Données projet'!$B$9,Paramètres!$A$1:$I$88,3,0)*0.475*44/12</f>
        <v>0</v>
      </c>
      <c r="AC44" s="24">
        <f t="shared" si="3"/>
        <v>59.430285990075035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10.212499999999999</v>
      </c>
      <c r="AI44" s="14">
        <f>IF('Données projet'!$A$62&gt;35,AI43+AH44-AQ43,IF(A44&lt;'Données projet'!$A$62,$AF$205^A44,IF(A44='Données projet'!$A$62,'Données projet'!$B$62,AI43+AH44-AQ43)))</f>
        <v>225.9875000000001</v>
      </c>
      <c r="AJ44" s="14">
        <f>AI44*VLOOKUP('Données projet'!$B$10,Paramètres!$A$1:$I$88,3,0)*VLOOKUP('Données projet'!$B$10,Paramètres!$A$1:$I$88,5,0)</f>
        <v>197.4226800000001</v>
      </c>
      <c r="AK44" s="14">
        <f t="shared" si="35"/>
        <v>49.177323933129124</v>
      </c>
      <c r="AL44" s="22">
        <f t="shared" si="4"/>
        <v>429.49500685020001</v>
      </c>
      <c r="AM44" s="60">
        <f t="shared" si="5"/>
        <v>678.09769644470396</v>
      </c>
      <c r="AN44" s="60">
        <f ca="1">AVERAGE(OFFSET($AM$3,0,0,'Données projet'!$E$10+1,1))-AVERAGE(OFFSET($H$3,0,0,'Données projet'!$E$10+1,1))</f>
        <v>436.5217771315057</v>
      </c>
      <c r="AO44" s="60">
        <f t="shared" si="36"/>
        <v>308.97310256098365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5.0105502559439605</v>
      </c>
      <c r="AV44" s="23">
        <f>EXP(-LN(2)/25)*AV43+(1-EXP(-LN(2)/25))/(LN(2)/25)*Calculateur!AQ44*Calculateur!AS44*VLOOKUP('Données projet'!$B$10,Paramètres!$A$1:$I$88,3,0)*0.475*44/12</f>
        <v>5.5033595159257276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10.513909771869688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4.125</v>
      </c>
      <c r="BD44" s="13">
        <f>IF('Données projet'!$A$88&gt;35,BD43+BC44-BL43,IF(A44&lt;'Données projet'!$A$88,$BA$205^A44,IF(A44='Données projet'!$A$88,'Données projet'!$B$88,BD43+BC44-BL43)))</f>
        <v>20.500000000000004</v>
      </c>
      <c r="BE44" s="14">
        <f>BD44*VLOOKUP('Données projet'!$B$11,Paramètres!$A$1:$I$88,3,0)*VLOOKUP('Données projet'!$B$11,Paramètres!$A$1:$I$88,5,0)</f>
        <v>20.787000000000006</v>
      </c>
      <c r="BF44" s="14">
        <f t="shared" si="37"/>
        <v>6.7290369571038404</v>
      </c>
      <c r="BG44" s="22">
        <f t="shared" si="7"/>
        <v>47.923764366955858</v>
      </c>
      <c r="BH44" s="60">
        <f t="shared" si="8"/>
        <v>296.52645396145982</v>
      </c>
      <c r="BI44" s="60">
        <f ca="1">AVERAGE(OFFSET($BH$3,0,0,'Données projet'!$E$11+1,1))-AVERAGE(OFFSET($H$3,0,0,'Données projet'!$E$11+1,1))</f>
        <v>108.30434106718693</v>
      </c>
      <c r="BJ44" s="60">
        <f t="shared" si="38"/>
        <v>67.653808657585842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0</v>
      </c>
      <c r="BQ44" s="23">
        <f>EXP(-LN(2)/25)*BQ43+(1-EXP(-LN(2)/25))/(LN(2)/25)*Calculateur!BL44*Calculateur!BN44*VLOOKUP('Données projet'!$B$11,Paramètres!$A$1:$I$88,3,0)*0.475*44/12</f>
        <v>0</v>
      </c>
      <c r="BR44" s="23">
        <f>EXP(-LN(2)/2)*BR43+(1-EXP(-LN(2)/2))/(LN(2)/2)*BL44*BO44*VLOOKUP('Données projet'!$B$11,Paramètres!$A$1:$I$88,3,0)*0.475*44/12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7.5000000000000018</v>
      </c>
      <c r="BY44" s="13">
        <f>IF('Données projet'!$A$114&gt;35,BY43+BX44-CG43,IF(A44&lt;'Données projet'!$A$114,$BV$205^A44,IF(A44='Données projet'!$A$114,'Données projet'!$B$114,BY43+BX44-CG43)))</f>
        <v>147.35</v>
      </c>
      <c r="BZ44" s="14">
        <f>BY44*VLOOKUP('Données projet'!$B$12,Paramètres!$A$1:$I$88,3,0)*VLOOKUP('Données projet'!$B$12,Paramètres!$A$1:$I$88,5,0)</f>
        <v>68.959800000000001</v>
      </c>
      <c r="CA44" s="14">
        <f t="shared" si="39"/>
        <v>19.414914597783007</v>
      </c>
      <c r="CB44" s="22">
        <f t="shared" si="10"/>
        <v>153.91929459113874</v>
      </c>
      <c r="CC44" s="60">
        <f t="shared" si="11"/>
        <v>402.52198418564274</v>
      </c>
      <c r="CD44" s="60">
        <f ca="1">AVERAGE(OFFSET($CC$3,0,0,'Données projet'!$E$12+1,1))-AVERAGE(OFFSET($H$3,0,0,'Données projet'!$E$12+1,1))</f>
        <v>171.08593400758221</v>
      </c>
      <c r="CE44" s="60">
        <f t="shared" si="40"/>
        <v>201.9528484086932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projet'!$B$12,Paramètres!$A$1:$I$88,3,0)*0.475*44/12</f>
        <v>5.8520567052943369</v>
      </c>
      <c r="CL44" s="23">
        <f>EXP(-LN(2)/25)*CL43+(1-EXP(-LN(2)/25))/(LN(2)/25)*Calculateur!CG44*Calculateur!CI44*VLOOKUP('Données projet'!$B$12,Paramètres!$A$1:$I$88,3,0)*0.475*44/12</f>
        <v>22.189759388147369</v>
      </c>
      <c r="CM44" s="23">
        <f>EXP(-LN(2)/2)*CM43+(1-EXP(-LN(2)/2))/(LN(2)/2)*CG44*CJ44*VLOOKUP('Données projet'!$B$12,Paramètres!$A$1:$I$88,3,0)*0.475*44/12</f>
        <v>0</v>
      </c>
      <c r="CN44" s="24">
        <f t="shared" si="12"/>
        <v>28.041816093441707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9.8000000000000007</v>
      </c>
      <c r="CT44" s="13">
        <f>IF('Données projet'!$A$140&gt;35,CT43+CS44-DB43,IF(A44&lt;'Données projet'!$A$140,$CQ$205^A44,IF(A44='Données projet'!$A$140,'Données projet'!$B$140,CT43+CS44-DB43)))</f>
        <v>232.79999999999995</v>
      </c>
      <c r="CU44" s="18">
        <f>CT44*VLOOKUP('Données projet'!$B$13,Paramètres!$A$1:$I$88,3,0)*VLOOKUP('Données projet'!$B$13,Paramètres!$A$1:$I$88,5,0)</f>
        <v>156.16223999999997</v>
      </c>
      <c r="CV44" s="14">
        <f t="shared" si="41"/>
        <v>39.975678611999619</v>
      </c>
      <c r="CW44" s="22">
        <f t="shared" si="13"/>
        <v>341.60687491589925</v>
      </c>
      <c r="CX44" s="60">
        <f t="shared" si="14"/>
        <v>590.2095645104032</v>
      </c>
      <c r="CY44" s="60">
        <f ca="1">AVERAGE(OFFSET($CX$3,0,0,'Données projet'!$E$13+1,1))-AVERAGE(OFFSET($H$3,0,0,'Données projet'!$E$13+1,1))</f>
        <v>283.66646124753868</v>
      </c>
      <c r="CZ44" s="60">
        <f t="shared" si="42"/>
        <v>331.61926649572797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projet'!$B$13,Paramètres!$A$1:$I$88,3,0)*0.475*44/12</f>
        <v>2.8898575814705785</v>
      </c>
      <c r="DG44" s="23">
        <f>EXP(-LN(2)/25)*DG43+(1-EXP(-LN(2)/25))/(LN(2)/25)*Calculateur!DB44*Calculateur!DD44*VLOOKUP('Données projet'!$B$13,Paramètres!$A$1:$I$88,3,0)*0.475*44/12</f>
        <v>0</v>
      </c>
      <c r="DH44" s="23">
        <f>EXP(-LN(2)/2)*DH43+(1-EXP(-LN(2)/2))/(LN(2)/2)*DB44*DE44*VLOOKUP('Données projet'!$B$13,Paramètres!$A$1:$I$88,3,0)*0.475*44/12</f>
        <v>0</v>
      </c>
      <c r="DI44" s="24">
        <f t="shared" si="15"/>
        <v>2.8898575814705785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6.8</v>
      </c>
      <c r="DO44" s="13">
        <f>IF('Données projet'!$A$166&gt;35,DO43+DN44-DW43,IF(A44&lt;'Données projet'!$A$166,$DL$205^A44,IF(A44='Données projet'!$A$166,'Données projet'!$B$166,DO43+DN44-DW43)))</f>
        <v>203.80000000000007</v>
      </c>
      <c r="DP44" s="18">
        <f>DO44*VLOOKUP('Données projet'!$B$14,Paramètres!$A$1:$I$88,3,0)*VLOOKUP('Données projet'!$B$14,Paramètres!$A$1:$I$88,5,0)</f>
        <v>149.42616000000004</v>
      </c>
      <c r="DQ44" s="14">
        <f t="shared" si="43"/>
        <v>38.448149345135199</v>
      </c>
      <c r="DR44" s="22">
        <f t="shared" si="16"/>
        <v>327.21442210944383</v>
      </c>
      <c r="DS44" s="60">
        <f t="shared" si="17"/>
        <v>575.81711170394783</v>
      </c>
      <c r="DT44" s="60">
        <f ca="1">AVERAGE(OFFSET($DS$3,0,0,'Données projet'!$E$14+1,1))-AVERAGE(OFFSET($H$3,0,0,'Données projet'!$E$14+1,1))</f>
        <v>212.77458587586861</v>
      </c>
      <c r="DU44" s="60">
        <f t="shared" si="44"/>
        <v>260.45879589483513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projet'!$B$14,Paramètres!$A$1:$I$88,3,0)*0.475*44/12</f>
        <v>0</v>
      </c>
      <c r="EB44" s="23">
        <f>EXP(-LN(2)/25)*EB43+(1-EXP(-LN(2)/25))/(LN(2)/25)*Calculateur!DW44*Calculateur!DY44*VLOOKUP('Données projet'!$B$14,Paramètres!$A$1:$I$88,3,0)*0.475*44/12</f>
        <v>7.4309140609992523</v>
      </c>
      <c r="EC44" s="23">
        <f>EXP(-LN(2)/2)*EC43+(1-EXP(-LN(2)/2))/(LN(2)/2)*DW44*DZ44*VLOOKUP('Données projet'!$B$14,Paramètres!$A$1:$I$88,3,0)*0.475*44/12</f>
        <v>0</v>
      </c>
      <c r="ED44" s="24">
        <f t="shared" si="18"/>
        <v>7.4309140609992523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5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8">
        <f t="shared" si="1"/>
        <v>183.33333333333334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19</v>
      </c>
      <c r="N45" s="14">
        <f>IF('Données projet'!$A$36&gt;35,N44+M45-V44,IF(A45&lt;'Données projet'!$A$36,$K$205^A45,IF(A45='Données projet'!$A$36,'Données projet'!$B$36,N44+M45-V44)))</f>
        <v>368.00000000000011</v>
      </c>
      <c r="O45" s="14">
        <f>N45*VLOOKUP('Données projet'!$B$9,Paramètres!$A$1:$I$88,3,0)*VLOOKUP('Données projet'!$B$9,Paramètres!$A$1:$I$88,5,0)</f>
        <v>205.71200000000005</v>
      </c>
      <c r="P45" s="14">
        <f t="shared" si="33"/>
        <v>50.997427696933762</v>
      </c>
      <c r="Q45" s="22">
        <f t="shared" si="53"/>
        <v>447.10225323882634</v>
      </c>
      <c r="R45" s="60">
        <f t="shared" si="0"/>
        <v>696.48091949946104</v>
      </c>
      <c r="S45" s="60">
        <f ca="1">AVERAGE(OFFSET($R$3,0,0,'Données projet'!$E$9+1,1))-AVERAGE(OFFSET($H$3,0,0,'Données projet'!$E$9+1,1))</f>
        <v>366.29380214443631</v>
      </c>
      <c r="T45" s="60">
        <f t="shared" si="34"/>
        <v>413.14502442862897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18.871740466218466</v>
      </c>
      <c r="AA45" s="23">
        <f>EXP(-LN(2)/25)*AA44+(1-EXP(-LN(2)/25))/(LN(2)/25)*Calculateur!V45*Calculateur!X45*VLOOKUP('Données projet'!$B$9,Paramètres!$A$1:$I$88,3,0)*0.475*44/12</f>
        <v>39.082326586971142</v>
      </c>
      <c r="AB45" s="23">
        <f>EXP(-LN(2)/2)*AB44+(1-EXP(-LN(2)/2))/(LN(2)/2)*V45*Y45*VLOOKUP('Données projet'!$B$9,Paramètres!$A$1:$I$88,3,0)*0.475*44/12</f>
        <v>0</v>
      </c>
      <c r="AC45" s="24">
        <f t="shared" si="3"/>
        <v>57.954067053189604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236.2</v>
      </c>
      <c r="AG45" s="13">
        <f>VLOOKUP(A45,'Données projet'!$A$61:$I$81,9,0)</f>
        <v>10.212499999999999</v>
      </c>
      <c r="AH45" s="13">
        <f t="array" ref="AH45">INDEX(AG:AG,MIN(IF(ISNUMBER(AG45:AG241),ROW(AG45:AG241),"")))</f>
        <v>10.212499999999999</v>
      </c>
      <c r="AI45" s="14">
        <f>IF('Données projet'!$A$62&gt;35,AI44+AH45-AQ44,IF(A45&lt;'Données projet'!$A$62,$AF$205^A45,IF(A45='Données projet'!$A$62,'Données projet'!$B$62,AI44+AH45-AQ44)))</f>
        <v>236.2000000000001</v>
      </c>
      <c r="AJ45" s="14">
        <f>AI45*VLOOKUP('Données projet'!$B$10,Paramètres!$A$1:$I$88,3,0)*VLOOKUP('Données projet'!$B$10,Paramètres!$A$1:$I$88,5,0)</f>
        <v>206.34432000000012</v>
      </c>
      <c r="AK45" s="14">
        <f t="shared" si="35"/>
        <v>51.1359129912763</v>
      </c>
      <c r="AL45" s="22">
        <f t="shared" si="4"/>
        <v>448.44473912647305</v>
      </c>
      <c r="AM45" s="60">
        <f t="shared" si="5"/>
        <v>697.82340538710775</v>
      </c>
      <c r="AN45" s="60">
        <f ca="1">AVERAGE(OFFSET($AM$3,0,0,'Données projet'!$E$10+1,1))-AVERAGE(OFFSET($H$3,0,0,'Données projet'!$E$10+1,1))</f>
        <v>436.5217771315057</v>
      </c>
      <c r="AO45" s="60">
        <f t="shared" si="36"/>
        <v>308.97310256098365</v>
      </c>
      <c r="AP45" s="16">
        <f>IF(ISNA(VLOOKUP(A45,'Données projet'!$A$61:$I$81,3,0)),0,VLOOKUP(A45,'Données projet'!$A$61:$I$81,3,0))</f>
        <v>3</v>
      </c>
      <c r="AQ45" s="16">
        <f>IF(ISNA(VLOOKUP(A45,'Données projet'!$A$61:$I$81,4,0)),0,VLOOKUP(A45,'Données projet'!$A$61:$I$81,4,0))</f>
        <v>47.2</v>
      </c>
      <c r="AR45" s="17">
        <f>IF(ISNA(VLOOKUP(A45,'Données projet'!$A$61:$I$81,5,0)),0%,VLOOKUP(A45,'Données projet'!$A$61:$I$81,5,0)*VLOOKUP('Données projet'!$B$10,Paramètres!$A$1:$I$88,7,0))</f>
        <v>0.25800000000000001</v>
      </c>
      <c r="AS45" s="17">
        <f>IF(ISNA(VLOOKUP(A45,'Données projet'!$A$61:$I$81,6,0)),0%,VLOOKUP(A45,'Données projet'!$A$61:$I$81,6,0)*VLOOKUP('Données projet'!$B$10,Paramètres!$A$1:$I$88,7,0))</f>
        <v>0.129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16.672678737102864</v>
      </c>
      <c r="AV45" s="23">
        <f>EXP(-LN(2)/25)*AV44+(1-EXP(-LN(2)/25))/(LN(2)/25)*Calculateur!AQ45*Calculateur!AS45*VLOOKUP('Données projet'!$B$10,Paramètres!$A$1:$I$88,3,0)*0.475*44/12</f>
        <v>11.209908465209043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27.882587202311907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4.125</v>
      </c>
      <c r="BD45" s="13">
        <f>IF('Données projet'!$A$88&gt;35,BD44+BC45-BL44,IF(A45&lt;'Données projet'!$A$88,$BA$205^A45,IF(A45='Données projet'!$A$88,'Données projet'!$B$88,BD44+BC45-BL44)))</f>
        <v>24.625000000000004</v>
      </c>
      <c r="BE45" s="14">
        <f>BD45*VLOOKUP('Données projet'!$B$11,Paramètres!$A$1:$I$88,3,0)*VLOOKUP('Données projet'!$B$11,Paramètres!$A$1:$I$88,5,0)</f>
        <v>24.969750000000005</v>
      </c>
      <c r="BF45" s="14">
        <f t="shared" si="37"/>
        <v>7.9123820098507256</v>
      </c>
      <c r="BG45" s="22">
        <f t="shared" si="7"/>
        <v>57.269713250490014</v>
      </c>
      <c r="BH45" s="60">
        <f t="shared" si="8"/>
        <v>306.64837951112474</v>
      </c>
      <c r="BI45" s="60">
        <f ca="1">AVERAGE(OFFSET($BH$3,0,0,'Données projet'!$E$11+1,1))-AVERAGE(OFFSET($H$3,0,0,'Données projet'!$E$11+1,1))</f>
        <v>108.30434106718693</v>
      </c>
      <c r="BJ45" s="60">
        <f t="shared" si="38"/>
        <v>67.653808657585842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0</v>
      </c>
      <c r="BQ45" s="23">
        <f>EXP(-LN(2)/25)*BQ44+(1-EXP(-LN(2)/25))/(LN(2)/25)*Calculateur!BL45*Calculateur!BN45*VLOOKUP('Données projet'!$B$11,Paramètres!$A$1:$I$88,3,0)*0.475*44/12</f>
        <v>0</v>
      </c>
      <c r="BR45" s="23">
        <f>EXP(-LN(2)/2)*BR44+(1-EXP(-LN(2)/2))/(LN(2)/2)*BL45*BO45*VLOOKUP('Données projet'!$B$11,Paramètres!$A$1:$I$88,3,0)*0.475*44/12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7.5000000000000018</v>
      </c>
      <c r="BY45" s="13">
        <f>IF('Données projet'!$A$114&gt;35,BY44+BX45-CG44,IF(A45&lt;'Données projet'!$A$114,$BV$205^A45,IF(A45='Données projet'!$A$114,'Données projet'!$B$114,BY44+BX45-CG44)))</f>
        <v>154.85</v>
      </c>
      <c r="BZ45" s="14">
        <f>BY45*VLOOKUP('Données projet'!$B$12,Paramètres!$A$1:$I$88,3,0)*VLOOKUP('Données projet'!$B$12,Paramètres!$A$1:$I$88,5,0)</f>
        <v>72.469799999999992</v>
      </c>
      <c r="CA45" s="14">
        <f t="shared" si="39"/>
        <v>20.285552725457702</v>
      </c>
      <c r="CB45" s="22">
        <f t="shared" si="10"/>
        <v>161.54890599683884</v>
      </c>
      <c r="CC45" s="60">
        <f t="shared" si="11"/>
        <v>410.92757225747357</v>
      </c>
      <c r="CD45" s="60">
        <f ca="1">AVERAGE(OFFSET($CC$3,0,0,'Données projet'!$E$12+1,1))-AVERAGE(OFFSET($H$3,0,0,'Données projet'!$E$12+1,1))</f>
        <v>171.08593400758221</v>
      </c>
      <c r="CE45" s="60">
        <f t="shared" si="40"/>
        <v>201.9528484086932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projet'!$B$12,Paramètres!$A$1:$I$88,3,0)*0.475*44/12</f>
        <v>5.7373014427056557</v>
      </c>
      <c r="CL45" s="23">
        <f>EXP(-LN(2)/25)*CL44+(1-EXP(-LN(2)/25))/(LN(2)/25)*Calculateur!CG45*Calculateur!CI45*VLOOKUP('Données projet'!$B$12,Paramètres!$A$1:$I$88,3,0)*0.475*44/12</f>
        <v>21.58297925076975</v>
      </c>
      <c r="CM45" s="23">
        <f>EXP(-LN(2)/2)*CM44+(1-EXP(-LN(2)/2))/(LN(2)/2)*CG45*CJ45*VLOOKUP('Données projet'!$B$12,Paramètres!$A$1:$I$88,3,0)*0.475*44/12</f>
        <v>0</v>
      </c>
      <c r="CN45" s="24">
        <f t="shared" si="12"/>
        <v>27.320280693475404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9.8000000000000007</v>
      </c>
      <c r="CT45" s="13">
        <f>IF('Données projet'!$A$140&gt;35,CT44+CS45-DB44,IF(A45&lt;'Données projet'!$A$140,$CQ$205^A45,IF(A45='Données projet'!$A$140,'Données projet'!$B$140,CT44+CS45-DB44)))</f>
        <v>242.59999999999997</v>
      </c>
      <c r="CU45" s="18">
        <f>CT45*VLOOKUP('Données projet'!$B$13,Paramètres!$A$1:$I$88,3,0)*VLOOKUP('Données projet'!$B$13,Paramètres!$A$1:$I$88,5,0)</f>
        <v>162.73607999999999</v>
      </c>
      <c r="CV45" s="14">
        <f t="shared" si="41"/>
        <v>41.459035563014346</v>
      </c>
      <c r="CW45" s="22">
        <f t="shared" si="13"/>
        <v>355.63982627224988</v>
      </c>
      <c r="CX45" s="60">
        <f t="shared" si="14"/>
        <v>605.01849253288458</v>
      </c>
      <c r="CY45" s="60">
        <f ca="1">AVERAGE(OFFSET($CX$3,0,0,'Données projet'!$E$13+1,1))-AVERAGE(OFFSET($H$3,0,0,'Données projet'!$E$13+1,1))</f>
        <v>283.66646124753868</v>
      </c>
      <c r="CZ45" s="60">
        <f t="shared" si="42"/>
        <v>331.61926649572797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projet'!$B$13,Paramètres!$A$1:$I$88,3,0)*0.475*44/12</f>
        <v>2.8331892369370189</v>
      </c>
      <c r="DG45" s="23">
        <f>EXP(-LN(2)/25)*DG44+(1-EXP(-LN(2)/25))/(LN(2)/25)*Calculateur!DB45*Calculateur!DD45*VLOOKUP('Données projet'!$B$13,Paramètres!$A$1:$I$88,3,0)*0.475*44/12</f>
        <v>0</v>
      </c>
      <c r="DH45" s="23">
        <f>EXP(-LN(2)/2)*DH44+(1-EXP(-LN(2)/2))/(LN(2)/2)*DB45*DE45*VLOOKUP('Données projet'!$B$13,Paramètres!$A$1:$I$88,3,0)*0.475*44/12</f>
        <v>0</v>
      </c>
      <c r="DI45" s="24">
        <f t="shared" si="15"/>
        <v>2.8331892369370189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6.8</v>
      </c>
      <c r="DO45" s="13">
        <f>IF('Données projet'!$A$166&gt;35,DO44+DN45-DW44,IF(A45&lt;'Données projet'!$A$166,$DL$205^A45,IF(A45='Données projet'!$A$166,'Données projet'!$B$166,DO44+DN45-DW44)))</f>
        <v>210.60000000000008</v>
      </c>
      <c r="DP45" s="18">
        <f>DO45*VLOOKUP('Données projet'!$B$14,Paramètres!$A$1:$I$88,3,0)*VLOOKUP('Données projet'!$B$14,Paramètres!$A$1:$I$88,5,0)</f>
        <v>154.41192000000004</v>
      </c>
      <c r="DQ45" s="14">
        <f t="shared" si="43"/>
        <v>39.579512453354234</v>
      </c>
      <c r="DR45" s="22">
        <f t="shared" si="16"/>
        <v>337.86841152292533</v>
      </c>
      <c r="DS45" s="60">
        <f t="shared" si="17"/>
        <v>587.24707778356003</v>
      </c>
      <c r="DT45" s="60">
        <f ca="1">AVERAGE(OFFSET($DS$3,0,0,'Données projet'!$E$14+1,1))-AVERAGE(OFFSET($H$3,0,0,'Données projet'!$E$14+1,1))</f>
        <v>212.77458587586861</v>
      </c>
      <c r="DU45" s="60">
        <f t="shared" si="44"/>
        <v>260.45879589483513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projet'!$B$14,Paramètres!$A$1:$I$88,3,0)*0.475*44/12</f>
        <v>0</v>
      </c>
      <c r="EB45" s="23">
        <f>EXP(-LN(2)/25)*EB44+(1-EXP(-LN(2)/25))/(LN(2)/25)*Calculateur!DW45*Calculateur!DY45*VLOOKUP('Données projet'!$B$14,Paramètres!$A$1:$I$88,3,0)*0.475*44/12</f>
        <v>7.2277153252264412</v>
      </c>
      <c r="EC45" s="23">
        <f>EXP(-LN(2)/2)*EC44+(1-EXP(-LN(2)/2))/(LN(2)/2)*DW45*DZ45*VLOOKUP('Données projet'!$B$14,Paramètres!$A$1:$I$88,3,0)*0.475*44/12</f>
        <v>0</v>
      </c>
      <c r="ED45" s="24">
        <f t="shared" si="18"/>
        <v>7.2277153252264412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5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8">
        <f t="shared" si="1"/>
        <v>183.33333333333334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19</v>
      </c>
      <c r="N46" s="14">
        <f>IF('Données projet'!$A$36&gt;35,N45+M46-V45,IF(A46&lt;'Données projet'!$A$36,$K$205^A46,IF(A46='Données projet'!$A$36,'Données projet'!$B$36,N45+M46-V45)))</f>
        <v>387.00000000000011</v>
      </c>
      <c r="O46" s="14">
        <f>N46*VLOOKUP('Données projet'!$B$9,Paramètres!$A$1:$I$88,3,0)*VLOOKUP('Données projet'!$B$9,Paramètres!$A$1:$I$88,5,0)</f>
        <v>216.33300000000008</v>
      </c>
      <c r="P46" s="14">
        <f t="shared" si="33"/>
        <v>53.317103385534637</v>
      </c>
      <c r="Q46" s="22">
        <f t="shared" si="53"/>
        <v>469.6405967298063</v>
      </c>
      <c r="R46" s="60">
        <f t="shared" si="0"/>
        <v>719.78177819623829</v>
      </c>
      <c r="S46" s="60">
        <f ca="1">AVERAGE(OFFSET($R$3,0,0,'Données projet'!$E$9+1,1))-AVERAGE(OFFSET($H$3,0,0,'Données projet'!$E$9+1,1))</f>
        <v>366.29380214443631</v>
      </c>
      <c r="T46" s="60">
        <f t="shared" si="34"/>
        <v>413.14502442862897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18.501677146301027</v>
      </c>
      <c r="AA46" s="23">
        <f>EXP(-LN(2)/25)*AA45+(1-EXP(-LN(2)/25))/(LN(2)/25)*Calculateur!V46*Calculateur!X46*VLOOKUP('Données projet'!$B$9,Paramètres!$A$1:$I$88,3,0)*0.475*44/12</f>
        <v>38.013618311200183</v>
      </c>
      <c r="AB46" s="23">
        <f>EXP(-LN(2)/2)*AB45+(1-EXP(-LN(2)/2))/(LN(2)/2)*V46*Y46*VLOOKUP('Données projet'!$B$9,Paramètres!$A$1:$I$88,3,0)*0.475*44/12</f>
        <v>0</v>
      </c>
      <c r="AC46" s="24">
        <f t="shared" si="3"/>
        <v>56.51529545750121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13.587499999999999</v>
      </c>
      <c r="AI46" s="14">
        <f>IF('Données projet'!$A$62&gt;35,AI45+AH46-AQ45,IF(A46&lt;'Données projet'!$A$62,$AF$205^A46,IF(A46='Données projet'!$A$62,'Données projet'!$B$62,AI45+AH46-AQ45)))</f>
        <v>202.58750000000009</v>
      </c>
      <c r="AJ46" s="14">
        <f>AI46*VLOOKUP('Données projet'!$B$10,Paramètres!$A$1:$I$88,3,0)*VLOOKUP('Données projet'!$B$10,Paramètres!$A$1:$I$88,5,0)</f>
        <v>176.9804400000001</v>
      </c>
      <c r="AK46" s="14">
        <f t="shared" si="35"/>
        <v>44.649729676139316</v>
      </c>
      <c r="AL46" s="22">
        <f t="shared" si="4"/>
        <v>386.00587885260944</v>
      </c>
      <c r="AM46" s="60">
        <f t="shared" si="5"/>
        <v>636.14706031904143</v>
      </c>
      <c r="AN46" s="60">
        <f ca="1">AVERAGE(OFFSET($AM$3,0,0,'Données projet'!$E$10+1,1))-AVERAGE(OFFSET($H$3,0,0,'Données projet'!$E$10+1,1))</f>
        <v>436.5217771315057</v>
      </c>
      <c r="AO46" s="60">
        <f t="shared" si="36"/>
        <v>308.97310256098365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16.345737676398169</v>
      </c>
      <c r="AV46" s="23">
        <f>EXP(-LN(2)/25)*AV45+(1-EXP(-LN(2)/25))/(LN(2)/25)*Calculateur!AQ46*Calculateur!AS46*VLOOKUP('Données projet'!$B$10,Paramètres!$A$1:$I$88,3,0)*0.475*44/12</f>
        <v>10.903372928724437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27.249110605122606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4.125</v>
      </c>
      <c r="BD46" s="13">
        <f>IF('Données projet'!$A$88&gt;35,BD45+BC46-BL45,IF(A46&lt;'Données projet'!$A$88,$BA$205^A46,IF(A46='Données projet'!$A$88,'Données projet'!$B$88,BD45+BC46-BL45)))</f>
        <v>28.750000000000004</v>
      </c>
      <c r="BE46" s="14">
        <f>BD46*VLOOKUP('Données projet'!$B$11,Paramètres!$A$1:$I$88,3,0)*VLOOKUP('Données projet'!$B$11,Paramètres!$A$1:$I$88,5,0)</f>
        <v>29.152500000000007</v>
      </c>
      <c r="BF46" s="14">
        <f t="shared" si="37"/>
        <v>9.0727638143395577</v>
      </c>
      <c r="BG46" s="22">
        <f t="shared" si="7"/>
        <v>66.575667809974732</v>
      </c>
      <c r="BH46" s="60">
        <f t="shared" si="8"/>
        <v>316.71684927640678</v>
      </c>
      <c r="BI46" s="60">
        <f ca="1">AVERAGE(OFFSET($BH$3,0,0,'Données projet'!$E$11+1,1))-AVERAGE(OFFSET($H$3,0,0,'Données projet'!$E$11+1,1))</f>
        <v>108.30434106718693</v>
      </c>
      <c r="BJ46" s="60">
        <f t="shared" si="38"/>
        <v>67.653808657585842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0</v>
      </c>
      <c r="BQ46" s="23">
        <f>EXP(-LN(2)/25)*BQ45+(1-EXP(-LN(2)/25))/(LN(2)/25)*Calculateur!BL46*Calculateur!BN46*VLOOKUP('Données projet'!$B$11,Paramètres!$A$1:$I$88,3,0)*0.475*44/12</f>
        <v>0</v>
      </c>
      <c r="BR46" s="23">
        <f>EXP(-LN(2)/2)*BR45+(1-EXP(-LN(2)/2))/(LN(2)/2)*BL46*BO46*VLOOKUP('Données projet'!$B$11,Paramètres!$A$1:$I$88,3,0)*0.475*44/12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7.5000000000000018</v>
      </c>
      <c r="BY46" s="13">
        <f>IF('Données projet'!$A$114&gt;35,BY45+BX46-CG45,IF(A46&lt;'Données projet'!$A$114,$BV$205^A46,IF(A46='Données projet'!$A$114,'Données projet'!$B$114,BY45+BX46-CG45)))</f>
        <v>162.35</v>
      </c>
      <c r="BZ46" s="14">
        <f>BY46*VLOOKUP('Données projet'!$B$12,Paramètres!$A$1:$I$88,3,0)*VLOOKUP('Données projet'!$B$12,Paramètres!$A$1:$I$88,5,0)</f>
        <v>75.979799999999997</v>
      </c>
      <c r="CA46" s="14">
        <f t="shared" si="39"/>
        <v>21.151294233259549</v>
      </c>
      <c r="CB46" s="22">
        <f t="shared" si="10"/>
        <v>169.16998912292703</v>
      </c>
      <c r="CC46" s="60">
        <f t="shared" si="11"/>
        <v>419.31117058935911</v>
      </c>
      <c r="CD46" s="60">
        <f ca="1">AVERAGE(OFFSET($CC$3,0,0,'Données projet'!$E$12+1,1))-AVERAGE(OFFSET($H$3,0,0,'Données projet'!$E$12+1,1))</f>
        <v>171.08593400758221</v>
      </c>
      <c r="CE46" s="60">
        <f t="shared" si="40"/>
        <v>201.9528484086932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projet'!$B$12,Paramètres!$A$1:$I$88,3,0)*0.475*44/12</f>
        <v>5.62479646082254</v>
      </c>
      <c r="CL46" s="23">
        <f>EXP(-LN(2)/25)*CL45+(1-EXP(-LN(2)/25))/(LN(2)/25)*Calculateur!CG46*Calculateur!CI46*VLOOKUP('Données projet'!$B$12,Paramètres!$A$1:$I$88,3,0)*0.475*44/12</f>
        <v>20.9927915481579</v>
      </c>
      <c r="CM46" s="23">
        <f>EXP(-LN(2)/2)*CM45+(1-EXP(-LN(2)/2))/(LN(2)/2)*CG46*CJ46*VLOOKUP('Données projet'!$B$12,Paramètres!$A$1:$I$88,3,0)*0.475*44/12</f>
        <v>0</v>
      </c>
      <c r="CN46" s="24">
        <f t="shared" si="12"/>
        <v>26.617588008980441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9.8000000000000007</v>
      </c>
      <c r="CT46" s="13">
        <f>IF('Données projet'!$A$140&gt;35,CT45+CS46-DB45,IF(A46&lt;'Données projet'!$A$140,$CQ$205^A46,IF(A46='Données projet'!$A$140,'Données projet'!$B$140,CT45+CS46-DB45)))</f>
        <v>252.39999999999998</v>
      </c>
      <c r="CU46" s="18">
        <f>CT46*VLOOKUP('Données projet'!$B$13,Paramètres!$A$1:$I$88,3,0)*VLOOKUP('Données projet'!$B$13,Paramètres!$A$1:$I$88,5,0)</f>
        <v>169.30991999999998</v>
      </c>
      <c r="CV46" s="14">
        <f t="shared" si="41"/>
        <v>42.935432052241438</v>
      </c>
      <c r="CW46" s="22">
        <f t="shared" si="13"/>
        <v>369.66065482432037</v>
      </c>
      <c r="CX46" s="60">
        <f t="shared" si="14"/>
        <v>619.80183629075236</v>
      </c>
      <c r="CY46" s="60">
        <f ca="1">AVERAGE(OFFSET($CX$3,0,0,'Données projet'!$E$13+1,1))-AVERAGE(OFFSET($H$3,0,0,'Données projet'!$E$13+1,1))</f>
        <v>283.66646124753868</v>
      </c>
      <c r="CZ46" s="60">
        <f t="shared" si="42"/>
        <v>331.61926649572797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projet'!$B$13,Paramètres!$A$1:$I$88,3,0)*0.475*44/12</f>
        <v>2.7776321240754851</v>
      </c>
      <c r="DG46" s="23">
        <f>EXP(-LN(2)/25)*DG45+(1-EXP(-LN(2)/25))/(LN(2)/25)*Calculateur!DB46*Calculateur!DD46*VLOOKUP('Données projet'!$B$13,Paramètres!$A$1:$I$88,3,0)*0.475*44/12</f>
        <v>0</v>
      </c>
      <c r="DH46" s="23">
        <f>EXP(-LN(2)/2)*DH45+(1-EXP(-LN(2)/2))/(LN(2)/2)*DB46*DE46*VLOOKUP('Données projet'!$B$13,Paramètres!$A$1:$I$88,3,0)*0.475*44/12</f>
        <v>0</v>
      </c>
      <c r="DI46" s="24">
        <f t="shared" si="15"/>
        <v>2.7776321240754851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6.8</v>
      </c>
      <c r="DO46" s="13">
        <f>IF('Données projet'!$A$166&gt;35,DO45+DN46-DW45,IF(A46&lt;'Données projet'!$A$166,$DL$205^A46,IF(A46='Données projet'!$A$166,'Données projet'!$B$166,DO45+DN46-DW45)))</f>
        <v>217.40000000000009</v>
      </c>
      <c r="DP46" s="18">
        <f>DO46*VLOOKUP('Données projet'!$B$14,Paramètres!$A$1:$I$88,3,0)*VLOOKUP('Données projet'!$B$14,Paramètres!$A$1:$I$88,5,0)</f>
        <v>159.39768000000007</v>
      </c>
      <c r="DQ46" s="14">
        <f t="shared" si="43"/>
        <v>40.706630642646523</v>
      </c>
      <c r="DR46" s="22">
        <f t="shared" si="16"/>
        <v>348.51500770260947</v>
      </c>
      <c r="DS46" s="60">
        <f t="shared" si="17"/>
        <v>598.65618916904145</v>
      </c>
      <c r="DT46" s="60">
        <f ca="1">AVERAGE(OFFSET($DS$3,0,0,'Données projet'!$E$14+1,1))-AVERAGE(OFFSET($H$3,0,0,'Données projet'!$E$14+1,1))</f>
        <v>212.77458587586861</v>
      </c>
      <c r="DU46" s="60">
        <f t="shared" si="44"/>
        <v>260.45879589483513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projet'!$B$14,Paramètres!$A$1:$I$88,3,0)*0.475*44/12</f>
        <v>0</v>
      </c>
      <c r="EB46" s="23">
        <f>EXP(-LN(2)/25)*EB45+(1-EXP(-LN(2)/25))/(LN(2)/25)*Calculateur!DW46*Calculateur!DY46*VLOOKUP('Données projet'!$B$14,Paramètres!$A$1:$I$88,3,0)*0.475*44/12</f>
        <v>7.0300730695690943</v>
      </c>
      <c r="EC46" s="23">
        <f>EXP(-LN(2)/2)*EC45+(1-EXP(-LN(2)/2))/(LN(2)/2)*DW46*DZ46*VLOOKUP('Données projet'!$B$14,Paramètres!$A$1:$I$88,3,0)*0.475*44/12</f>
        <v>0</v>
      </c>
      <c r="ED46" s="24">
        <f t="shared" si="18"/>
        <v>7.0300730695690943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5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8">
        <f t="shared" si="1"/>
        <v>183.33333333333334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19</v>
      </c>
      <c r="N47" s="14">
        <f>IF('Données projet'!$A$36&gt;35,N46+M47-V46,IF(A47&lt;'Données projet'!$A$36,$K$205^A47,IF(A47='Données projet'!$A$36,'Données projet'!$B$36,N46+M47-V46)))</f>
        <v>406.00000000000011</v>
      </c>
      <c r="O47" s="14">
        <f>N47*VLOOKUP('Données projet'!$B$9,Paramètres!$A$1:$I$88,3,0)*VLOOKUP('Données projet'!$B$9,Paramètres!$A$1:$I$88,5,0)</f>
        <v>226.95400000000006</v>
      </c>
      <c r="P47" s="14">
        <f t="shared" si="33"/>
        <v>55.623554954078735</v>
      </c>
      <c r="Q47" s="22">
        <f t="shared" si="53"/>
        <v>492.15590821168718</v>
      </c>
      <c r="R47" s="60">
        <f t="shared" si="0"/>
        <v>743.04637694982466</v>
      </c>
      <c r="S47" s="60">
        <f ca="1">AVERAGE(OFFSET($R$3,0,0,'Données projet'!$E$9+1,1))-AVERAGE(OFFSET($H$3,0,0,'Données projet'!$E$9+1,1))</f>
        <v>366.29380214443631</v>
      </c>
      <c r="T47" s="60">
        <f t="shared" si="34"/>
        <v>413.14502442862897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18.138870542370832</v>
      </c>
      <c r="AA47" s="23">
        <f>EXP(-LN(2)/25)*AA46+(1-EXP(-LN(2)/25))/(LN(2)/25)*Calculateur!V47*Calculateur!X47*VLOOKUP('Données projet'!$B$9,Paramètres!$A$1:$I$88,3,0)*0.475*44/12</f>
        <v>36.974133919431111</v>
      </c>
      <c r="AB47" s="23">
        <f>EXP(-LN(2)/2)*AB46+(1-EXP(-LN(2)/2))/(LN(2)/2)*V47*Y47*VLOOKUP('Données projet'!$B$9,Paramètres!$A$1:$I$88,3,0)*0.475*44/12</f>
        <v>0</v>
      </c>
      <c r="AC47" s="24">
        <f t="shared" si="3"/>
        <v>55.113004461801943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13.587499999999999</v>
      </c>
      <c r="AI47" s="14">
        <f>IF('Données projet'!$A$62&gt;35,AI46+AH47-AQ46,IF(A47&lt;'Données projet'!$A$62,$AF$205^A47,IF(A47='Données projet'!$A$62,'Données projet'!$B$62,AI46+AH47-AQ46)))</f>
        <v>216.1750000000001</v>
      </c>
      <c r="AJ47" s="14">
        <f>AI47*VLOOKUP('Données projet'!$B$10,Paramètres!$A$1:$I$88,3,0)*VLOOKUP('Données projet'!$B$10,Paramètres!$A$1:$I$88,5,0)</f>
        <v>188.85048000000012</v>
      </c>
      <c r="AK47" s="14">
        <f t="shared" si="35"/>
        <v>47.285720610544388</v>
      </c>
      <c r="AL47" s="22">
        <f t="shared" si="4"/>
        <v>411.2705493966983</v>
      </c>
      <c r="AM47" s="60">
        <f t="shared" si="5"/>
        <v>662.16101813483579</v>
      </c>
      <c r="AN47" s="60">
        <f ca="1">AVERAGE(OFFSET($AM$3,0,0,'Données projet'!$E$10+1,1))-AVERAGE(OFFSET($H$3,0,0,'Données projet'!$E$10+1,1))</f>
        <v>436.5217771315057</v>
      </c>
      <c r="AO47" s="60">
        <f t="shared" si="36"/>
        <v>308.97310256098365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16.025207730479536</v>
      </c>
      <c r="AV47" s="23">
        <f>EXP(-LN(2)/25)*AV46+(1-EXP(-LN(2)/25))/(LN(2)/25)*Calculateur!AQ47*Calculateur!AS47*VLOOKUP('Données projet'!$B$10,Paramètres!$A$1:$I$88,3,0)*0.475*44/12</f>
        <v>10.605219622605006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26.630427353084542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4.125</v>
      </c>
      <c r="BD47" s="13">
        <f>IF('Données projet'!$A$88&gt;35,BD46+BC47-BL46,IF(A47&lt;'Données projet'!$A$88,$BA$205^A47,IF(A47='Données projet'!$A$88,'Données projet'!$B$88,BD46+BC47-BL46)))</f>
        <v>32.875</v>
      </c>
      <c r="BE47" s="14">
        <f>BD47*VLOOKUP('Données projet'!$B$11,Paramètres!$A$1:$I$88,3,0)*VLOOKUP('Données projet'!$B$11,Paramètres!$A$1:$I$88,5,0)</f>
        <v>33.335250000000002</v>
      </c>
      <c r="BF47" s="14">
        <f t="shared" si="37"/>
        <v>10.213857366426867</v>
      </c>
      <c r="BG47" s="22">
        <f t="shared" si="7"/>
        <v>75.84802866319346</v>
      </c>
      <c r="BH47" s="60">
        <f t="shared" si="8"/>
        <v>326.7384974013309</v>
      </c>
      <c r="BI47" s="60">
        <f ca="1">AVERAGE(OFFSET($BH$3,0,0,'Données projet'!$E$11+1,1))-AVERAGE(OFFSET($H$3,0,0,'Données projet'!$E$11+1,1))</f>
        <v>108.30434106718693</v>
      </c>
      <c r="BJ47" s="60">
        <f t="shared" si="38"/>
        <v>67.653808657585842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0</v>
      </c>
      <c r="BQ47" s="23">
        <f>EXP(-LN(2)/25)*BQ46+(1-EXP(-LN(2)/25))/(LN(2)/25)*Calculateur!BL47*Calculateur!BN47*VLOOKUP('Données projet'!$B$11,Paramètres!$A$1:$I$88,3,0)*0.475*44/12</f>
        <v>0</v>
      </c>
      <c r="BR47" s="23">
        <f>EXP(-LN(2)/2)*BR46+(1-EXP(-LN(2)/2))/(LN(2)/2)*BL47*BO47*VLOOKUP('Données projet'!$B$11,Paramètres!$A$1:$I$88,3,0)*0.475*44/12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7.5000000000000018</v>
      </c>
      <c r="BY47" s="13">
        <f>IF('Données projet'!$A$114&gt;35,BY46+BX47-CG46,IF(A47&lt;'Données projet'!$A$114,$BV$205^A47,IF(A47='Données projet'!$A$114,'Données projet'!$B$114,BY46+BX47-CG46)))</f>
        <v>169.85</v>
      </c>
      <c r="BZ47" s="14">
        <f>BY47*VLOOKUP('Données projet'!$B$12,Paramètres!$A$1:$I$88,3,0)*VLOOKUP('Données projet'!$B$12,Paramètres!$A$1:$I$88,5,0)</f>
        <v>79.489799999999988</v>
      </c>
      <c r="CA47" s="14">
        <f t="shared" si="39"/>
        <v>22.012391163783363</v>
      </c>
      <c r="CB47" s="22">
        <f t="shared" si="10"/>
        <v>176.78298294358933</v>
      </c>
      <c r="CC47" s="60">
        <f t="shared" si="11"/>
        <v>427.67345168172676</v>
      </c>
      <c r="CD47" s="60">
        <f ca="1">AVERAGE(OFFSET($CC$3,0,0,'Données projet'!$E$12+1,1))-AVERAGE(OFFSET($H$3,0,0,'Données projet'!$E$12+1,1))</f>
        <v>171.08593400758221</v>
      </c>
      <c r="CE47" s="60">
        <f t="shared" si="40"/>
        <v>201.9528484086932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projet'!$B$12,Paramètres!$A$1:$I$88,3,0)*0.475*44/12</f>
        <v>5.5144976330128888</v>
      </c>
      <c r="CL47" s="23">
        <f>EXP(-LN(2)/25)*CL46+(1-EXP(-LN(2)/25))/(LN(2)/25)*Calculateur!CG47*Calculateur!CI47*VLOOKUP('Données projet'!$B$12,Paramètres!$A$1:$I$88,3,0)*0.475*44/12</f>
        <v>20.418742559310594</v>
      </c>
      <c r="CM47" s="23">
        <f>EXP(-LN(2)/2)*CM46+(1-EXP(-LN(2)/2))/(LN(2)/2)*CG47*CJ47*VLOOKUP('Données projet'!$B$12,Paramètres!$A$1:$I$88,3,0)*0.475*44/12</f>
        <v>0</v>
      </c>
      <c r="CN47" s="24">
        <f t="shared" si="12"/>
        <v>25.933240192323481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9.8000000000000007</v>
      </c>
      <c r="CT47" s="13">
        <f>IF('Données projet'!$A$140&gt;35,CT46+CS47-DB46,IF(A47&lt;'Données projet'!$A$140,$CQ$205^A47,IF(A47='Données projet'!$A$140,'Données projet'!$B$140,CT46+CS47-DB46)))</f>
        <v>262.2</v>
      </c>
      <c r="CU47" s="18">
        <f>CT47*VLOOKUP('Données projet'!$B$13,Paramètres!$A$1:$I$88,3,0)*VLOOKUP('Données projet'!$B$13,Paramètres!$A$1:$I$88,5,0)</f>
        <v>175.88376</v>
      </c>
      <c r="CV47" s="14">
        <f t="shared" si="41"/>
        <v>44.405169266442556</v>
      </c>
      <c r="CW47" s="22">
        <f t="shared" si="13"/>
        <v>383.66988513905409</v>
      </c>
      <c r="CX47" s="60">
        <f t="shared" si="14"/>
        <v>634.56035387719157</v>
      </c>
      <c r="CY47" s="60">
        <f ca="1">AVERAGE(OFFSET($CX$3,0,0,'Données projet'!$E$13+1,1))-AVERAGE(OFFSET($H$3,0,0,'Données projet'!$E$13+1,1))</f>
        <v>283.66646124753868</v>
      </c>
      <c r="CZ47" s="60">
        <f t="shared" si="42"/>
        <v>331.61926649572797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projet'!$B$13,Paramètres!$A$1:$I$88,3,0)*0.475*44/12</f>
        <v>2.7231644523106735</v>
      </c>
      <c r="DG47" s="23">
        <f>EXP(-LN(2)/25)*DG46+(1-EXP(-LN(2)/25))/(LN(2)/25)*Calculateur!DB47*Calculateur!DD47*VLOOKUP('Données projet'!$B$13,Paramètres!$A$1:$I$88,3,0)*0.475*44/12</f>
        <v>0</v>
      </c>
      <c r="DH47" s="23">
        <f>EXP(-LN(2)/2)*DH46+(1-EXP(-LN(2)/2))/(LN(2)/2)*DB47*DE47*VLOOKUP('Données projet'!$B$13,Paramètres!$A$1:$I$88,3,0)*0.475*44/12</f>
        <v>0</v>
      </c>
      <c r="DI47" s="24">
        <f t="shared" si="15"/>
        <v>2.7231644523106735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6.8</v>
      </c>
      <c r="DO47" s="13">
        <f>IF('Données projet'!$A$166&gt;35,DO46+DN47-DW46,IF(A47&lt;'Données projet'!$A$166,$DL$205^A47,IF(A47='Données projet'!$A$166,'Données projet'!$B$166,DO46+DN47-DW46)))</f>
        <v>224.2000000000001</v>
      </c>
      <c r="DP47" s="18">
        <f>DO47*VLOOKUP('Données projet'!$B$14,Paramètres!$A$1:$I$88,3,0)*VLOOKUP('Données projet'!$B$14,Paramètres!$A$1:$I$88,5,0)</f>
        <v>164.38344000000006</v>
      </c>
      <c r="DQ47" s="14">
        <f t="shared" si="43"/>
        <v>41.829651923319226</v>
      </c>
      <c r="DR47" s="22">
        <f t="shared" si="16"/>
        <v>359.15446843311446</v>
      </c>
      <c r="DS47" s="60">
        <f t="shared" si="17"/>
        <v>610.04493717125183</v>
      </c>
      <c r="DT47" s="60">
        <f ca="1">AVERAGE(OFFSET($DS$3,0,0,'Données projet'!$E$14+1,1))-AVERAGE(OFFSET($H$3,0,0,'Données projet'!$E$14+1,1))</f>
        <v>212.77458587586861</v>
      </c>
      <c r="DU47" s="60">
        <f t="shared" si="44"/>
        <v>260.45879589483513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projet'!$B$14,Paramètres!$A$1:$I$88,3,0)*0.475*44/12</f>
        <v>0</v>
      </c>
      <c r="EB47" s="23">
        <f>EXP(-LN(2)/25)*EB46+(1-EXP(-LN(2)/25))/(LN(2)/25)*Calculateur!DW47*Calculateur!DY47*VLOOKUP('Données projet'!$B$14,Paramètres!$A$1:$I$88,3,0)*0.475*44/12</f>
        <v>6.8378353517862518</v>
      </c>
      <c r="EC47" s="23">
        <f>EXP(-LN(2)/2)*EC46+(1-EXP(-LN(2)/2))/(LN(2)/2)*DW47*DZ47*VLOOKUP('Données projet'!$B$14,Paramètres!$A$1:$I$88,3,0)*0.475*44/12</f>
        <v>0</v>
      </c>
      <c r="ED47" s="24">
        <f t="shared" si="18"/>
        <v>6.8378353517862518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5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8">
        <f t="shared" si="1"/>
        <v>183.33333333333334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19</v>
      </c>
      <c r="N48" s="14">
        <f>IF('Données projet'!$A$36&gt;35,N47+M48-V47,IF(A48&lt;'Données projet'!$A$36,$K$205^A48,IF(A48='Données projet'!$A$36,'Données projet'!$B$36,N47+M48-V47)))</f>
        <v>425.00000000000011</v>
      </c>
      <c r="O48" s="14">
        <f>N48*VLOOKUP('Données projet'!$B$9,Paramètres!$A$1:$I$88,3,0)*VLOOKUP('Données projet'!$B$9,Paramètres!$A$1:$I$88,5,0)</f>
        <v>237.57500000000007</v>
      </c>
      <c r="P48" s="14">
        <f t="shared" si="33"/>
        <v>57.917471937261212</v>
      </c>
      <c r="Q48" s="22">
        <f t="shared" si="53"/>
        <v>514.64938862406336</v>
      </c>
      <c r="R48" s="60">
        <f t="shared" si="0"/>
        <v>766.27614617489746</v>
      </c>
      <c r="S48" s="60">
        <f ca="1">AVERAGE(OFFSET($R$3,0,0,'Données projet'!$E$9+1,1))-AVERAGE(OFFSET($H$3,0,0,'Données projet'!$E$9+1,1))</f>
        <v>366.29380214443631</v>
      </c>
      <c r="T48" s="60">
        <f t="shared" si="34"/>
        <v>413.14502442862897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17.783178354653529</v>
      </c>
      <c r="AA48" s="23">
        <f>EXP(-LN(2)/25)*AA47+(1-EXP(-LN(2)/25))/(LN(2)/25)*Calculateur!V48*Calculateur!X48*VLOOKUP('Données projet'!$B$9,Paramètres!$A$1:$I$88,3,0)*0.475*44/12</f>
        <v>35.963074283019068</v>
      </c>
      <c r="AB48" s="23">
        <f>EXP(-LN(2)/2)*AB47+(1-EXP(-LN(2)/2))/(LN(2)/2)*V48*Y48*VLOOKUP('Données projet'!$B$9,Paramètres!$A$1:$I$88,3,0)*0.475*44/12</f>
        <v>0</v>
      </c>
      <c r="AC48" s="24">
        <f t="shared" si="3"/>
        <v>53.746252637672598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13.587499999999999</v>
      </c>
      <c r="AI48" s="14">
        <f>IF('Données projet'!$A$62&gt;35,AI47+AH48-AQ47,IF(A48&lt;'Données projet'!$A$62,$AF$205^A48,IF(A48='Données projet'!$A$62,'Données projet'!$B$62,AI47+AH48-AQ47)))</f>
        <v>229.7625000000001</v>
      </c>
      <c r="AJ48" s="14">
        <f>AI48*VLOOKUP('Données projet'!$B$10,Paramètres!$A$1:$I$88,3,0)*VLOOKUP('Données projet'!$B$10,Paramètres!$A$1:$I$88,5,0)</f>
        <v>200.72052000000011</v>
      </c>
      <c r="AK48" s="14">
        <f t="shared" si="35"/>
        <v>49.902483056701961</v>
      </c>
      <c r="AL48" s="22">
        <f t="shared" si="4"/>
        <v>436.50173032375602</v>
      </c>
      <c r="AM48" s="60">
        <f t="shared" si="5"/>
        <v>688.12848787459018</v>
      </c>
      <c r="AN48" s="60">
        <f ca="1">AVERAGE(OFFSET($AM$3,0,0,'Données projet'!$E$10+1,1))-AVERAGE(OFFSET($H$3,0,0,'Données projet'!$E$10+1,1))</f>
        <v>436.5217771315057</v>
      </c>
      <c r="AO48" s="60">
        <f t="shared" si="36"/>
        <v>308.97310256098365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15.710963181296405</v>
      </c>
      <c r="AV48" s="23">
        <f>EXP(-LN(2)/25)*AV47+(1-EXP(-LN(2)/25))/(LN(2)/25)*Calculateur!AQ48*Calculateur!AS48*VLOOKUP('Données projet'!$B$10,Paramètres!$A$1:$I$88,3,0)*0.475*44/12</f>
        <v>10.315219334320611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26.026182515617016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37</v>
      </c>
      <c r="BB48" s="13">
        <f>VLOOKUP(A48,'Données projet'!$A$87:$I$107,9,0)</f>
        <v>4.125</v>
      </c>
      <c r="BC48" s="13">
        <f t="array" ref="BC48">INDEX(BB:BB,MIN(IF(ISNUMBER(BB48:BB244),ROW(BB48:BB244),"")))</f>
        <v>4.125</v>
      </c>
      <c r="BD48" s="13">
        <f>IF('Données projet'!$A$88&gt;35,BD47+BC48-BL47,IF(A48&lt;'Données projet'!$A$88,$BA$205^A48,IF(A48='Données projet'!$A$88,'Données projet'!$B$88,BD47+BC48-BL47)))</f>
        <v>37</v>
      </c>
      <c r="BE48" s="14">
        <f>BD48*VLOOKUP('Données projet'!$B$11,Paramètres!$A$1:$I$88,3,0)*VLOOKUP('Données projet'!$B$11,Paramètres!$A$1:$I$88,5,0)</f>
        <v>37.518000000000001</v>
      </c>
      <c r="BF48" s="14">
        <f t="shared" si="37"/>
        <v>11.338360086058575</v>
      </c>
      <c r="BG48" s="22">
        <f t="shared" si="7"/>
        <v>85.091493816552017</v>
      </c>
      <c r="BH48" s="60">
        <f t="shared" si="8"/>
        <v>336.71825136738613</v>
      </c>
      <c r="BI48" s="60">
        <f ca="1">AVERAGE(OFFSET($BH$3,0,0,'Données projet'!$E$11+1,1))-AVERAGE(OFFSET($H$3,0,0,'Données projet'!$E$11+1,1))</f>
        <v>108.30434106718693</v>
      </c>
      <c r="BJ48" s="60">
        <f t="shared" si="38"/>
        <v>67.653808657585842</v>
      </c>
      <c r="BK48" s="16">
        <f>IF(ISNA(VLOOKUP(A48,'Données projet'!$A$87:$I$107,3,0)),0,VLOOKUP(A48,'Données projet'!$A$87:$I$107,3,0))</f>
        <v>2</v>
      </c>
      <c r="BL48" s="16">
        <f>IF(ISNA(VLOOKUP(A48,'Données projet'!$A$87:$I$107,4,0)),0,VLOOKUP(A48,'Données projet'!$A$87:$I$107,4,0))</f>
        <v>7</v>
      </c>
      <c r="BM48" s="17">
        <f>IF(ISNA(VLOOKUP(A48,'Données projet'!$A$87:$I$107,5,0)),0%,VLOOKUP(A48,'Données projet'!$A$87:$I$107,5,0)*VLOOKUP('Données projet'!$B$11,Paramètres!$A$1:$I$88,7,0))</f>
        <v>0.129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1.0122151092563096</v>
      </c>
      <c r="BQ48" s="23">
        <f>EXP(-LN(2)/25)*BQ47+(1-EXP(-LN(2)/25))/(LN(2)/25)*Calculateur!BL48*Calculateur!BN48*VLOOKUP('Données projet'!$B$11,Paramètres!$A$1:$I$88,3,0)*0.475*44/12</f>
        <v>0</v>
      </c>
      <c r="BR48" s="23">
        <f>EXP(-LN(2)/2)*BR47+(1-EXP(-LN(2)/2))/(LN(2)/2)*BL48*BO48*VLOOKUP('Données projet'!$B$11,Paramètres!$A$1:$I$88,3,0)*0.475*44/12</f>
        <v>0</v>
      </c>
      <c r="BS48" s="24">
        <f t="shared" si="9"/>
        <v>1.0122151092563096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7.5000000000000018</v>
      </c>
      <c r="BY48" s="13">
        <f>IF('Données projet'!$A$114&gt;35,BY47+BX48-CG47,IF(A48&lt;'Données projet'!$A$114,$BV$205^A48,IF(A48='Données projet'!$A$114,'Données projet'!$B$114,BY47+BX48-CG47)))</f>
        <v>177.35</v>
      </c>
      <c r="BZ48" s="14">
        <f>BY48*VLOOKUP('Données projet'!$B$12,Paramètres!$A$1:$I$88,3,0)*VLOOKUP('Données projet'!$B$12,Paramètres!$A$1:$I$88,5,0)</f>
        <v>82.999799999999993</v>
      </c>
      <c r="CA48" s="14">
        <f t="shared" si="39"/>
        <v>22.869072042394848</v>
      </c>
      <c r="CB48" s="22">
        <f t="shared" si="10"/>
        <v>184.38828547383767</v>
      </c>
      <c r="CC48" s="60">
        <f t="shared" si="11"/>
        <v>436.0150430246718</v>
      </c>
      <c r="CD48" s="60">
        <f ca="1">AVERAGE(OFFSET($CC$3,0,0,'Données projet'!$E$12+1,1))-AVERAGE(OFFSET($H$3,0,0,'Données projet'!$E$12+1,1))</f>
        <v>171.08593400758221</v>
      </c>
      <c r="CE48" s="60">
        <f t="shared" si="40"/>
        <v>201.9528484086932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projet'!$B$12,Paramètres!$A$1:$I$88,3,0)*0.475*44/12</f>
        <v>5.4063616979409428</v>
      </c>
      <c r="CL48" s="23">
        <f>EXP(-LN(2)/25)*CL47+(1-EXP(-LN(2)/25))/(LN(2)/25)*Calculateur!CG48*Calculateur!CI48*VLOOKUP('Données projet'!$B$12,Paramètres!$A$1:$I$88,3,0)*0.475*44/12</f>
        <v>19.860390970251242</v>
      </c>
      <c r="CM48" s="23">
        <f>EXP(-LN(2)/2)*CM47+(1-EXP(-LN(2)/2))/(LN(2)/2)*CG48*CJ48*VLOOKUP('Données projet'!$B$12,Paramètres!$A$1:$I$88,3,0)*0.475*44/12</f>
        <v>0</v>
      </c>
      <c r="CN48" s="24">
        <f t="shared" si="12"/>
        <v>25.266752668192183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272</v>
      </c>
      <c r="CR48" s="13">
        <f>VLOOKUP(A48,'Données projet'!$A$139:$I$159,9,0)</f>
        <v>9.8000000000000007</v>
      </c>
      <c r="CS48" s="13">
        <f t="array" ref="CS48">INDEX(CR:CR,MIN(IF(ISNUMBER(CR48:CR244),ROW(CR48:CR244),"")))</f>
        <v>9.8000000000000007</v>
      </c>
      <c r="CT48" s="13">
        <f>IF('Données projet'!$A$140&gt;35,CT47+CS48-DB47,IF(A48&lt;'Données projet'!$A$140,$CQ$205^A48,IF(A48='Données projet'!$A$140,'Données projet'!$B$140,CT47+CS48-DB47)))</f>
        <v>272</v>
      </c>
      <c r="CU48" s="18">
        <f>CT48*VLOOKUP('Données projet'!$B$13,Paramètres!$A$1:$I$88,3,0)*VLOOKUP('Données projet'!$B$13,Paramètres!$A$1:$I$88,5,0)</f>
        <v>182.45759999999999</v>
      </c>
      <c r="CV48" s="14">
        <f t="shared" si="41"/>
        <v>45.868524602538038</v>
      </c>
      <c r="CW48" s="22">
        <f t="shared" si="13"/>
        <v>397.66800034942042</v>
      </c>
      <c r="CX48" s="60">
        <f t="shared" si="14"/>
        <v>649.29475790025458</v>
      </c>
      <c r="CY48" s="60">
        <f ca="1">AVERAGE(OFFSET($CX$3,0,0,'Données projet'!$E$13+1,1))-AVERAGE(OFFSET($H$3,0,0,'Données projet'!$E$13+1,1))</f>
        <v>283.66646124753868</v>
      </c>
      <c r="CZ48" s="60">
        <f t="shared" si="42"/>
        <v>331.61926649572797</v>
      </c>
      <c r="DA48" s="16">
        <f>IF(ISNA(VLOOKUP(A48,'Données projet'!$A$139:$I$159,3,0)),0,VLOOKUP(A48,'Données projet'!$A$139:$I$159,3,0))</f>
        <v>7</v>
      </c>
      <c r="DB48" s="16">
        <f>IF(ISNA(VLOOKUP(A48,'Données projet'!$A$139:$I$159,4,0)),0,VLOOKUP(A48,'Données projet'!$A$139:$I$159,4,0))</f>
        <v>24</v>
      </c>
      <c r="DC48" s="17">
        <f>IF(ISNA(VLOOKUP(A48,'Données projet'!$A$139:$I$159,5,0)),0%,VLOOKUP(A48,'Données projet'!$A$139:$I$159,5,0)*VLOOKUP('Données projet'!$B$13,Paramètres!$A$1:$I$88,7,0))</f>
        <v>0.159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projet'!$B$13,Paramètres!$A$1:$I$88,3,0)*0.475*44/12</f>
        <v>5.499517867101293</v>
      </c>
      <c r="DG48" s="23">
        <f>EXP(-LN(2)/25)*DG47+(1-EXP(-LN(2)/25))/(LN(2)/25)*Calculateur!DB48*Calculateur!DD48*VLOOKUP('Données projet'!$B$13,Paramètres!$A$1:$I$88,3,0)*0.475*44/12</f>
        <v>0</v>
      </c>
      <c r="DH48" s="23">
        <f>EXP(-LN(2)/2)*DH47+(1-EXP(-LN(2)/2))/(LN(2)/2)*DB48*DE48*VLOOKUP('Données projet'!$B$13,Paramètres!$A$1:$I$88,3,0)*0.475*44/12</f>
        <v>0</v>
      </c>
      <c r="DI48" s="24">
        <f t="shared" si="15"/>
        <v>5.499517867101293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231</v>
      </c>
      <c r="DM48" s="13">
        <f>VLOOKUP(A48,'Données projet'!$A$165:$I$185,9,0)</f>
        <v>6.8</v>
      </c>
      <c r="DN48" s="13">
        <f t="array" ref="DN48">INDEX(DM:DM,MIN(IF(ISNUMBER(DM48:DM244),ROW(DM48:DM244),"")))</f>
        <v>6.8</v>
      </c>
      <c r="DO48" s="13">
        <f>IF('Données projet'!$A$166&gt;35,DO47+DN48-DW47,IF(A48&lt;'Données projet'!$A$166,$DL$205^A48,IF(A48='Données projet'!$A$166,'Données projet'!$B$166,DO47+DN48-DW47)))</f>
        <v>231.00000000000011</v>
      </c>
      <c r="DP48" s="18">
        <f>DO48*VLOOKUP('Données projet'!$B$14,Paramètres!$A$1:$I$88,3,0)*VLOOKUP('Données projet'!$B$14,Paramètres!$A$1:$I$88,5,0)</f>
        <v>169.36920000000009</v>
      </c>
      <c r="DQ48" s="14">
        <f t="shared" si="43"/>
        <v>42.948714817158709</v>
      </c>
      <c r="DR48" s="22">
        <f t="shared" si="16"/>
        <v>369.78703497321823</v>
      </c>
      <c r="DS48" s="60">
        <f t="shared" si="17"/>
        <v>621.41379252405238</v>
      </c>
      <c r="DT48" s="60">
        <f ca="1">AVERAGE(OFFSET($DS$3,0,0,'Données projet'!$E$14+1,1))-AVERAGE(OFFSET($H$3,0,0,'Données projet'!$E$14+1,1))</f>
        <v>212.77458587586861</v>
      </c>
      <c r="DU48" s="60">
        <f t="shared" si="44"/>
        <v>260.45879589483513</v>
      </c>
      <c r="DV48" s="16">
        <f>IF(ISNA(VLOOKUP(A48,'Données projet'!$A$165:$I$185,3,0)),0,VLOOKUP(A48,'Données projet'!$A$165:$I$185,3,0))</f>
        <v>9</v>
      </c>
      <c r="DW48" s="16">
        <f>IF(ISNA(VLOOKUP(A48,'Données projet'!$A$165:$I$185,4,0)),0,VLOOKUP(A48,'Données projet'!$A$165:$I$185,4,0))</f>
        <v>231</v>
      </c>
      <c r="DX48" s="17">
        <f>IF(ISNA(VLOOKUP(A48,'Données projet'!$A$165:$I$185,5,0)),0%,VLOOKUP(A48,'Données projet'!$A$165:$I$185,5,0)*VLOOKUP('Données projet'!$B$14,Paramètres!$A$1:$I$88,7,0))</f>
        <v>0.25800000000000001</v>
      </c>
      <c r="DY48" s="17">
        <f>IF(ISNA(VLOOKUP(A48,'Données projet'!$A$165:$I$185,6,0)),0%,VLOOKUP(A48,'Données projet'!$A$165:$I$185,6,0)*VLOOKUP('Données projet'!$B$14,Paramètres!$A$1:$I$88,7,0))</f>
        <v>0.129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projet'!$B$14,Paramètres!$A$1:$I$88,3,0)*0.475*44/12</f>
        <v>48.306019521739564</v>
      </c>
      <c r="EB48" s="23">
        <f>EXP(-LN(2)/25)*EB47+(1-EXP(-LN(2)/25))/(LN(2)/25)*Calculateur!DW48*Calculateur!DY48*VLOOKUP('Données projet'!$B$14,Paramètres!$A$1:$I$88,3,0)*0.475*44/12</f>
        <v>30.708764542928535</v>
      </c>
      <c r="EC48" s="23">
        <f>EXP(-LN(2)/2)*EC47+(1-EXP(-LN(2)/2))/(LN(2)/2)*DW48*DZ48*VLOOKUP('Données projet'!$B$14,Paramètres!$A$1:$I$88,3,0)*0.475*44/12</f>
        <v>0</v>
      </c>
      <c r="ED48" s="24">
        <f t="shared" si="18"/>
        <v>79.014784064668106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5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8">
        <f t="shared" si="1"/>
        <v>183.33333333333334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>
        <f>VLOOKUP(A49,'Données projet'!$A$35:$I$55,2,0)</f>
        <v>444</v>
      </c>
      <c r="L49" s="13">
        <f>VLOOKUP(A49,'Données projet'!$A$35:$I$55,9,0)</f>
        <v>19</v>
      </c>
      <c r="M49" s="13">
        <f t="array" ref="M49">INDEX(L:L,MIN(IF(ISNUMBER(L49:L245),ROW(L49:L245),"")))</f>
        <v>19</v>
      </c>
      <c r="N49" s="14">
        <f>IF('Données projet'!$A$36&gt;35,N48+M49-V48,IF(A49&lt;'Données projet'!$A$36,$K$205^A49,IF(A49='Données projet'!$A$36,'Données projet'!$B$36,N48+M49-V48)))</f>
        <v>444.00000000000011</v>
      </c>
      <c r="O49" s="14">
        <f>N49*VLOOKUP('Données projet'!$B$9,Paramètres!$A$1:$I$88,3,0)*VLOOKUP('Données projet'!$B$9,Paramètres!$A$1:$I$88,5,0)</f>
        <v>248.19600000000005</v>
      </c>
      <c r="P49" s="14">
        <f t="shared" si="33"/>
        <v>60.199478731755242</v>
      </c>
      <c r="Q49" s="22">
        <f t="shared" si="53"/>
        <v>537.1221254578071</v>
      </c>
      <c r="R49" s="60">
        <f t="shared" si="0"/>
        <v>789.47239885653278</v>
      </c>
      <c r="S49" s="60">
        <f ca="1">AVERAGE(OFFSET($R$3,0,0,'Données projet'!$E$9+1,1))-AVERAGE(OFFSET($H$3,0,0,'Données projet'!$E$9+1,1))</f>
        <v>366.29380214443631</v>
      </c>
      <c r="T49" s="60">
        <f t="shared" si="34"/>
        <v>413.14502442862897</v>
      </c>
      <c r="U49" s="16">
        <f>IF(ISNA(VLOOKUP(A49,'Données projet'!$A$35:$I$55,3,0)),0,VLOOKUP(A49,'Données projet'!$A$35:$I$55,3,0))</f>
        <v>4</v>
      </c>
      <c r="V49" s="16">
        <f>IF(ISNA(VLOOKUP(A49,'Données projet'!$A$35:$I$55,4,0)),0,VLOOKUP(A49,'Données projet'!$A$35:$I$55,4,0))</f>
        <v>86</v>
      </c>
      <c r="W49" s="17">
        <f>IF(ISNA(VLOOKUP(A49,'Données projet'!$A$35:$I$55,5,0)),0%,VLOOKUP(A49,'Données projet'!$A$35:$I$55,5,0)*VLOOKUP('Données projet'!$B$9,Paramètres!$A$1:$I$88,7,0))</f>
        <v>0.16500000000000001</v>
      </c>
      <c r="X49" s="17">
        <f>IF(ISNA(VLOOKUP(A49,'Données projet'!$A$35:$I$55,6,0)),0%,VLOOKUP(A49,'Données projet'!$A$35:$I$55,6,0)*VLOOKUP('Données projet'!$B$9,Paramètres!$A$1:$I$88,7,0))</f>
        <v>0.27500000000000002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27.957048912868625</v>
      </c>
      <c r="AA49" s="23">
        <f>EXP(-LN(2)/25)*AA48+(1-EXP(-LN(2)/25))/(LN(2)/25)*Calculateur!V49*Calculateur!X49*VLOOKUP('Données projet'!$B$9,Paramètres!$A$1:$I$88,3,0)*0.475*44/12</f>
        <v>52.4482561277662</v>
      </c>
      <c r="AB49" s="23">
        <f>EXP(-LN(2)/2)*AB48+(1-EXP(-LN(2)/2))/(LN(2)/2)*V49*Y49*VLOOKUP('Données projet'!$B$9,Paramètres!$A$1:$I$88,3,0)*0.475*44/12</f>
        <v>0</v>
      </c>
      <c r="AC49" s="24">
        <f t="shared" si="3"/>
        <v>80.405305040634829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13.587499999999999</v>
      </c>
      <c r="AI49" s="14">
        <f>IF('Données projet'!$A$62&gt;35,AI48+AH49-AQ48,IF(A49&lt;'Données projet'!$A$62,$AF$205^A49,IF(A49='Données projet'!$A$62,'Données projet'!$B$62,AI48+AH49-AQ48)))</f>
        <v>243.35000000000011</v>
      </c>
      <c r="AJ49" s="14">
        <f>AI49*VLOOKUP('Données projet'!$B$10,Paramètres!$A$1:$I$88,3,0)*VLOOKUP('Données projet'!$B$10,Paramètres!$A$1:$I$88,5,0)</f>
        <v>212.59056000000012</v>
      </c>
      <c r="AK49" s="14">
        <f t="shared" si="35"/>
        <v>52.501283653296447</v>
      </c>
      <c r="AL49" s="22">
        <f t="shared" si="4"/>
        <v>461.70162769615814</v>
      </c>
      <c r="AM49" s="60">
        <f t="shared" si="5"/>
        <v>714.05190109488376</v>
      </c>
      <c r="AN49" s="60">
        <f ca="1">AVERAGE(OFFSET($AM$3,0,0,'Données projet'!$E$10+1,1))-AVERAGE(OFFSET($H$3,0,0,'Données projet'!$E$10+1,1))</f>
        <v>436.5217771315057</v>
      </c>
      <c r="AO49" s="60">
        <f t="shared" si="36"/>
        <v>308.97310256098365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15.402880776052505</v>
      </c>
      <c r="AV49" s="23">
        <f>EXP(-LN(2)/25)*AV48+(1-EXP(-LN(2)/25))/(LN(2)/25)*Calculateur!AQ49*Calculateur!AS49*VLOOKUP('Données projet'!$B$10,Paramètres!$A$1:$I$88,3,0)*0.475*44/12</f>
        <v>10.033149119169805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25.436029895222312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9.375</v>
      </c>
      <c r="BD49" s="13">
        <f>IF('Données projet'!$A$88&gt;35,BD48+BC49-BL48,IF(A49&lt;'Données projet'!$A$88,$BA$205^A49,IF(A49='Données projet'!$A$88,'Données projet'!$B$88,BD48+BC49-BL48)))</f>
        <v>39.375</v>
      </c>
      <c r="BE49" s="14">
        <f>BD49*VLOOKUP('Données projet'!$B$11,Paramètres!$A$1:$I$88,3,0)*VLOOKUP('Données projet'!$B$11,Paramètres!$A$1:$I$88,5,0)</f>
        <v>39.926250000000003</v>
      </c>
      <c r="BF49" s="14">
        <f t="shared" si="37"/>
        <v>11.979097362067884</v>
      </c>
      <c r="BG49" s="22">
        <f t="shared" si="7"/>
        <v>90.401813322268211</v>
      </c>
      <c r="BH49" s="60">
        <f t="shared" si="8"/>
        <v>342.75208672099387</v>
      </c>
      <c r="BI49" s="60">
        <f ca="1">AVERAGE(OFFSET($BH$3,0,0,'Données projet'!$E$11+1,1))-AVERAGE(OFFSET($H$3,0,0,'Données projet'!$E$11+1,1))</f>
        <v>108.30434106718693</v>
      </c>
      <c r="BJ49" s="60">
        <f t="shared" si="38"/>
        <v>67.653808657585842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0.99236618835404788</v>
      </c>
      <c r="BQ49" s="23">
        <f>EXP(-LN(2)/25)*BQ48+(1-EXP(-LN(2)/25))/(LN(2)/25)*Calculateur!BL49*Calculateur!BN49*VLOOKUP('Données projet'!$B$11,Paramètres!$A$1:$I$88,3,0)*0.475*44/12</f>
        <v>0</v>
      </c>
      <c r="BR49" s="23">
        <f>EXP(-LN(2)/2)*BR48+(1-EXP(-LN(2)/2))/(LN(2)/2)*BL49*BO49*VLOOKUP('Données projet'!$B$11,Paramètres!$A$1:$I$88,3,0)*0.475*44/12</f>
        <v>0</v>
      </c>
      <c r="BS49" s="24">
        <f t="shared" si="9"/>
        <v>0.99236618835404788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7.5000000000000018</v>
      </c>
      <c r="BY49" s="13">
        <f>IF('Données projet'!$A$114&gt;35,BY48+BX49-CG48,IF(A49&lt;'Données projet'!$A$114,$BV$205^A49,IF(A49='Données projet'!$A$114,'Données projet'!$B$114,BY48+BX49-CG48)))</f>
        <v>184.85</v>
      </c>
      <c r="BZ49" s="14">
        <f>BY49*VLOOKUP('Données projet'!$B$12,Paramètres!$A$1:$I$88,3,0)*VLOOKUP('Données projet'!$B$12,Paramètres!$A$1:$I$88,5,0)</f>
        <v>86.509799999999998</v>
      </c>
      <c r="CA49" s="14">
        <f t="shared" si="39"/>
        <v>23.72154497278494</v>
      </c>
      <c r="CB49" s="22">
        <f t="shared" si="10"/>
        <v>191.98625916093374</v>
      </c>
      <c r="CC49" s="60">
        <f t="shared" si="11"/>
        <v>444.33653255965942</v>
      </c>
      <c r="CD49" s="60">
        <f ca="1">AVERAGE(OFFSET($CC$3,0,0,'Données projet'!$E$12+1,1))-AVERAGE(OFFSET($H$3,0,0,'Données projet'!$E$12+1,1))</f>
        <v>171.08593400758221</v>
      </c>
      <c r="CE49" s="60">
        <f t="shared" si="40"/>
        <v>201.9528484086932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projet'!$B$12,Paramètres!$A$1:$I$88,3,0)*0.475*44/12</f>
        <v>5.3003462425993497</v>
      </c>
      <c r="CL49" s="23">
        <f>EXP(-LN(2)/25)*CL48+(1-EXP(-LN(2)/25))/(LN(2)/25)*Calculateur!CG49*Calculateur!CI49*VLOOKUP('Données projet'!$B$12,Paramètres!$A$1:$I$88,3,0)*0.475*44/12</f>
        <v>19.317307534757152</v>
      </c>
      <c r="CM49" s="23">
        <f>EXP(-LN(2)/2)*CM48+(1-EXP(-LN(2)/2))/(LN(2)/2)*CG49*CJ49*VLOOKUP('Données projet'!$B$12,Paramètres!$A$1:$I$88,3,0)*0.475*44/12</f>
        <v>0</v>
      </c>
      <c r="CN49" s="24">
        <f t="shared" si="12"/>
        <v>24.617653777356502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9.1999999999999993</v>
      </c>
      <c r="CT49" s="13">
        <f>IF('Données projet'!$A$140&gt;35,CT48+CS49-DB48,IF(A49&lt;'Données projet'!$A$140,$CQ$205^A49,IF(A49='Données projet'!$A$140,'Données projet'!$B$140,CT48+CS49-DB48)))</f>
        <v>257.2</v>
      </c>
      <c r="CU49" s="18">
        <f>CT49*VLOOKUP('Données projet'!$B$13,Paramètres!$A$1:$I$88,3,0)*VLOOKUP('Données projet'!$B$13,Paramètres!$A$1:$I$88,5,0)</f>
        <v>172.52975999999998</v>
      </c>
      <c r="CV49" s="14">
        <f t="shared" si="41"/>
        <v>43.656117667170463</v>
      </c>
      <c r="CW49" s="22">
        <f t="shared" si="13"/>
        <v>376.52373693698854</v>
      </c>
      <c r="CX49" s="60">
        <f t="shared" si="14"/>
        <v>628.87401033571416</v>
      </c>
      <c r="CY49" s="60">
        <f ca="1">AVERAGE(OFFSET($CX$3,0,0,'Données projet'!$E$13+1,1))-AVERAGE(OFFSET($H$3,0,0,'Données projet'!$E$13+1,1))</f>
        <v>283.66646124753868</v>
      </c>
      <c r="CZ49" s="60">
        <f t="shared" si="42"/>
        <v>331.61926649572797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projet'!$B$13,Paramètres!$A$1:$I$88,3,0)*0.475*44/12</f>
        <v>5.3916756761021185</v>
      </c>
      <c r="DG49" s="23">
        <f>EXP(-LN(2)/25)*DG48+(1-EXP(-LN(2)/25))/(LN(2)/25)*Calculateur!DB49*Calculateur!DD49*VLOOKUP('Données projet'!$B$13,Paramètres!$A$1:$I$88,3,0)*0.475*44/12</f>
        <v>0</v>
      </c>
      <c r="DH49" s="23">
        <f>EXP(-LN(2)/2)*DH48+(1-EXP(-LN(2)/2))/(LN(2)/2)*DB49*DE49*VLOOKUP('Données projet'!$B$13,Paramètres!$A$1:$I$88,3,0)*0.475*44/12</f>
        <v>0</v>
      </c>
      <c r="DI49" s="24">
        <f t="shared" si="15"/>
        <v>5.3916756761021185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1.1368683772161603E-13</v>
      </c>
      <c r="DP49" s="18">
        <f>DO49*VLOOKUP('Données projet'!$B$14,Paramètres!$A$1:$I$88,3,0)*VLOOKUP('Données projet'!$B$14,Paramètres!$A$1:$I$88,5,0)</f>
        <v>8.3355189417488869E-14</v>
      </c>
      <c r="DQ49" s="14">
        <f t="shared" si="43"/>
        <v>1.2790518435140618E-12</v>
      </c>
      <c r="DR49" s="22">
        <f t="shared" si="16"/>
        <v>2.3728589156891171E-12</v>
      </c>
      <c r="DS49" s="60">
        <f t="shared" si="17"/>
        <v>252.35027339872801</v>
      </c>
      <c r="DT49" s="60">
        <f ca="1">AVERAGE(OFFSET($DS$3,0,0,'Données projet'!$E$14+1,1))-AVERAGE(OFFSET($H$3,0,0,'Données projet'!$E$14+1,1))</f>
        <v>212.77458587586861</v>
      </c>
      <c r="DU49" s="60">
        <f t="shared" si="44"/>
        <v>260.45879589483513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projet'!$B$14,Paramètres!$A$1:$I$88,3,0)*0.475*44/12</f>
        <v>47.358767942680856</v>
      </c>
      <c r="EB49" s="23">
        <f>EXP(-LN(2)/25)*EB48+(1-EXP(-LN(2)/25))/(LN(2)/25)*Calculateur!DW49*Calculateur!DY49*VLOOKUP('Données projet'!$B$14,Paramètres!$A$1:$I$88,3,0)*0.475*44/12</f>
        <v>29.869031761598411</v>
      </c>
      <c r="EC49" s="23">
        <f>EXP(-LN(2)/2)*EC48+(1-EXP(-LN(2)/2))/(LN(2)/2)*DW49*DZ49*VLOOKUP('Données projet'!$B$14,Paramètres!$A$1:$I$88,3,0)*0.475*44/12</f>
        <v>0</v>
      </c>
      <c r="ED49" s="24">
        <f t="shared" si="18"/>
        <v>77.227799704279263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5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8">
        <f t="shared" si="1"/>
        <v>183.33333333333334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17.714285714285715</v>
      </c>
      <c r="N50" s="14">
        <f>IF('Données projet'!$A$36&gt;35,N49+M50-V49,IF(A50&lt;'Données projet'!$A$36,$K$205^A50,IF(A50='Données projet'!$A$36,'Données projet'!$B$36,N49+M50-V49)))</f>
        <v>375.71428571428584</v>
      </c>
      <c r="O50" s="14">
        <f>N50*VLOOKUP('Données projet'!$B$9,Paramètres!$A$1:$I$88,3,0)*VLOOKUP('Données projet'!$B$9,Paramètres!$A$1:$I$88,5,0)</f>
        <v>210.02428571428578</v>
      </c>
      <c r="P50" s="14">
        <f t="shared" si="33"/>
        <v>51.940892702173983</v>
      </c>
      <c r="Q50" s="22">
        <f t="shared" si="53"/>
        <v>456.25601907533405</v>
      </c>
      <c r="R50" s="60">
        <f t="shared" si="0"/>
        <v>709.31725693952944</v>
      </c>
      <c r="S50" s="60">
        <f ca="1">AVERAGE(OFFSET($R$3,0,0,'Données projet'!$E$9+1,1))-AVERAGE(OFFSET($H$3,0,0,'Données projet'!$E$9+1,1))</f>
        <v>366.29380214443631</v>
      </c>
      <c r="T50" s="60">
        <f t="shared" si="34"/>
        <v>413.14502442862897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27.408828235803352</v>
      </c>
      <c r="AA50" s="23">
        <f>EXP(-LN(2)/25)*AA49+(1-EXP(-LN(2)/25))/(LN(2)/25)*Calculateur!V50*Calculateur!X50*VLOOKUP('Données projet'!$B$9,Paramètres!$A$1:$I$88,3,0)*0.475*44/12</f>
        <v>51.014055805818515</v>
      </c>
      <c r="AB50" s="23">
        <f>EXP(-LN(2)/2)*AB49+(1-EXP(-LN(2)/2))/(LN(2)/2)*V50*Y50*VLOOKUP('Données projet'!$B$9,Paramètres!$A$1:$I$88,3,0)*0.475*44/12</f>
        <v>0</v>
      </c>
      <c r="AC50" s="24">
        <f t="shared" si="3"/>
        <v>78.42288404162187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13.587499999999999</v>
      </c>
      <c r="AI50" s="14">
        <f>IF('Données projet'!$A$62&gt;35,AI49+AH50-AQ49,IF(A50&lt;'Données projet'!$A$62,$AF$205^A50,IF(A50='Données projet'!$A$62,'Données projet'!$B$62,AI49+AH50-AQ49)))</f>
        <v>256.93750000000011</v>
      </c>
      <c r="AJ50" s="14">
        <f>AI50*VLOOKUP('Données projet'!$B$10,Paramètres!$A$1:$I$88,3,0)*VLOOKUP('Données projet'!$B$10,Paramètres!$A$1:$I$88,5,0)</f>
        <v>224.46060000000011</v>
      </c>
      <c r="AK50" s="14">
        <f t="shared" si="35"/>
        <v>55.083239604126604</v>
      </c>
      <c r="AL50" s="22">
        <f t="shared" si="4"/>
        <v>486.87218731052076</v>
      </c>
      <c r="AM50" s="60">
        <f t="shared" si="5"/>
        <v>739.93342517471615</v>
      </c>
      <c r="AN50" s="60">
        <f ca="1">AVERAGE(OFFSET($AM$3,0,0,'Données projet'!$E$10+1,1))-AVERAGE(OFFSET($H$3,0,0,'Données projet'!$E$10+1,1))</f>
        <v>436.5217771315057</v>
      </c>
      <c r="AO50" s="60">
        <f t="shared" si="36"/>
        <v>308.97310256098365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15.100839678863727</v>
      </c>
      <c r="AV50" s="23">
        <f>EXP(-LN(2)/25)*AV49+(1-EXP(-LN(2)/25))/(LN(2)/25)*Calculateur!AQ50*Calculateur!AS50*VLOOKUP('Données projet'!$B$10,Paramètres!$A$1:$I$88,3,0)*0.475*44/12</f>
        <v>9.7587921288857249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24.859631807749452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9.375</v>
      </c>
      <c r="BD50" s="13">
        <f>IF('Données projet'!$A$88&gt;35,BD49+BC50-BL49,IF(A50&lt;'Données projet'!$A$88,$BA$205^A50,IF(A50='Données projet'!$A$88,'Données projet'!$B$88,BD49+BC50-BL49)))</f>
        <v>48.75</v>
      </c>
      <c r="BE50" s="14">
        <f>BD50*VLOOKUP('Données projet'!$B$11,Paramètres!$A$1:$I$88,3,0)*VLOOKUP('Données projet'!$B$11,Paramètres!$A$1:$I$88,5,0)</f>
        <v>49.432500000000005</v>
      </c>
      <c r="BF50" s="14">
        <f t="shared" si="37"/>
        <v>14.467103089623453</v>
      </c>
      <c r="BG50" s="22">
        <f t="shared" si="7"/>
        <v>111.29180871442752</v>
      </c>
      <c r="BH50" s="60">
        <f t="shared" si="8"/>
        <v>364.35304657862292</v>
      </c>
      <c r="BI50" s="60">
        <f ca="1">AVERAGE(OFFSET($BH$3,0,0,'Données projet'!$E$11+1,1))-AVERAGE(OFFSET($H$3,0,0,'Données projet'!$E$11+1,1))</f>
        <v>108.30434106718693</v>
      </c>
      <c r="BJ50" s="60">
        <f t="shared" si="38"/>
        <v>67.653808657585842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0.97290649268403306</v>
      </c>
      <c r="BQ50" s="23">
        <f>EXP(-LN(2)/25)*BQ49+(1-EXP(-LN(2)/25))/(LN(2)/25)*Calculateur!BL50*Calculateur!BN50*VLOOKUP('Données projet'!$B$11,Paramètres!$A$1:$I$88,3,0)*0.475*44/12</f>
        <v>0</v>
      </c>
      <c r="BR50" s="23">
        <f>EXP(-LN(2)/2)*BR49+(1-EXP(-LN(2)/2))/(LN(2)/2)*BL50*BO50*VLOOKUP('Données projet'!$B$11,Paramètres!$A$1:$I$88,3,0)*0.475*44/12</f>
        <v>0</v>
      </c>
      <c r="BS50" s="24">
        <f t="shared" si="9"/>
        <v>0.97290649268403306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7.5000000000000018</v>
      </c>
      <c r="BY50" s="13">
        <f>IF('Données projet'!$A$114&gt;35,BY49+BX50-CG49,IF(A50&lt;'Données projet'!$A$114,$BV$205^A50,IF(A50='Données projet'!$A$114,'Données projet'!$B$114,BY49+BX50-CG49)))</f>
        <v>192.35</v>
      </c>
      <c r="BZ50" s="14">
        <f>BY50*VLOOKUP('Données projet'!$B$12,Paramètres!$A$1:$I$88,3,0)*VLOOKUP('Données projet'!$B$12,Paramètres!$A$1:$I$88,5,0)</f>
        <v>90.019800000000004</v>
      </c>
      <c r="CA50" s="14">
        <f t="shared" si="39"/>
        <v>24.570000215988731</v>
      </c>
      <c r="CB50" s="22">
        <f t="shared" si="10"/>
        <v>199.57723537618037</v>
      </c>
      <c r="CC50" s="60">
        <f t="shared" si="11"/>
        <v>452.63847324037579</v>
      </c>
      <c r="CD50" s="60">
        <f ca="1">AVERAGE(OFFSET($CC$3,0,0,'Données projet'!$E$12+1,1))-AVERAGE(OFFSET($H$3,0,0,'Données projet'!$E$12+1,1))</f>
        <v>171.08593400758221</v>
      </c>
      <c r="CE50" s="60">
        <f t="shared" si="40"/>
        <v>201.9528484086932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projet'!$B$12,Paramètres!$A$1:$I$88,3,0)*0.475*44/12</f>
        <v>5.196409685673963</v>
      </c>
      <c r="CL50" s="23">
        <f>EXP(-LN(2)/25)*CL49+(1-EXP(-LN(2)/25))/(LN(2)/25)*Calculateur!CG50*Calculateur!CI50*VLOOKUP('Données projet'!$B$12,Paramètres!$A$1:$I$88,3,0)*0.475*44/12</f>
        <v>18.789074744366165</v>
      </c>
      <c r="CM50" s="23">
        <f>EXP(-LN(2)/2)*CM49+(1-EXP(-LN(2)/2))/(LN(2)/2)*CG50*CJ50*VLOOKUP('Données projet'!$B$12,Paramètres!$A$1:$I$88,3,0)*0.475*44/12</f>
        <v>0</v>
      </c>
      <c r="CN50" s="24">
        <f t="shared" si="12"/>
        <v>23.985484430040128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9.1999999999999993</v>
      </c>
      <c r="CT50" s="13">
        <f>IF('Données projet'!$A$140&gt;35,CT49+CS50-DB49,IF(A50&lt;'Données projet'!$A$140,$CQ$205^A50,IF(A50='Données projet'!$A$140,'Données projet'!$B$140,CT49+CS50-DB49)))</f>
        <v>266.39999999999998</v>
      </c>
      <c r="CU50" s="18">
        <f>CT50*VLOOKUP('Données projet'!$B$13,Paramètres!$A$1:$I$88,3,0)*VLOOKUP('Données projet'!$B$13,Paramètres!$A$1:$I$88,5,0)</f>
        <v>178.70112</v>
      </c>
      <c r="CV50" s="14">
        <f t="shared" si="41"/>
        <v>45.033087607900519</v>
      </c>
      <c r="CW50" s="22">
        <f t="shared" si="13"/>
        <v>389.67041158376009</v>
      </c>
      <c r="CX50" s="60">
        <f t="shared" si="14"/>
        <v>642.73164944795553</v>
      </c>
      <c r="CY50" s="60">
        <f ca="1">AVERAGE(OFFSET($CX$3,0,0,'Données projet'!$E$13+1,1))-AVERAGE(OFFSET($H$3,0,0,'Données projet'!$E$13+1,1))</f>
        <v>283.66646124753868</v>
      </c>
      <c r="CZ50" s="60">
        <f t="shared" si="42"/>
        <v>331.61926649572797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projet'!$B$13,Paramètres!$A$1:$I$88,3,0)*0.475*44/12</f>
        <v>5.2859482046911968</v>
      </c>
      <c r="DG50" s="23">
        <f>EXP(-LN(2)/25)*DG49+(1-EXP(-LN(2)/25))/(LN(2)/25)*Calculateur!DB50*Calculateur!DD50*VLOOKUP('Données projet'!$B$13,Paramètres!$A$1:$I$88,3,0)*0.475*44/12</f>
        <v>0</v>
      </c>
      <c r="DH50" s="23">
        <f>EXP(-LN(2)/2)*DH49+(1-EXP(-LN(2)/2))/(LN(2)/2)*DB50*DE50*VLOOKUP('Données projet'!$B$13,Paramètres!$A$1:$I$88,3,0)*0.475*44/12</f>
        <v>0</v>
      </c>
      <c r="DI50" s="24">
        <f t="shared" si="15"/>
        <v>5.2859482046911968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1.1368683772161603E-13</v>
      </c>
      <c r="DP50" s="18">
        <f>DO50*VLOOKUP('Données projet'!$B$14,Paramètres!$A$1:$I$88,3,0)*VLOOKUP('Données projet'!$B$14,Paramètres!$A$1:$I$88,5,0)</f>
        <v>8.3355189417488869E-14</v>
      </c>
      <c r="DQ50" s="14">
        <f t="shared" si="43"/>
        <v>1.2790518435140618E-12</v>
      </c>
      <c r="DR50" s="22">
        <f t="shared" si="16"/>
        <v>2.3728589156891171E-12</v>
      </c>
      <c r="DS50" s="60">
        <f t="shared" si="17"/>
        <v>253.06123786419775</v>
      </c>
      <c r="DT50" s="60">
        <f ca="1">AVERAGE(OFFSET($DS$3,0,0,'Données projet'!$E$14+1,1))-AVERAGE(OFFSET($H$3,0,0,'Données projet'!$E$14+1,1))</f>
        <v>212.77458587586861</v>
      </c>
      <c r="DU50" s="60">
        <f t="shared" si="44"/>
        <v>260.45879589483513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projet'!$B$14,Paramètres!$A$1:$I$88,3,0)*0.475*44/12</f>
        <v>46.430091389321078</v>
      </c>
      <c r="EB50" s="23">
        <f>EXP(-LN(2)/25)*EB49+(1-EXP(-LN(2)/25))/(LN(2)/25)*Calculateur!DW50*Calculateur!DY50*VLOOKUP('Données projet'!$B$14,Paramètres!$A$1:$I$88,3,0)*0.475*44/12</f>
        <v>29.052261517333388</v>
      </c>
      <c r="EC50" s="23">
        <f>EXP(-LN(2)/2)*EC49+(1-EXP(-LN(2)/2))/(LN(2)/2)*DW50*DZ50*VLOOKUP('Données projet'!$B$14,Paramètres!$A$1:$I$88,3,0)*0.475*44/12</f>
        <v>0</v>
      </c>
      <c r="ED50" s="24">
        <f t="shared" si="18"/>
        <v>75.482352906654469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5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8">
        <f t="shared" si="1"/>
        <v>183.33333333333334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17.714285714285715</v>
      </c>
      <c r="N51" s="14">
        <f>IF('Données projet'!$A$36&gt;35,N50+M51-V50,IF(A51&lt;'Données projet'!$A$36,$K$205^A51,IF(A51='Données projet'!$A$36,'Données projet'!$B$36,N50+M51-V50)))</f>
        <v>393.42857142857156</v>
      </c>
      <c r="O51" s="14">
        <f>N51*VLOOKUP('Données projet'!$B$9,Paramètres!$A$1:$I$88,3,0)*VLOOKUP('Données projet'!$B$9,Paramètres!$A$1:$I$88,5,0)</f>
        <v>219.92657142857149</v>
      </c>
      <c r="P51" s="14">
        <f t="shared" si="33"/>
        <v>54.098926073340607</v>
      </c>
      <c r="Q51" s="22">
        <f t="shared" si="53"/>
        <v>477.26107481583023</v>
      </c>
      <c r="R51" s="60">
        <f t="shared" si="0"/>
        <v>731.02094350149787</v>
      </c>
      <c r="S51" s="60">
        <f ca="1">AVERAGE(OFFSET($R$3,0,0,'Données projet'!$E$9+1,1))-AVERAGE(OFFSET($H$3,0,0,'Données projet'!$E$9+1,1))</f>
        <v>366.29380214443631</v>
      </c>
      <c r="T51" s="60">
        <f t="shared" si="34"/>
        <v>413.14502442862897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26.871357831833734</v>
      </c>
      <c r="AA51" s="23">
        <f>EXP(-LN(2)/25)*AA50+(1-EXP(-LN(2)/25))/(LN(2)/25)*Calculateur!V51*Calculateur!X51*VLOOKUP('Données projet'!$B$9,Paramètres!$A$1:$I$88,3,0)*0.475*44/12</f>
        <v>49.619073767095806</v>
      </c>
      <c r="AB51" s="23">
        <f>EXP(-LN(2)/2)*AB50+(1-EXP(-LN(2)/2))/(LN(2)/2)*V51*Y51*VLOOKUP('Données projet'!$B$9,Paramètres!$A$1:$I$88,3,0)*0.475*44/12</f>
        <v>0</v>
      </c>
      <c r="AC51" s="24">
        <f t="shared" si="3"/>
        <v>76.490431598929547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13.587499999999999</v>
      </c>
      <c r="AI51" s="14">
        <f>IF('Données projet'!$A$62&gt;35,AI50+AH51-AQ50,IF(A51&lt;'Données projet'!$A$62,$AF$205^A51,IF(A51='Données projet'!$A$62,'Données projet'!$B$62,AI50+AH51-AQ50)))</f>
        <v>270.52500000000009</v>
      </c>
      <c r="AJ51" s="14">
        <f>AI51*VLOOKUP('Données projet'!$B$10,Paramètres!$A$1:$I$88,3,0)*VLOOKUP('Données projet'!$B$10,Paramètres!$A$1:$I$88,5,0)</f>
        <v>236.3306400000001</v>
      </c>
      <c r="AK51" s="14">
        <f t="shared" si="35"/>
        <v>57.649343278258847</v>
      </c>
      <c r="AL51" s="22">
        <f t="shared" si="4"/>
        <v>512.01513754296764</v>
      </c>
      <c r="AM51" s="60">
        <f t="shared" si="5"/>
        <v>765.77500622863533</v>
      </c>
      <c r="AN51" s="60">
        <f ca="1">AVERAGE(OFFSET($AM$3,0,0,'Données projet'!$E$10+1,1))-AVERAGE(OFFSET($H$3,0,0,'Données projet'!$E$10+1,1))</f>
        <v>436.5217771315057</v>
      </c>
      <c r="AO51" s="60">
        <f t="shared" si="36"/>
        <v>308.97310256098365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14.804721423363942</v>
      </c>
      <c r="AV51" s="23">
        <f>EXP(-LN(2)/25)*AV50+(1-EXP(-LN(2)/25))/(LN(2)/25)*Calculateur!AQ51*Calculateur!AS51*VLOOKUP('Données projet'!$B$10,Paramètres!$A$1:$I$88,3,0)*0.475*44/12</f>
        <v>9.4919374449287712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24.296658868292713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9.375</v>
      </c>
      <c r="BD51" s="13">
        <f>IF('Données projet'!$A$88&gt;35,BD50+BC51-BL50,IF(A51&lt;'Données projet'!$A$88,$BA$205^A51,IF(A51='Données projet'!$A$88,'Données projet'!$B$88,BD50+BC51-BL50)))</f>
        <v>58.125</v>
      </c>
      <c r="BE51" s="14">
        <f>BD51*VLOOKUP('Données projet'!$B$11,Paramètres!$A$1:$I$88,3,0)*VLOOKUP('Données projet'!$B$11,Paramètres!$A$1:$I$88,5,0)</f>
        <v>58.938749999999999</v>
      </c>
      <c r="BF51" s="14">
        <f t="shared" si="37"/>
        <v>16.899673671366571</v>
      </c>
      <c r="BG51" s="22">
        <f t="shared" si="7"/>
        <v>132.08525456096342</v>
      </c>
      <c r="BH51" s="60">
        <f t="shared" si="8"/>
        <v>385.84512324663115</v>
      </c>
      <c r="BI51" s="60">
        <f ca="1">AVERAGE(OFFSET($BH$3,0,0,'Données projet'!$E$11+1,1))-AVERAGE(OFFSET($H$3,0,0,'Données projet'!$E$11+1,1))</f>
        <v>108.30434106718693</v>
      </c>
      <c r="BJ51" s="60">
        <f t="shared" si="38"/>
        <v>67.653808657585842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0.9538283897768649</v>
      </c>
      <c r="BQ51" s="23">
        <f>EXP(-LN(2)/25)*BQ50+(1-EXP(-LN(2)/25))/(LN(2)/25)*Calculateur!BL51*Calculateur!BN51*VLOOKUP('Données projet'!$B$11,Paramètres!$A$1:$I$88,3,0)*0.475*44/12</f>
        <v>0</v>
      </c>
      <c r="BR51" s="23">
        <f>EXP(-LN(2)/2)*BR50+(1-EXP(-LN(2)/2))/(LN(2)/2)*BL51*BO51*VLOOKUP('Données projet'!$B$11,Paramètres!$A$1:$I$88,3,0)*0.475*44/12</f>
        <v>0</v>
      </c>
      <c r="BS51" s="24">
        <f t="shared" si="9"/>
        <v>0.9538283897768649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7.5000000000000018</v>
      </c>
      <c r="BY51" s="13">
        <f>IF('Données projet'!$A$114&gt;35,BY50+BX51-CG50,IF(A51&lt;'Données projet'!$A$114,$BV$205^A51,IF(A51='Données projet'!$A$114,'Données projet'!$B$114,BY50+BX51-CG50)))</f>
        <v>199.85</v>
      </c>
      <c r="BZ51" s="14">
        <f>BY51*VLOOKUP('Données projet'!$B$12,Paramètres!$A$1:$I$88,3,0)*VLOOKUP('Données projet'!$B$12,Paramètres!$A$1:$I$88,5,0)</f>
        <v>93.529799999999994</v>
      </c>
      <c r="CA51" s="14">
        <f t="shared" si="39"/>
        <v>25.414612355849357</v>
      </c>
      <c r="CB51" s="22">
        <f t="shared" si="10"/>
        <v>207.16151818643763</v>
      </c>
      <c r="CC51" s="60">
        <f t="shared" si="11"/>
        <v>460.92138687210536</v>
      </c>
      <c r="CD51" s="60">
        <f ca="1">AVERAGE(OFFSET($CC$3,0,0,'Données projet'!$E$12+1,1))-AVERAGE(OFFSET($H$3,0,0,'Données projet'!$E$12+1,1))</f>
        <v>171.08593400758221</v>
      </c>
      <c r="CE51" s="60">
        <f t="shared" si="40"/>
        <v>201.9528484086932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projet'!$B$12,Paramètres!$A$1:$I$88,3,0)*0.475*44/12</f>
        <v>5.0945112612348433</v>
      </c>
      <c r="CL51" s="23">
        <f>EXP(-LN(2)/25)*CL50+(1-EXP(-LN(2)/25))/(LN(2)/25)*Calculateur!CG51*Calculateur!CI51*VLOOKUP('Données projet'!$B$12,Paramètres!$A$1:$I$88,3,0)*0.475*44/12</f>
        <v>18.275286507406975</v>
      </c>
      <c r="CM51" s="23">
        <f>EXP(-LN(2)/2)*CM50+(1-EXP(-LN(2)/2))/(LN(2)/2)*CG51*CJ51*VLOOKUP('Données projet'!$B$12,Paramètres!$A$1:$I$88,3,0)*0.475*44/12</f>
        <v>0</v>
      </c>
      <c r="CN51" s="24">
        <f t="shared" si="12"/>
        <v>23.369797768641817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9.1999999999999993</v>
      </c>
      <c r="CT51" s="13">
        <f>IF('Données projet'!$A$140&gt;35,CT50+CS51-DB50,IF(A51&lt;'Données projet'!$A$140,$CQ$205^A51,IF(A51='Données projet'!$A$140,'Données projet'!$B$140,CT50+CS51-DB50)))</f>
        <v>275.59999999999997</v>
      </c>
      <c r="CU51" s="18">
        <f>CT51*VLOOKUP('Données projet'!$B$13,Paramètres!$A$1:$I$88,3,0)*VLOOKUP('Données projet'!$B$13,Paramètres!$A$1:$I$88,5,0)</f>
        <v>184.87247999999997</v>
      </c>
      <c r="CV51" s="14">
        <f t="shared" si="41"/>
        <v>46.40453232769346</v>
      </c>
      <c r="CW51" s="22">
        <f t="shared" si="13"/>
        <v>402.80746313739934</v>
      </c>
      <c r="CX51" s="60">
        <f t="shared" si="14"/>
        <v>656.56733182306698</v>
      </c>
      <c r="CY51" s="60">
        <f ca="1">AVERAGE(OFFSET($CX$3,0,0,'Données projet'!$E$13+1,1))-AVERAGE(OFFSET($H$3,0,0,'Données projet'!$E$13+1,1))</f>
        <v>283.66646124753868</v>
      </c>
      <c r="CZ51" s="60">
        <f t="shared" si="42"/>
        <v>331.61926649572797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projet'!$B$13,Paramètres!$A$1:$I$88,3,0)*0.475*44/12</f>
        <v>5.1822939845072531</v>
      </c>
      <c r="DG51" s="23">
        <f>EXP(-LN(2)/25)*DG50+(1-EXP(-LN(2)/25))/(LN(2)/25)*Calculateur!DB51*Calculateur!DD51*VLOOKUP('Données projet'!$B$13,Paramètres!$A$1:$I$88,3,0)*0.475*44/12</f>
        <v>0</v>
      </c>
      <c r="DH51" s="23">
        <f>EXP(-LN(2)/2)*DH50+(1-EXP(-LN(2)/2))/(LN(2)/2)*DB51*DE51*VLOOKUP('Données projet'!$B$13,Paramètres!$A$1:$I$88,3,0)*0.475*44/12</f>
        <v>0</v>
      </c>
      <c r="DI51" s="24">
        <f t="shared" si="15"/>
        <v>5.1822939845072531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1.1368683772161603E-13</v>
      </c>
      <c r="DP51" s="18">
        <f>DO51*VLOOKUP('Données projet'!$B$14,Paramètres!$A$1:$I$88,3,0)*VLOOKUP('Données projet'!$B$14,Paramètres!$A$1:$I$88,5,0)</f>
        <v>8.3355189417488869E-14</v>
      </c>
      <c r="DQ51" s="14">
        <f t="shared" si="43"/>
        <v>1.2790518435140618E-12</v>
      </c>
      <c r="DR51" s="22">
        <f t="shared" si="16"/>
        <v>2.3728589156891171E-12</v>
      </c>
      <c r="DS51" s="60">
        <f t="shared" si="17"/>
        <v>253.75986868567006</v>
      </c>
      <c r="DT51" s="60">
        <f ca="1">AVERAGE(OFFSET($DS$3,0,0,'Données projet'!$E$14+1,1))-AVERAGE(OFFSET($H$3,0,0,'Données projet'!$E$14+1,1))</f>
        <v>212.77458587586861</v>
      </c>
      <c r="DU51" s="60">
        <f t="shared" si="44"/>
        <v>260.45879589483513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projet'!$B$14,Paramètres!$A$1:$I$88,3,0)*0.475*44/12</f>
        <v>45.519625616735915</v>
      </c>
      <c r="EB51" s="23">
        <f>EXP(-LN(2)/25)*EB50+(1-EXP(-LN(2)/25))/(LN(2)/25)*Calculateur!DW51*Calculateur!DY51*VLOOKUP('Données projet'!$B$14,Paramètres!$A$1:$I$88,3,0)*0.475*44/12</f>
        <v>28.257825898349875</v>
      </c>
      <c r="EC51" s="23">
        <f>EXP(-LN(2)/2)*EC50+(1-EXP(-LN(2)/2))/(LN(2)/2)*DW51*DZ51*VLOOKUP('Données projet'!$B$14,Paramètres!$A$1:$I$88,3,0)*0.475*44/12</f>
        <v>0</v>
      </c>
      <c r="ED51" s="24">
        <f t="shared" si="18"/>
        <v>73.777451515085787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5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8">
        <f t="shared" si="1"/>
        <v>183.33333333333334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17.714285714285715</v>
      </c>
      <c r="N52" s="14">
        <f>IF('Données projet'!$A$36&gt;35,N51+M52-V51,IF(A52&lt;'Données projet'!$A$36,$K$205^A52,IF(A52='Données projet'!$A$36,'Données projet'!$B$36,N51+M52-V51)))</f>
        <v>411.14285714285728</v>
      </c>
      <c r="O52" s="14">
        <f>N52*VLOOKUP('Données projet'!$B$9,Paramètres!$A$1:$I$88,3,0)*VLOOKUP('Données projet'!$B$9,Paramètres!$A$1:$I$88,5,0)</f>
        <v>229.82885714285723</v>
      </c>
      <c r="P52" s="14">
        <f t="shared" si="33"/>
        <v>56.245674841098193</v>
      </c>
      <c r="Q52" s="22">
        <f t="shared" si="53"/>
        <v>498.24647653872233</v>
      </c>
      <c r="R52" s="60">
        <f t="shared" si="0"/>
        <v>752.69285636301424</v>
      </c>
      <c r="S52" s="60">
        <f ca="1">AVERAGE(OFFSET($R$3,0,0,'Données projet'!$E$9+1,1))-AVERAGE(OFFSET($H$3,0,0,'Données projet'!$E$9+1,1))</f>
        <v>366.29380214443631</v>
      </c>
      <c r="T52" s="60">
        <f t="shared" si="34"/>
        <v>413.14502442862897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26.344426894661382</v>
      </c>
      <c r="AA52" s="23">
        <f>EXP(-LN(2)/25)*AA51+(1-EXP(-LN(2)/25))/(LN(2)/25)*Calculateur!V52*Calculateur!X52*VLOOKUP('Données projet'!$B$9,Paramètres!$A$1:$I$88,3,0)*0.475*44/12</f>
        <v>48.262237585580884</v>
      </c>
      <c r="AB52" s="23">
        <f>EXP(-LN(2)/2)*AB51+(1-EXP(-LN(2)/2))/(LN(2)/2)*V52*Y52*VLOOKUP('Données projet'!$B$9,Paramètres!$A$1:$I$88,3,0)*0.475*44/12</f>
        <v>0</v>
      </c>
      <c r="AC52" s="24">
        <f t="shared" si="3"/>
        <v>74.606664480242273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13.587499999999999</v>
      </c>
      <c r="AI52" s="14">
        <f>IF('Données projet'!$A$62&gt;35,AI51+AH52-AQ51,IF(A52&lt;'Données projet'!$A$62,$AF$205^A52,IF(A52='Données projet'!$A$62,'Données projet'!$B$62,AI51+AH52-AQ51)))</f>
        <v>284.11250000000007</v>
      </c>
      <c r="AJ52" s="14">
        <f>AI52*VLOOKUP('Données projet'!$B$10,Paramètres!$A$1:$I$88,3,0)*VLOOKUP('Données projet'!$B$10,Paramètres!$A$1:$I$88,5,0)</f>
        <v>248.20068000000012</v>
      </c>
      <c r="AK52" s="14">
        <f t="shared" si="35"/>
        <v>60.200481727374978</v>
      </c>
      <c r="AL52" s="22">
        <f t="shared" si="4"/>
        <v>537.13202334184496</v>
      </c>
      <c r="AM52" s="60">
        <f t="shared" si="5"/>
        <v>791.57840316613692</v>
      </c>
      <c r="AN52" s="60">
        <f ca="1">AVERAGE(OFFSET($AM$3,0,0,'Données projet'!$E$10+1,1))-AVERAGE(OFFSET($H$3,0,0,'Données projet'!$E$10+1,1))</f>
        <v>436.5217771315057</v>
      </c>
      <c r="AO52" s="60">
        <f t="shared" si="36"/>
        <v>308.97310256098365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14.514409866240205</v>
      </c>
      <c r="AV52" s="23">
        <f>EXP(-LN(2)/25)*AV51+(1-EXP(-LN(2)/25))/(LN(2)/25)*Calculateur!AQ52*Calculateur!AS52*VLOOKUP('Données projet'!$B$10,Paramètres!$A$1:$I$88,3,0)*0.475*44/12</f>
        <v>9.2323799163378979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23.746789782578105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9.375</v>
      </c>
      <c r="BD52" s="13">
        <f>IF('Données projet'!$A$88&gt;35,BD51+BC52-BL51,IF(A52&lt;'Données projet'!$A$88,$BA$205^A52,IF(A52='Données projet'!$A$88,'Données projet'!$B$88,BD51+BC52-BL51)))</f>
        <v>67.5</v>
      </c>
      <c r="BE52" s="14">
        <f>BD52*VLOOKUP('Données projet'!$B$11,Paramètres!$A$1:$I$88,3,0)*VLOOKUP('Données projet'!$B$11,Paramètres!$A$1:$I$88,5,0)</f>
        <v>68.445000000000007</v>
      </c>
      <c r="BF52" s="14">
        <f t="shared" si="37"/>
        <v>19.286792832986222</v>
      </c>
      <c r="BG52" s="22">
        <f t="shared" si="7"/>
        <v>152.79953918411769</v>
      </c>
      <c r="BH52" s="60">
        <f t="shared" si="8"/>
        <v>407.24591900840966</v>
      </c>
      <c r="BI52" s="60">
        <f ca="1">AVERAGE(OFFSET($BH$3,0,0,'Données projet'!$E$11+1,1))-AVERAGE(OFFSET($H$3,0,0,'Données projet'!$E$11+1,1))</f>
        <v>108.30434106718693</v>
      </c>
      <c r="BJ52" s="60">
        <f t="shared" si="38"/>
        <v>67.653808657585842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0.93512439683121251</v>
      </c>
      <c r="BQ52" s="23">
        <f>EXP(-LN(2)/25)*BQ51+(1-EXP(-LN(2)/25))/(LN(2)/25)*Calculateur!BL52*Calculateur!BN52*VLOOKUP('Données projet'!$B$11,Paramètres!$A$1:$I$88,3,0)*0.475*44/12</f>
        <v>0</v>
      </c>
      <c r="BR52" s="23">
        <f>EXP(-LN(2)/2)*BR51+(1-EXP(-LN(2)/2))/(LN(2)/2)*BL52*BO52*VLOOKUP('Données projet'!$B$11,Paramètres!$A$1:$I$88,3,0)*0.475*44/12</f>
        <v>0</v>
      </c>
      <c r="BS52" s="24">
        <f t="shared" si="9"/>
        <v>0.93512439683121251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7.5000000000000018</v>
      </c>
      <c r="BY52" s="13">
        <f>IF('Données projet'!$A$114&gt;35,BY51+BX52-CG51,IF(A52&lt;'Données projet'!$A$114,$BV$205^A52,IF(A52='Données projet'!$A$114,'Données projet'!$B$114,BY51+BX52-CG51)))</f>
        <v>207.35</v>
      </c>
      <c r="BZ52" s="14">
        <f>BY52*VLOOKUP('Données projet'!$B$12,Paramètres!$A$1:$I$88,3,0)*VLOOKUP('Données projet'!$B$12,Paramètres!$A$1:$I$88,5,0)</f>
        <v>97.0398</v>
      </c>
      <c r="CA52" s="14">
        <f t="shared" si="39"/>
        <v>26.255542130278698</v>
      </c>
      <c r="CB52" s="22">
        <f t="shared" si="10"/>
        <v>214.73938754356871</v>
      </c>
      <c r="CC52" s="60">
        <f t="shared" si="11"/>
        <v>469.18576736786065</v>
      </c>
      <c r="CD52" s="60">
        <f ca="1">AVERAGE(OFFSET($CC$3,0,0,'Données projet'!$E$12+1,1))-AVERAGE(OFFSET($H$3,0,0,'Données projet'!$E$12+1,1))</f>
        <v>171.08593400758221</v>
      </c>
      <c r="CE52" s="60">
        <f t="shared" si="40"/>
        <v>201.9528484086932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projet'!$B$12,Paramètres!$A$1:$I$88,3,0)*0.475*44/12</f>
        <v>4.9946110027470727</v>
      </c>
      <c r="CL52" s="23">
        <f>EXP(-LN(2)/25)*CL51+(1-EXP(-LN(2)/25))/(LN(2)/25)*Calculateur!CG52*Calculateur!CI52*VLOOKUP('Données projet'!$B$12,Paramètres!$A$1:$I$88,3,0)*0.475*44/12</f>
        <v>17.775547836806382</v>
      </c>
      <c r="CM52" s="23">
        <f>EXP(-LN(2)/2)*CM51+(1-EXP(-LN(2)/2))/(LN(2)/2)*CG52*CJ52*VLOOKUP('Données projet'!$B$12,Paramètres!$A$1:$I$88,3,0)*0.475*44/12</f>
        <v>0</v>
      </c>
      <c r="CN52" s="24">
        <f t="shared" si="12"/>
        <v>22.770158839553453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9.1999999999999993</v>
      </c>
      <c r="CT52" s="13">
        <f>IF('Données projet'!$A$140&gt;35,CT51+CS52-DB51,IF(A52&lt;'Données projet'!$A$140,$CQ$205^A52,IF(A52='Données projet'!$A$140,'Données projet'!$B$140,CT51+CS52-DB51)))</f>
        <v>284.79999999999995</v>
      </c>
      <c r="CU52" s="18">
        <f>CT52*VLOOKUP('Données projet'!$B$13,Paramètres!$A$1:$I$88,3,0)*VLOOKUP('Données projet'!$B$13,Paramètres!$A$1:$I$88,5,0)</f>
        <v>191.04383999999999</v>
      </c>
      <c r="CV52" s="14">
        <f t="shared" si="41"/>
        <v>47.77065741488699</v>
      </c>
      <c r="CW52" s="22">
        <f t="shared" si="13"/>
        <v>415.93524966426145</v>
      </c>
      <c r="CX52" s="60">
        <f t="shared" si="14"/>
        <v>670.38162948855347</v>
      </c>
      <c r="CY52" s="60">
        <f ca="1">AVERAGE(OFFSET($CX$3,0,0,'Données projet'!$E$13+1,1))-AVERAGE(OFFSET($H$3,0,0,'Données projet'!$E$13+1,1))</f>
        <v>283.66646124753868</v>
      </c>
      <c r="CZ52" s="60">
        <f t="shared" si="42"/>
        <v>331.61926649572797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projet'!$B$13,Paramètres!$A$1:$I$88,3,0)*0.475*44/12</f>
        <v>5.0806723603582844</v>
      </c>
      <c r="DG52" s="23">
        <f>EXP(-LN(2)/25)*DG51+(1-EXP(-LN(2)/25))/(LN(2)/25)*Calculateur!DB52*Calculateur!DD52*VLOOKUP('Données projet'!$B$13,Paramètres!$A$1:$I$88,3,0)*0.475*44/12</f>
        <v>0</v>
      </c>
      <c r="DH52" s="23">
        <f>EXP(-LN(2)/2)*DH51+(1-EXP(-LN(2)/2))/(LN(2)/2)*DB52*DE52*VLOOKUP('Données projet'!$B$13,Paramètres!$A$1:$I$88,3,0)*0.475*44/12</f>
        <v>0</v>
      </c>
      <c r="DI52" s="24">
        <f t="shared" si="15"/>
        <v>5.0806723603582844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1.1368683772161603E-13</v>
      </c>
      <c r="DP52" s="18">
        <f>DO52*VLOOKUP('Données projet'!$B$14,Paramètres!$A$1:$I$88,3,0)*VLOOKUP('Données projet'!$B$14,Paramètres!$A$1:$I$88,5,0)</f>
        <v>8.3355189417488869E-14</v>
      </c>
      <c r="DQ52" s="14">
        <f t="shared" si="43"/>
        <v>1.2790518435140618E-12</v>
      </c>
      <c r="DR52" s="22">
        <f t="shared" si="16"/>
        <v>2.3728589156891171E-12</v>
      </c>
      <c r="DS52" s="60">
        <f t="shared" si="17"/>
        <v>254.44637982429433</v>
      </c>
      <c r="DT52" s="60">
        <f ca="1">AVERAGE(OFFSET($DS$3,0,0,'Données projet'!$E$14+1,1))-AVERAGE(OFFSET($H$3,0,0,'Données projet'!$E$14+1,1))</f>
        <v>212.77458587586861</v>
      </c>
      <c r="DU52" s="60">
        <f t="shared" si="44"/>
        <v>260.45879589483513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projet'!$B$14,Paramètres!$A$1:$I$88,3,0)*0.475*44/12</f>
        <v>44.627013522621858</v>
      </c>
      <c r="EB52" s="23">
        <f>EXP(-LN(2)/25)*EB51+(1-EXP(-LN(2)/25))/(LN(2)/25)*Calculateur!DW52*Calculateur!DY52*VLOOKUP('Données projet'!$B$14,Paramètres!$A$1:$I$88,3,0)*0.475*44/12</f>
        <v>27.485114163145017</v>
      </c>
      <c r="EC52" s="23">
        <f>EXP(-LN(2)/2)*EC51+(1-EXP(-LN(2)/2))/(LN(2)/2)*DW52*DZ52*VLOOKUP('Données projet'!$B$14,Paramètres!$A$1:$I$88,3,0)*0.475*44/12</f>
        <v>0</v>
      </c>
      <c r="ED52" s="24">
        <f t="shared" si="18"/>
        <v>72.112127685766879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5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8">
        <f t="shared" si="1"/>
        <v>183.33333333333334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17.714285714285715</v>
      </c>
      <c r="N53" s="14">
        <f>IF('Données projet'!$A$36&gt;35,N52+M53-V52,IF(A53&lt;'Données projet'!$A$36,$K$205^A53,IF(A53='Données projet'!$A$36,'Données projet'!$B$36,N52+M53-V52)))</f>
        <v>428.857142857143</v>
      </c>
      <c r="O53" s="14">
        <f>N53*VLOOKUP('Données projet'!$B$9,Paramètres!$A$1:$I$88,3,0)*VLOOKUP('Données projet'!$B$9,Paramètres!$A$1:$I$88,5,0)</f>
        <v>239.73114285714294</v>
      </c>
      <c r="P53" s="14">
        <f t="shared" si="33"/>
        <v>58.381680785216801</v>
      </c>
      <c r="Q53" s="22">
        <f t="shared" si="53"/>
        <v>519.21316784377643</v>
      </c>
      <c r="R53" s="60">
        <f t="shared" si="0"/>
        <v>774.33414937324653</v>
      </c>
      <c r="S53" s="60">
        <f ca="1">AVERAGE(OFFSET($R$3,0,0,'Données projet'!$E$9+1,1))-AVERAGE(OFFSET($H$3,0,0,'Données projet'!$E$9+1,1))</f>
        <v>366.29380214443631</v>
      </c>
      <c r="T53" s="60">
        <f t="shared" si="34"/>
        <v>413.14502442862897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25.827828751770845</v>
      </c>
      <c r="AA53" s="23">
        <f>EXP(-LN(2)/25)*AA52+(1-EXP(-LN(2)/25))/(LN(2)/25)*Calculateur!V53*Calculateur!X53*VLOOKUP('Données projet'!$B$9,Paramètres!$A$1:$I$88,3,0)*0.475*44/12</f>
        <v>46.942504160802407</v>
      </c>
      <c r="AB53" s="23">
        <f>EXP(-LN(2)/2)*AB52+(1-EXP(-LN(2)/2))/(LN(2)/2)*V53*Y53*VLOOKUP('Données projet'!$B$9,Paramètres!$A$1:$I$88,3,0)*0.475*44/12</f>
        <v>0</v>
      </c>
      <c r="AC53" s="24">
        <f t="shared" si="3"/>
        <v>72.770332912573252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297.7</v>
      </c>
      <c r="AG53" s="13">
        <f>VLOOKUP(A53,'Données projet'!$A$61:$I$81,9,0)</f>
        <v>13.587499999999999</v>
      </c>
      <c r="AH53" s="13">
        <f t="array" ref="AH53">INDEX(AG:AG,MIN(IF(ISNUMBER(AG53:AG249),ROW(AG53:AG249),"")))</f>
        <v>13.587499999999999</v>
      </c>
      <c r="AI53" s="14">
        <f>IF('Données projet'!$A$62&gt;35,AI52+AH53-AQ52,IF(A53&lt;'Données projet'!$A$62,$AF$205^A53,IF(A53='Données projet'!$A$62,'Données projet'!$B$62,AI52+AH53-AQ52)))</f>
        <v>297.70000000000005</v>
      </c>
      <c r="AJ53" s="14">
        <f>AI53*VLOOKUP('Données projet'!$B$10,Paramètres!$A$1:$I$88,3,0)*VLOOKUP('Données projet'!$B$10,Paramètres!$A$1:$I$88,5,0)</f>
        <v>260.07072000000011</v>
      </c>
      <c r="AK53" s="14">
        <f t="shared" si="35"/>
        <v>62.737452363689243</v>
      </c>
      <c r="AL53" s="22">
        <f t="shared" si="4"/>
        <v>562.22423353342549</v>
      </c>
      <c r="AM53" s="60">
        <f t="shared" si="5"/>
        <v>817.34521506289559</v>
      </c>
      <c r="AN53" s="60">
        <f ca="1">AVERAGE(OFFSET($AM$3,0,0,'Données projet'!$E$10+1,1))-AVERAGE(OFFSET($H$3,0,0,'Données projet'!$E$10+1,1))</f>
        <v>436.5217771315057</v>
      </c>
      <c r="AO53" s="60">
        <f t="shared" si="36"/>
        <v>308.97310256098365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79.7</v>
      </c>
      <c r="AR53" s="17">
        <f>IF(ISNA(VLOOKUP(A53,'Données projet'!$A$61:$I$81,5,0)),0%,VLOOKUP(A53,'Données projet'!$A$61:$I$81,5,0)*VLOOKUP('Données projet'!$B$10,Paramètres!$A$1:$I$88,7,0))</f>
        <v>0.25800000000000001</v>
      </c>
      <c r="AS53" s="17">
        <f>IF(ISNA(VLOOKUP(A53,'Données projet'!$A$61:$I$81,6,0)),0%,VLOOKUP(A53,'Données projet'!$A$61:$I$81,6,0)*VLOOKUP('Données projet'!$B$10,Paramètres!$A$1:$I$88,7,0))</f>
        <v>0.129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34.08789433127366</v>
      </c>
      <c r="AV53" s="23">
        <f>EXP(-LN(2)/25)*AV52+(1-EXP(-LN(2)/25))/(LN(2)/25)*Calculateur!AQ53*Calculateur!AS53*VLOOKUP('Données projet'!$B$10,Paramètres!$A$1:$I$88,3,0)*0.475*44/12</f>
        <v>18.869877137419181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52.95777146869284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9.375</v>
      </c>
      <c r="BD53" s="13">
        <f>IF('Données projet'!$A$88&gt;35,BD52+BC53-BL52,IF(A53&lt;'Données projet'!$A$88,$BA$205^A53,IF(A53='Données projet'!$A$88,'Données projet'!$B$88,BD52+BC53-BL52)))</f>
        <v>76.875</v>
      </c>
      <c r="BE53" s="14">
        <f>BD53*VLOOKUP('Données projet'!$B$11,Paramètres!$A$1:$I$88,3,0)*VLOOKUP('Données projet'!$B$11,Paramètres!$A$1:$I$88,5,0)</f>
        <v>77.951250000000002</v>
      </c>
      <c r="BF53" s="14">
        <f t="shared" si="37"/>
        <v>21.635500270504394</v>
      </c>
      <c r="BG53" s="22">
        <f t="shared" si="7"/>
        <v>173.44692338779512</v>
      </c>
      <c r="BH53" s="60">
        <f t="shared" si="8"/>
        <v>428.5679049172652</v>
      </c>
      <c r="BI53" s="60">
        <f ca="1">AVERAGE(OFFSET($BH$3,0,0,'Données projet'!$E$11+1,1))-AVERAGE(OFFSET($H$3,0,0,'Données projet'!$E$11+1,1))</f>
        <v>108.30434106718693</v>
      </c>
      <c r="BJ53" s="60">
        <f t="shared" si="38"/>
        <v>67.653808657585842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0.91678717777891516</v>
      </c>
      <c r="BQ53" s="23">
        <f>EXP(-LN(2)/25)*BQ52+(1-EXP(-LN(2)/25))/(LN(2)/25)*Calculateur!BL53*Calculateur!BN53*VLOOKUP('Données projet'!$B$11,Paramètres!$A$1:$I$88,3,0)*0.475*44/12</f>
        <v>0</v>
      </c>
      <c r="BR53" s="23">
        <f>EXP(-LN(2)/2)*BR52+(1-EXP(-LN(2)/2))/(LN(2)/2)*BL53*BO53*VLOOKUP('Données projet'!$B$11,Paramètres!$A$1:$I$88,3,0)*0.475*44/12</f>
        <v>0</v>
      </c>
      <c r="BS53" s="24">
        <f t="shared" si="9"/>
        <v>0.91678717777891516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7.5000000000000018</v>
      </c>
      <c r="BY53" s="13">
        <f>IF('Données projet'!$A$114&gt;35,BY52+BX53-CG52,IF(A53&lt;'Données projet'!$A$114,$BV$205^A53,IF(A53='Données projet'!$A$114,'Données projet'!$B$114,BY52+BX53-CG52)))</f>
        <v>214.85</v>
      </c>
      <c r="BZ53" s="14">
        <f>BY53*VLOOKUP('Données projet'!$B$12,Paramètres!$A$1:$I$88,3,0)*VLOOKUP('Données projet'!$B$12,Paramètres!$A$1:$I$88,5,0)</f>
        <v>100.54979999999999</v>
      </c>
      <c r="CA53" s="14">
        <f t="shared" si="39"/>
        <v>27.092937990119871</v>
      </c>
      <c r="CB53" s="22">
        <f t="shared" si="10"/>
        <v>222.31110199945874</v>
      </c>
      <c r="CC53" s="60">
        <f t="shared" si="11"/>
        <v>477.43208352892884</v>
      </c>
      <c r="CD53" s="60">
        <f ca="1">AVERAGE(OFFSET($CC$3,0,0,'Données projet'!$E$12+1,1))-AVERAGE(OFFSET($H$3,0,0,'Données projet'!$E$12+1,1))</f>
        <v>171.08593400758221</v>
      </c>
      <c r="CE53" s="60">
        <f t="shared" si="40"/>
        <v>201.9528484086932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projet'!$B$12,Paramètres!$A$1:$I$88,3,0)*0.475*44/12</f>
        <v>4.8966697273951061</v>
      </c>
      <c r="CL53" s="23">
        <f>EXP(-LN(2)/25)*CL52+(1-EXP(-LN(2)/25))/(LN(2)/25)*Calculateur!CG53*Calculateur!CI53*VLOOKUP('Données projet'!$B$12,Paramètres!$A$1:$I$88,3,0)*0.475*44/12</f>
        <v>17.289474546433478</v>
      </c>
      <c r="CM53" s="23">
        <f>EXP(-LN(2)/2)*CM52+(1-EXP(-LN(2)/2))/(LN(2)/2)*CG53*CJ53*VLOOKUP('Données projet'!$B$12,Paramètres!$A$1:$I$88,3,0)*0.475*44/12</f>
        <v>0</v>
      </c>
      <c r="CN53" s="24">
        <f t="shared" si="12"/>
        <v>22.186144273828585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294</v>
      </c>
      <c r="CR53" s="13">
        <f>VLOOKUP(A53,'Données projet'!$A$139:$I$159,9,0)</f>
        <v>9.1999999999999993</v>
      </c>
      <c r="CS53" s="13">
        <f t="array" ref="CS53">INDEX(CR:CR,MIN(IF(ISNUMBER(CR53:CR249),ROW(CR53:CR249),"")))</f>
        <v>9.1999999999999993</v>
      </c>
      <c r="CT53" s="13">
        <f>IF('Données projet'!$A$140&gt;35,CT52+CS53-DB52,IF(A53&lt;'Données projet'!$A$140,$CQ$205^A53,IF(A53='Données projet'!$A$140,'Données projet'!$B$140,CT52+CS53-DB52)))</f>
        <v>293.99999999999994</v>
      </c>
      <c r="CU53" s="18">
        <f>CT53*VLOOKUP('Données projet'!$B$13,Paramètres!$A$1:$I$88,3,0)*VLOOKUP('Données projet'!$B$13,Paramètres!$A$1:$I$88,5,0)</f>
        <v>197.21519999999995</v>
      </c>
      <c r="CV53" s="14">
        <f t="shared" si="41"/>
        <v>49.131654421367614</v>
      </c>
      <c r="CW53" s="22">
        <f t="shared" si="13"/>
        <v>429.05410478388177</v>
      </c>
      <c r="CX53" s="60">
        <f t="shared" si="14"/>
        <v>684.17508631335181</v>
      </c>
      <c r="CY53" s="60">
        <f ca="1">AVERAGE(OFFSET($CX$3,0,0,'Données projet'!$E$13+1,1))-AVERAGE(OFFSET($H$3,0,0,'Données projet'!$E$13+1,1))</f>
        <v>283.66646124753868</v>
      </c>
      <c r="CZ53" s="60">
        <f t="shared" si="42"/>
        <v>331.61926649572797</v>
      </c>
      <c r="DA53" s="16">
        <f>IF(ISNA(VLOOKUP(A53,'Données projet'!$A$139:$I$159,3,0)),0,VLOOKUP(A53,'Données projet'!$A$139:$I$159,3,0))</f>
        <v>8</v>
      </c>
      <c r="DB53" s="16">
        <f>IF(ISNA(VLOOKUP(A53,'Données projet'!$A$139:$I$159,4,0)),0,VLOOKUP(A53,'Données projet'!$A$139:$I$159,4,0))</f>
        <v>24</v>
      </c>
      <c r="DC53" s="17">
        <f>IF(ISNA(VLOOKUP(A53,'Données projet'!$A$139:$I$159,5,0)),0%,VLOOKUP(A53,'Données projet'!$A$139:$I$159,5,0)*VLOOKUP('Données projet'!$B$13,Paramètres!$A$1:$I$88,7,0))</f>
        <v>0.159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projet'!$B$13,Paramètres!$A$1:$I$88,3,0)*0.475*44/12</f>
        <v>7.8107964830099288</v>
      </c>
      <c r="DG53" s="23">
        <f>EXP(-LN(2)/25)*DG52+(1-EXP(-LN(2)/25))/(LN(2)/25)*Calculateur!DB53*Calculateur!DD53*VLOOKUP('Données projet'!$B$13,Paramètres!$A$1:$I$88,3,0)*0.475*44/12</f>
        <v>0</v>
      </c>
      <c r="DH53" s="23">
        <f>EXP(-LN(2)/2)*DH52+(1-EXP(-LN(2)/2))/(LN(2)/2)*DB53*DE53*VLOOKUP('Données projet'!$B$13,Paramètres!$A$1:$I$88,3,0)*0.475*44/12</f>
        <v>0</v>
      </c>
      <c r="DI53" s="24">
        <f t="shared" si="15"/>
        <v>7.8107964830099288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1.1368683772161603E-13</v>
      </c>
      <c r="DP53" s="18">
        <f>DO53*VLOOKUP('Données projet'!$B$14,Paramètres!$A$1:$I$88,3,0)*VLOOKUP('Données projet'!$B$14,Paramètres!$A$1:$I$88,5,0)</f>
        <v>8.3355189417488869E-14</v>
      </c>
      <c r="DQ53" s="14">
        <f t="shared" si="43"/>
        <v>1.2790518435140618E-12</v>
      </c>
      <c r="DR53" s="22">
        <f t="shared" si="16"/>
        <v>2.3728589156891171E-12</v>
      </c>
      <c r="DS53" s="60">
        <f t="shared" si="17"/>
        <v>255.12098152947246</v>
      </c>
      <c r="DT53" s="60">
        <f ca="1">AVERAGE(OFFSET($DS$3,0,0,'Données projet'!$E$14+1,1))-AVERAGE(OFFSET($H$3,0,0,'Données projet'!$E$14+1,1))</f>
        <v>212.77458587586861</v>
      </c>
      <c r="DU53" s="60">
        <f t="shared" si="44"/>
        <v>260.45879589483513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projet'!$B$14,Paramètres!$A$1:$I$88,3,0)*0.475*44/12</f>
        <v>43.751905007233759</v>
      </c>
      <c r="EB53" s="23">
        <f>EXP(-LN(2)/25)*EB52+(1-EXP(-LN(2)/25))/(LN(2)/25)*Calculateur!DW53*Calculateur!DY53*VLOOKUP('Données projet'!$B$14,Paramètres!$A$1:$I$88,3,0)*0.475*44/12</f>
        <v>26.733532270974482</v>
      </c>
      <c r="EC53" s="23">
        <f>EXP(-LN(2)/2)*EC52+(1-EXP(-LN(2)/2))/(LN(2)/2)*DW53*DZ53*VLOOKUP('Données projet'!$B$14,Paramètres!$A$1:$I$88,3,0)*0.475*44/12</f>
        <v>0</v>
      </c>
      <c r="ED53" s="24">
        <f t="shared" si="18"/>
        <v>70.485437278208238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5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8">
        <f t="shared" si="1"/>
        <v>183.33333333333334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17.714285714285715</v>
      </c>
      <c r="N54" s="14">
        <f>IF('Données projet'!$A$36&gt;35,N53+M54-V53,IF(A54&lt;'Données projet'!$A$36,$K$205^A54,IF(A54='Données projet'!$A$36,'Données projet'!$B$36,N53+M54-V53)))</f>
        <v>446.57142857142873</v>
      </c>
      <c r="O54" s="14">
        <f>N54*VLOOKUP('Données projet'!$B$9,Paramètres!$A$1:$I$88,3,0)*VLOOKUP('Données projet'!$B$9,Paramètres!$A$1:$I$88,5,0)</f>
        <v>249.63342857142865</v>
      </c>
      <c r="P54" s="14">
        <f t="shared" si="33"/>
        <v>60.50743839573984</v>
      </c>
      <c r="Q54" s="22">
        <f t="shared" si="53"/>
        <v>540.16200996781845</v>
      </c>
      <c r="R54" s="60">
        <f t="shared" si="0"/>
        <v>795.94589037106527</v>
      </c>
      <c r="S54" s="60">
        <f ca="1">AVERAGE(OFFSET($R$3,0,0,'Données projet'!$E$9+1,1))-AVERAGE(OFFSET($H$3,0,0,'Données projet'!$E$9+1,1))</f>
        <v>366.29380214443631</v>
      </c>
      <c r="T54" s="60">
        <f t="shared" si="34"/>
        <v>413.14502442862897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25.321360783368636</v>
      </c>
      <c r="AA54" s="23">
        <f>EXP(-LN(2)/25)*AA53+(1-EXP(-LN(2)/25))/(LN(2)/25)*Calculateur!V54*Calculateur!X54*VLOOKUP('Données projet'!$B$9,Paramètres!$A$1:$I$88,3,0)*0.475*44/12</f>
        <v>45.65885891592626</v>
      </c>
      <c r="AB54" s="23">
        <f>EXP(-LN(2)/2)*AB53+(1-EXP(-LN(2)/2))/(LN(2)/2)*V54*Y54*VLOOKUP('Données projet'!$B$9,Paramètres!$A$1:$I$88,3,0)*0.475*44/12</f>
        <v>0</v>
      </c>
      <c r="AC54" s="24">
        <f t="shared" si="3"/>
        <v>70.980219699294892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12.324999999999998</v>
      </c>
      <c r="AI54" s="14">
        <f>IF('Données projet'!$A$62&gt;35,AI53+AH54-AQ53,IF(A54&lt;'Données projet'!$A$62,$AF$205^A54,IF(A54='Données projet'!$A$62,'Données projet'!$B$62,AI53+AH54-AQ53)))</f>
        <v>230.32500000000005</v>
      </c>
      <c r="AJ54" s="14">
        <f>AI54*VLOOKUP('Données projet'!$B$10,Paramètres!$A$1:$I$88,3,0)*VLOOKUP('Données projet'!$B$10,Paramètres!$A$1:$I$88,5,0)</f>
        <v>201.21192000000005</v>
      </c>
      <c r="AK54" s="14">
        <f t="shared" si="35"/>
        <v>50.010417340386411</v>
      </c>
      <c r="AL54" s="22">
        <f t="shared" si="4"/>
        <v>437.54557086783967</v>
      </c>
      <c r="AM54" s="60">
        <f t="shared" si="5"/>
        <v>693.32945127108655</v>
      </c>
      <c r="AN54" s="60">
        <f ca="1">AVERAGE(OFFSET($AM$3,0,0,'Données projet'!$E$10+1,1))-AVERAGE(OFFSET($H$3,0,0,'Données projet'!$E$10+1,1))</f>
        <v>436.5217771315057</v>
      </c>
      <c r="AO54" s="60">
        <f t="shared" si="36"/>
        <v>308.97310256098365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33.419451514999928</v>
      </c>
      <c r="AV54" s="23">
        <f>EXP(-LN(2)/25)*AV53+(1-EXP(-LN(2)/25))/(LN(2)/25)*Calculateur!AQ54*Calculateur!AS54*VLOOKUP('Données projet'!$B$10,Paramètres!$A$1:$I$88,3,0)*0.475*44/12</f>
        <v>18.353879354772744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51.773330869772671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9.375</v>
      </c>
      <c r="BD54" s="13">
        <f>IF('Données projet'!$A$88&gt;35,BD53+BC54-BL53,IF(A54&lt;'Données projet'!$A$88,$BA$205^A54,IF(A54='Données projet'!$A$88,'Données projet'!$B$88,BD53+BC54-BL53)))</f>
        <v>86.25</v>
      </c>
      <c r="BE54" s="14">
        <f>BD54*VLOOKUP('Données projet'!$B$11,Paramètres!$A$1:$I$88,3,0)*VLOOKUP('Données projet'!$B$11,Paramètres!$A$1:$I$88,5,0)</f>
        <v>87.457499999999996</v>
      </c>
      <c r="BF54" s="14">
        <f t="shared" si="37"/>
        <v>23.951016281224366</v>
      </c>
      <c r="BG54" s="22">
        <f t="shared" si="7"/>
        <v>194.03649918979909</v>
      </c>
      <c r="BH54" s="60">
        <f t="shared" si="8"/>
        <v>449.82037959304591</v>
      </c>
      <c r="BI54" s="60">
        <f ca="1">AVERAGE(OFFSET($BH$3,0,0,'Données projet'!$E$11+1,1))-AVERAGE(OFFSET($H$3,0,0,'Données projet'!$E$11+1,1))</f>
        <v>108.30434106718693</v>
      </c>
      <c r="BJ54" s="60">
        <f t="shared" si="38"/>
        <v>67.653808657585842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0.89880954040763417</v>
      </c>
      <c r="BQ54" s="23">
        <f>EXP(-LN(2)/25)*BQ53+(1-EXP(-LN(2)/25))/(LN(2)/25)*Calculateur!BL54*Calculateur!BN54*VLOOKUP('Données projet'!$B$11,Paramètres!$A$1:$I$88,3,0)*0.475*44/12</f>
        <v>0</v>
      </c>
      <c r="BR54" s="23">
        <f>EXP(-LN(2)/2)*BR53+(1-EXP(-LN(2)/2))/(LN(2)/2)*BL54*BO54*VLOOKUP('Données projet'!$B$11,Paramètres!$A$1:$I$88,3,0)*0.475*44/12</f>
        <v>0</v>
      </c>
      <c r="BS54" s="24">
        <f t="shared" si="9"/>
        <v>0.89880954040763417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7.5000000000000018</v>
      </c>
      <c r="BY54" s="13">
        <f>IF('Données projet'!$A$114&gt;35,BY53+BX54-CG53,IF(A54&lt;'Données projet'!$A$114,$BV$205^A54,IF(A54='Données projet'!$A$114,'Données projet'!$B$114,BY53+BX54-CG53)))</f>
        <v>222.35</v>
      </c>
      <c r="BZ54" s="14">
        <f>BY54*VLOOKUP('Données projet'!$B$12,Paramètres!$A$1:$I$88,3,0)*VLOOKUP('Données projet'!$B$12,Paramètres!$A$1:$I$88,5,0)</f>
        <v>104.0598</v>
      </c>
      <c r="CA54" s="14">
        <f t="shared" si="39"/>
        <v>27.926937434226129</v>
      </c>
      <c r="CB54" s="22">
        <f t="shared" si="10"/>
        <v>229.87690103127713</v>
      </c>
      <c r="CC54" s="60">
        <f t="shared" si="11"/>
        <v>485.66078143452398</v>
      </c>
      <c r="CD54" s="60">
        <f ca="1">AVERAGE(OFFSET($CC$3,0,0,'Données projet'!$E$12+1,1))-AVERAGE(OFFSET($H$3,0,0,'Données projet'!$E$12+1,1))</f>
        <v>171.08593400758221</v>
      </c>
      <c r="CE54" s="60">
        <f t="shared" si="40"/>
        <v>201.9528484086932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projet'!$B$12,Paramètres!$A$1:$I$88,3,0)*0.475*44/12</f>
        <v>4.8006490207145118</v>
      </c>
      <c r="CL54" s="23">
        <f>EXP(-LN(2)/25)*CL53+(1-EXP(-LN(2)/25))/(LN(2)/25)*Calculateur!CG54*Calculateur!CI54*VLOOKUP('Données projet'!$B$12,Paramètres!$A$1:$I$88,3,0)*0.475*44/12</f>
        <v>16.816692955747303</v>
      </c>
      <c r="CM54" s="23">
        <f>EXP(-LN(2)/2)*CM53+(1-EXP(-LN(2)/2))/(LN(2)/2)*CG54*CJ54*VLOOKUP('Données projet'!$B$12,Paramètres!$A$1:$I$88,3,0)*0.475*44/12</f>
        <v>0</v>
      </c>
      <c r="CN54" s="24">
        <f t="shared" si="12"/>
        <v>21.617341976461816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8.8000000000000007</v>
      </c>
      <c r="CT54" s="13">
        <f>IF('Données projet'!$A$140&gt;35,CT53+CS54-DB53,IF(A54&lt;'Données projet'!$A$140,$CQ$205^A54,IF(A54='Données projet'!$A$140,'Données projet'!$B$140,CT53+CS54-DB53)))</f>
        <v>278.79999999999995</v>
      </c>
      <c r="CU54" s="18">
        <f>CT54*VLOOKUP('Données projet'!$B$13,Paramètres!$A$1:$I$88,3,0)*VLOOKUP('Données projet'!$B$13,Paramètres!$A$1:$I$88,5,0)</f>
        <v>187.01903999999996</v>
      </c>
      <c r="CV54" s="14">
        <f t="shared" si="41"/>
        <v>46.880299589922814</v>
      </c>
      <c r="CW54" s="22">
        <f t="shared" si="13"/>
        <v>407.37468311911545</v>
      </c>
      <c r="CX54" s="60">
        <f t="shared" si="14"/>
        <v>663.15856352236233</v>
      </c>
      <c r="CY54" s="60">
        <f ca="1">AVERAGE(OFFSET($CX$3,0,0,'Données projet'!$E$13+1,1))-AVERAGE(OFFSET($H$3,0,0,'Données projet'!$E$13+1,1))</f>
        <v>283.66646124753868</v>
      </c>
      <c r="CZ54" s="60">
        <f t="shared" si="42"/>
        <v>331.61926649572797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projet'!$B$13,Paramètres!$A$1:$I$88,3,0)*0.475*44/12</f>
        <v>7.6576315280935416</v>
      </c>
      <c r="DG54" s="23">
        <f>EXP(-LN(2)/25)*DG53+(1-EXP(-LN(2)/25))/(LN(2)/25)*Calculateur!DB54*Calculateur!DD54*VLOOKUP('Données projet'!$B$13,Paramètres!$A$1:$I$88,3,0)*0.475*44/12</f>
        <v>0</v>
      </c>
      <c r="DH54" s="23">
        <f>EXP(-LN(2)/2)*DH53+(1-EXP(-LN(2)/2))/(LN(2)/2)*DB54*DE54*VLOOKUP('Données projet'!$B$13,Paramètres!$A$1:$I$88,3,0)*0.475*44/12</f>
        <v>0</v>
      </c>
      <c r="DI54" s="24">
        <f t="shared" si="15"/>
        <v>7.6576315280935416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1.1368683772161603E-13</v>
      </c>
      <c r="DP54" s="18">
        <f>DO54*VLOOKUP('Données projet'!$B$14,Paramètres!$A$1:$I$88,3,0)*VLOOKUP('Données projet'!$B$14,Paramètres!$A$1:$I$88,5,0)</f>
        <v>8.3355189417488869E-14</v>
      </c>
      <c r="DQ54" s="14">
        <f t="shared" si="43"/>
        <v>1.2790518435140618E-12</v>
      </c>
      <c r="DR54" s="22">
        <f t="shared" si="16"/>
        <v>2.3728589156891171E-12</v>
      </c>
      <c r="DS54" s="60">
        <f t="shared" si="17"/>
        <v>255.78388040324919</v>
      </c>
      <c r="DT54" s="60">
        <f ca="1">AVERAGE(OFFSET($DS$3,0,0,'Données projet'!$E$14+1,1))-AVERAGE(OFFSET($H$3,0,0,'Données projet'!$E$14+1,1))</f>
        <v>212.77458587586861</v>
      </c>
      <c r="DU54" s="60">
        <f t="shared" si="44"/>
        <v>260.45879589483513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projet'!$B$14,Paramètres!$A$1:$I$88,3,0)*0.475*44/12</f>
        <v>42.893956836068931</v>
      </c>
      <c r="EB54" s="23">
        <f>EXP(-LN(2)/25)*EB53+(1-EXP(-LN(2)/25))/(LN(2)/25)*Calculateur!DW54*Calculateur!DY54*VLOOKUP('Données projet'!$B$14,Paramètres!$A$1:$I$88,3,0)*0.475*44/12</f>
        <v>26.002502425169322</v>
      </c>
      <c r="EC54" s="23">
        <f>EXP(-LN(2)/2)*EC53+(1-EXP(-LN(2)/2))/(LN(2)/2)*DW54*DZ54*VLOOKUP('Données projet'!$B$14,Paramètres!$A$1:$I$88,3,0)*0.475*44/12</f>
        <v>0</v>
      </c>
      <c r="ED54" s="24">
        <f t="shared" si="18"/>
        <v>68.896459261238249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5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8">
        <f t="shared" si="1"/>
        <v>183.33333333333334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17.714285714285715</v>
      </c>
      <c r="N55" s="14">
        <f>IF('Données projet'!$A$36&gt;35,N54+M55-V54,IF(A55&lt;'Données projet'!$A$36,$K$205^A55,IF(A55='Données projet'!$A$36,'Données projet'!$B$36,N54+M55-V54)))</f>
        <v>464.28571428571445</v>
      </c>
      <c r="O55" s="14">
        <f>N55*VLOOKUP('Données projet'!$B$9,Paramètres!$A$1:$I$88,3,0)*VLOOKUP('Données projet'!$B$9,Paramètres!$A$1:$I$88,5,0)</f>
        <v>259.53571428571439</v>
      </c>
      <c r="P55" s="14">
        <f t="shared" si="33"/>
        <v>62.623400711752197</v>
      </c>
      <c r="Q55" s="22">
        <f t="shared" si="53"/>
        <v>561.09379195392091</v>
      </c>
      <c r="R55" s="60">
        <f t="shared" si="0"/>
        <v>817.52907141750427</v>
      </c>
      <c r="S55" s="60">
        <f ca="1">AVERAGE(OFFSET($R$3,0,0,'Données projet'!$E$9+1,1))-AVERAGE(OFFSET($H$3,0,0,'Données projet'!$E$9+1,1))</f>
        <v>366.29380214443631</v>
      </c>
      <c r="T55" s="60">
        <f t="shared" si="34"/>
        <v>413.14502442862897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24.824824342911835</v>
      </c>
      <c r="AA55" s="23">
        <f>EXP(-LN(2)/25)*AA54+(1-EXP(-LN(2)/25))/(LN(2)/25)*Calculateur!V55*Calculateur!X55*VLOOKUP('Données projet'!$B$9,Paramètres!$A$1:$I$88,3,0)*0.475*44/12</f>
        <v>44.410315017775218</v>
      </c>
      <c r="AB55" s="23">
        <f>EXP(-LN(2)/2)*AB54+(1-EXP(-LN(2)/2))/(LN(2)/2)*V55*Y55*VLOOKUP('Données projet'!$B$9,Paramètres!$A$1:$I$88,3,0)*0.475*44/12</f>
        <v>0</v>
      </c>
      <c r="AC55" s="24">
        <f t="shared" si="3"/>
        <v>69.235139360687057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12.324999999999998</v>
      </c>
      <c r="AI55" s="14">
        <f>IF('Données projet'!$A$62&gt;35,AI54+AH55-AQ54,IF(A55&lt;'Données projet'!$A$62,$AF$205^A55,IF(A55='Données projet'!$A$62,'Données projet'!$B$62,AI54+AH55-AQ54)))</f>
        <v>242.65000000000003</v>
      </c>
      <c r="AJ55" s="14">
        <f>AI55*VLOOKUP('Données projet'!$B$10,Paramètres!$A$1:$I$88,3,0)*VLOOKUP('Données projet'!$B$10,Paramètres!$A$1:$I$88,5,0)</f>
        <v>211.97904000000008</v>
      </c>
      <c r="AK55" s="14">
        <f t="shared" si="35"/>
        <v>52.367819358175034</v>
      </c>
      <c r="AL55" s="22">
        <f t="shared" si="4"/>
        <v>460.40411338215495</v>
      </c>
      <c r="AM55" s="60">
        <f t="shared" si="5"/>
        <v>716.8393928457383</v>
      </c>
      <c r="AN55" s="60">
        <f ca="1">AVERAGE(OFFSET($AM$3,0,0,'Données projet'!$E$10+1,1))-AVERAGE(OFFSET($H$3,0,0,'Données projet'!$E$10+1,1))</f>
        <v>436.5217771315057</v>
      </c>
      <c r="AO55" s="60">
        <f t="shared" si="36"/>
        <v>308.97310256098365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32.764116454643464</v>
      </c>
      <c r="AV55" s="23">
        <f>EXP(-LN(2)/25)*AV54+(1-EXP(-LN(2)/25))/(LN(2)/25)*Calculateur!AQ55*Calculateur!AS55*VLOOKUP('Données projet'!$B$10,Paramètres!$A$1:$I$88,3,0)*0.475*44/12</f>
        <v>17.851991558627915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50.616108013271379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9.375</v>
      </c>
      <c r="BD55" s="13">
        <f>IF('Données projet'!$A$88&gt;35,BD54+BC55-BL54,IF(A55&lt;'Données projet'!$A$88,$BA$205^A55,IF(A55='Données projet'!$A$88,'Données projet'!$B$88,BD54+BC55-BL54)))</f>
        <v>95.625</v>
      </c>
      <c r="BE55" s="14">
        <f>BD55*VLOOKUP('Données projet'!$B$11,Paramètres!$A$1:$I$88,3,0)*VLOOKUP('Données projet'!$B$11,Paramètres!$A$1:$I$88,5,0)</f>
        <v>96.963750000000005</v>
      </c>
      <c r="BF55" s="14">
        <f t="shared" si="37"/>
        <v>26.237359955130323</v>
      </c>
      <c r="BG55" s="22">
        <f t="shared" si="7"/>
        <v>214.57526650518534</v>
      </c>
      <c r="BH55" s="60">
        <f t="shared" si="8"/>
        <v>471.01054596876872</v>
      </c>
      <c r="BI55" s="60">
        <f ca="1">AVERAGE(OFFSET($BH$3,0,0,'Données projet'!$E$11+1,1))-AVERAGE(OFFSET($H$3,0,0,'Données projet'!$E$11+1,1))</f>
        <v>108.30434106718693</v>
      </c>
      <c r="BJ55" s="60">
        <f t="shared" si="38"/>
        <v>67.653808657585842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0.88118443353992792</v>
      </c>
      <c r="BQ55" s="23">
        <f>EXP(-LN(2)/25)*BQ54+(1-EXP(-LN(2)/25))/(LN(2)/25)*Calculateur!BL55*Calculateur!BN55*VLOOKUP('Données projet'!$B$11,Paramètres!$A$1:$I$88,3,0)*0.475*44/12</f>
        <v>0</v>
      </c>
      <c r="BR55" s="23">
        <f>EXP(-LN(2)/2)*BR54+(1-EXP(-LN(2)/2))/(LN(2)/2)*BL55*BO55*VLOOKUP('Données projet'!$B$11,Paramètres!$A$1:$I$88,3,0)*0.475*44/12</f>
        <v>0</v>
      </c>
      <c r="BS55" s="24">
        <f t="shared" si="9"/>
        <v>0.88118443353992792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7.5000000000000018</v>
      </c>
      <c r="BY55" s="13">
        <f>IF('Données projet'!$A$114&gt;35,BY54+BX55-CG54,IF(A55&lt;'Données projet'!$A$114,$BV$205^A55,IF(A55='Données projet'!$A$114,'Données projet'!$B$114,BY54+BX55-CG54)))</f>
        <v>229.85</v>
      </c>
      <c r="BZ55" s="14">
        <f>BY55*VLOOKUP('Données projet'!$B$12,Paramètres!$A$1:$I$88,3,0)*VLOOKUP('Données projet'!$B$12,Paramètres!$A$1:$I$88,5,0)</f>
        <v>107.5698</v>
      </c>
      <c r="CA55" s="14">
        <f t="shared" si="39"/>
        <v>28.757668159347865</v>
      </c>
      <c r="CB55" s="22">
        <f t="shared" si="10"/>
        <v>237.43700704419749</v>
      </c>
      <c r="CC55" s="60">
        <f t="shared" si="11"/>
        <v>493.87228650778081</v>
      </c>
      <c r="CD55" s="60">
        <f ca="1">AVERAGE(OFFSET($CC$3,0,0,'Données projet'!$E$12+1,1))-AVERAGE(OFFSET($H$3,0,0,'Données projet'!$E$12+1,1))</f>
        <v>171.08593400758221</v>
      </c>
      <c r="CE55" s="60">
        <f t="shared" si="40"/>
        <v>201.9528484086932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projet'!$B$12,Paramètres!$A$1:$I$88,3,0)*0.475*44/12</f>
        <v>4.7065112215250764</v>
      </c>
      <c r="CL55" s="23">
        <f>EXP(-LN(2)/25)*CL54+(1-EXP(-LN(2)/25))/(LN(2)/25)*Calculateur!CG55*Calculateur!CI55*VLOOKUP('Données projet'!$B$12,Paramètres!$A$1:$I$88,3,0)*0.475*44/12</f>
        <v>16.356839602520946</v>
      </c>
      <c r="CM55" s="23">
        <f>EXP(-LN(2)/2)*CM54+(1-EXP(-LN(2)/2))/(LN(2)/2)*CG55*CJ55*VLOOKUP('Données projet'!$B$12,Paramètres!$A$1:$I$88,3,0)*0.475*44/12</f>
        <v>0</v>
      </c>
      <c r="CN55" s="24">
        <f t="shared" si="12"/>
        <v>21.063350824046022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8.8000000000000007</v>
      </c>
      <c r="CT55" s="13">
        <f>IF('Données projet'!$A$140&gt;35,CT54+CS55-DB54,IF(A55&lt;'Données projet'!$A$140,$CQ$205^A55,IF(A55='Données projet'!$A$140,'Données projet'!$B$140,CT54+CS55-DB54)))</f>
        <v>287.59999999999997</v>
      </c>
      <c r="CU55" s="18">
        <f>CT55*VLOOKUP('Données projet'!$B$13,Paramètres!$A$1:$I$88,3,0)*VLOOKUP('Données projet'!$B$13,Paramètres!$A$1:$I$88,5,0)</f>
        <v>192.92207999999997</v>
      </c>
      <c r="CV55" s="14">
        <f t="shared" si="41"/>
        <v>48.185408285253537</v>
      </c>
      <c r="CW55" s="22">
        <f t="shared" si="13"/>
        <v>419.9288754301499</v>
      </c>
      <c r="CX55" s="60">
        <f t="shared" si="14"/>
        <v>676.36415489373326</v>
      </c>
      <c r="CY55" s="60">
        <f ca="1">AVERAGE(OFFSET($CX$3,0,0,'Données projet'!$E$13+1,1))-AVERAGE(OFFSET($H$3,0,0,'Données projet'!$E$13+1,1))</f>
        <v>283.66646124753868</v>
      </c>
      <c r="CZ55" s="60">
        <f t="shared" si="42"/>
        <v>331.61926649572797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projet'!$B$13,Paramètres!$A$1:$I$88,3,0)*0.475*44/12</f>
        <v>7.5074700445216669</v>
      </c>
      <c r="DG55" s="23">
        <f>EXP(-LN(2)/25)*DG54+(1-EXP(-LN(2)/25))/(LN(2)/25)*Calculateur!DB55*Calculateur!DD55*VLOOKUP('Données projet'!$B$13,Paramètres!$A$1:$I$88,3,0)*0.475*44/12</f>
        <v>0</v>
      </c>
      <c r="DH55" s="23">
        <f>EXP(-LN(2)/2)*DH54+(1-EXP(-LN(2)/2))/(LN(2)/2)*DB55*DE55*VLOOKUP('Données projet'!$B$13,Paramètres!$A$1:$I$88,3,0)*0.475*44/12</f>
        <v>0</v>
      </c>
      <c r="DI55" s="24">
        <f t="shared" si="15"/>
        <v>7.5074700445216669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1.1368683772161603E-13</v>
      </c>
      <c r="DP55" s="18">
        <f>DO55*VLOOKUP('Données projet'!$B$14,Paramètres!$A$1:$I$88,3,0)*VLOOKUP('Données projet'!$B$14,Paramètres!$A$1:$I$88,5,0)</f>
        <v>8.3355189417488869E-14</v>
      </c>
      <c r="DQ55" s="14">
        <f t="shared" si="43"/>
        <v>1.2790518435140618E-12</v>
      </c>
      <c r="DR55" s="22">
        <f t="shared" si="16"/>
        <v>2.3728589156891171E-12</v>
      </c>
      <c r="DS55" s="60">
        <f t="shared" si="17"/>
        <v>256.43527946358574</v>
      </c>
      <c r="DT55" s="60">
        <f ca="1">AVERAGE(OFFSET($DS$3,0,0,'Données projet'!$E$14+1,1))-AVERAGE(OFFSET($H$3,0,0,'Données projet'!$E$14+1,1))</f>
        <v>212.77458587586861</v>
      </c>
      <c r="DU55" s="60">
        <f t="shared" si="44"/>
        <v>260.45879589483513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projet'!$B$14,Paramètres!$A$1:$I$88,3,0)*0.475*44/12</f>
        <v>42.052832505243934</v>
      </c>
      <c r="EB55" s="23">
        <f>EXP(-LN(2)/25)*EB54+(1-EXP(-LN(2)/25))/(LN(2)/25)*Calculateur!DW55*Calculateur!DY55*VLOOKUP('Données projet'!$B$14,Paramètres!$A$1:$I$88,3,0)*0.475*44/12</f>
        <v>25.291462628940895</v>
      </c>
      <c r="EC55" s="23">
        <f>EXP(-LN(2)/2)*EC54+(1-EXP(-LN(2)/2))/(LN(2)/2)*DW55*DZ55*VLOOKUP('Données projet'!$B$14,Paramètres!$A$1:$I$88,3,0)*0.475*44/12</f>
        <v>0</v>
      </c>
      <c r="ED55" s="24">
        <f t="shared" si="18"/>
        <v>67.344295134184833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5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8">
        <f t="shared" si="1"/>
        <v>183.33333333333334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>
        <f>VLOOKUP(A56,'Données projet'!$A$35:$I$55,2,0)</f>
        <v>482</v>
      </c>
      <c r="L56" s="13">
        <f>VLOOKUP(A56,'Données projet'!$A$35:$I$55,9,0)</f>
        <v>17.714285714285715</v>
      </c>
      <c r="M56" s="13">
        <f t="array" ref="M56">INDEX(L:L,MIN(IF(ISNUMBER(L56:L252),ROW(L56:L252),"")))</f>
        <v>17.714285714285715</v>
      </c>
      <c r="N56" s="14">
        <f>IF('Données projet'!$A$36&gt;35,N55+M56-V55,IF(A56&lt;'Données projet'!$A$36,$K$205^A56,IF(A56='Données projet'!$A$36,'Données projet'!$B$36,N55+M56-V55)))</f>
        <v>482.00000000000017</v>
      </c>
      <c r="O56" s="14">
        <f>N56*VLOOKUP('Données projet'!$B$9,Paramètres!$A$1:$I$88,3,0)*VLOOKUP('Données projet'!$B$9,Paramètres!$A$1:$I$88,5,0)</f>
        <v>269.4380000000001</v>
      </c>
      <c r="P56" s="14">
        <f t="shared" si="33"/>
        <v>64.729984244002807</v>
      </c>
      <c r="Q56" s="22">
        <f t="shared" si="53"/>
        <v>582.00923922497179</v>
      </c>
      <c r="R56" s="60">
        <f t="shared" si="0"/>
        <v>839.08461743150497</v>
      </c>
      <c r="S56" s="60">
        <f ca="1">AVERAGE(OFFSET($R$3,0,0,'Données projet'!$E$9+1,1))-AVERAGE(OFFSET($H$3,0,0,'Données projet'!$E$9+1,1))</f>
        <v>366.29380214443631</v>
      </c>
      <c r="T56" s="60">
        <f t="shared" si="34"/>
        <v>413.14502442862897</v>
      </c>
      <c r="U56" s="16">
        <f>IF(ISNA(VLOOKUP(A56,'Données projet'!$A$35:$I$55,3,0)),0,VLOOKUP(A56,'Données projet'!$A$35:$I$55,3,0))</f>
        <v>5</v>
      </c>
      <c r="V56" s="16">
        <f>IF(ISNA(VLOOKUP(A56,'Données projet'!$A$35:$I$55,4,0)),0,VLOOKUP(A56,'Données projet'!$A$35:$I$55,4,0))</f>
        <v>80</v>
      </c>
      <c r="W56" s="17">
        <f>IF(ISNA(VLOOKUP(A56,'Données projet'!$A$35:$I$55,5,0)),0%,VLOOKUP(A56,'Données projet'!$A$35:$I$55,5,0)*VLOOKUP('Données projet'!$B$9,Paramètres!$A$1:$I$88,7,0))</f>
        <v>0.38500000000000001</v>
      </c>
      <c r="X56" s="17">
        <f>IF(ISNA(VLOOKUP(A56,'Données projet'!$A$35:$I$55,6,0)),0%,VLOOKUP(A56,'Données projet'!$A$35:$I$55,6,0)*VLOOKUP('Données projet'!$B$9,Paramètres!$A$1:$I$88,7,0))</f>
        <v>0.16500000000000001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47.17775022138872</v>
      </c>
      <c r="AA56" s="23">
        <f>EXP(-LN(2)/25)*AA55+(1-EXP(-LN(2)/25))/(LN(2)/25)*Calculateur!V56*Calculateur!X56*VLOOKUP('Données projet'!$B$9,Paramètres!$A$1:$I$88,3,0)*0.475*44/12</f>
        <v>52.945825549655616</v>
      </c>
      <c r="AB56" s="23">
        <f>EXP(-LN(2)/2)*AB55+(1-EXP(-LN(2)/2))/(LN(2)/2)*V56*Y56*VLOOKUP('Données projet'!$B$9,Paramètres!$A$1:$I$88,3,0)*0.475*44/12</f>
        <v>0</v>
      </c>
      <c r="AC56" s="24">
        <f t="shared" si="3"/>
        <v>100.12357577104433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12.324999999999998</v>
      </c>
      <c r="AI56" s="14">
        <f>IF('Données projet'!$A$62&gt;35,AI55+AH56-AQ55,IF(A56&lt;'Données projet'!$A$62,$AF$205^A56,IF(A56='Données projet'!$A$62,'Données projet'!$B$62,AI55+AH56-AQ55)))</f>
        <v>254.97500000000002</v>
      </c>
      <c r="AJ56" s="14">
        <f>AI56*VLOOKUP('Données projet'!$B$10,Paramètres!$A$1:$I$88,3,0)*VLOOKUP('Données projet'!$B$10,Paramètres!$A$1:$I$88,5,0)</f>
        <v>222.74616000000006</v>
      </c>
      <c r="AK56" s="14">
        <f t="shared" si="35"/>
        <v>54.711318416900006</v>
      </c>
      <c r="AL56" s="22">
        <f t="shared" si="4"/>
        <v>483.23844157610097</v>
      </c>
      <c r="AM56" s="60">
        <f t="shared" si="5"/>
        <v>740.31381978263425</v>
      </c>
      <c r="AN56" s="60">
        <f ca="1">AVERAGE(OFFSET($AM$3,0,0,'Données projet'!$E$10+1,1))-AVERAGE(OFFSET($H$3,0,0,'Données projet'!$E$10+1,1))</f>
        <v>436.5217771315057</v>
      </c>
      <c r="AO56" s="60">
        <f t="shared" si="36"/>
        <v>308.97310256098365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32.121632115105676</v>
      </c>
      <c r="AV56" s="23">
        <f>EXP(-LN(2)/25)*AV55+(1-EXP(-LN(2)/25))/(LN(2)/25)*Calculateur!AQ56*Calculateur!AS56*VLOOKUP('Données projet'!$B$10,Paramètres!$A$1:$I$88,3,0)*0.475*44/12</f>
        <v>17.363827910661801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49.48546002576748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>
        <f>VLOOKUP(A56,'Données projet'!$A$87:$I$107,2,0)</f>
        <v>105</v>
      </c>
      <c r="BB56" s="13">
        <f>VLOOKUP(A56,'Données projet'!$A$87:$I$107,9,0)</f>
        <v>9.375</v>
      </c>
      <c r="BC56" s="13">
        <f t="array" ref="BC56">INDEX(BB:BB,MIN(IF(ISNUMBER(BB56:BB252),ROW(BB56:BB252),"")))</f>
        <v>9.375</v>
      </c>
      <c r="BD56" s="13">
        <f>IF('Données projet'!$A$88&gt;35,BD55+BC56-BL55,IF(A56&lt;'Données projet'!$A$88,$BA$205^A56,IF(A56='Données projet'!$A$88,'Données projet'!$B$88,BD55+BC56-BL55)))</f>
        <v>105</v>
      </c>
      <c r="BE56" s="14">
        <f>BD56*VLOOKUP('Données projet'!$B$11,Paramètres!$A$1:$I$88,3,0)*VLOOKUP('Données projet'!$B$11,Paramètres!$A$1:$I$88,5,0)</f>
        <v>106.47</v>
      </c>
      <c r="BF56" s="14">
        <f t="shared" si="37"/>
        <v>28.49771681771891</v>
      </c>
      <c r="BG56" s="22">
        <f t="shared" si="7"/>
        <v>235.06877345752704</v>
      </c>
      <c r="BH56" s="60">
        <f t="shared" si="8"/>
        <v>492.14415166406025</v>
      </c>
      <c r="BI56" s="60">
        <f ca="1">AVERAGE(OFFSET($BH$3,0,0,'Données projet'!$E$11+1,1))-AVERAGE(OFFSET($H$3,0,0,'Données projet'!$E$11+1,1))</f>
        <v>108.30434106718693</v>
      </c>
      <c r="BJ56" s="60">
        <f t="shared" si="38"/>
        <v>67.653808657585842</v>
      </c>
      <c r="BK56" s="16">
        <f>IF(ISNA(VLOOKUP(A56,'Données projet'!$A$87:$I$107,3,0)),0,VLOOKUP(A56,'Données projet'!$A$87:$I$107,3,0))</f>
        <v>3</v>
      </c>
      <c r="BL56" s="16">
        <f>IF(ISNA(VLOOKUP(A56,'Données projet'!$A$87:$I$107,4,0)),0,VLOOKUP(A56,'Données projet'!$A$87:$I$107,4,0))</f>
        <v>15</v>
      </c>
      <c r="BM56" s="17">
        <f>IF(ISNA(VLOOKUP(A56,'Données projet'!$A$87:$I$107,5,0)),0%,VLOOKUP(A56,'Données projet'!$A$87:$I$107,5,0)*VLOOKUP('Données projet'!$B$11,Paramètres!$A$1:$I$88,7,0))</f>
        <v>0.129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3.0329373212454502</v>
      </c>
      <c r="BQ56" s="23">
        <f>EXP(-LN(2)/25)*BQ55+(1-EXP(-LN(2)/25))/(LN(2)/25)*Calculateur!BL56*Calculateur!BN56*VLOOKUP('Données projet'!$B$11,Paramètres!$A$1:$I$88,3,0)*0.475*44/12</f>
        <v>0</v>
      </c>
      <c r="BR56" s="23">
        <f>EXP(-LN(2)/2)*BR55+(1-EXP(-LN(2)/2))/(LN(2)/2)*BL56*BO56*VLOOKUP('Données projet'!$B$11,Paramètres!$A$1:$I$88,3,0)*0.475*44/12</f>
        <v>0</v>
      </c>
      <c r="BS56" s="24">
        <f t="shared" si="9"/>
        <v>3.0329373212454502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7.5000000000000018</v>
      </c>
      <c r="BY56" s="13">
        <f>IF('Données projet'!$A$114&gt;35,BY55+BX56-CG55,IF(A56&lt;'Données projet'!$A$114,$BV$205^A56,IF(A56='Données projet'!$A$114,'Données projet'!$B$114,BY55+BX56-CG55)))</f>
        <v>237.35</v>
      </c>
      <c r="BZ56" s="14">
        <f>BY56*VLOOKUP('Données projet'!$B$12,Paramètres!$A$1:$I$88,3,0)*VLOOKUP('Données projet'!$B$12,Paramètres!$A$1:$I$88,5,0)</f>
        <v>111.07980000000001</v>
      </c>
      <c r="CA56" s="14">
        <f t="shared" si="39"/>
        <v>29.585249055720023</v>
      </c>
      <c r="CB56" s="22">
        <f t="shared" si="10"/>
        <v>244.99162710537905</v>
      </c>
      <c r="CC56" s="60">
        <f t="shared" si="11"/>
        <v>502.06700531191228</v>
      </c>
      <c r="CD56" s="60">
        <f ca="1">AVERAGE(OFFSET($CC$3,0,0,'Données projet'!$E$12+1,1))-AVERAGE(OFFSET($H$3,0,0,'Données projet'!$E$12+1,1))</f>
        <v>171.08593400758221</v>
      </c>
      <c r="CE56" s="60">
        <f t="shared" si="40"/>
        <v>201.9528484086932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projet'!$B$12,Paramètres!$A$1:$I$88,3,0)*0.475*44/12</f>
        <v>4.6142194071593581</v>
      </c>
      <c r="CL56" s="23">
        <f>EXP(-LN(2)/25)*CL55+(1-EXP(-LN(2)/25))/(LN(2)/25)*Calculateur!CG56*Calculateur!CI56*VLOOKUP('Données projet'!$B$12,Paramètres!$A$1:$I$88,3,0)*0.475*44/12</f>
        <v>15.9095609634212</v>
      </c>
      <c r="CM56" s="23">
        <f>EXP(-LN(2)/2)*CM55+(1-EXP(-LN(2)/2))/(LN(2)/2)*CG56*CJ56*VLOOKUP('Données projet'!$B$12,Paramètres!$A$1:$I$88,3,0)*0.475*44/12</f>
        <v>0</v>
      </c>
      <c r="CN56" s="24">
        <f t="shared" si="12"/>
        <v>20.523780370580557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8.8000000000000007</v>
      </c>
      <c r="CT56" s="13">
        <f>IF('Données projet'!$A$140&gt;35,CT55+CS56-DB55,IF(A56&lt;'Données projet'!$A$140,$CQ$205^A56,IF(A56='Données projet'!$A$140,'Données projet'!$B$140,CT55+CS56-DB55)))</f>
        <v>296.39999999999998</v>
      </c>
      <c r="CU56" s="18">
        <f>CT56*VLOOKUP('Données projet'!$B$13,Paramètres!$A$1:$I$88,3,0)*VLOOKUP('Données projet'!$B$13,Paramètres!$A$1:$I$88,5,0)</f>
        <v>198.82511999999997</v>
      </c>
      <c r="CV56" s="14">
        <f t="shared" si="41"/>
        <v>49.485876190816356</v>
      </c>
      <c r="CW56" s="22">
        <f t="shared" si="13"/>
        <v>432.47498503233845</v>
      </c>
      <c r="CX56" s="60">
        <f t="shared" si="14"/>
        <v>689.55036323887168</v>
      </c>
      <c r="CY56" s="60">
        <f ca="1">AVERAGE(OFFSET($CX$3,0,0,'Données projet'!$E$13+1,1))-AVERAGE(OFFSET($H$3,0,0,'Données projet'!$E$13+1,1))</f>
        <v>283.66646124753868</v>
      </c>
      <c r="CZ56" s="60">
        <f t="shared" si="42"/>
        <v>331.61926649572797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projet'!$B$13,Paramètres!$A$1:$I$88,3,0)*0.475*44/12</f>
        <v>7.3602531360531751</v>
      </c>
      <c r="DG56" s="23">
        <f>EXP(-LN(2)/25)*DG55+(1-EXP(-LN(2)/25))/(LN(2)/25)*Calculateur!DB56*Calculateur!DD56*VLOOKUP('Données projet'!$B$13,Paramètres!$A$1:$I$88,3,0)*0.475*44/12</f>
        <v>0</v>
      </c>
      <c r="DH56" s="23">
        <f>EXP(-LN(2)/2)*DH55+(1-EXP(-LN(2)/2))/(LN(2)/2)*DB56*DE56*VLOOKUP('Données projet'!$B$13,Paramètres!$A$1:$I$88,3,0)*0.475*44/12</f>
        <v>0</v>
      </c>
      <c r="DI56" s="24">
        <f t="shared" si="15"/>
        <v>7.3602531360531751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1.1368683772161603E-13</v>
      </c>
      <c r="DP56" s="18">
        <f>DO56*VLOOKUP('Données projet'!$B$14,Paramètres!$A$1:$I$88,3,0)*VLOOKUP('Données projet'!$B$14,Paramètres!$A$1:$I$88,5,0)</f>
        <v>8.3355189417488869E-14</v>
      </c>
      <c r="DQ56" s="14">
        <f t="shared" si="43"/>
        <v>1.2790518435140618E-12</v>
      </c>
      <c r="DR56" s="22">
        <f t="shared" si="16"/>
        <v>2.3728589156891171E-12</v>
      </c>
      <c r="DS56" s="60">
        <f t="shared" si="17"/>
        <v>257.07537820653562</v>
      </c>
      <c r="DT56" s="60">
        <f ca="1">AVERAGE(OFFSET($DS$3,0,0,'Données projet'!$E$14+1,1))-AVERAGE(OFFSET($H$3,0,0,'Données projet'!$E$14+1,1))</f>
        <v>212.77458587586861</v>
      </c>
      <c r="DU56" s="60">
        <f t="shared" si="44"/>
        <v>260.45879589483513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projet'!$B$14,Paramètres!$A$1:$I$88,3,0)*0.475*44/12</f>
        <v>41.22820210951123</v>
      </c>
      <c r="EB56" s="23">
        <f>EXP(-LN(2)/25)*EB55+(1-EXP(-LN(2)/25))/(LN(2)/25)*Calculateur!DW56*Calculateur!DY56*VLOOKUP('Données projet'!$B$14,Paramètres!$A$1:$I$88,3,0)*0.475*44/12</f>
        <v>24.599866253332291</v>
      </c>
      <c r="EC56" s="23">
        <f>EXP(-LN(2)/2)*EC55+(1-EXP(-LN(2)/2))/(LN(2)/2)*DW56*DZ56*VLOOKUP('Données projet'!$B$14,Paramètres!$A$1:$I$88,3,0)*0.475*44/12</f>
        <v>0</v>
      </c>
      <c r="ED56" s="24">
        <f t="shared" si="18"/>
        <v>65.828068362843524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5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8">
        <f t="shared" si="1"/>
        <v>183.33333333333334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16.428571428571427</v>
      </c>
      <c r="N57" s="14">
        <f>IF('Données projet'!$A$36&gt;35,N56+M57-V56,IF(A57&lt;'Données projet'!$A$36,$K$205^A57,IF(A57='Données projet'!$A$36,'Données projet'!$B$36,N56+M57-V56)))</f>
        <v>418.42857142857162</v>
      </c>
      <c r="O57" s="14">
        <f>N57*VLOOKUP('Données projet'!$B$9,Paramètres!$A$1:$I$88,3,0)*VLOOKUP('Données projet'!$B$9,Paramètres!$A$1:$I$88,5,0)</f>
        <v>233.90157142857154</v>
      </c>
      <c r="P57" s="14">
        <f t="shared" si="33"/>
        <v>57.125464834218377</v>
      </c>
      <c r="Q57" s="22">
        <f t="shared" si="53"/>
        <v>506.87208815769242</v>
      </c>
      <c r="R57" s="60">
        <f t="shared" si="0"/>
        <v>764.57646082503175</v>
      </c>
      <c r="S57" s="60">
        <f ca="1">AVERAGE(OFFSET($R$3,0,0,'Données projet'!$E$9+1,1))-AVERAGE(OFFSET($H$3,0,0,'Données projet'!$E$9+1,1))</f>
        <v>366.29380214443631</v>
      </c>
      <c r="T57" s="60">
        <f t="shared" si="34"/>
        <v>413.14502442862897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46.252623315133569</v>
      </c>
      <c r="AA57" s="23">
        <f>EXP(-LN(2)/25)*AA56+(1-EXP(-LN(2)/25))/(LN(2)/25)*Calculateur!V57*Calculateur!X57*VLOOKUP('Données projet'!$B$9,Paramètres!$A$1:$I$88,3,0)*0.475*44/12</f>
        <v>51.498019165700327</v>
      </c>
      <c r="AB57" s="23">
        <f>EXP(-LN(2)/2)*AB56+(1-EXP(-LN(2)/2))/(LN(2)/2)*V57*Y57*VLOOKUP('Données projet'!$B$9,Paramètres!$A$1:$I$88,3,0)*0.475*44/12</f>
        <v>0</v>
      </c>
      <c r="AC57" s="24">
        <f t="shared" si="3"/>
        <v>97.750642480833903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12.324999999999998</v>
      </c>
      <c r="AI57" s="14">
        <f>IF('Données projet'!$A$62&gt;35,AI56+AH57-AQ56,IF(A57&lt;'Données projet'!$A$62,$AF$205^A57,IF(A57='Données projet'!$A$62,'Données projet'!$B$62,AI56+AH57-AQ56)))</f>
        <v>267.3</v>
      </c>
      <c r="AJ57" s="14">
        <f>AI57*VLOOKUP('Données projet'!$B$10,Paramètres!$A$1:$I$88,3,0)*VLOOKUP('Données projet'!$B$10,Paramètres!$A$1:$I$88,5,0)</f>
        <v>233.51328000000004</v>
      </c>
      <c r="AK57" s="14">
        <f t="shared" si="35"/>
        <v>57.041663274479895</v>
      </c>
      <c r="AL57" s="22">
        <f t="shared" si="4"/>
        <v>506.04985953638578</v>
      </c>
      <c r="AM57" s="60">
        <f t="shared" si="5"/>
        <v>763.75423220372511</v>
      </c>
      <c r="AN57" s="60">
        <f ca="1">AVERAGE(OFFSET($AM$3,0,0,'Données projet'!$E$10+1,1))-AVERAGE(OFFSET($H$3,0,0,'Données projet'!$E$10+1,1))</f>
        <v>436.5217771315057</v>
      </c>
      <c r="AO57" s="60">
        <f t="shared" si="36"/>
        <v>308.97310256098365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31.491746501589468</v>
      </c>
      <c r="AV57" s="23">
        <f>EXP(-LN(2)/25)*AV56+(1-EXP(-LN(2)/25))/(LN(2)/25)*Calculateur!AQ57*Calculateur!AS57*VLOOKUP('Données projet'!$B$10,Paramètres!$A$1:$I$88,3,0)*0.475*44/12</f>
        <v>16.88901312332073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48.380759624910198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8.375</v>
      </c>
      <c r="BD57" s="13">
        <f>IF('Données projet'!$A$88&gt;35,BD56+BC57-BL56,IF(A57&lt;'Données projet'!$A$88,$BA$205^A57,IF(A57='Données projet'!$A$88,'Données projet'!$B$88,BD56+BC57-BL56)))</f>
        <v>98.375</v>
      </c>
      <c r="BE57" s="14">
        <f>BD57*VLOOKUP('Données projet'!$B$11,Paramètres!$A$1:$I$88,3,0)*VLOOKUP('Données projet'!$B$11,Paramètres!$A$1:$I$88,5,0)</f>
        <v>99.752250000000004</v>
      </c>
      <c r="BF57" s="14">
        <f t="shared" si="37"/>
        <v>26.902966008824311</v>
      </c>
      <c r="BG57" s="22">
        <f t="shared" si="7"/>
        <v>220.59116788203565</v>
      </c>
      <c r="BH57" s="60">
        <f t="shared" si="8"/>
        <v>478.295540549375</v>
      </c>
      <c r="BI57" s="60">
        <f ca="1">AVERAGE(OFFSET($BH$3,0,0,'Données projet'!$E$11+1,1))-AVERAGE(OFFSET($H$3,0,0,'Données projet'!$E$11+1,1))</f>
        <v>108.30434106718693</v>
      </c>
      <c r="BJ57" s="60">
        <f t="shared" si="38"/>
        <v>67.653808657585842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2.9734632702849297</v>
      </c>
      <c r="BQ57" s="23">
        <f>EXP(-LN(2)/25)*BQ56+(1-EXP(-LN(2)/25))/(LN(2)/25)*Calculateur!BL57*Calculateur!BN57*VLOOKUP('Données projet'!$B$11,Paramètres!$A$1:$I$88,3,0)*0.475*44/12</f>
        <v>0</v>
      </c>
      <c r="BR57" s="23">
        <f>EXP(-LN(2)/2)*BR56+(1-EXP(-LN(2)/2))/(LN(2)/2)*BL57*BO57*VLOOKUP('Données projet'!$B$11,Paramètres!$A$1:$I$88,3,0)*0.475*44/12</f>
        <v>0</v>
      </c>
      <c r="BS57" s="24">
        <f t="shared" si="9"/>
        <v>2.9734632702849297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7.5000000000000018</v>
      </c>
      <c r="BY57" s="13">
        <f>IF('Données projet'!$A$114&gt;35,BY56+BX57-CG56,IF(A57&lt;'Données projet'!$A$114,$BV$205^A57,IF(A57='Données projet'!$A$114,'Données projet'!$B$114,BY56+BX57-CG56)))</f>
        <v>244.85</v>
      </c>
      <c r="BZ57" s="14">
        <f>BY57*VLOOKUP('Données projet'!$B$12,Paramètres!$A$1:$I$88,3,0)*VLOOKUP('Données projet'!$B$12,Paramètres!$A$1:$I$88,5,0)</f>
        <v>114.58980000000001</v>
      </c>
      <c r="CA57" s="14">
        <f t="shared" si="39"/>
        <v>30.40979107327702</v>
      </c>
      <c r="CB57" s="22">
        <f t="shared" si="10"/>
        <v>252.54095445262416</v>
      </c>
      <c r="CC57" s="60">
        <f t="shared" si="11"/>
        <v>510.24532711996346</v>
      </c>
      <c r="CD57" s="60">
        <f ca="1">AVERAGE(OFFSET($CC$3,0,0,'Données projet'!$E$12+1,1))-AVERAGE(OFFSET($H$3,0,0,'Données projet'!$E$12+1,1))</f>
        <v>171.08593400758221</v>
      </c>
      <c r="CE57" s="60">
        <f t="shared" si="40"/>
        <v>201.9528484086932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projet'!$B$12,Paramètres!$A$1:$I$88,3,0)*0.475*44/12</f>
        <v>4.5237373789809032</v>
      </c>
      <c r="CL57" s="23">
        <f>EXP(-LN(2)/25)*CL56+(1-EXP(-LN(2)/25))/(LN(2)/25)*Calculateur!CG57*Calculateur!CI57*VLOOKUP('Données projet'!$B$12,Paramètres!$A$1:$I$88,3,0)*0.475*44/12</f>
        <v>15.474513182228998</v>
      </c>
      <c r="CM57" s="23">
        <f>EXP(-LN(2)/2)*CM56+(1-EXP(-LN(2)/2))/(LN(2)/2)*CG57*CJ57*VLOOKUP('Données projet'!$B$12,Paramètres!$A$1:$I$88,3,0)*0.475*44/12</f>
        <v>0</v>
      </c>
      <c r="CN57" s="24">
        <f t="shared" si="12"/>
        <v>19.9982505612099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8.8000000000000007</v>
      </c>
      <c r="CT57" s="13">
        <f>IF('Données projet'!$A$140&gt;35,CT56+CS57-DB56,IF(A57&lt;'Données projet'!$A$140,$CQ$205^A57,IF(A57='Données projet'!$A$140,'Données projet'!$B$140,CT56+CS57-DB56)))</f>
        <v>305.2</v>
      </c>
      <c r="CU57" s="18">
        <f>CT57*VLOOKUP('Données projet'!$B$13,Paramètres!$A$1:$I$88,3,0)*VLOOKUP('Données projet'!$B$13,Paramètres!$A$1:$I$88,5,0)</f>
        <v>204.72816</v>
      </c>
      <c r="CV57" s="14">
        <f t="shared" si="41"/>
        <v>50.781856908078218</v>
      </c>
      <c r="CW57" s="22">
        <f t="shared" si="13"/>
        <v>445.01327944823623</v>
      </c>
      <c r="CX57" s="60">
        <f t="shared" si="14"/>
        <v>702.71765211557556</v>
      </c>
      <c r="CY57" s="60">
        <f ca="1">AVERAGE(OFFSET($CX$3,0,0,'Données projet'!$E$13+1,1))-AVERAGE(OFFSET($H$3,0,0,'Données projet'!$E$13+1,1))</f>
        <v>283.66646124753868</v>
      </c>
      <c r="CZ57" s="60">
        <f t="shared" si="42"/>
        <v>331.61926649572797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projet'!$B$13,Paramètres!$A$1:$I$88,3,0)*0.475*44/12</f>
        <v>7.2159230613663023</v>
      </c>
      <c r="DG57" s="23">
        <f>EXP(-LN(2)/25)*DG56+(1-EXP(-LN(2)/25))/(LN(2)/25)*Calculateur!DB57*Calculateur!DD57*VLOOKUP('Données projet'!$B$13,Paramètres!$A$1:$I$88,3,0)*0.475*44/12</f>
        <v>0</v>
      </c>
      <c r="DH57" s="23">
        <f>EXP(-LN(2)/2)*DH56+(1-EXP(-LN(2)/2))/(LN(2)/2)*DB57*DE57*VLOOKUP('Données projet'!$B$13,Paramètres!$A$1:$I$88,3,0)*0.475*44/12</f>
        <v>0</v>
      </c>
      <c r="DI57" s="24">
        <f t="shared" si="15"/>
        <v>7.2159230613663023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1.1368683772161603E-13</v>
      </c>
      <c r="DP57" s="18">
        <f>DO57*VLOOKUP('Données projet'!$B$14,Paramètres!$A$1:$I$88,3,0)*VLOOKUP('Données projet'!$B$14,Paramètres!$A$1:$I$88,5,0)</f>
        <v>8.3355189417488869E-14</v>
      </c>
      <c r="DQ57" s="14">
        <f t="shared" si="43"/>
        <v>1.2790518435140618E-12</v>
      </c>
      <c r="DR57" s="22">
        <f t="shared" si="16"/>
        <v>2.3728589156891171E-12</v>
      </c>
      <c r="DS57" s="60">
        <f t="shared" si="17"/>
        <v>257.70437266734172</v>
      </c>
      <c r="DT57" s="60">
        <f ca="1">AVERAGE(OFFSET($DS$3,0,0,'Données projet'!$E$14+1,1))-AVERAGE(OFFSET($H$3,0,0,'Données projet'!$E$14+1,1))</f>
        <v>212.77458587586861</v>
      </c>
      <c r="DU57" s="60">
        <f t="shared" si="44"/>
        <v>260.45879589483513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projet'!$B$14,Paramètres!$A$1:$I$88,3,0)*0.475*44/12</f>
        <v>40.419742212863966</v>
      </c>
      <c r="EB57" s="23">
        <f>EXP(-LN(2)/25)*EB56+(1-EXP(-LN(2)/25))/(LN(2)/25)*Calculateur!DW57*Calculateur!DY57*VLOOKUP('Données projet'!$B$14,Paramètres!$A$1:$I$88,3,0)*0.475*44/12</f>
        <v>23.927181616984178</v>
      </c>
      <c r="EC57" s="23">
        <f>EXP(-LN(2)/2)*EC56+(1-EXP(-LN(2)/2))/(LN(2)/2)*DW57*DZ57*VLOOKUP('Données projet'!$B$14,Paramètres!$A$1:$I$88,3,0)*0.475*44/12</f>
        <v>0</v>
      </c>
      <c r="ED57" s="24">
        <f t="shared" si="18"/>
        <v>64.346923829848151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5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8">
        <f t="shared" si="1"/>
        <v>183.33333333333334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16.428571428571427</v>
      </c>
      <c r="N58" s="14">
        <f>IF('Données projet'!$A$36&gt;35,N57+M58-V57,IF(A58&lt;'Données projet'!$A$36,$K$205^A58,IF(A58='Données projet'!$A$36,'Données projet'!$B$36,N57+M58-V57)))</f>
        <v>434.85714285714306</v>
      </c>
      <c r="O58" s="14">
        <f>N58*VLOOKUP('Données projet'!$B$9,Paramètres!$A$1:$I$88,3,0)*VLOOKUP('Données projet'!$B$9,Paramètres!$A$1:$I$88,5,0)</f>
        <v>243.08514285714296</v>
      </c>
      <c r="P58" s="14">
        <f t="shared" si="33"/>
        <v>59.102819748715035</v>
      </c>
      <c r="Q58" s="22">
        <f t="shared" si="53"/>
        <v>526.31070153853602</v>
      </c>
      <c r="R58" s="60">
        <f t="shared" si="0"/>
        <v>784.6331570190074</v>
      </c>
      <c r="S58" s="60">
        <f ca="1">AVERAGE(OFFSET($R$3,0,0,'Données projet'!$E$9+1,1))-AVERAGE(OFFSET($H$3,0,0,'Données projet'!$E$9+1,1))</f>
        <v>366.29380214443631</v>
      </c>
      <c r="T58" s="60">
        <f t="shared" si="34"/>
        <v>413.14502442862897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45.345637583238386</v>
      </c>
      <c r="AA58" s="23">
        <f>EXP(-LN(2)/25)*AA57+(1-EXP(-LN(2)/25))/(LN(2)/25)*Calculateur!V58*Calculateur!X58*VLOOKUP('Données projet'!$B$9,Paramètres!$A$1:$I$88,3,0)*0.475*44/12</f>
        <v>50.089803123451127</v>
      </c>
      <c r="AB58" s="23">
        <f>EXP(-LN(2)/2)*AB57+(1-EXP(-LN(2)/2))/(LN(2)/2)*V58*Y58*VLOOKUP('Données projet'!$B$9,Paramètres!$A$1:$I$88,3,0)*0.475*44/12</f>
        <v>0</v>
      </c>
      <c r="AC58" s="24">
        <f t="shared" si="3"/>
        <v>95.435440706689519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12.324999999999998</v>
      </c>
      <c r="AI58" s="14">
        <f>IF('Données projet'!$A$62&gt;35,AI57+AH58-AQ57,IF(A58&lt;'Données projet'!$A$62,$AF$205^A58,IF(A58='Données projet'!$A$62,'Données projet'!$B$62,AI57+AH58-AQ57)))</f>
        <v>279.625</v>
      </c>
      <c r="AJ58" s="14">
        <f>AI58*VLOOKUP('Données projet'!$B$10,Paramètres!$A$1:$I$88,3,0)*VLOOKUP('Données projet'!$B$10,Paramètres!$A$1:$I$88,5,0)</f>
        <v>244.28040000000001</v>
      </c>
      <c r="AK58" s="14">
        <f t="shared" si="35"/>
        <v>59.359529736886969</v>
      </c>
      <c r="AL58" s="22">
        <f t="shared" si="4"/>
        <v>528.8395442917448</v>
      </c>
      <c r="AM58" s="60">
        <f t="shared" si="5"/>
        <v>787.16199977221618</v>
      </c>
      <c r="AN58" s="60">
        <f ca="1">AVERAGE(OFFSET($AM$3,0,0,'Données projet'!$E$10+1,1))-AVERAGE(OFFSET($H$3,0,0,'Données projet'!$E$10+1,1))</f>
        <v>436.5217771315057</v>
      </c>
      <c r="AO58" s="60">
        <f t="shared" si="36"/>
        <v>308.97310256098365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30.874212560762025</v>
      </c>
      <c r="AV58" s="23">
        <f>EXP(-LN(2)/25)*AV57+(1-EXP(-LN(2)/25))/(LN(2)/25)*Calculateur!AQ58*Calculateur!AS58*VLOOKUP('Données projet'!$B$10,Paramètres!$A$1:$I$88,3,0)*0.475*44/12</f>
        <v>16.427182171308925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47.301394732070946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8.375</v>
      </c>
      <c r="BD58" s="13">
        <f>IF('Données projet'!$A$88&gt;35,BD57+BC58-BL57,IF(A58&lt;'Données projet'!$A$88,$BA$205^A58,IF(A58='Données projet'!$A$88,'Données projet'!$B$88,BD57+BC58-BL57)))</f>
        <v>106.75</v>
      </c>
      <c r="BE58" s="14">
        <f>BD58*VLOOKUP('Données projet'!$B$11,Paramètres!$A$1:$I$88,3,0)*VLOOKUP('Données projet'!$B$11,Paramètres!$A$1:$I$88,5,0)</f>
        <v>108.2445</v>
      </c>
      <c r="BF58" s="14">
        <f t="shared" si="37"/>
        <v>28.916988610771618</v>
      </c>
      <c r="BG58" s="22">
        <f t="shared" si="7"/>
        <v>238.88959266376057</v>
      </c>
      <c r="BH58" s="60">
        <f t="shared" si="8"/>
        <v>497.21204814423197</v>
      </c>
      <c r="BI58" s="60">
        <f ca="1">AVERAGE(OFFSET($BH$3,0,0,'Données projet'!$E$11+1,1))-AVERAGE(OFFSET($H$3,0,0,'Données projet'!$E$11+1,1))</f>
        <v>108.30434106718693</v>
      </c>
      <c r="BJ58" s="60">
        <f t="shared" si="38"/>
        <v>67.653808657585842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2.9151554691881558</v>
      </c>
      <c r="BQ58" s="23">
        <f>EXP(-LN(2)/25)*BQ57+(1-EXP(-LN(2)/25))/(LN(2)/25)*Calculateur!BL58*Calculateur!BN58*VLOOKUP('Données projet'!$B$11,Paramètres!$A$1:$I$88,3,0)*0.475*44/12</f>
        <v>0</v>
      </c>
      <c r="BR58" s="23">
        <f>EXP(-LN(2)/2)*BR57+(1-EXP(-LN(2)/2))/(LN(2)/2)*BL58*BO58*VLOOKUP('Données projet'!$B$11,Paramètres!$A$1:$I$88,3,0)*0.475*44/12</f>
        <v>0</v>
      </c>
      <c r="BS58" s="24">
        <f t="shared" si="9"/>
        <v>2.9151554691881558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7.5000000000000018</v>
      </c>
      <c r="BY58" s="13">
        <f>IF('Données projet'!$A$114&gt;35,BY57+BX58-CG57,IF(A58&lt;'Données projet'!$A$114,$BV$205^A58,IF(A58='Données projet'!$A$114,'Données projet'!$B$114,BY57+BX58-CG57)))</f>
        <v>252.35</v>
      </c>
      <c r="BZ58" s="14">
        <f>BY58*VLOOKUP('Données projet'!$B$12,Paramètres!$A$1:$I$88,3,0)*VLOOKUP('Données projet'!$B$12,Paramètres!$A$1:$I$88,5,0)</f>
        <v>118.09979999999999</v>
      </c>
      <c r="CA58" s="14">
        <f t="shared" si="39"/>
        <v>31.231397978753591</v>
      </c>
      <c r="CB58" s="22">
        <f t="shared" si="10"/>
        <v>260.08516981299584</v>
      </c>
      <c r="CC58" s="60">
        <f t="shared" si="11"/>
        <v>518.40762529346716</v>
      </c>
      <c r="CD58" s="60">
        <f ca="1">AVERAGE(OFFSET($CC$3,0,0,'Données projet'!$E$12+1,1))-AVERAGE(OFFSET($H$3,0,0,'Données projet'!$E$12+1,1))</f>
        <v>171.08593400758221</v>
      </c>
      <c r="CE58" s="60">
        <f t="shared" si="40"/>
        <v>201.9528484086932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projet'!$B$12,Paramètres!$A$1:$I$88,3,0)*0.475*44/12</f>
        <v>4.4350296481864397</v>
      </c>
      <c r="CL58" s="23">
        <f>EXP(-LN(2)/25)*CL57+(1-EXP(-LN(2)/25))/(LN(2)/25)*Calculateur!CG58*Calculateur!CI58*VLOOKUP('Données projet'!$B$12,Paramètres!$A$1:$I$88,3,0)*0.475*44/12</f>
        <v>15.051361805491664</v>
      </c>
      <c r="CM58" s="23">
        <f>EXP(-LN(2)/2)*CM57+(1-EXP(-LN(2)/2))/(LN(2)/2)*CG58*CJ58*VLOOKUP('Données projet'!$B$12,Paramètres!$A$1:$I$88,3,0)*0.475*44/12</f>
        <v>0</v>
      </c>
      <c r="CN58" s="24">
        <f t="shared" si="12"/>
        <v>19.486391453678102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314</v>
      </c>
      <c r="CR58" s="13">
        <f>VLOOKUP(A58,'Données projet'!$A$139:$I$159,9,0)</f>
        <v>8.8000000000000007</v>
      </c>
      <c r="CS58" s="13">
        <f t="array" ref="CS58">INDEX(CR:CR,MIN(IF(ISNUMBER(CR58:CR254),ROW(CR58:CR254),"")))</f>
        <v>8.8000000000000007</v>
      </c>
      <c r="CT58" s="13">
        <f>IF('Données projet'!$A$140&gt;35,CT57+CS58-DB57,IF(A58&lt;'Données projet'!$A$140,$CQ$205^A58,IF(A58='Données projet'!$A$140,'Données projet'!$B$140,CT57+CS58-DB57)))</f>
        <v>314</v>
      </c>
      <c r="CU58" s="18">
        <f>CT58*VLOOKUP('Données projet'!$B$13,Paramètres!$A$1:$I$88,3,0)*VLOOKUP('Données projet'!$B$13,Paramètres!$A$1:$I$88,5,0)</f>
        <v>210.63120000000004</v>
      </c>
      <c r="CV58" s="14">
        <f t="shared" si="41"/>
        <v>52.073494677019134</v>
      </c>
      <c r="CW58" s="22">
        <f t="shared" si="13"/>
        <v>457.54400989580836</v>
      </c>
      <c r="CX58" s="60">
        <f t="shared" si="14"/>
        <v>715.86646537627973</v>
      </c>
      <c r="CY58" s="60">
        <f ca="1">AVERAGE(OFFSET($CX$3,0,0,'Données projet'!$E$13+1,1))-AVERAGE(OFFSET($H$3,0,0,'Données projet'!$E$13+1,1))</f>
        <v>283.66646124753868</v>
      </c>
      <c r="CZ58" s="60">
        <f t="shared" si="42"/>
        <v>331.61926649572797</v>
      </c>
      <c r="DA58" s="16">
        <f>IF(ISNA(VLOOKUP(A58,'Données projet'!$A$139:$I$159,3,0)),0,VLOOKUP(A58,'Données projet'!$A$139:$I$159,3,0))</f>
        <v>9</v>
      </c>
      <c r="DB58" s="16">
        <f>IF(ISNA(VLOOKUP(A58,'Données projet'!$A$139:$I$159,4,0)),0,VLOOKUP(A58,'Données projet'!$A$139:$I$159,4,0))</f>
        <v>23</v>
      </c>
      <c r="DC58" s="17">
        <f>IF(ISNA(VLOOKUP(A58,'Données projet'!$A$139:$I$159,5,0)),0%,VLOOKUP(A58,'Données projet'!$A$139:$I$159,5,0)*VLOOKUP('Données projet'!$B$13,Paramètres!$A$1:$I$88,7,0))</f>
        <v>0.159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projet'!$B$13,Paramètres!$A$1:$I$88,3,0)*0.475*44/12</f>
        <v>9.7862698447815877</v>
      </c>
      <c r="DG58" s="23">
        <f>EXP(-LN(2)/25)*DG57+(1-EXP(-LN(2)/25))/(LN(2)/25)*Calculateur!DB58*Calculateur!DD58*VLOOKUP('Données projet'!$B$13,Paramètres!$A$1:$I$88,3,0)*0.475*44/12</f>
        <v>0</v>
      </c>
      <c r="DH58" s="23">
        <f>EXP(-LN(2)/2)*DH57+(1-EXP(-LN(2)/2))/(LN(2)/2)*DB58*DE58*VLOOKUP('Données projet'!$B$13,Paramètres!$A$1:$I$88,3,0)*0.475*44/12</f>
        <v>0</v>
      </c>
      <c r="DI58" s="24">
        <f t="shared" si="15"/>
        <v>9.7862698447815877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1.1368683772161603E-13</v>
      </c>
      <c r="DP58" s="18">
        <f>DO58*VLOOKUP('Données projet'!$B$14,Paramètres!$A$1:$I$88,3,0)*VLOOKUP('Données projet'!$B$14,Paramètres!$A$1:$I$88,5,0)</f>
        <v>8.3355189417488869E-14</v>
      </c>
      <c r="DQ58" s="14">
        <f t="shared" si="43"/>
        <v>1.2790518435140618E-12</v>
      </c>
      <c r="DR58" s="22">
        <f t="shared" si="16"/>
        <v>2.3728589156891171E-12</v>
      </c>
      <c r="DS58" s="60">
        <f t="shared" si="17"/>
        <v>258.32245548047376</v>
      </c>
      <c r="DT58" s="60">
        <f ca="1">AVERAGE(OFFSET($DS$3,0,0,'Données projet'!$E$14+1,1))-AVERAGE(OFFSET($H$3,0,0,'Données projet'!$E$14+1,1))</f>
        <v>212.77458587586861</v>
      </c>
      <c r="DU58" s="60">
        <f t="shared" si="44"/>
        <v>260.45879589483513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projet'!$B$14,Paramètres!$A$1:$I$88,3,0)*0.475*44/12</f>
        <v>39.627135721678108</v>
      </c>
      <c r="EB58" s="23">
        <f>EXP(-LN(2)/25)*EB57+(1-EXP(-LN(2)/25))/(LN(2)/25)*Calculateur!DW58*Calculateur!DY58*VLOOKUP('Données projet'!$B$14,Paramètres!$A$1:$I$88,3,0)*0.475*44/12</f>
        <v>23.272891577391952</v>
      </c>
      <c r="EC58" s="23">
        <f>EXP(-LN(2)/2)*EC57+(1-EXP(-LN(2)/2))/(LN(2)/2)*DW58*DZ58*VLOOKUP('Données projet'!$B$14,Paramètres!$A$1:$I$88,3,0)*0.475*44/12</f>
        <v>0</v>
      </c>
      <c r="ED58" s="24">
        <f t="shared" si="18"/>
        <v>62.900027299070061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5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8">
        <f t="shared" si="1"/>
        <v>183.33333333333334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16.428571428571427</v>
      </c>
      <c r="N59" s="14">
        <f>IF('Données projet'!$A$36&gt;35,N58+M59-V58,IF(A59&lt;'Données projet'!$A$36,$K$205^A59,IF(A59='Données projet'!$A$36,'Données projet'!$B$36,N58+M59-V58)))</f>
        <v>451.2857142857145</v>
      </c>
      <c r="O59" s="14">
        <f>N59*VLOOKUP('Données projet'!$B$9,Paramètres!$A$1:$I$88,3,0)*VLOOKUP('Données projet'!$B$9,Paramètres!$A$1:$I$88,5,0)</f>
        <v>252.2687142857144</v>
      </c>
      <c r="P59" s="14">
        <f t="shared" si="33"/>
        <v>61.071496149027759</v>
      </c>
      <c r="Q59" s="22">
        <f t="shared" si="53"/>
        <v>545.73419984050929</v>
      </c>
      <c r="R59" s="60">
        <f t="shared" si="0"/>
        <v>804.66401577913098</v>
      </c>
      <c r="S59" s="60">
        <f ca="1">AVERAGE(OFFSET($R$3,0,0,'Données projet'!$E$9+1,1))-AVERAGE(OFFSET($H$3,0,0,'Données projet'!$E$9+1,1))</f>
        <v>366.29380214443631</v>
      </c>
      <c r="T59" s="60">
        <f t="shared" si="34"/>
        <v>413.14502442862897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44.456437288338996</v>
      </c>
      <c r="AA59" s="23">
        <f>EXP(-LN(2)/25)*AA58+(1-EXP(-LN(2)/25))/(LN(2)/25)*Calculateur!V59*Calculateur!X59*VLOOKUP('Données projet'!$B$9,Paramètres!$A$1:$I$88,3,0)*0.475*44/12</f>
        <v>48.72009482293209</v>
      </c>
      <c r="AB59" s="23">
        <f>EXP(-LN(2)/2)*AB58+(1-EXP(-LN(2)/2))/(LN(2)/2)*V59*Y59*VLOOKUP('Données projet'!$B$9,Paramètres!$A$1:$I$88,3,0)*0.475*44/12</f>
        <v>0</v>
      </c>
      <c r="AC59" s="24">
        <f t="shared" si="3"/>
        <v>93.176532111271086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12.324999999999998</v>
      </c>
      <c r="AI59" s="14">
        <f>IF('Données projet'!$A$62&gt;35,AI58+AH59-AQ58,IF(A59&lt;'Données projet'!$A$62,$AF$205^A59,IF(A59='Données projet'!$A$62,'Données projet'!$B$62,AI58+AH59-AQ58)))</f>
        <v>291.95</v>
      </c>
      <c r="AJ59" s="14">
        <f>AI59*VLOOKUP('Données projet'!$B$10,Paramètres!$A$1:$I$88,3,0)*VLOOKUP('Données projet'!$B$10,Paramètres!$A$1:$I$88,5,0)</f>
        <v>255.04752000000005</v>
      </c>
      <c r="AK59" s="14">
        <f t="shared" si="35"/>
        <v>61.665530666742399</v>
      </c>
      <c r="AL59" s="22">
        <f t="shared" si="4"/>
        <v>551.60856324457643</v>
      </c>
      <c r="AM59" s="60">
        <f t="shared" si="5"/>
        <v>810.53837918319823</v>
      </c>
      <c r="AN59" s="60">
        <f ca="1">AVERAGE(OFFSET($AM$3,0,0,'Données projet'!$E$10+1,1))-AVERAGE(OFFSET($H$3,0,0,'Données projet'!$E$10+1,1))</f>
        <v>436.5217771315057</v>
      </c>
      <c r="AO59" s="60">
        <f t="shared" si="36"/>
        <v>308.97310256098365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30.268788083855696</v>
      </c>
      <c r="AV59" s="23">
        <f>EXP(-LN(2)/25)*AV58+(1-EXP(-LN(2)/25))/(LN(2)/25)*Calculateur!AQ59*Calculateur!AS59*VLOOKUP('Données projet'!$B$10,Paramètres!$A$1:$I$88,3,0)*0.475*44/12</f>
        <v>15.977980010966517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46.246768094822215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8.375</v>
      </c>
      <c r="BD59" s="13">
        <f>IF('Données projet'!$A$88&gt;35,BD58+BC59-BL58,IF(A59&lt;'Données projet'!$A$88,$BA$205^A59,IF(A59='Données projet'!$A$88,'Données projet'!$B$88,BD58+BC59-BL58)))</f>
        <v>115.125</v>
      </c>
      <c r="BE59" s="14">
        <f>BD59*VLOOKUP('Données projet'!$B$11,Paramètres!$A$1:$I$88,3,0)*VLOOKUP('Données projet'!$B$11,Paramètres!$A$1:$I$88,5,0)</f>
        <v>116.73675</v>
      </c>
      <c r="BF59" s="14">
        <f t="shared" si="37"/>
        <v>30.912682877860728</v>
      </c>
      <c r="BG59" s="22">
        <f t="shared" si="7"/>
        <v>257.15609559560744</v>
      </c>
      <c r="BH59" s="60">
        <f t="shared" si="8"/>
        <v>516.08591153422913</v>
      </c>
      <c r="BI59" s="60">
        <f ca="1">AVERAGE(OFFSET($BH$3,0,0,'Données projet'!$E$11+1,1))-AVERAGE(OFFSET($H$3,0,0,'Données projet'!$E$11+1,1))</f>
        <v>108.30434106718693</v>
      </c>
      <c r="BJ59" s="60">
        <f t="shared" si="38"/>
        <v>67.653808657585842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2.8579910485066424</v>
      </c>
      <c r="BQ59" s="23">
        <f>EXP(-LN(2)/25)*BQ58+(1-EXP(-LN(2)/25))/(LN(2)/25)*Calculateur!BL59*Calculateur!BN59*VLOOKUP('Données projet'!$B$11,Paramètres!$A$1:$I$88,3,0)*0.475*44/12</f>
        <v>0</v>
      </c>
      <c r="BR59" s="23">
        <f>EXP(-LN(2)/2)*BR58+(1-EXP(-LN(2)/2))/(LN(2)/2)*BL59*BO59*VLOOKUP('Données projet'!$B$11,Paramètres!$A$1:$I$88,3,0)*0.475*44/12</f>
        <v>0</v>
      </c>
      <c r="BS59" s="24">
        <f t="shared" si="9"/>
        <v>2.8579910485066424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7.5000000000000018</v>
      </c>
      <c r="BY59" s="13">
        <f>IF('Données projet'!$A$114&gt;35,BY58+BX59-CG58,IF(A59&lt;'Données projet'!$A$114,$BV$205^A59,IF(A59='Données projet'!$A$114,'Données projet'!$B$114,BY58+BX59-CG58)))</f>
        <v>259.85000000000002</v>
      </c>
      <c r="BZ59" s="14">
        <f>BY59*VLOOKUP('Données projet'!$B$12,Paramètres!$A$1:$I$88,3,0)*VLOOKUP('Données projet'!$B$12,Paramètres!$A$1:$I$88,5,0)</f>
        <v>121.60980000000001</v>
      </c>
      <c r="CA59" s="14">
        <f t="shared" si="39"/>
        <v>32.050167020250598</v>
      </c>
      <c r="CB59" s="22">
        <f t="shared" si="10"/>
        <v>267.62444256026976</v>
      </c>
      <c r="CC59" s="60">
        <f t="shared" si="11"/>
        <v>526.5542584988915</v>
      </c>
      <c r="CD59" s="60">
        <f ca="1">AVERAGE(OFFSET($CC$3,0,0,'Données projet'!$E$12+1,1))-AVERAGE(OFFSET($H$3,0,0,'Données projet'!$E$12+1,1))</f>
        <v>171.08593400758221</v>
      </c>
      <c r="CE59" s="60">
        <f t="shared" si="40"/>
        <v>201.9528484086932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projet'!$B$12,Paramètres!$A$1:$I$88,3,0)*0.475*44/12</f>
        <v>4.3480614218864826</v>
      </c>
      <c r="CL59" s="23">
        <f>EXP(-LN(2)/25)*CL58+(1-EXP(-LN(2)/25))/(LN(2)/25)*Calculateur!CG59*Calculateur!CI59*VLOOKUP('Données projet'!$B$12,Paramètres!$A$1:$I$88,3,0)*0.475*44/12</f>
        <v>14.639781525403778</v>
      </c>
      <c r="CM59" s="23">
        <f>EXP(-LN(2)/2)*CM58+(1-EXP(-LN(2)/2))/(LN(2)/2)*CG59*CJ59*VLOOKUP('Données projet'!$B$12,Paramètres!$A$1:$I$88,3,0)*0.475*44/12</f>
        <v>0</v>
      </c>
      <c r="CN59" s="24">
        <f t="shared" si="12"/>
        <v>18.987842947290261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8.1999999999999993</v>
      </c>
      <c r="CT59" s="13">
        <f>IF('Données projet'!$A$140&gt;35,CT58+CS59-DB58,IF(A59&lt;'Données projet'!$A$140,$CQ$205^A59,IF(A59='Données projet'!$A$140,'Données projet'!$B$140,CT58+CS59-DB58)))</f>
        <v>299.2</v>
      </c>
      <c r="CU59" s="18">
        <f>CT59*VLOOKUP('Données projet'!$B$13,Paramètres!$A$1:$I$88,3,0)*VLOOKUP('Données projet'!$B$13,Paramètres!$A$1:$I$88,5,0)</f>
        <v>200.70336</v>
      </c>
      <c r="CV59" s="14">
        <f t="shared" si="41"/>
        <v>49.898713367599548</v>
      </c>
      <c r="CW59" s="22">
        <f t="shared" si="13"/>
        <v>436.46527778190256</v>
      </c>
      <c r="CX59" s="60">
        <f t="shared" si="14"/>
        <v>695.3950937205243</v>
      </c>
      <c r="CY59" s="60">
        <f ca="1">AVERAGE(OFFSET($CX$3,0,0,'Données projet'!$E$13+1,1))-AVERAGE(OFFSET($H$3,0,0,'Données projet'!$E$13+1,1))</f>
        <v>283.66646124753868</v>
      </c>
      <c r="CZ59" s="60">
        <f t="shared" si="42"/>
        <v>331.61926649572797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projet'!$B$13,Paramètres!$A$1:$I$88,3,0)*0.475*44/12</f>
        <v>9.5943670621606323</v>
      </c>
      <c r="DG59" s="23">
        <f>EXP(-LN(2)/25)*DG58+(1-EXP(-LN(2)/25))/(LN(2)/25)*Calculateur!DB59*Calculateur!DD59*VLOOKUP('Données projet'!$B$13,Paramètres!$A$1:$I$88,3,0)*0.475*44/12</f>
        <v>0</v>
      </c>
      <c r="DH59" s="23">
        <f>EXP(-LN(2)/2)*DH58+(1-EXP(-LN(2)/2))/(LN(2)/2)*DB59*DE59*VLOOKUP('Données projet'!$B$13,Paramètres!$A$1:$I$88,3,0)*0.475*44/12</f>
        <v>0</v>
      </c>
      <c r="DI59" s="24">
        <f t="shared" si="15"/>
        <v>9.5943670621606323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1.1368683772161603E-13</v>
      </c>
      <c r="DP59" s="18">
        <f>DO59*VLOOKUP('Données projet'!$B$14,Paramètres!$A$1:$I$88,3,0)*VLOOKUP('Données projet'!$B$14,Paramètres!$A$1:$I$88,5,0)</f>
        <v>8.3355189417488869E-14</v>
      </c>
      <c r="DQ59" s="14">
        <f t="shared" si="43"/>
        <v>1.2790518435140618E-12</v>
      </c>
      <c r="DR59" s="22">
        <f t="shared" si="16"/>
        <v>2.3728589156891171E-12</v>
      </c>
      <c r="DS59" s="60">
        <f t="shared" si="17"/>
        <v>258.92981593862413</v>
      </c>
      <c r="DT59" s="60">
        <f ca="1">AVERAGE(OFFSET($DS$3,0,0,'Données projet'!$E$14+1,1))-AVERAGE(OFFSET($H$3,0,0,'Données projet'!$E$14+1,1))</f>
        <v>212.77458587586861</v>
      </c>
      <c r="DU59" s="60">
        <f t="shared" si="44"/>
        <v>260.45879589483513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projet'!$B$14,Paramètres!$A$1:$I$88,3,0)*0.475*44/12</f>
        <v>38.850071760342182</v>
      </c>
      <c r="EB59" s="23">
        <f>EXP(-LN(2)/25)*EB58+(1-EXP(-LN(2)/25))/(LN(2)/25)*Calculateur!DW59*Calculateur!DY59*VLOOKUP('Données projet'!$B$14,Paramètres!$A$1:$I$88,3,0)*0.475*44/12</f>
        <v>22.636493133339993</v>
      </c>
      <c r="EC59" s="23">
        <f>EXP(-LN(2)/2)*EC58+(1-EXP(-LN(2)/2))/(LN(2)/2)*DW59*DZ59*VLOOKUP('Données projet'!$B$14,Paramètres!$A$1:$I$88,3,0)*0.475*44/12</f>
        <v>0</v>
      </c>
      <c r="ED59" s="24">
        <f t="shared" si="18"/>
        <v>61.486564893682171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5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8">
        <f t="shared" si="1"/>
        <v>183.33333333333334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16.428571428571427</v>
      </c>
      <c r="N60" s="14">
        <f>IF('Données projet'!$A$36&gt;35,N59+M60-V59,IF(A60&lt;'Données projet'!$A$36,$K$205^A60,IF(A60='Données projet'!$A$36,'Données projet'!$B$36,N59+M60-V59)))</f>
        <v>467.71428571428595</v>
      </c>
      <c r="O60" s="14">
        <f>N60*VLOOKUP('Données projet'!$B$9,Paramètres!$A$1:$I$88,3,0)*VLOOKUP('Données projet'!$B$9,Paramètres!$A$1:$I$88,5,0)</f>
        <v>261.45228571428589</v>
      </c>
      <c r="P60" s="14">
        <f t="shared" si="33"/>
        <v>63.031846153602828</v>
      </c>
      <c r="Q60" s="22">
        <f t="shared" si="53"/>
        <v>565.14319633657283</v>
      </c>
      <c r="R60" s="60">
        <f t="shared" si="0"/>
        <v>824.6698363872506</v>
      </c>
      <c r="S60" s="60">
        <f ca="1">AVERAGE(OFFSET($R$3,0,0,'Données projet'!$E$9+1,1))-AVERAGE(OFFSET($H$3,0,0,'Données projet'!$E$9+1,1))</f>
        <v>366.29380214443631</v>
      </c>
      <c r="T60" s="60">
        <f t="shared" si="34"/>
        <v>413.14502442862897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43.584673668863957</v>
      </c>
      <c r="AA60" s="23">
        <f>EXP(-LN(2)/25)*AA59+(1-EXP(-LN(2)/25))/(LN(2)/25)*Calculateur!V60*Calculateur!X60*VLOOKUP('Données projet'!$B$9,Paramètres!$A$1:$I$88,3,0)*0.475*44/12</f>
        <v>47.387841267920578</v>
      </c>
      <c r="AB60" s="23">
        <f>EXP(-LN(2)/2)*AB59+(1-EXP(-LN(2)/2))/(LN(2)/2)*V60*Y60*VLOOKUP('Données projet'!$B$9,Paramètres!$A$1:$I$88,3,0)*0.475*44/12</f>
        <v>0</v>
      </c>
      <c r="AC60" s="24">
        <f t="shared" si="3"/>
        <v>90.972514936784535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12.324999999999998</v>
      </c>
      <c r="AI60" s="14">
        <f>IF('Données projet'!$A$62&gt;35,AI59+AH60-AQ59,IF(A60&lt;'Données projet'!$A$62,$AF$205^A60,IF(A60='Données projet'!$A$62,'Données projet'!$B$62,AI59+AH60-AQ59)))</f>
        <v>304.27499999999998</v>
      </c>
      <c r="AJ60" s="14">
        <f>AI60*VLOOKUP('Données projet'!$B$10,Paramètres!$A$1:$I$88,3,0)*VLOOKUP('Données projet'!$B$10,Paramètres!$A$1:$I$88,5,0)</f>
        <v>265.81464</v>
      </c>
      <c r="AK60" s="14">
        <f t="shared" si="35"/>
        <v>63.960224254172132</v>
      </c>
      <c r="AL60" s="22">
        <f t="shared" si="4"/>
        <v>574.35788857601642</v>
      </c>
      <c r="AM60" s="60">
        <f t="shared" si="5"/>
        <v>833.88452862669419</v>
      </c>
      <c r="AN60" s="60">
        <f ca="1">AVERAGE(OFFSET($AM$3,0,0,'Données projet'!$E$10+1,1))-AVERAGE(OFFSET($H$3,0,0,'Données projet'!$E$10+1,1))</f>
        <v>436.5217771315057</v>
      </c>
      <c r="AO60" s="60">
        <f t="shared" si="36"/>
        <v>308.97310256098365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29.675235611669034</v>
      </c>
      <c r="AV60" s="23">
        <f>EXP(-LN(2)/25)*AV59+(1-EXP(-LN(2)/25))/(LN(2)/25)*Calculateur!AQ60*Calculateur!AS60*VLOOKUP('Données projet'!$B$10,Paramètres!$A$1:$I$88,3,0)*0.475*44/12</f>
        <v>15.541061307321186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45.216296918990224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8.375</v>
      </c>
      <c r="BD60" s="13">
        <f>IF('Données projet'!$A$88&gt;35,BD59+BC60-BL59,IF(A60&lt;'Données projet'!$A$88,$BA$205^A60,IF(A60='Données projet'!$A$88,'Données projet'!$B$88,BD59+BC60-BL59)))</f>
        <v>123.5</v>
      </c>
      <c r="BE60" s="14">
        <f>BD60*VLOOKUP('Données projet'!$B$11,Paramètres!$A$1:$I$88,3,0)*VLOOKUP('Données projet'!$B$11,Paramètres!$A$1:$I$88,5,0)</f>
        <v>125.22900000000001</v>
      </c>
      <c r="BF60" s="14">
        <f t="shared" si="37"/>
        <v>32.891533772373769</v>
      </c>
      <c r="BG60" s="22">
        <f t="shared" si="7"/>
        <v>275.39326298688428</v>
      </c>
      <c r="BH60" s="60">
        <f t="shared" si="8"/>
        <v>534.91990303756199</v>
      </c>
      <c r="BI60" s="60">
        <f ca="1">AVERAGE(OFFSET($BH$3,0,0,'Données projet'!$E$11+1,1))-AVERAGE(OFFSET($H$3,0,0,'Données projet'!$E$11+1,1))</f>
        <v>108.30434106718693</v>
      </c>
      <c r="BJ60" s="60">
        <f t="shared" si="38"/>
        <v>67.653808657585842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2.8019475872478399</v>
      </c>
      <c r="BQ60" s="23">
        <f>EXP(-LN(2)/25)*BQ59+(1-EXP(-LN(2)/25))/(LN(2)/25)*Calculateur!BL60*Calculateur!BN60*VLOOKUP('Données projet'!$B$11,Paramètres!$A$1:$I$88,3,0)*0.475*44/12</f>
        <v>0</v>
      </c>
      <c r="BR60" s="23">
        <f>EXP(-LN(2)/2)*BR59+(1-EXP(-LN(2)/2))/(LN(2)/2)*BL60*BO60*VLOOKUP('Données projet'!$B$11,Paramètres!$A$1:$I$88,3,0)*0.475*44/12</f>
        <v>0</v>
      </c>
      <c r="BS60" s="24">
        <f t="shared" si="9"/>
        <v>2.8019475872478399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7.5000000000000018</v>
      </c>
      <c r="BY60" s="13">
        <f>IF('Données projet'!$A$114&gt;35,BY59+BX60-CG59,IF(A60&lt;'Données projet'!$A$114,$BV$205^A60,IF(A60='Données projet'!$A$114,'Données projet'!$B$114,BY59+BX60-CG59)))</f>
        <v>267.35000000000002</v>
      </c>
      <c r="BZ60" s="14">
        <f>BY60*VLOOKUP('Données projet'!$B$12,Paramètres!$A$1:$I$88,3,0)*VLOOKUP('Données projet'!$B$12,Paramètres!$A$1:$I$88,5,0)</f>
        <v>125.11980000000001</v>
      </c>
      <c r="CA60" s="14">
        <f t="shared" si="39"/>
        <v>32.866189512919625</v>
      </c>
      <c r="CB60" s="22">
        <f t="shared" si="10"/>
        <v>275.15893173500172</v>
      </c>
      <c r="CC60" s="60">
        <f t="shared" si="11"/>
        <v>534.68557178567949</v>
      </c>
      <c r="CD60" s="60">
        <f ca="1">AVERAGE(OFFSET($CC$3,0,0,'Données projet'!$E$12+1,1))-AVERAGE(OFFSET($H$3,0,0,'Données projet'!$E$12+1,1))</f>
        <v>171.08593400758221</v>
      </c>
      <c r="CE60" s="60">
        <f t="shared" si="40"/>
        <v>201.9528484086932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projet'!$B$12,Paramètres!$A$1:$I$88,3,0)*0.475*44/12</f>
        <v>4.2627985894588871</v>
      </c>
      <c r="CL60" s="23">
        <f>EXP(-LN(2)/25)*CL59+(1-EXP(-LN(2)/25))/(LN(2)/25)*Calculateur!CG60*Calculateur!CI60*VLOOKUP('Données projet'!$B$12,Paramètres!$A$1:$I$88,3,0)*0.475*44/12</f>
        <v>14.239455929718961</v>
      </c>
      <c r="CM60" s="23">
        <f>EXP(-LN(2)/2)*CM59+(1-EXP(-LN(2)/2))/(LN(2)/2)*CG60*CJ60*VLOOKUP('Données projet'!$B$12,Paramètres!$A$1:$I$88,3,0)*0.475*44/12</f>
        <v>0</v>
      </c>
      <c r="CN60" s="24">
        <f t="shared" si="12"/>
        <v>18.502254519177846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8.1999999999999993</v>
      </c>
      <c r="CT60" s="13">
        <f>IF('Données projet'!$A$140&gt;35,CT59+CS60-DB59,IF(A60&lt;'Données projet'!$A$140,$CQ$205^A60,IF(A60='Données projet'!$A$140,'Données projet'!$B$140,CT59+CS60-DB59)))</f>
        <v>307.39999999999998</v>
      </c>
      <c r="CU60" s="18">
        <f>CT60*VLOOKUP('Données projet'!$B$13,Paramètres!$A$1:$I$88,3,0)*VLOOKUP('Données projet'!$B$13,Paramètres!$A$1:$I$88,5,0)</f>
        <v>206.20391999999998</v>
      </c>
      <c r="CV60" s="14">
        <f t="shared" si="41"/>
        <v>51.105168060973014</v>
      </c>
      <c r="CW60" s="22">
        <f t="shared" si="13"/>
        <v>448.14666170619466</v>
      </c>
      <c r="CX60" s="60">
        <f t="shared" si="14"/>
        <v>707.67330175687243</v>
      </c>
      <c r="CY60" s="60">
        <f ca="1">AVERAGE(OFFSET($CX$3,0,0,'Données projet'!$E$13+1,1))-AVERAGE(OFFSET($H$3,0,0,'Données projet'!$E$13+1,1))</f>
        <v>283.66646124753868</v>
      </c>
      <c r="CZ60" s="60">
        <f t="shared" si="42"/>
        <v>331.61926649572797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projet'!$B$13,Paramètres!$A$1:$I$88,3,0)*0.475*44/12</f>
        <v>9.4062273760577337</v>
      </c>
      <c r="DG60" s="23">
        <f>EXP(-LN(2)/25)*DG59+(1-EXP(-LN(2)/25))/(LN(2)/25)*Calculateur!DB60*Calculateur!DD60*VLOOKUP('Données projet'!$B$13,Paramètres!$A$1:$I$88,3,0)*0.475*44/12</f>
        <v>0</v>
      </c>
      <c r="DH60" s="23">
        <f>EXP(-LN(2)/2)*DH59+(1-EXP(-LN(2)/2))/(LN(2)/2)*DB60*DE60*VLOOKUP('Données projet'!$B$13,Paramètres!$A$1:$I$88,3,0)*0.475*44/12</f>
        <v>0</v>
      </c>
      <c r="DI60" s="24">
        <f t="shared" si="15"/>
        <v>9.4062273760577337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1.1368683772161603E-13</v>
      </c>
      <c r="DP60" s="18">
        <f>DO60*VLOOKUP('Données projet'!$B$14,Paramètres!$A$1:$I$88,3,0)*VLOOKUP('Données projet'!$B$14,Paramètres!$A$1:$I$88,5,0)</f>
        <v>8.3355189417488869E-14</v>
      </c>
      <c r="DQ60" s="14">
        <f t="shared" si="43"/>
        <v>1.2790518435140618E-12</v>
      </c>
      <c r="DR60" s="22">
        <f t="shared" si="16"/>
        <v>2.3728589156891171E-12</v>
      </c>
      <c r="DS60" s="60">
        <f t="shared" si="17"/>
        <v>259.5266400506801</v>
      </c>
      <c r="DT60" s="60">
        <f ca="1">AVERAGE(OFFSET($DS$3,0,0,'Données projet'!$E$14+1,1))-AVERAGE(OFFSET($H$3,0,0,'Données projet'!$E$14+1,1))</f>
        <v>212.77458587586861</v>
      </c>
      <c r="DU60" s="60">
        <f t="shared" si="44"/>
        <v>260.45879589483513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projet'!$B$14,Paramètres!$A$1:$I$88,3,0)*0.475*44/12</f>
        <v>38.08824554932584</v>
      </c>
      <c r="EB60" s="23">
        <f>EXP(-LN(2)/25)*EB59+(1-EXP(-LN(2)/25))/(LN(2)/25)*Calculateur!DW60*Calculateur!DY60*VLOOKUP('Données projet'!$B$14,Paramètres!$A$1:$I$88,3,0)*0.475*44/12</f>
        <v>22.017497038207374</v>
      </c>
      <c r="EC60" s="23">
        <f>EXP(-LN(2)/2)*EC59+(1-EXP(-LN(2)/2))/(LN(2)/2)*DW60*DZ60*VLOOKUP('Données projet'!$B$14,Paramètres!$A$1:$I$88,3,0)*0.475*44/12</f>
        <v>0</v>
      </c>
      <c r="ED60" s="24">
        <f t="shared" si="18"/>
        <v>60.105742587533214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5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8">
        <f t="shared" si="1"/>
        <v>183.33333333333334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16.428571428571427</v>
      </c>
      <c r="N61" s="14">
        <f>IF('Données projet'!$A$36&gt;35,N60+M61-V60,IF(A61&lt;'Données projet'!$A$36,$K$205^A61,IF(A61='Données projet'!$A$36,'Données projet'!$B$36,N60+M61-V60)))</f>
        <v>484.14285714285739</v>
      </c>
      <c r="O61" s="14">
        <f>N61*VLOOKUP('Données projet'!$B$9,Paramètres!$A$1:$I$88,3,0)*VLOOKUP('Données projet'!$B$9,Paramètres!$A$1:$I$88,5,0)</f>
        <v>270.63585714285728</v>
      </c>
      <c r="P61" s="14">
        <f t="shared" si="33"/>
        <v>64.98419574180447</v>
      </c>
      <c r="Q61" s="22">
        <f t="shared" si="53"/>
        <v>584.53825877411907</v>
      </c>
      <c r="R61" s="60">
        <f t="shared" si="0"/>
        <v>844.65136937280749</v>
      </c>
      <c r="S61" s="60">
        <f ca="1">AVERAGE(OFFSET($R$3,0,0,'Données projet'!$E$9+1,1))-AVERAGE(OFFSET($H$3,0,0,'Données projet'!$E$9+1,1))</f>
        <v>366.29380214443631</v>
      </c>
      <c r="T61" s="60">
        <f t="shared" si="34"/>
        <v>413.14502442862897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42.730004802243521</v>
      </c>
      <c r="AA61" s="23">
        <f>EXP(-LN(2)/25)*AA60+(1-EXP(-LN(2)/25))/(LN(2)/25)*Calculateur!V61*Calculateur!X61*VLOOKUP('Données projet'!$B$9,Paramètres!$A$1:$I$88,3,0)*0.475*44/12</f>
        <v>46.092018256431025</v>
      </c>
      <c r="AB61" s="23">
        <f>EXP(-LN(2)/2)*AB60+(1-EXP(-LN(2)/2))/(LN(2)/2)*V61*Y61*VLOOKUP('Données projet'!$B$9,Paramètres!$A$1:$I$88,3,0)*0.475*44/12</f>
        <v>0</v>
      </c>
      <c r="AC61" s="24">
        <f t="shared" si="3"/>
        <v>88.822023058674546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12.324999999999998</v>
      </c>
      <c r="AI61" s="14">
        <f>IF('Données projet'!$A$62&gt;35,AI60+AH61-AQ60,IF(A61&lt;'Données projet'!$A$62,$AF$205^A61,IF(A61='Données projet'!$A$62,'Données projet'!$B$62,AI60+AH61-AQ60)))</f>
        <v>316.59999999999997</v>
      </c>
      <c r="AJ61" s="14">
        <f>AI61*VLOOKUP('Données projet'!$B$10,Paramètres!$A$1:$I$88,3,0)*VLOOKUP('Données projet'!$B$10,Paramètres!$A$1:$I$88,5,0)</f>
        <v>276.58175999999997</v>
      </c>
      <c r="AK61" s="14">
        <f t="shared" si="35"/>
        <v>66.244120909848903</v>
      </c>
      <c r="AL61" s="22">
        <f t="shared" si="4"/>
        <v>597.08840925132006</v>
      </c>
      <c r="AM61" s="60">
        <f t="shared" si="5"/>
        <v>857.20151985000848</v>
      </c>
      <c r="AN61" s="60">
        <f ca="1">AVERAGE(OFFSET($AM$3,0,0,'Données projet'!$E$10+1,1))-AVERAGE(OFFSET($H$3,0,0,'Données projet'!$E$10+1,1))</f>
        <v>436.5217771315057</v>
      </c>
      <c r="AO61" s="60">
        <f t="shared" si="36"/>
        <v>308.97310256098365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29.093322341430692</v>
      </c>
      <c r="AV61" s="23">
        <f>EXP(-LN(2)/25)*AV60+(1-EXP(-LN(2)/25))/(LN(2)/25)*Calculateur!AQ61*Calculateur!AS61*VLOOKUP('Données projet'!$B$10,Paramètres!$A$1:$I$88,3,0)*0.475*44/12</f>
        <v>15.116090168603593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44.209412510034284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8.375</v>
      </c>
      <c r="BD61" s="13">
        <f>IF('Données projet'!$A$88&gt;35,BD60+BC61-BL60,IF(A61&lt;'Données projet'!$A$88,$BA$205^A61,IF(A61='Données projet'!$A$88,'Données projet'!$B$88,BD60+BC61-BL60)))</f>
        <v>131.875</v>
      </c>
      <c r="BE61" s="14">
        <f>BD61*VLOOKUP('Données projet'!$B$11,Paramètres!$A$1:$I$88,3,0)*VLOOKUP('Données projet'!$B$11,Paramètres!$A$1:$I$88,5,0)</f>
        <v>133.72125</v>
      </c>
      <c r="BF61" s="14">
        <f t="shared" si="37"/>
        <v>34.85481345677897</v>
      </c>
      <c r="BG61" s="22">
        <f t="shared" si="7"/>
        <v>293.6033105205567</v>
      </c>
      <c r="BH61" s="60">
        <f t="shared" si="8"/>
        <v>553.71642111924507</v>
      </c>
      <c r="BI61" s="60">
        <f ca="1">AVERAGE(OFFSET($BH$3,0,0,'Données projet'!$E$11+1,1))-AVERAGE(OFFSET($H$3,0,0,'Données projet'!$E$11+1,1))</f>
        <v>108.30434106718693</v>
      </c>
      <c r="BJ61" s="60">
        <f t="shared" si="38"/>
        <v>67.653808657585842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2.7470031040811862</v>
      </c>
      <c r="BQ61" s="23">
        <f>EXP(-LN(2)/25)*BQ60+(1-EXP(-LN(2)/25))/(LN(2)/25)*Calculateur!BL61*Calculateur!BN61*VLOOKUP('Données projet'!$B$11,Paramètres!$A$1:$I$88,3,0)*0.475*44/12</f>
        <v>0</v>
      </c>
      <c r="BR61" s="23">
        <f>EXP(-LN(2)/2)*BR60+(1-EXP(-LN(2)/2))/(LN(2)/2)*BL61*BO61*VLOOKUP('Données projet'!$B$11,Paramètres!$A$1:$I$88,3,0)*0.475*44/12</f>
        <v>0</v>
      </c>
      <c r="BS61" s="24">
        <f t="shared" si="9"/>
        <v>2.7470031040811862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7.5000000000000018</v>
      </c>
      <c r="BY61" s="13">
        <f>IF('Données projet'!$A$114&gt;35,BY60+BX61-CG60,IF(A61&lt;'Données projet'!$A$114,$BV$205^A61,IF(A61='Données projet'!$A$114,'Données projet'!$B$114,BY60+BX61-CG60)))</f>
        <v>274.85000000000002</v>
      </c>
      <c r="BZ61" s="14">
        <f>BY61*VLOOKUP('Données projet'!$B$12,Paramètres!$A$1:$I$88,3,0)*VLOOKUP('Données projet'!$B$12,Paramètres!$A$1:$I$88,5,0)</f>
        <v>128.62979999999999</v>
      </c>
      <c r="CA61" s="14">
        <f t="shared" si="39"/>
        <v>33.679551357078878</v>
      </c>
      <c r="CB61" s="22">
        <f t="shared" si="10"/>
        <v>282.68878694691233</v>
      </c>
      <c r="CC61" s="60">
        <f t="shared" si="11"/>
        <v>542.8018975456007</v>
      </c>
      <c r="CD61" s="60">
        <f ca="1">AVERAGE(OFFSET($CC$3,0,0,'Données projet'!$E$12+1,1))-AVERAGE(OFFSET($H$3,0,0,'Données projet'!$E$12+1,1))</f>
        <v>171.08593400758221</v>
      </c>
      <c r="CE61" s="60">
        <f t="shared" si="40"/>
        <v>201.9528484086932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projet'!$B$12,Paramètres!$A$1:$I$88,3,0)*0.475*44/12</f>
        <v>4.1792077091700044</v>
      </c>
      <c r="CL61" s="23">
        <f>EXP(-LN(2)/25)*CL60+(1-EXP(-LN(2)/25))/(LN(2)/25)*Calculateur!CG61*Calculateur!CI61*VLOOKUP('Données projet'!$B$12,Paramètres!$A$1:$I$88,3,0)*0.475*44/12</f>
        <v>13.850077258500352</v>
      </c>
      <c r="CM61" s="23">
        <f>EXP(-LN(2)/2)*CM60+(1-EXP(-LN(2)/2))/(LN(2)/2)*CG61*CJ61*VLOOKUP('Données projet'!$B$12,Paramètres!$A$1:$I$88,3,0)*0.475*44/12</f>
        <v>0</v>
      </c>
      <c r="CN61" s="24">
        <f t="shared" si="12"/>
        <v>18.029284967670357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8.1999999999999993</v>
      </c>
      <c r="CT61" s="13">
        <f>IF('Données projet'!$A$140&gt;35,CT60+CS61-DB60,IF(A61&lt;'Données projet'!$A$140,$CQ$205^A61,IF(A61='Données projet'!$A$140,'Données projet'!$B$140,CT60+CS61-DB60)))</f>
        <v>315.59999999999997</v>
      </c>
      <c r="CU61" s="18">
        <f>CT61*VLOOKUP('Données projet'!$B$13,Paramètres!$A$1:$I$88,3,0)*VLOOKUP('Données projet'!$B$13,Paramètres!$A$1:$I$88,5,0)</f>
        <v>211.70447999999996</v>
      </c>
      <c r="CV61" s="14">
        <f t="shared" si="41"/>
        <v>52.307882041697276</v>
      </c>
      <c r="CW61" s="22">
        <f t="shared" si="13"/>
        <v>459.82153055595603</v>
      </c>
      <c r="CX61" s="60">
        <f t="shared" si="14"/>
        <v>719.9346411546444</v>
      </c>
      <c r="CY61" s="60">
        <f ca="1">AVERAGE(OFFSET($CX$3,0,0,'Données projet'!$E$13+1,1))-AVERAGE(OFFSET($H$3,0,0,'Données projet'!$E$13+1,1))</f>
        <v>283.66646124753868</v>
      </c>
      <c r="CZ61" s="60">
        <f t="shared" si="42"/>
        <v>331.61926649572797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projet'!$B$13,Paramètres!$A$1:$I$88,3,0)*0.475*44/12</f>
        <v>9.2217769944454364</v>
      </c>
      <c r="DG61" s="23">
        <f>EXP(-LN(2)/25)*DG60+(1-EXP(-LN(2)/25))/(LN(2)/25)*Calculateur!DB61*Calculateur!DD61*VLOOKUP('Données projet'!$B$13,Paramètres!$A$1:$I$88,3,0)*0.475*44/12</f>
        <v>0</v>
      </c>
      <c r="DH61" s="23">
        <f>EXP(-LN(2)/2)*DH60+(1-EXP(-LN(2)/2))/(LN(2)/2)*DB61*DE61*VLOOKUP('Données projet'!$B$13,Paramètres!$A$1:$I$88,3,0)*0.475*44/12</f>
        <v>0</v>
      </c>
      <c r="DI61" s="24">
        <f t="shared" si="15"/>
        <v>9.2217769944454364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1.1368683772161603E-13</v>
      </c>
      <c r="DP61" s="18">
        <f>DO61*VLOOKUP('Données projet'!$B$14,Paramètres!$A$1:$I$88,3,0)*VLOOKUP('Données projet'!$B$14,Paramètres!$A$1:$I$88,5,0)</f>
        <v>8.3355189417488869E-14</v>
      </c>
      <c r="DQ61" s="14">
        <f t="shared" si="43"/>
        <v>1.2790518435140618E-12</v>
      </c>
      <c r="DR61" s="22">
        <f t="shared" si="16"/>
        <v>2.3728589156891171E-12</v>
      </c>
      <c r="DS61" s="60">
        <f t="shared" si="17"/>
        <v>260.11311059869081</v>
      </c>
      <c r="DT61" s="60">
        <f ca="1">AVERAGE(OFFSET($DS$3,0,0,'Données projet'!$E$14+1,1))-AVERAGE(OFFSET($H$3,0,0,'Données projet'!$E$14+1,1))</f>
        <v>212.77458587586861</v>
      </c>
      <c r="DU61" s="60">
        <f t="shared" si="44"/>
        <v>260.45879589483513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projet'!$B$14,Paramètres!$A$1:$I$88,3,0)*0.475*44/12</f>
        <v>37.341358285639423</v>
      </c>
      <c r="EB61" s="23">
        <f>EXP(-LN(2)/25)*EB60+(1-EXP(-LN(2)/25))/(LN(2)/25)*Calculateur!DW61*Calculateur!DY61*VLOOKUP('Données projet'!$B$14,Paramètres!$A$1:$I$88,3,0)*0.475*44/12</f>
        <v>21.415427423847746</v>
      </c>
      <c r="EC61" s="23">
        <f>EXP(-LN(2)/2)*EC60+(1-EXP(-LN(2)/2))/(LN(2)/2)*DW61*DZ61*VLOOKUP('Données projet'!$B$14,Paramètres!$A$1:$I$88,3,0)*0.475*44/12</f>
        <v>0</v>
      </c>
      <c r="ED61" s="24">
        <f t="shared" si="18"/>
        <v>58.756785709487168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5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8">
        <f t="shared" si="1"/>
        <v>183.33333333333334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16.428571428571427</v>
      </c>
      <c r="N62" s="14">
        <f>IF('Données projet'!$A$36&gt;35,N61+M62-V61,IF(A62&lt;'Données projet'!$A$36,$K$205^A62,IF(A62='Données projet'!$A$36,'Données projet'!$B$36,N61+M62-V61)))</f>
        <v>500.57142857142884</v>
      </c>
      <c r="O62" s="14">
        <f>N62*VLOOKUP('Données projet'!$B$9,Paramètres!$A$1:$I$88,3,0)*VLOOKUP('Données projet'!$B$9,Paramètres!$A$1:$I$88,5,0)</f>
        <v>279.81942857142872</v>
      </c>
      <c r="P62" s="14">
        <f t="shared" si="33"/>
        <v>66.928847514833734</v>
      </c>
      <c r="Q62" s="22">
        <f t="shared" si="53"/>
        <v>603.91991418357372</v>
      </c>
      <c r="R62" s="60">
        <f t="shared" si="0"/>
        <v>864.60932137741656</v>
      </c>
      <c r="S62" s="60">
        <f ca="1">AVERAGE(OFFSET($R$3,0,0,'Données projet'!$E$9+1,1))-AVERAGE(OFFSET($H$3,0,0,'Données projet'!$E$9+1,1))</f>
        <v>366.29380214443631</v>
      </c>
      <c r="T62" s="60">
        <f t="shared" si="34"/>
        <v>413.14502442862897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41.892095470800975</v>
      </c>
      <c r="AA62" s="23">
        <f>EXP(-LN(2)/25)*AA61+(1-EXP(-LN(2)/25))/(LN(2)/25)*Calculateur!V62*Calculateur!X62*VLOOKUP('Données projet'!$B$9,Paramètres!$A$1:$I$88,3,0)*0.475*44/12</f>
        <v>44.831629593335023</v>
      </c>
      <c r="AB62" s="23">
        <f>EXP(-LN(2)/2)*AB61+(1-EXP(-LN(2)/2))/(LN(2)/2)*V62*Y62*VLOOKUP('Données projet'!$B$9,Paramètres!$A$1:$I$88,3,0)*0.475*44/12</f>
        <v>0</v>
      </c>
      <c r="AC62" s="24">
        <f t="shared" si="3"/>
        <v>86.723725064136005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12.324999999999998</v>
      </c>
      <c r="AI62" s="14">
        <f>IF('Données projet'!$A$62&gt;35,AI61+AH62-AQ61,IF(A62&lt;'Données projet'!$A$62,$AF$205^A62,IF(A62='Données projet'!$A$62,'Données projet'!$B$62,AI61+AH62-AQ61)))</f>
        <v>328.92499999999995</v>
      </c>
      <c r="AJ62" s="14">
        <f>AI62*VLOOKUP('Données projet'!$B$10,Paramètres!$A$1:$I$88,3,0)*VLOOKUP('Données projet'!$B$10,Paramètres!$A$1:$I$88,5,0)</f>
        <v>287.34887999999995</v>
      </c>
      <c r="AK62" s="14">
        <f t="shared" si="35"/>
        <v>68.517689054473152</v>
      </c>
      <c r="AL62" s="22">
        <f t="shared" si="4"/>
        <v>619.80094110320726</v>
      </c>
      <c r="AM62" s="60">
        <f t="shared" si="5"/>
        <v>880.4903482970501</v>
      </c>
      <c r="AN62" s="60">
        <f ca="1">AVERAGE(OFFSET($AM$3,0,0,'Données projet'!$E$10+1,1))-AVERAGE(OFFSET($H$3,0,0,'Données projet'!$E$10+1,1))</f>
        <v>436.5217771315057</v>
      </c>
      <c r="AO62" s="60">
        <f t="shared" si="36"/>
        <v>308.97310256098365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28.522820035489673</v>
      </c>
      <c r="AV62" s="23">
        <f>EXP(-LN(2)/25)*AV61+(1-EXP(-LN(2)/25))/(LN(2)/25)*Calculateur!AQ62*Calculateur!AS62*VLOOKUP('Données projet'!$B$10,Paramètres!$A$1:$I$88,3,0)*0.475*44/12</f>
        <v>14.702739888022494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43.225559923512165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8.375</v>
      </c>
      <c r="BD62" s="13">
        <f>IF('Données projet'!$A$88&gt;35,BD61+BC62-BL61,IF(A62&lt;'Données projet'!$A$88,$BA$205^A62,IF(A62='Données projet'!$A$88,'Données projet'!$B$88,BD61+BC62-BL61)))</f>
        <v>140.25</v>
      </c>
      <c r="BE62" s="14">
        <f>BD62*VLOOKUP('Données projet'!$B$11,Paramètres!$A$1:$I$88,3,0)*VLOOKUP('Données projet'!$B$11,Paramètres!$A$1:$I$88,5,0)</f>
        <v>142.21350000000001</v>
      </c>
      <c r="BF62" s="14">
        <f t="shared" si="37"/>
        <v>36.80362337634606</v>
      </c>
      <c r="BG62" s="22">
        <f t="shared" si="7"/>
        <v>311.788156547136</v>
      </c>
      <c r="BH62" s="60">
        <f t="shared" si="8"/>
        <v>572.47756374097878</v>
      </c>
      <c r="BI62" s="60">
        <f ca="1">AVERAGE(OFFSET($BH$3,0,0,'Données projet'!$E$11+1,1))-AVERAGE(OFFSET($H$3,0,0,'Données projet'!$E$11+1,1))</f>
        <v>108.30434106718693</v>
      </c>
      <c r="BJ62" s="60">
        <f t="shared" si="38"/>
        <v>67.653808657585842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2.6931360487166049</v>
      </c>
      <c r="BQ62" s="23">
        <f>EXP(-LN(2)/25)*BQ61+(1-EXP(-LN(2)/25))/(LN(2)/25)*Calculateur!BL62*Calculateur!BN62*VLOOKUP('Données projet'!$B$11,Paramètres!$A$1:$I$88,3,0)*0.475*44/12</f>
        <v>0</v>
      </c>
      <c r="BR62" s="23">
        <f>EXP(-LN(2)/2)*BR61+(1-EXP(-LN(2)/2))/(LN(2)/2)*BL62*BO62*VLOOKUP('Données projet'!$B$11,Paramètres!$A$1:$I$88,3,0)*0.475*44/12</f>
        <v>0</v>
      </c>
      <c r="BS62" s="24">
        <f t="shared" si="9"/>
        <v>2.6931360487166049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7.5000000000000018</v>
      </c>
      <c r="BY62" s="13">
        <f>IF('Données projet'!$A$114&gt;35,BY61+BX62-CG61,IF(A62&lt;'Données projet'!$A$114,$BV$205^A62,IF(A62='Données projet'!$A$114,'Données projet'!$B$114,BY61+BX62-CG61)))</f>
        <v>282.35000000000002</v>
      </c>
      <c r="BZ62" s="14">
        <f>BY62*VLOOKUP('Données projet'!$B$12,Paramètres!$A$1:$I$88,3,0)*VLOOKUP('Données projet'!$B$12,Paramètres!$A$1:$I$88,5,0)</f>
        <v>132.13980000000001</v>
      </c>
      <c r="CA62" s="14">
        <f t="shared" si="39"/>
        <v>34.490333498186374</v>
      </c>
      <c r="CB62" s="22">
        <f t="shared" si="10"/>
        <v>290.21414917600794</v>
      </c>
      <c r="CC62" s="60">
        <f t="shared" si="11"/>
        <v>550.90355636985078</v>
      </c>
      <c r="CD62" s="60">
        <f ca="1">AVERAGE(OFFSET($CC$3,0,0,'Données projet'!$E$12+1,1))-AVERAGE(OFFSET($H$3,0,0,'Données projet'!$E$12+1,1))</f>
        <v>171.08593400758221</v>
      </c>
      <c r="CE62" s="60">
        <f t="shared" si="40"/>
        <v>201.9528484086932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projet'!$B$12,Paramètres!$A$1:$I$88,3,0)*0.475*44/12</f>
        <v>4.0972559950581839</v>
      </c>
      <c r="CL62" s="23">
        <f>EXP(-LN(2)/25)*CL61+(1-EXP(-LN(2)/25))/(LN(2)/25)*Calculateur!CG62*Calculateur!CI62*VLOOKUP('Données projet'!$B$12,Paramètres!$A$1:$I$88,3,0)*0.475*44/12</f>
        <v>13.471346167522752</v>
      </c>
      <c r="CM62" s="23">
        <f>EXP(-LN(2)/2)*CM61+(1-EXP(-LN(2)/2))/(LN(2)/2)*CG62*CJ62*VLOOKUP('Données projet'!$B$12,Paramètres!$A$1:$I$88,3,0)*0.475*44/12</f>
        <v>0</v>
      </c>
      <c r="CN62" s="24">
        <f t="shared" si="12"/>
        <v>17.568602162580937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8.1999999999999993</v>
      </c>
      <c r="CT62" s="13">
        <f>IF('Données projet'!$A$140&gt;35,CT61+CS62-DB61,IF(A62&lt;'Données projet'!$A$140,$CQ$205^A62,IF(A62='Données projet'!$A$140,'Données projet'!$B$140,CT61+CS62-DB61)))</f>
        <v>323.79999999999995</v>
      </c>
      <c r="CU62" s="18">
        <f>CT62*VLOOKUP('Données projet'!$B$13,Paramètres!$A$1:$I$88,3,0)*VLOOKUP('Données projet'!$B$13,Paramètres!$A$1:$I$88,5,0)</f>
        <v>217.20503999999997</v>
      </c>
      <c r="CV62" s="14">
        <f t="shared" si="41"/>
        <v>53.506963675857136</v>
      </c>
      <c r="CW62" s="22">
        <f t="shared" si="13"/>
        <v>471.49007306878434</v>
      </c>
      <c r="CX62" s="60">
        <f t="shared" si="14"/>
        <v>732.17948026262707</v>
      </c>
      <c r="CY62" s="60">
        <f ca="1">AVERAGE(OFFSET($CX$3,0,0,'Données projet'!$E$13+1,1))-AVERAGE(OFFSET($H$3,0,0,'Données projet'!$E$13+1,1))</f>
        <v>283.66646124753868</v>
      </c>
      <c r="CZ62" s="60">
        <f t="shared" si="42"/>
        <v>331.61926649572797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projet'!$B$13,Paramètres!$A$1:$I$88,3,0)*0.475*44/12</f>
        <v>9.0409435723129317</v>
      </c>
      <c r="DG62" s="23">
        <f>EXP(-LN(2)/25)*DG61+(1-EXP(-LN(2)/25))/(LN(2)/25)*Calculateur!DB62*Calculateur!DD62*VLOOKUP('Données projet'!$B$13,Paramètres!$A$1:$I$88,3,0)*0.475*44/12</f>
        <v>0</v>
      </c>
      <c r="DH62" s="23">
        <f>EXP(-LN(2)/2)*DH61+(1-EXP(-LN(2)/2))/(LN(2)/2)*DB62*DE62*VLOOKUP('Données projet'!$B$13,Paramètres!$A$1:$I$88,3,0)*0.475*44/12</f>
        <v>0</v>
      </c>
      <c r="DI62" s="24">
        <f t="shared" si="15"/>
        <v>9.0409435723129317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1.1368683772161603E-13</v>
      </c>
      <c r="DP62" s="18">
        <f>DO62*VLOOKUP('Données projet'!$B$14,Paramètres!$A$1:$I$88,3,0)*VLOOKUP('Données projet'!$B$14,Paramètres!$A$1:$I$88,5,0)</f>
        <v>8.3355189417488869E-14</v>
      </c>
      <c r="DQ62" s="14">
        <f t="shared" si="43"/>
        <v>1.2790518435140618E-12</v>
      </c>
      <c r="DR62" s="22">
        <f t="shared" si="16"/>
        <v>2.3728589156891171E-12</v>
      </c>
      <c r="DS62" s="60">
        <f t="shared" si="17"/>
        <v>260.68940719384517</v>
      </c>
      <c r="DT62" s="60">
        <f ca="1">AVERAGE(OFFSET($DS$3,0,0,'Données projet'!$E$14+1,1))-AVERAGE(OFFSET($H$3,0,0,'Données projet'!$E$14+1,1))</f>
        <v>212.77458587586861</v>
      </c>
      <c r="DU62" s="60">
        <f t="shared" si="44"/>
        <v>260.45879589483513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projet'!$B$14,Paramètres!$A$1:$I$88,3,0)*0.475*44/12</f>
        <v>36.609117025637644</v>
      </c>
      <c r="EB62" s="23">
        <f>EXP(-LN(2)/25)*EB61+(1-EXP(-LN(2)/25))/(LN(2)/25)*Calculateur!DW62*Calculateur!DY62*VLOOKUP('Données projet'!$B$14,Paramètres!$A$1:$I$88,3,0)*0.475*44/12</f>
        <v>20.829821434754248</v>
      </c>
      <c r="EC62" s="23">
        <f>EXP(-LN(2)/2)*EC61+(1-EXP(-LN(2)/2))/(LN(2)/2)*DW62*DZ62*VLOOKUP('Données projet'!$B$14,Paramètres!$A$1:$I$88,3,0)*0.475*44/12</f>
        <v>0</v>
      </c>
      <c r="ED62" s="24">
        <f t="shared" si="18"/>
        <v>57.438938460391896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5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8">
        <f t="shared" si="1"/>
        <v>183.33333333333334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517</v>
      </c>
      <c r="L63" s="13">
        <f>VLOOKUP(A63,'Données projet'!$A$35:$I$55,9,0)</f>
        <v>16.428571428571427</v>
      </c>
      <c r="M63" s="13">
        <f t="array" ref="M63">INDEX(L:L,MIN(IF(ISNUMBER(L63:L259),ROW(L63:L259),"")))</f>
        <v>16.428571428571427</v>
      </c>
      <c r="N63" s="14">
        <f>IF('Données projet'!$A$36&gt;35,N62+M63-V62,IF(A63&lt;'Données projet'!$A$36,$K$205^A63,IF(A63='Données projet'!$A$36,'Données projet'!$B$36,N62+M63-V62)))</f>
        <v>517.00000000000023</v>
      </c>
      <c r="O63" s="14">
        <f>N63*VLOOKUP('Données projet'!$B$9,Paramètres!$A$1:$I$88,3,0)*VLOOKUP('Données projet'!$B$9,Paramètres!$A$1:$I$88,5,0)</f>
        <v>289.0030000000001</v>
      </c>
      <c r="P63" s="14">
        <f t="shared" si="33"/>
        <v>68.866083084015429</v>
      </c>
      <c r="Q63" s="22">
        <f t="shared" si="53"/>
        <v>623.28865303799364</v>
      </c>
      <c r="R63" s="60">
        <f t="shared" si="0"/>
        <v>884.54435936947107</v>
      </c>
      <c r="S63" s="60">
        <f ca="1">AVERAGE(OFFSET($R$3,0,0,'Données projet'!$E$9+1,1))-AVERAGE(OFFSET($H$3,0,0,'Données projet'!$E$9+1,1))</f>
        <v>366.29380214443631</v>
      </c>
      <c r="T63" s="60">
        <f t="shared" si="34"/>
        <v>413.14502442862897</v>
      </c>
      <c r="U63" s="16">
        <f>IF(ISNA(VLOOKUP(A63,'Données projet'!$A$35:$I$55,3,0)),0,VLOOKUP(A63,'Données projet'!$A$35:$I$55,3,0))</f>
        <v>6</v>
      </c>
      <c r="V63" s="16">
        <f>IF(ISNA(VLOOKUP(A63,'Données projet'!$A$35:$I$55,4,0)),0,VLOOKUP(A63,'Données projet'!$A$35:$I$55,4,0))</f>
        <v>97</v>
      </c>
      <c r="W63" s="17">
        <f>IF(ISNA(VLOOKUP(A63,'Données projet'!$A$35:$I$55,5,0)),0%,VLOOKUP(A63,'Données projet'!$A$35:$I$55,5,0)*VLOOKUP('Données projet'!$B$9,Paramètres!$A$1:$I$88,7,0))</f>
        <v>0.38500000000000001</v>
      </c>
      <c r="X63" s="17">
        <f>IF(ISNA(VLOOKUP(A63,'Données projet'!$A$35:$I$55,6,0)),0%,VLOOKUP(A63,'Données projet'!$A$35:$I$55,6,0)*VLOOKUP('Données projet'!$B$9,Paramètres!$A$1:$I$88,7,0))</f>
        <v>0.16500000000000001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68.763784250183591</v>
      </c>
      <c r="AA63" s="23">
        <f>EXP(-LN(2)/25)*AA62+(1-EXP(-LN(2)/25))/(LN(2)/25)*Calculateur!V63*Calculateur!X63*VLOOKUP('Données projet'!$B$9,Paramètres!$A$1:$I$88,3,0)*0.475*44/12</f>
        <v>55.427475753929933</v>
      </c>
      <c r="AB63" s="23">
        <f>EXP(-LN(2)/2)*AB62+(1-EXP(-LN(2)/2))/(LN(2)/2)*V63*Y63*VLOOKUP('Données projet'!$B$9,Paramètres!$A$1:$I$88,3,0)*0.475*44/12</f>
        <v>0</v>
      </c>
      <c r="AC63" s="24">
        <f t="shared" si="3"/>
        <v>124.19126000411353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12.324999999999998</v>
      </c>
      <c r="AI63" s="14">
        <f>IF('Données projet'!$A$62&gt;35,AI62+AH63-AQ62,IF(A63&lt;'Données projet'!$A$62,$AF$205^A63,IF(A63='Données projet'!$A$62,'Données projet'!$B$62,AI62+AH63-AQ62)))</f>
        <v>341.24999999999994</v>
      </c>
      <c r="AJ63" s="14">
        <f>AI63*VLOOKUP('Données projet'!$B$10,Paramètres!$A$1:$I$88,3,0)*VLOOKUP('Données projet'!$B$10,Paramètres!$A$1:$I$88,5,0)</f>
        <v>298.11599999999999</v>
      </c>
      <c r="AK63" s="14">
        <f t="shared" si="35"/>
        <v>70.781360016116508</v>
      </c>
      <c r="AL63" s="22">
        <f t="shared" si="4"/>
        <v>642.49623536140291</v>
      </c>
      <c r="AM63" s="60">
        <f t="shared" si="5"/>
        <v>903.75194169288034</v>
      </c>
      <c r="AN63" s="60">
        <f ca="1">AVERAGE(OFFSET($AM$3,0,0,'Données projet'!$E$10+1,1))-AVERAGE(OFFSET($H$3,0,0,'Données projet'!$E$10+1,1))</f>
        <v>436.5217771315057</v>
      </c>
      <c r="AO63" s="60">
        <f t="shared" si="36"/>
        <v>308.97310256098365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27.963504931796113</v>
      </c>
      <c r="AV63" s="23">
        <f>EXP(-LN(2)/25)*AV62+(1-EXP(-LN(2)/25))/(LN(2)/25)*Calculateur!AQ63*Calculateur!AS63*VLOOKUP('Données projet'!$B$10,Paramètres!$A$1:$I$88,3,0)*0.475*44/12</f>
        <v>14.300692692601032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42.264197624397141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8.375</v>
      </c>
      <c r="BD63" s="13">
        <f>IF('Données projet'!$A$88&gt;35,BD62+BC63-BL62,IF(A63&lt;'Données projet'!$A$88,$BA$205^A63,IF(A63='Données projet'!$A$88,'Données projet'!$B$88,BD62+BC63-BL62)))</f>
        <v>148.625</v>
      </c>
      <c r="BE63" s="14">
        <f>BD63*VLOOKUP('Données projet'!$B$11,Paramètres!$A$1:$I$88,3,0)*VLOOKUP('Données projet'!$B$11,Paramètres!$A$1:$I$88,5,0)</f>
        <v>150.70575000000002</v>
      </c>
      <c r="BF63" s="14">
        <f t="shared" si="37"/>
        <v>38.738925999375077</v>
      </c>
      <c r="BG63" s="22">
        <f t="shared" si="7"/>
        <v>329.94947736557828</v>
      </c>
      <c r="BH63" s="60">
        <f t="shared" si="8"/>
        <v>591.20518369705576</v>
      </c>
      <c r="BI63" s="60">
        <f ca="1">AVERAGE(OFFSET($BH$3,0,0,'Données projet'!$E$11+1,1))-AVERAGE(OFFSET($H$3,0,0,'Données projet'!$E$11+1,1))</f>
        <v>108.30434106718693</v>
      </c>
      <c r="BJ63" s="60">
        <f t="shared" si="38"/>
        <v>67.653808657585842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2.6403252934520638</v>
      </c>
      <c r="BQ63" s="23">
        <f>EXP(-LN(2)/25)*BQ62+(1-EXP(-LN(2)/25))/(LN(2)/25)*Calculateur!BL63*Calculateur!BN63*VLOOKUP('Données projet'!$B$11,Paramètres!$A$1:$I$88,3,0)*0.475*44/12</f>
        <v>0</v>
      </c>
      <c r="BR63" s="23">
        <f>EXP(-LN(2)/2)*BR62+(1-EXP(-LN(2)/2))/(LN(2)/2)*BL63*BO63*VLOOKUP('Données projet'!$B$11,Paramètres!$A$1:$I$88,3,0)*0.475*44/12</f>
        <v>0</v>
      </c>
      <c r="BS63" s="24">
        <f t="shared" si="9"/>
        <v>2.6403252934520638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289.85000000000002</v>
      </c>
      <c r="BW63" s="13">
        <f>VLOOKUP(A63,'Données projet'!$A$113:$I$133,9,0)</f>
        <v>7.5000000000000018</v>
      </c>
      <c r="BX63" s="13">
        <f t="array" ref="BX63">INDEX(BW:BW,MIN(IF(ISNUMBER(BW63:BW259),ROW(BW63:BW259),"")))</f>
        <v>7.5000000000000018</v>
      </c>
      <c r="BY63" s="13">
        <f>IF('Données projet'!$A$114&gt;35,BY62+BX63-CG62,IF(A63&lt;'Données projet'!$A$114,$BV$205^A63,IF(A63='Données projet'!$A$114,'Données projet'!$B$114,BY62+BX63-CG62)))</f>
        <v>289.85000000000002</v>
      </c>
      <c r="BZ63" s="14">
        <f>BY63*VLOOKUP('Données projet'!$B$12,Paramètres!$A$1:$I$88,3,0)*VLOOKUP('Données projet'!$B$12,Paramètres!$A$1:$I$88,5,0)</f>
        <v>135.6498</v>
      </c>
      <c r="CA63" s="14">
        <f t="shared" si="39"/>
        <v>35.298612336565817</v>
      </c>
      <c r="CB63" s="22">
        <f t="shared" si="10"/>
        <v>297.73515148618543</v>
      </c>
      <c r="CC63" s="60">
        <f t="shared" si="11"/>
        <v>558.99085781766291</v>
      </c>
      <c r="CD63" s="60">
        <f ca="1">AVERAGE(OFFSET($CC$3,0,0,'Données projet'!$E$12+1,1))-AVERAGE(OFFSET($H$3,0,0,'Données projet'!$E$12+1,1))</f>
        <v>171.08593400758221</v>
      </c>
      <c r="CE63" s="60">
        <f t="shared" si="40"/>
        <v>201.9528484086932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289.85000000000002</v>
      </c>
      <c r="CH63" s="17">
        <f>IF(ISNA(VLOOKUP(A63,'Données projet'!$A$113:$I$133,5,0)),0%,VLOOKUP(A63,'Données projet'!$A$113:$I$133,5,0)*VLOOKUP('Données projet'!$B$12,Paramètres!$A$1:$I$88,7,0))</f>
        <v>0.38500000000000001</v>
      </c>
      <c r="CI63" s="17">
        <f>IF(ISNA(VLOOKUP(A63,'Données projet'!$A$113:$I$133,6,0)),0%,VLOOKUP(A63,'Données projet'!$A$113:$I$133,6,0)*VLOOKUP('Données projet'!$B$12,Paramètres!$A$1:$I$88,7,0))</f>
        <v>0.16500000000000001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projet'!$B$12,Paramètres!$A$1:$I$88,3,0)*0.475*44/12</f>
        <v>73.296969485055271</v>
      </c>
      <c r="CL63" s="23">
        <f>EXP(-LN(2)/25)*CL62+(1-EXP(-LN(2)/25))/(LN(2)/25)*Calculateur!CG63*Calculateur!CI63*VLOOKUP('Données projet'!$B$12,Paramètres!$A$1:$I$88,3,0)*0.475*44/12</f>
        <v>42.677518438494772</v>
      </c>
      <c r="CM63" s="23">
        <f>EXP(-LN(2)/2)*CM62+(1-EXP(-LN(2)/2))/(LN(2)/2)*CG63*CJ63*VLOOKUP('Données projet'!$B$12,Paramètres!$A$1:$I$88,3,0)*0.475*44/12</f>
        <v>0</v>
      </c>
      <c r="CN63" s="24">
        <f t="shared" si="12"/>
        <v>115.97448792355004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332</v>
      </c>
      <c r="CR63" s="13">
        <f>VLOOKUP(A63,'Données projet'!$A$139:$I$159,9,0)</f>
        <v>8.1999999999999993</v>
      </c>
      <c r="CS63" s="13">
        <f t="array" ref="CS63">INDEX(CR:CR,MIN(IF(ISNUMBER(CR63:CR259),ROW(CR63:CR259),"")))</f>
        <v>8.1999999999999993</v>
      </c>
      <c r="CT63" s="13">
        <f>IF('Données projet'!$A$140&gt;35,CT62+CS63-DB62,IF(A63&lt;'Données projet'!$A$140,$CQ$205^A63,IF(A63='Données projet'!$A$140,'Données projet'!$B$140,CT62+CS63-DB62)))</f>
        <v>331.99999999999994</v>
      </c>
      <c r="CU63" s="18">
        <f>CT63*VLOOKUP('Données projet'!$B$13,Paramètres!$A$1:$I$88,3,0)*VLOOKUP('Données projet'!$B$13,Paramètres!$A$1:$I$88,5,0)</f>
        <v>222.70559999999995</v>
      </c>
      <c r="CV63" s="14">
        <f t="shared" si="41"/>
        <v>54.702515528198902</v>
      </c>
      <c r="CW63" s="22">
        <f t="shared" si="13"/>
        <v>483.15246787827965</v>
      </c>
      <c r="CX63" s="60">
        <f t="shared" si="14"/>
        <v>744.40817420975714</v>
      </c>
      <c r="CY63" s="60">
        <f ca="1">AVERAGE(OFFSET($CX$3,0,0,'Données projet'!$E$13+1,1))-AVERAGE(OFFSET($H$3,0,0,'Données projet'!$E$13+1,1))</f>
        <v>283.66646124753868</v>
      </c>
      <c r="CZ63" s="60">
        <f t="shared" si="42"/>
        <v>331.61926649572797</v>
      </c>
      <c r="DA63" s="16">
        <f>IF(ISNA(VLOOKUP(A63,'Données projet'!$A$139:$I$159,3,0)),0,VLOOKUP(A63,'Données projet'!$A$139:$I$159,3,0))</f>
        <v>10</v>
      </c>
      <c r="DB63" s="16">
        <f>IF(ISNA(VLOOKUP(A63,'Données projet'!$A$139:$I$159,4,0)),0,VLOOKUP(A63,'Données projet'!$A$139:$I$159,4,0))</f>
        <v>22</v>
      </c>
      <c r="DC63" s="17">
        <f>IF(ISNA(VLOOKUP(A63,'Données projet'!$A$139:$I$159,5,0)),0%,VLOOKUP(A63,'Données projet'!$A$139:$I$159,5,0)*VLOOKUP('Données projet'!$B$13,Paramètres!$A$1:$I$88,7,0))</f>
        <v>0.318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projet'!$B$13,Paramètres!$A$1:$I$88,3,0)*0.475*44/12</f>
        <v>14.051536699303508</v>
      </c>
      <c r="DG63" s="23">
        <f>EXP(-LN(2)/25)*DG62+(1-EXP(-LN(2)/25))/(LN(2)/25)*Calculateur!DB63*Calculateur!DD63*VLOOKUP('Données projet'!$B$13,Paramètres!$A$1:$I$88,3,0)*0.475*44/12</f>
        <v>0</v>
      </c>
      <c r="DH63" s="23">
        <f>EXP(-LN(2)/2)*DH62+(1-EXP(-LN(2)/2))/(LN(2)/2)*DB63*DE63*VLOOKUP('Données projet'!$B$13,Paramètres!$A$1:$I$88,3,0)*0.475*44/12</f>
        <v>0</v>
      </c>
      <c r="DI63" s="24">
        <f t="shared" si="15"/>
        <v>14.051536699303508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1.1368683772161603E-13</v>
      </c>
      <c r="DP63" s="18">
        <f>DO63*VLOOKUP('Données projet'!$B$14,Paramètres!$A$1:$I$88,3,0)*VLOOKUP('Données projet'!$B$14,Paramètres!$A$1:$I$88,5,0)</f>
        <v>8.3355189417488869E-14</v>
      </c>
      <c r="DQ63" s="14">
        <f t="shared" si="43"/>
        <v>1.2790518435140618E-12</v>
      </c>
      <c r="DR63" s="22">
        <f t="shared" si="16"/>
        <v>2.3728589156891171E-12</v>
      </c>
      <c r="DS63" s="60">
        <f t="shared" si="17"/>
        <v>261.25570633147987</v>
      </c>
      <c r="DT63" s="60">
        <f ca="1">AVERAGE(OFFSET($DS$3,0,0,'Données projet'!$E$14+1,1))-AVERAGE(OFFSET($H$3,0,0,'Données projet'!$E$14+1,1))</f>
        <v>212.77458587586861</v>
      </c>
      <c r="DU63" s="60">
        <f t="shared" si="44"/>
        <v>260.45879589483513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projet'!$B$14,Paramètres!$A$1:$I$88,3,0)*0.475*44/12</f>
        <v>35.891234570121433</v>
      </c>
      <c r="EB63" s="23">
        <f>EXP(-LN(2)/25)*EB62+(1-EXP(-LN(2)/25))/(LN(2)/25)*Calculateur!DW63*Calculateur!DY63*VLOOKUP('Données projet'!$B$14,Paramètres!$A$1:$I$88,3,0)*0.475*44/12</f>
        <v>20.26022887222819</v>
      </c>
      <c r="EC63" s="23">
        <f>EXP(-LN(2)/2)*EC62+(1-EXP(-LN(2)/2))/(LN(2)/2)*DW63*DZ63*VLOOKUP('Données projet'!$B$14,Paramètres!$A$1:$I$88,3,0)*0.475*44/12</f>
        <v>0</v>
      </c>
      <c r="ED63" s="24">
        <f t="shared" si="18"/>
        <v>56.151463442349623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5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8">
        <f t="shared" si="1"/>
        <v>183.33333333333334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14.428571428571429</v>
      </c>
      <c r="N64" s="14">
        <f>IF('Données projet'!$A$36&gt;35,N63+M64-V63,IF(A64&lt;'Données projet'!$A$36,$K$205^A64,IF(A64='Données projet'!$A$36,'Données projet'!$B$36,N63+M64-V63)))</f>
        <v>434.42857142857167</v>
      </c>
      <c r="O64" s="14">
        <f>N64*VLOOKUP('Données projet'!$B$9,Paramètres!$A$1:$I$88,3,0)*VLOOKUP('Données projet'!$B$9,Paramètres!$A$1:$I$88,5,0)</f>
        <v>242.84557142857156</v>
      </c>
      <c r="P64" s="14">
        <f t="shared" si="33"/>
        <v>59.051348413541952</v>
      </c>
      <c r="Q64" s="22">
        <f t="shared" si="53"/>
        <v>525.80380205834774</v>
      </c>
      <c r="R64" s="60">
        <f t="shared" si="0"/>
        <v>787.61598350347708</v>
      </c>
      <c r="S64" s="60">
        <f ca="1">AVERAGE(OFFSET($R$3,0,0,'Données projet'!$E$9+1,1))-AVERAGE(OFFSET($H$3,0,0,'Données projet'!$E$9+1,1))</f>
        <v>366.29380214443631</v>
      </c>
      <c r="T64" s="60">
        <f t="shared" si="34"/>
        <v>413.14502442862897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67.415368382804473</v>
      </c>
      <c r="AA64" s="23">
        <f>EXP(-LN(2)/25)*AA63+(1-EXP(-LN(2)/25))/(LN(2)/25)*Calculateur!V64*Calculateur!X64*VLOOKUP('Données projet'!$B$9,Paramètres!$A$1:$I$88,3,0)*0.475*44/12</f>
        <v>53.911808514634451</v>
      </c>
      <c r="AB64" s="23">
        <f>EXP(-LN(2)/2)*AB63+(1-EXP(-LN(2)/2))/(LN(2)/2)*V64*Y64*VLOOKUP('Données projet'!$B$9,Paramètres!$A$1:$I$88,3,0)*0.475*44/12</f>
        <v>0</v>
      </c>
      <c r="AC64" s="24">
        <f t="shared" si="3"/>
        <v>121.32717689743893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12.324999999999998</v>
      </c>
      <c r="AI64" s="14">
        <f>IF('Données projet'!$A$62&gt;35,AI63+AH64-AQ63,IF(A64&lt;'Données projet'!$A$62,$AF$205^A64,IF(A64='Données projet'!$A$62,'Données projet'!$B$62,AI63+AH64-AQ63)))</f>
        <v>353.57499999999993</v>
      </c>
      <c r="AJ64" s="14">
        <f>AI64*VLOOKUP('Données projet'!$B$10,Paramètres!$A$1:$I$88,3,0)*VLOOKUP('Données projet'!$B$10,Paramètres!$A$1:$I$88,5,0)</f>
        <v>308.88311999999996</v>
      </c>
      <c r="AK64" s="14">
        <f t="shared" si="35"/>
        <v>73.035532200167751</v>
      </c>
      <c r="AL64" s="22">
        <f t="shared" si="4"/>
        <v>665.17498591529204</v>
      </c>
      <c r="AM64" s="60">
        <f t="shared" si="5"/>
        <v>926.98716736042138</v>
      </c>
      <c r="AN64" s="60">
        <f ca="1">AVERAGE(OFFSET($AM$3,0,0,'Données projet'!$E$10+1,1))-AVERAGE(OFFSET($H$3,0,0,'Données projet'!$E$10+1,1))</f>
        <v>436.5217771315057</v>
      </c>
      <c r="AO64" s="60">
        <f t="shared" si="36"/>
        <v>308.97310256098365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27.415157656137453</v>
      </c>
      <c r="AV64" s="23">
        <f>EXP(-LN(2)/25)*AV63+(1-EXP(-LN(2)/25))/(LN(2)/25)*Calculateur!AQ64*Calculateur!AS64*VLOOKUP('Données projet'!$B$10,Paramètres!$A$1:$I$88,3,0)*0.475*44/12</f>
        <v>13.909639498881113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41.324797155018565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>
        <f>VLOOKUP(A64,'Données projet'!$A$87:$I$107,2,0)</f>
        <v>157</v>
      </c>
      <c r="BB64" s="13">
        <f>VLOOKUP(A64,'Données projet'!$A$87:$I$107,9,0)</f>
        <v>8.375</v>
      </c>
      <c r="BC64" s="13">
        <f t="array" ref="BC64">INDEX(BB:BB,MIN(IF(ISNUMBER(BB64:BB260),ROW(BB64:BB260),"")))</f>
        <v>8.375</v>
      </c>
      <c r="BD64" s="13">
        <f>IF('Données projet'!$A$88&gt;35,BD63+BC64-BL63,IF(A64&lt;'Données projet'!$A$88,$BA$205^A64,IF(A64='Données projet'!$A$88,'Données projet'!$B$88,BD63+BC64-BL63)))</f>
        <v>157</v>
      </c>
      <c r="BE64" s="14">
        <f>BD64*VLOOKUP('Données projet'!$B$11,Paramètres!$A$1:$I$88,3,0)*VLOOKUP('Données projet'!$B$11,Paramètres!$A$1:$I$88,5,0)</f>
        <v>159.19800000000001</v>
      </c>
      <c r="BF64" s="14">
        <f t="shared" si="37"/>
        <v>40.661569197787308</v>
      </c>
      <c r="BG64" s="22">
        <f t="shared" si="7"/>
        <v>348.08874968614623</v>
      </c>
      <c r="BH64" s="60">
        <f t="shared" si="8"/>
        <v>609.90093113127557</v>
      </c>
      <c r="BI64" s="60">
        <f ca="1">AVERAGE(OFFSET($BH$3,0,0,'Données projet'!$E$11+1,1))-AVERAGE(OFFSET($H$3,0,0,'Données projet'!$E$11+1,1))</f>
        <v>108.30434106718693</v>
      </c>
      <c r="BJ64" s="60">
        <f t="shared" si="38"/>
        <v>67.653808657585842</v>
      </c>
      <c r="BK64" s="16">
        <f>IF(ISNA(VLOOKUP(A64,'Données projet'!$A$87:$I$107,3,0)),0,VLOOKUP(A64,'Données projet'!$A$87:$I$107,3,0))</f>
        <v>4</v>
      </c>
      <c r="BL64" s="16">
        <f>IF(ISNA(VLOOKUP(A64,'Données projet'!$A$87:$I$107,4,0)),0,VLOOKUP(A64,'Données projet'!$A$87:$I$107,4,0))</f>
        <v>31</v>
      </c>
      <c r="BM64" s="17">
        <f>IF(ISNA(VLOOKUP(A64,'Données projet'!$A$87:$I$107,5,0)),0%,VLOOKUP(A64,'Données projet'!$A$87:$I$107,5,0)*VLOOKUP('Données projet'!$B$11,Paramètres!$A$1:$I$88,7,0))</f>
        <v>0.25800000000000001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11.55388394972848</v>
      </c>
      <c r="BQ64" s="23">
        <f>EXP(-LN(2)/25)*BQ63+(1-EXP(-LN(2)/25))/(LN(2)/25)*Calculateur!BL64*Calculateur!BN64*VLOOKUP('Données projet'!$B$11,Paramètres!$A$1:$I$88,3,0)*0.475*44/12</f>
        <v>0</v>
      </c>
      <c r="BR64" s="23">
        <f>EXP(-LN(2)/2)*BR63+(1-EXP(-LN(2)/2))/(LN(2)/2)*BL64*BO64*VLOOKUP('Données projet'!$B$11,Paramètres!$A$1:$I$88,3,0)*0.475*44/12</f>
        <v>0</v>
      </c>
      <c r="BS64" s="24">
        <f t="shared" si="9"/>
        <v>11.55388394972848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projet'!$B$12,Paramètres!$A$1:$I$88,3,0)*VLOOKUP('Données projet'!$B$12,Paramètres!$A$1:$I$88,5,0)</f>
        <v>0</v>
      </c>
      <c r="CA64" s="14" t="e">
        <f t="shared" si="39"/>
        <v>#NUM!</v>
      </c>
      <c r="CB64" s="22" t="e">
        <f t="shared" si="10"/>
        <v>#NUM!</v>
      </c>
      <c r="CC64" s="60" t="e">
        <f t="shared" si="11"/>
        <v>#NUM!</v>
      </c>
      <c r="CD64" s="60">
        <f ca="1">AVERAGE(OFFSET($CC$3,0,0,'Données projet'!$E$12+1,1))-AVERAGE(OFFSET($H$3,0,0,'Données projet'!$E$12+1,1))</f>
        <v>171.08593400758221</v>
      </c>
      <c r="CE64" s="60">
        <f t="shared" si="40"/>
        <v>201.9528484086932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projet'!$B$12,Paramètres!$A$1:$I$88,3,0)*0.475*44/12</f>
        <v>71.859660620190297</v>
      </c>
      <c r="CL64" s="23">
        <f>EXP(-LN(2)/25)*CL63+(1-EXP(-LN(2)/25))/(LN(2)/25)*Calculateur!CG64*Calculateur!CI64*VLOOKUP('Données projet'!$B$12,Paramètres!$A$1:$I$88,3,0)*0.475*44/12</f>
        <v>41.510499452480978</v>
      </c>
      <c r="CM64" s="23">
        <f>EXP(-LN(2)/2)*CM63+(1-EXP(-LN(2)/2))/(LN(2)/2)*CG64*CJ64*VLOOKUP('Données projet'!$B$12,Paramètres!$A$1:$I$88,3,0)*0.475*44/12</f>
        <v>0</v>
      </c>
      <c r="CN64" s="24">
        <f t="shared" si="12"/>
        <v>113.37016007267127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7.4</v>
      </c>
      <c r="CT64" s="13">
        <f>IF('Données projet'!$A$140&gt;35,CT63+CS64-DB63,IF(A64&lt;'Données projet'!$A$140,$CQ$205^A64,IF(A64='Données projet'!$A$140,'Données projet'!$B$140,CT63+CS64-DB63)))</f>
        <v>317.39999999999992</v>
      </c>
      <c r="CU64" s="18">
        <f>CT64*VLOOKUP('Données projet'!$B$13,Paramètres!$A$1:$I$88,3,0)*VLOOKUP('Données projet'!$B$13,Paramètres!$A$1:$I$88,5,0)</f>
        <v>212.91191999999995</v>
      </c>
      <c r="CV64" s="14">
        <f t="shared" si="41"/>
        <v>52.571402583859268</v>
      </c>
      <c r="CW64" s="22">
        <f t="shared" si="13"/>
        <v>462.38345350022149</v>
      </c>
      <c r="CX64" s="60">
        <f t="shared" si="14"/>
        <v>724.19563494535078</v>
      </c>
      <c r="CY64" s="60">
        <f ca="1">AVERAGE(OFFSET($CX$3,0,0,'Données projet'!$E$13+1,1))-AVERAGE(OFFSET($H$3,0,0,'Données projet'!$E$13+1,1))</f>
        <v>283.66646124753868</v>
      </c>
      <c r="CZ64" s="60">
        <f t="shared" si="42"/>
        <v>331.61926649572797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projet'!$B$13,Paramètres!$A$1:$I$88,3,0)*0.475*44/12</f>
        <v>13.775994635221277</v>
      </c>
      <c r="DG64" s="23">
        <f>EXP(-LN(2)/25)*DG63+(1-EXP(-LN(2)/25))/(LN(2)/25)*Calculateur!DB64*Calculateur!DD64*VLOOKUP('Données projet'!$B$13,Paramètres!$A$1:$I$88,3,0)*0.475*44/12</f>
        <v>0</v>
      </c>
      <c r="DH64" s="23">
        <f>EXP(-LN(2)/2)*DH63+(1-EXP(-LN(2)/2))/(LN(2)/2)*DB64*DE64*VLOOKUP('Données projet'!$B$13,Paramètres!$A$1:$I$88,3,0)*0.475*44/12</f>
        <v>0</v>
      </c>
      <c r="DI64" s="24">
        <f t="shared" si="15"/>
        <v>13.775994635221277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1.1368683772161603E-13</v>
      </c>
      <c r="DP64" s="18">
        <f>DO64*VLOOKUP('Données projet'!$B$14,Paramètres!$A$1:$I$88,3,0)*VLOOKUP('Données projet'!$B$14,Paramètres!$A$1:$I$88,5,0)</f>
        <v>8.3355189417488869E-14</v>
      </c>
      <c r="DQ64" s="14">
        <f t="shared" si="43"/>
        <v>1.2790518435140618E-12</v>
      </c>
      <c r="DR64" s="22">
        <f t="shared" si="16"/>
        <v>2.3728589156891171E-12</v>
      </c>
      <c r="DS64" s="60">
        <f t="shared" si="17"/>
        <v>261.81218144513173</v>
      </c>
      <c r="DT64" s="60">
        <f ca="1">AVERAGE(OFFSET($DS$3,0,0,'Données projet'!$E$14+1,1))-AVERAGE(OFFSET($H$3,0,0,'Données projet'!$E$14+1,1))</f>
        <v>212.77458587586861</v>
      </c>
      <c r="DU64" s="60">
        <f t="shared" si="44"/>
        <v>260.45879589483513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projet'!$B$14,Paramètres!$A$1:$I$88,3,0)*0.475*44/12</f>
        <v>35.187429351692835</v>
      </c>
      <c r="EB64" s="23">
        <f>EXP(-LN(2)/25)*EB63+(1-EXP(-LN(2)/25))/(LN(2)/25)*Calculateur!DW64*Calculateur!DY64*VLOOKUP('Données projet'!$B$14,Paramètres!$A$1:$I$88,3,0)*0.475*44/12</f>
        <v>19.706211848277977</v>
      </c>
      <c r="EC64" s="23">
        <f>EXP(-LN(2)/2)*EC63+(1-EXP(-LN(2)/2))/(LN(2)/2)*DW64*DZ64*VLOOKUP('Données projet'!$B$14,Paramètres!$A$1:$I$88,3,0)*0.475*44/12</f>
        <v>0</v>
      </c>
      <c r="ED64" s="24">
        <f t="shared" si="18"/>
        <v>54.893641199970816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5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8">
        <f t="shared" si="1"/>
        <v>183.33333333333334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14.428571428571429</v>
      </c>
      <c r="N65" s="14">
        <f>IF('Données projet'!$A$36&gt;35,N64+M65-V64,IF(A65&lt;'Données projet'!$A$36,$K$205^A65,IF(A65='Données projet'!$A$36,'Données projet'!$B$36,N64+M65-V64)))</f>
        <v>448.85714285714312</v>
      </c>
      <c r="O65" s="14">
        <f>N65*VLOOKUP('Données projet'!$B$9,Paramètres!$A$1:$I$88,3,0)*VLOOKUP('Données projet'!$B$9,Paramètres!$A$1:$I$88,5,0)</f>
        <v>250.91114285714301</v>
      </c>
      <c r="P65" s="14">
        <f t="shared" si="33"/>
        <v>60.781007052879815</v>
      </c>
      <c r="Q65" s="22">
        <f t="shared" si="53"/>
        <v>542.86382775995639</v>
      </c>
      <c r="R65" s="60">
        <f t="shared" si="0"/>
        <v>805.22283071960771</v>
      </c>
      <c r="S65" s="60">
        <f ca="1">AVERAGE(OFFSET($R$3,0,0,'Données projet'!$E$9+1,1))-AVERAGE(OFFSET($H$3,0,0,'Données projet'!$E$9+1,1))</f>
        <v>366.29380214443631</v>
      </c>
      <c r="T65" s="60">
        <f t="shared" si="34"/>
        <v>413.14502442862897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66.093394128132189</v>
      </c>
      <c r="AA65" s="23">
        <f>EXP(-LN(2)/25)*AA64+(1-EXP(-LN(2)/25))/(LN(2)/25)*Calculateur!V65*Calculateur!X65*VLOOKUP('Données projet'!$B$9,Paramètres!$A$1:$I$88,3,0)*0.475*44/12</f>
        <v>52.437587275702981</v>
      </c>
      <c r="AB65" s="23">
        <f>EXP(-LN(2)/2)*AB64+(1-EXP(-LN(2)/2))/(LN(2)/2)*V65*Y65*VLOOKUP('Données projet'!$B$9,Paramètres!$A$1:$I$88,3,0)*0.475*44/12</f>
        <v>0</v>
      </c>
      <c r="AC65" s="24">
        <f t="shared" si="3"/>
        <v>118.53098140383517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>
        <f>VLOOKUP(A65,'Données projet'!$A$61:$I$81,2,0)</f>
        <v>365.9</v>
      </c>
      <c r="AG65" s="13">
        <f>VLOOKUP(A65,'Données projet'!$A$61:$I$81,9,0)</f>
        <v>12.324999999999998</v>
      </c>
      <c r="AH65" s="13">
        <f t="array" ref="AH65">INDEX(AG:AG,MIN(IF(ISNUMBER(AG65:AG261),ROW(AG65:AG261),"")))</f>
        <v>12.324999999999998</v>
      </c>
      <c r="AI65" s="14">
        <f>IF('Données projet'!$A$62&gt;35,AI64+AH65-AQ64,IF(A65&lt;'Données projet'!$A$62,$AF$205^A65,IF(A65='Données projet'!$A$62,'Données projet'!$B$62,AI64+AH65-AQ64)))</f>
        <v>365.89999999999992</v>
      </c>
      <c r="AJ65" s="14">
        <f>AI65*VLOOKUP('Données projet'!$B$10,Paramètres!$A$1:$I$88,3,0)*VLOOKUP('Données projet'!$B$10,Paramètres!$A$1:$I$88,5,0)</f>
        <v>319.65023999999994</v>
      </c>
      <c r="AK65" s="14">
        <f t="shared" si="35"/>
        <v>75.280574661515132</v>
      </c>
      <c r="AL65" s="22">
        <f t="shared" si="4"/>
        <v>687.83783553547198</v>
      </c>
      <c r="AM65" s="60">
        <f t="shared" si="5"/>
        <v>950.1968384951233</v>
      </c>
      <c r="AN65" s="60">
        <f ca="1">AVERAGE(OFFSET($AM$3,0,0,'Données projet'!$E$10+1,1))-AVERAGE(OFFSET($H$3,0,0,'Données projet'!$E$10+1,1))</f>
        <v>436.5217771315057</v>
      </c>
      <c r="AO65" s="60">
        <f t="shared" si="36"/>
        <v>308.97310256098365</v>
      </c>
      <c r="AP65" s="16">
        <f>IF(ISNA(VLOOKUP(A65,'Données projet'!$A$61:$I$81,3,0)),0,VLOOKUP(A65,'Données projet'!$A$61:$I$81,3,0))</f>
        <v>5</v>
      </c>
      <c r="AQ65" s="16">
        <f>IF(ISNA(VLOOKUP(A65,'Données projet'!$A$61:$I$81,4,0)),0,VLOOKUP(A65,'Données projet'!$A$61:$I$81,4,0))</f>
        <v>15.5</v>
      </c>
      <c r="AR65" s="17">
        <f>IF(ISNA(VLOOKUP(A65,'Données projet'!$A$61:$I$81,5,0)),0%,VLOOKUP(A65,'Données projet'!$A$61:$I$81,5,0)*VLOOKUP('Données projet'!$B$10,Paramètres!$A$1:$I$88,7,0))</f>
        <v>0.25800000000000001</v>
      </c>
      <c r="AS65" s="17">
        <f>IF(ISNA(VLOOKUP(A65,'Données projet'!$A$61:$I$81,6,0)),0%,VLOOKUP(A65,'Données projet'!$A$61:$I$81,6,0)*VLOOKUP('Données projet'!$B$10,Paramètres!$A$1:$I$88,7,0))</f>
        <v>0.129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30.739553091412027</v>
      </c>
      <c r="AV65" s="23">
        <f>EXP(-LN(2)/25)*AV64+(1-EXP(-LN(2)/25))/(LN(2)/25)*Calculateur!AQ65*Calculateur!AS65*VLOOKUP('Données projet'!$B$10,Paramètres!$A$1:$I$88,3,0)*0.475*44/12</f>
        <v>15.452671589972439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46.192224681384467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6.125</v>
      </c>
      <c r="BD65" s="13">
        <f>IF('Données projet'!$A$88&gt;35,BD64+BC65-BL64,IF(A65&lt;'Données projet'!$A$88,$BA$205^A65,IF(A65='Données projet'!$A$88,'Données projet'!$B$88,BD64+BC65-BL64)))</f>
        <v>132.125</v>
      </c>
      <c r="BE65" s="14">
        <f>BD65*VLOOKUP('Données projet'!$B$11,Paramètres!$A$1:$I$88,3,0)*VLOOKUP('Données projet'!$B$11,Paramètres!$A$1:$I$88,5,0)</f>
        <v>133.97475000000003</v>
      </c>
      <c r="BF65" s="14">
        <f t="shared" si="37"/>
        <v>34.913191310048092</v>
      </c>
      <c r="BG65" s="22">
        <f t="shared" si="7"/>
        <v>294.14649778166716</v>
      </c>
      <c r="BH65" s="60">
        <f t="shared" si="8"/>
        <v>556.50550074131843</v>
      </c>
      <c r="BI65" s="60">
        <f ca="1">AVERAGE(OFFSET($BH$3,0,0,'Données projet'!$E$11+1,1))-AVERAGE(OFFSET($H$3,0,0,'Données projet'!$E$11+1,1))</f>
        <v>108.30434106718693</v>
      </c>
      <c r="BJ65" s="60">
        <f t="shared" si="38"/>
        <v>67.653808657585842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11.327319332647663</v>
      </c>
      <c r="BQ65" s="23">
        <f>EXP(-LN(2)/25)*BQ64+(1-EXP(-LN(2)/25))/(LN(2)/25)*Calculateur!BL65*Calculateur!BN65*VLOOKUP('Données projet'!$B$11,Paramètres!$A$1:$I$88,3,0)*0.475*44/12</f>
        <v>0</v>
      </c>
      <c r="BR65" s="23">
        <f>EXP(-LN(2)/2)*BR64+(1-EXP(-LN(2)/2))/(LN(2)/2)*BL65*BO65*VLOOKUP('Données projet'!$B$11,Paramètres!$A$1:$I$88,3,0)*0.475*44/12</f>
        <v>0</v>
      </c>
      <c r="BS65" s="24">
        <f t="shared" si="9"/>
        <v>11.327319332647663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projet'!$B$12,Paramètres!$A$1:$I$88,3,0)*VLOOKUP('Données projet'!$B$12,Paramètres!$A$1:$I$88,5,0)</f>
        <v>0</v>
      </c>
      <c r="CA65" s="14" t="e">
        <f t="shared" si="39"/>
        <v>#NUM!</v>
      </c>
      <c r="CB65" s="22" t="e">
        <f t="shared" si="10"/>
        <v>#NUM!</v>
      </c>
      <c r="CC65" s="60" t="e">
        <f t="shared" si="11"/>
        <v>#NUM!</v>
      </c>
      <c r="CD65" s="60">
        <f ca="1">AVERAGE(OFFSET($CC$3,0,0,'Données projet'!$E$12+1,1))-AVERAGE(OFFSET($H$3,0,0,'Données projet'!$E$12+1,1))</f>
        <v>171.08593400758221</v>
      </c>
      <c r="CE65" s="60">
        <f t="shared" si="40"/>
        <v>201.9528484086932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projet'!$B$12,Paramètres!$A$1:$I$88,3,0)*0.475*44/12</f>
        <v>70.450536505493488</v>
      </c>
      <c r="CL65" s="23">
        <f>EXP(-LN(2)/25)*CL64+(1-EXP(-LN(2)/25))/(LN(2)/25)*Calculateur!CG65*Calculateur!CI65*VLOOKUP('Données projet'!$B$12,Paramètres!$A$1:$I$88,3,0)*0.475*44/12</f>
        <v>40.37539266201059</v>
      </c>
      <c r="CM65" s="23">
        <f>EXP(-LN(2)/2)*CM64+(1-EXP(-LN(2)/2))/(LN(2)/2)*CG65*CJ65*VLOOKUP('Données projet'!$B$12,Paramètres!$A$1:$I$88,3,0)*0.475*44/12</f>
        <v>0</v>
      </c>
      <c r="CN65" s="24">
        <f t="shared" si="12"/>
        <v>110.82592916750409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7.4</v>
      </c>
      <c r="CT65" s="13">
        <f>IF('Données projet'!$A$140&gt;35,CT64+CS65-DB64,IF(A65&lt;'Données projet'!$A$140,$CQ$205^A65,IF(A65='Données projet'!$A$140,'Données projet'!$B$140,CT64+CS65-DB64)))</f>
        <v>324.7999999999999</v>
      </c>
      <c r="CU65" s="18">
        <f>CT65*VLOOKUP('Données projet'!$B$13,Paramètres!$A$1:$I$88,3,0)*VLOOKUP('Données projet'!$B$13,Paramètres!$A$1:$I$88,5,0)</f>
        <v>217.87583999999995</v>
      </c>
      <c r="CV65" s="14">
        <f t="shared" si="41"/>
        <v>53.652949670124926</v>
      </c>
      <c r="CW65" s="22">
        <f t="shared" si="13"/>
        <v>472.91264200880079</v>
      </c>
      <c r="CX65" s="60">
        <f t="shared" si="14"/>
        <v>735.27164496845216</v>
      </c>
      <c r="CY65" s="60">
        <f ca="1">AVERAGE(OFFSET($CX$3,0,0,'Données projet'!$E$13+1,1))-AVERAGE(OFFSET($H$3,0,0,'Données projet'!$E$13+1,1))</f>
        <v>283.66646124753868</v>
      </c>
      <c r="CZ65" s="60">
        <f t="shared" si="42"/>
        <v>331.61926649572797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projet'!$B$13,Paramètres!$A$1:$I$88,3,0)*0.475*44/12</f>
        <v>13.505855782951635</v>
      </c>
      <c r="DG65" s="23">
        <f>EXP(-LN(2)/25)*DG64+(1-EXP(-LN(2)/25))/(LN(2)/25)*Calculateur!DB65*Calculateur!DD65*VLOOKUP('Données projet'!$B$13,Paramètres!$A$1:$I$88,3,0)*0.475*44/12</f>
        <v>0</v>
      </c>
      <c r="DH65" s="23">
        <f>EXP(-LN(2)/2)*DH64+(1-EXP(-LN(2)/2))/(LN(2)/2)*DB65*DE65*VLOOKUP('Données projet'!$B$13,Paramètres!$A$1:$I$88,3,0)*0.475*44/12</f>
        <v>0</v>
      </c>
      <c r="DI65" s="24">
        <f t="shared" si="15"/>
        <v>13.505855782951635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1.1368683772161603E-13</v>
      </c>
      <c r="DP65" s="18">
        <f>DO65*VLOOKUP('Données projet'!$B$14,Paramètres!$A$1:$I$88,3,0)*VLOOKUP('Données projet'!$B$14,Paramètres!$A$1:$I$88,5,0)</f>
        <v>8.3355189417488869E-14</v>
      </c>
      <c r="DQ65" s="14">
        <f t="shared" si="43"/>
        <v>1.2790518435140618E-12</v>
      </c>
      <c r="DR65" s="22">
        <f t="shared" si="16"/>
        <v>2.3728589156891171E-12</v>
      </c>
      <c r="DS65" s="60">
        <f t="shared" si="17"/>
        <v>262.35900295965371</v>
      </c>
      <c r="DT65" s="60">
        <f ca="1">AVERAGE(OFFSET($DS$3,0,0,'Données projet'!$E$14+1,1))-AVERAGE(OFFSET($H$3,0,0,'Données projet'!$E$14+1,1))</f>
        <v>212.77458587586861</v>
      </c>
      <c r="DU65" s="60">
        <f t="shared" si="44"/>
        <v>260.45879589483513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projet'!$B$14,Paramètres!$A$1:$I$88,3,0)*0.475*44/12</f>
        <v>34.497425324318826</v>
      </c>
      <c r="EB65" s="23">
        <f>EXP(-LN(2)/25)*EB64+(1-EXP(-LN(2)/25))/(LN(2)/25)*Calculateur!DW65*Calculateur!DY65*VLOOKUP('Données projet'!$B$14,Paramètres!$A$1:$I$88,3,0)*0.475*44/12</f>
        <v>19.167344448982174</v>
      </c>
      <c r="EC65" s="23">
        <f>EXP(-LN(2)/2)*EC64+(1-EXP(-LN(2)/2))/(LN(2)/2)*DW65*DZ65*VLOOKUP('Données projet'!$B$14,Paramètres!$A$1:$I$88,3,0)*0.475*44/12</f>
        <v>0</v>
      </c>
      <c r="ED65" s="24">
        <f t="shared" si="18"/>
        <v>53.664769773301003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5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8">
        <f t="shared" si="1"/>
        <v>183.33333333333334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14.428571428571429</v>
      </c>
      <c r="N66" s="14">
        <f>IF('Données projet'!$A$36&gt;35,N65+M66-V65,IF(A66&lt;'Données projet'!$A$36,$K$205^A66,IF(A66='Données projet'!$A$36,'Données projet'!$B$36,N65+M66-V65)))</f>
        <v>463.28571428571456</v>
      </c>
      <c r="O66" s="14">
        <f>N66*VLOOKUP('Données projet'!$B$9,Paramètres!$A$1:$I$88,3,0)*VLOOKUP('Données projet'!$B$9,Paramètres!$A$1:$I$88,5,0)</f>
        <v>258.97671428571442</v>
      </c>
      <c r="P66" s="14">
        <f t="shared" si="33"/>
        <v>62.504204757480117</v>
      </c>
      <c r="Q66" s="22">
        <f t="shared" si="53"/>
        <v>559.91260066689722</v>
      </c>
      <c r="R66" s="60">
        <f t="shared" si="0"/>
        <v>822.80893901030333</v>
      </c>
      <c r="S66" s="60">
        <f ca="1">AVERAGE(OFFSET($R$3,0,0,'Données projet'!$E$9+1,1))-AVERAGE(OFFSET($H$3,0,0,'Données projet'!$E$9+1,1))</f>
        <v>366.29380214443631</v>
      </c>
      <c r="T66" s="60">
        <f t="shared" si="34"/>
        <v>413.14502442862897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64.797342982269356</v>
      </c>
      <c r="AA66" s="23">
        <f>EXP(-LN(2)/25)*AA65+(1-EXP(-LN(2)/25))/(LN(2)/25)*Calculateur!V66*Calculateur!X66*VLOOKUP('Données projet'!$B$9,Paramètres!$A$1:$I$88,3,0)*0.475*44/12</f>
        <v>51.003678694076015</v>
      </c>
      <c r="AB66" s="23">
        <f>EXP(-LN(2)/2)*AB65+(1-EXP(-LN(2)/2))/(LN(2)/2)*V66*Y66*VLOOKUP('Données projet'!$B$9,Paramètres!$A$1:$I$88,3,0)*0.475*44/12</f>
        <v>0</v>
      </c>
      <c r="AC66" s="24">
        <f t="shared" si="3"/>
        <v>115.80102167634537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11.53125</v>
      </c>
      <c r="AI66" s="14">
        <f>IF('Données projet'!$A$62&gt;35,AI65+AH66-AQ65,IF(A66&lt;'Données projet'!$A$62,$AF$205^A66,IF(A66='Données projet'!$A$62,'Données projet'!$B$62,AI65+AH66-AQ65)))</f>
        <v>361.93124999999992</v>
      </c>
      <c r="AJ66" s="14">
        <f>AI66*VLOOKUP('Données projet'!$B$10,Paramètres!$A$1:$I$88,3,0)*VLOOKUP('Données projet'!$B$10,Paramètres!$A$1:$I$88,5,0)</f>
        <v>316.18313999999998</v>
      </c>
      <c r="AK66" s="14">
        <f t="shared" si="35"/>
        <v>74.558627940302458</v>
      </c>
      <c r="AL66" s="22">
        <f t="shared" si="4"/>
        <v>680.54191249602673</v>
      </c>
      <c r="AM66" s="60">
        <f t="shared" si="5"/>
        <v>943.43825083943284</v>
      </c>
      <c r="AN66" s="60">
        <f ca="1">AVERAGE(OFFSET($AM$3,0,0,'Données projet'!$E$10+1,1))-AVERAGE(OFFSET($H$3,0,0,'Données projet'!$E$10+1,1))</f>
        <v>436.5217771315057</v>
      </c>
      <c r="AO66" s="60">
        <f t="shared" si="36"/>
        <v>308.97310256098365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30.136769204565486</v>
      </c>
      <c r="AV66" s="23">
        <f>EXP(-LN(2)/25)*AV65+(1-EXP(-LN(2)/25))/(LN(2)/25)*Calculateur!AQ66*Calculateur!AS66*VLOOKUP('Données projet'!$B$10,Paramètres!$A$1:$I$88,3,0)*0.475*44/12</f>
        <v>15.030117472723962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45.166886677289448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6.125</v>
      </c>
      <c r="BD66" s="13">
        <f>IF('Données projet'!$A$88&gt;35,BD65+BC66-BL65,IF(A66&lt;'Données projet'!$A$88,$BA$205^A66,IF(A66='Données projet'!$A$88,'Données projet'!$B$88,BD65+BC66-BL65)))</f>
        <v>138.25</v>
      </c>
      <c r="BE66" s="14">
        <f>BD66*VLOOKUP('Données projet'!$B$11,Paramètres!$A$1:$I$88,3,0)*VLOOKUP('Données projet'!$B$11,Paramètres!$A$1:$I$88,5,0)</f>
        <v>140.18549999999999</v>
      </c>
      <c r="BF66" s="14">
        <f t="shared" si="37"/>
        <v>36.339497664709818</v>
      </c>
      <c r="BG66" s="22">
        <f t="shared" si="7"/>
        <v>307.44770426603623</v>
      </c>
      <c r="BH66" s="60">
        <f t="shared" si="8"/>
        <v>570.34404260944234</v>
      </c>
      <c r="BI66" s="60">
        <f ca="1">AVERAGE(OFFSET($BH$3,0,0,'Données projet'!$E$11+1,1))-AVERAGE(OFFSET($H$3,0,0,'Données projet'!$E$11+1,1))</f>
        <v>108.30434106718693</v>
      </c>
      <c r="BJ66" s="60">
        <f t="shared" si="38"/>
        <v>67.653808657585842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11.10519750951703</v>
      </c>
      <c r="BQ66" s="23">
        <f>EXP(-LN(2)/25)*BQ65+(1-EXP(-LN(2)/25))/(LN(2)/25)*Calculateur!BL66*Calculateur!BN66*VLOOKUP('Données projet'!$B$11,Paramètres!$A$1:$I$88,3,0)*0.475*44/12</f>
        <v>0</v>
      </c>
      <c r="BR66" s="23">
        <f>EXP(-LN(2)/2)*BR65+(1-EXP(-LN(2)/2))/(LN(2)/2)*BL66*BO66*VLOOKUP('Données projet'!$B$11,Paramètres!$A$1:$I$88,3,0)*0.475*44/12</f>
        <v>0</v>
      </c>
      <c r="BS66" s="24">
        <f t="shared" si="9"/>
        <v>11.10519750951703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projet'!$B$12,Paramètres!$A$1:$I$88,3,0)*VLOOKUP('Données projet'!$B$12,Paramètres!$A$1:$I$88,5,0)</f>
        <v>0</v>
      </c>
      <c r="CA66" s="14" t="e">
        <f t="shared" si="39"/>
        <v>#NUM!</v>
      </c>
      <c r="CB66" s="22" t="e">
        <f t="shared" si="10"/>
        <v>#NUM!</v>
      </c>
      <c r="CC66" s="60" t="e">
        <f t="shared" si="11"/>
        <v>#NUM!</v>
      </c>
      <c r="CD66" s="60">
        <f ca="1">AVERAGE(OFFSET($CC$3,0,0,'Données projet'!$E$12+1,1))-AVERAGE(OFFSET($H$3,0,0,'Données projet'!$E$12+1,1))</f>
        <v>171.08593400758221</v>
      </c>
      <c r="CE66" s="60">
        <f t="shared" si="40"/>
        <v>201.9528484086932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projet'!$B$12,Paramètres!$A$1:$I$88,3,0)*0.475*44/12</f>
        <v>69.069044455205031</v>
      </c>
      <c r="CL66" s="23">
        <f>EXP(-LN(2)/25)*CL65+(1-EXP(-LN(2)/25))/(LN(2)/25)*Calculateur!CG66*Calculateur!CI66*VLOOKUP('Données projet'!$B$12,Paramètres!$A$1:$I$88,3,0)*0.475*44/12</f>
        <v>39.271325426418286</v>
      </c>
      <c r="CM66" s="23">
        <f>EXP(-LN(2)/2)*CM65+(1-EXP(-LN(2)/2))/(LN(2)/2)*CG66*CJ66*VLOOKUP('Données projet'!$B$12,Paramètres!$A$1:$I$88,3,0)*0.475*44/12</f>
        <v>0</v>
      </c>
      <c r="CN66" s="24">
        <f t="shared" si="12"/>
        <v>108.34036988162332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7.4</v>
      </c>
      <c r="CT66" s="13">
        <f>IF('Données projet'!$A$140&gt;35,CT65+CS66-DB65,IF(A66&lt;'Données projet'!$A$140,$CQ$205^A66,IF(A66='Données projet'!$A$140,'Données projet'!$B$140,CT65+CS66-DB65)))</f>
        <v>332.19999999999987</v>
      </c>
      <c r="CU66" s="18">
        <f>CT66*VLOOKUP('Données projet'!$B$13,Paramètres!$A$1:$I$88,3,0)*VLOOKUP('Données projet'!$B$13,Paramètres!$A$1:$I$88,5,0)</f>
        <v>222.83975999999993</v>
      </c>
      <c r="CV66" s="14">
        <f t="shared" si="41"/>
        <v>54.731632063414978</v>
      </c>
      <c r="CW66" s="22">
        <f t="shared" si="13"/>
        <v>483.43684117711427</v>
      </c>
      <c r="CX66" s="60">
        <f t="shared" si="14"/>
        <v>746.33317952052039</v>
      </c>
      <c r="CY66" s="60">
        <f ca="1">AVERAGE(OFFSET($CX$3,0,0,'Données projet'!$E$13+1,1))-AVERAGE(OFFSET($H$3,0,0,'Données projet'!$E$13+1,1))</f>
        <v>283.66646124753868</v>
      </c>
      <c r="CZ66" s="60">
        <f t="shared" si="42"/>
        <v>331.61926649572797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projet'!$B$13,Paramètres!$A$1:$I$88,3,0)*0.475*44/12</f>
        <v>13.24101418880657</v>
      </c>
      <c r="DG66" s="23">
        <f>EXP(-LN(2)/25)*DG65+(1-EXP(-LN(2)/25))/(LN(2)/25)*Calculateur!DB66*Calculateur!DD66*VLOOKUP('Données projet'!$B$13,Paramètres!$A$1:$I$88,3,0)*0.475*44/12</f>
        <v>0</v>
      </c>
      <c r="DH66" s="23">
        <f>EXP(-LN(2)/2)*DH65+(1-EXP(-LN(2)/2))/(LN(2)/2)*DB66*DE66*VLOOKUP('Données projet'!$B$13,Paramètres!$A$1:$I$88,3,0)*0.475*44/12</f>
        <v>0</v>
      </c>
      <c r="DI66" s="24">
        <f t="shared" si="15"/>
        <v>13.24101418880657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1.1368683772161603E-13</v>
      </c>
      <c r="DP66" s="18">
        <f>DO66*VLOOKUP('Données projet'!$B$14,Paramètres!$A$1:$I$88,3,0)*VLOOKUP('Données projet'!$B$14,Paramètres!$A$1:$I$88,5,0)</f>
        <v>8.3355189417488869E-14</v>
      </c>
      <c r="DQ66" s="14">
        <f t="shared" si="43"/>
        <v>1.2790518435140618E-12</v>
      </c>
      <c r="DR66" s="22">
        <f t="shared" si="16"/>
        <v>2.3728589156891171E-12</v>
      </c>
      <c r="DS66" s="60">
        <f t="shared" si="17"/>
        <v>262.8963383434085</v>
      </c>
      <c r="DT66" s="60">
        <f ca="1">AVERAGE(OFFSET($DS$3,0,0,'Données projet'!$E$14+1,1))-AVERAGE(OFFSET($H$3,0,0,'Données projet'!$E$14+1,1))</f>
        <v>212.77458587586861</v>
      </c>
      <c r="DU66" s="60">
        <f t="shared" si="44"/>
        <v>260.45879589483513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projet'!$B$14,Paramètres!$A$1:$I$88,3,0)*0.475*44/12</f>
        <v>33.82095185506072</v>
      </c>
      <c r="EB66" s="23">
        <f>EXP(-LN(2)/25)*EB65+(1-EXP(-LN(2)/25))/(LN(2)/25)*Calculateur!DW66*Calculateur!DY66*VLOOKUP('Données projet'!$B$14,Paramètres!$A$1:$I$88,3,0)*0.475*44/12</f>
        <v>18.64321240705792</v>
      </c>
      <c r="EC66" s="23">
        <f>EXP(-LN(2)/2)*EC65+(1-EXP(-LN(2)/2))/(LN(2)/2)*DW66*DZ66*VLOOKUP('Données projet'!$B$14,Paramètres!$A$1:$I$88,3,0)*0.475*44/12</f>
        <v>0</v>
      </c>
      <c r="ED66" s="24">
        <f t="shared" si="18"/>
        <v>52.464164262118643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5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8">
        <f t="shared" si="1"/>
        <v>183.33333333333334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14.428571428571429</v>
      </c>
      <c r="N67" s="14">
        <f>IF('Données projet'!$A$36&gt;35,N66+M67-V66,IF(A67&lt;'Données projet'!$A$36,$K$205^A67,IF(A67='Données projet'!$A$36,'Données projet'!$B$36,N66+M67-V66)))</f>
        <v>477.71428571428601</v>
      </c>
      <c r="O67" s="14">
        <f>N67*VLOOKUP('Données projet'!$B$9,Paramètres!$A$1:$I$88,3,0)*VLOOKUP('Données projet'!$B$9,Paramètres!$A$1:$I$88,5,0)</f>
        <v>267.04228571428587</v>
      </c>
      <c r="P67" s="14">
        <f t="shared" si="33"/>
        <v>64.221165835529547</v>
      </c>
      <c r="Q67" s="22">
        <f t="shared" ref="Q67:Q98" si="54">(O67+P67)*0.475*44/12</f>
        <v>576.95051144926185</v>
      </c>
      <c r="R67" s="60">
        <f t="shared" ref="R67:R130" si="55">Q67+(I67+J67)*44/12</f>
        <v>840.37486360881667</v>
      </c>
      <c r="S67" s="60">
        <f ca="1">AVERAGE(OFFSET($R$3,0,0,'Données projet'!$E$9+1,1))-AVERAGE(OFFSET($H$3,0,0,'Données projet'!$E$9+1,1))</f>
        <v>366.29380214443631</v>
      </c>
      <c r="T67" s="60">
        <f t="shared" si="34"/>
        <v>413.14502442862897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63.526706608863755</v>
      </c>
      <c r="AA67" s="23">
        <f>EXP(-LN(2)/25)*AA66+(1-EXP(-LN(2)/25))/(LN(2)/25)*Calculateur!V67*Calculateur!X67*VLOOKUP('Données projet'!$B$9,Paramètres!$A$1:$I$88,3,0)*0.475*44/12</f>
        <v>49.608980418019613</v>
      </c>
      <c r="AB67" s="23">
        <f>EXP(-LN(2)/2)*AB66+(1-EXP(-LN(2)/2))/(LN(2)/2)*V67*Y67*VLOOKUP('Données projet'!$B$9,Paramètres!$A$1:$I$88,3,0)*0.475*44/12</f>
        <v>0</v>
      </c>
      <c r="AC67" s="24">
        <f t="shared" si="3"/>
        <v>113.13568702688337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11.53125</v>
      </c>
      <c r="AI67" s="14">
        <f>IF('Données projet'!$A$62&gt;35,AI66+AH67-AQ66,IF(A67&lt;'Données projet'!$A$62,$AF$205^A67,IF(A67='Données projet'!$A$62,'Données projet'!$B$62,AI66+AH67-AQ66)))</f>
        <v>373.46249999999992</v>
      </c>
      <c r="AJ67" s="14">
        <f>AI67*VLOOKUP('Données projet'!$B$10,Paramètres!$A$1:$I$88,3,0)*VLOOKUP('Données projet'!$B$10,Paramètres!$A$1:$I$88,5,0)</f>
        <v>326.25683999999995</v>
      </c>
      <c r="AK67" s="14">
        <f t="shared" si="35"/>
        <v>76.653740110766279</v>
      </c>
      <c r="AL67" s="22">
        <f t="shared" si="4"/>
        <v>701.73592702625103</v>
      </c>
      <c r="AM67" s="60">
        <f t="shared" si="5"/>
        <v>965.16027918580585</v>
      </c>
      <c r="AN67" s="60">
        <f ca="1">AVERAGE(OFFSET($AM$3,0,0,'Données projet'!$E$10+1,1))-AVERAGE(OFFSET($H$3,0,0,'Données projet'!$E$10+1,1))</f>
        <v>436.5217771315057</v>
      </c>
      <c r="AO67" s="60">
        <f t="shared" si="36"/>
        <v>308.97310256098365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29.545805542078138</v>
      </c>
      <c r="AV67" s="23">
        <f>EXP(-LN(2)/25)*AV66+(1-EXP(-LN(2)/25))/(LN(2)/25)*Calculateur!AQ67*Calculateur!AS67*VLOOKUP('Données projet'!$B$10,Paramètres!$A$1:$I$88,3,0)*0.475*44/12</f>
        <v>14.6191181200328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44.164923662110937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6.125</v>
      </c>
      <c r="BD67" s="13">
        <f>IF('Données projet'!$A$88&gt;35,BD66+BC67-BL66,IF(A67&lt;'Données projet'!$A$88,$BA$205^A67,IF(A67='Données projet'!$A$88,'Données projet'!$B$88,BD66+BC67-BL66)))</f>
        <v>144.375</v>
      </c>
      <c r="BE67" s="14">
        <f>BD67*VLOOKUP('Données projet'!$B$11,Paramètres!$A$1:$I$88,3,0)*VLOOKUP('Données projet'!$B$11,Paramètres!$A$1:$I$88,5,0)</f>
        <v>146.39625000000001</v>
      </c>
      <c r="BF67" s="14">
        <f t="shared" si="37"/>
        <v>37.758465009624288</v>
      </c>
      <c r="BG67" s="22">
        <f t="shared" si="7"/>
        <v>320.73612864176226</v>
      </c>
      <c r="BH67" s="60">
        <f t="shared" si="8"/>
        <v>584.16048080131702</v>
      </c>
      <c r="BI67" s="60">
        <f ca="1">AVERAGE(OFFSET($BH$3,0,0,'Données projet'!$E$11+1,1))-AVERAGE(OFFSET($H$3,0,0,'Données projet'!$E$11+1,1))</f>
        <v>108.30434106718693</v>
      </c>
      <c r="BJ67" s="60">
        <f t="shared" si="38"/>
        <v>67.653808657585842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10.887431359857054</v>
      </c>
      <c r="BQ67" s="23">
        <f>EXP(-LN(2)/25)*BQ66+(1-EXP(-LN(2)/25))/(LN(2)/25)*Calculateur!BL67*Calculateur!BN67*VLOOKUP('Données projet'!$B$11,Paramètres!$A$1:$I$88,3,0)*0.475*44/12</f>
        <v>0</v>
      </c>
      <c r="BR67" s="23">
        <f>EXP(-LN(2)/2)*BR66+(1-EXP(-LN(2)/2))/(LN(2)/2)*BL67*BO67*VLOOKUP('Données projet'!$B$11,Paramètres!$A$1:$I$88,3,0)*0.475*44/12</f>
        <v>0</v>
      </c>
      <c r="BS67" s="24">
        <f t="shared" si="9"/>
        <v>10.887431359857054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projet'!$B$12,Paramètres!$A$1:$I$88,3,0)*VLOOKUP('Données projet'!$B$12,Paramètres!$A$1:$I$88,5,0)</f>
        <v>0</v>
      </c>
      <c r="CA67" s="14" t="e">
        <f t="shared" si="39"/>
        <v>#NUM!</v>
      </c>
      <c r="CB67" s="22" t="e">
        <f t="shared" si="10"/>
        <v>#NUM!</v>
      </c>
      <c r="CC67" s="60" t="e">
        <f t="shared" si="11"/>
        <v>#NUM!</v>
      </c>
      <c r="CD67" s="60">
        <f ca="1">AVERAGE(OFFSET($CC$3,0,0,'Données projet'!$E$12+1,1))-AVERAGE(OFFSET($H$3,0,0,'Données projet'!$E$12+1,1))</f>
        <v>171.08593400758221</v>
      </c>
      <c r="CE67" s="60">
        <f t="shared" si="40"/>
        <v>201.9528484086932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projet'!$B$12,Paramètres!$A$1:$I$88,3,0)*0.475*44/12</f>
        <v>67.714642621395782</v>
      </c>
      <c r="CL67" s="23">
        <f>EXP(-LN(2)/25)*CL66+(1-EXP(-LN(2)/25))/(LN(2)/25)*Calculateur!CG67*Calculateur!CI67*VLOOKUP('Données projet'!$B$12,Paramètres!$A$1:$I$88,3,0)*0.475*44/12</f>
        <v>38.197448967443627</v>
      </c>
      <c r="CM67" s="23">
        <f>EXP(-LN(2)/2)*CM66+(1-EXP(-LN(2)/2))/(LN(2)/2)*CG67*CJ67*VLOOKUP('Données projet'!$B$12,Paramètres!$A$1:$I$88,3,0)*0.475*44/12</f>
        <v>0</v>
      </c>
      <c r="CN67" s="24">
        <f t="shared" si="12"/>
        <v>105.91209158883942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7.4</v>
      </c>
      <c r="CT67" s="13">
        <f>IF('Données projet'!$A$140&gt;35,CT66+CS67-DB66,IF(A67&lt;'Données projet'!$A$140,$CQ$205^A67,IF(A67='Données projet'!$A$140,'Données projet'!$B$140,CT66+CS67-DB66)))</f>
        <v>339.59999999999985</v>
      </c>
      <c r="CU67" s="18">
        <f>CT67*VLOOKUP('Données projet'!$B$13,Paramètres!$A$1:$I$88,3,0)*VLOOKUP('Données projet'!$B$13,Paramètres!$A$1:$I$88,5,0)</f>
        <v>227.8036799999999</v>
      </c>
      <c r="CV67" s="14">
        <f t="shared" si="41"/>
        <v>55.807520924338583</v>
      </c>
      <c r="CW67" s="22">
        <f t="shared" si="13"/>
        <v>493.95617494322283</v>
      </c>
      <c r="CX67" s="60">
        <f t="shared" si="14"/>
        <v>757.38052710277759</v>
      </c>
      <c r="CY67" s="60">
        <f ca="1">AVERAGE(OFFSET($CX$3,0,0,'Données projet'!$E$13+1,1))-AVERAGE(OFFSET($H$3,0,0,'Données projet'!$E$13+1,1))</f>
        <v>283.66646124753868</v>
      </c>
      <c r="CZ67" s="60">
        <f t="shared" si="42"/>
        <v>331.61926649572797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projet'!$B$13,Paramètres!$A$1:$I$88,3,0)*0.475*44/12</f>
        <v>12.981365976785268</v>
      </c>
      <c r="DG67" s="23">
        <f>EXP(-LN(2)/25)*DG66+(1-EXP(-LN(2)/25))/(LN(2)/25)*Calculateur!DB67*Calculateur!DD67*VLOOKUP('Données projet'!$B$13,Paramètres!$A$1:$I$88,3,0)*0.475*44/12</f>
        <v>0</v>
      </c>
      <c r="DH67" s="23">
        <f>EXP(-LN(2)/2)*DH66+(1-EXP(-LN(2)/2))/(LN(2)/2)*DB67*DE67*VLOOKUP('Données projet'!$B$13,Paramètres!$A$1:$I$88,3,0)*0.475*44/12</f>
        <v>0</v>
      </c>
      <c r="DI67" s="24">
        <f t="shared" si="15"/>
        <v>12.981365976785268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1.1368683772161603E-13</v>
      </c>
      <c r="DP67" s="18">
        <f>DO67*VLOOKUP('Données projet'!$B$14,Paramètres!$A$1:$I$88,3,0)*VLOOKUP('Données projet'!$B$14,Paramètres!$A$1:$I$88,5,0)</f>
        <v>8.3355189417488869E-14</v>
      </c>
      <c r="DQ67" s="14">
        <f t="shared" si="43"/>
        <v>1.2790518435140618E-12</v>
      </c>
      <c r="DR67" s="22">
        <f t="shared" si="16"/>
        <v>2.3728589156891171E-12</v>
      </c>
      <c r="DS67" s="60">
        <f t="shared" si="17"/>
        <v>263.42435215955715</v>
      </c>
      <c r="DT67" s="60">
        <f ca="1">AVERAGE(OFFSET($DS$3,0,0,'Données projet'!$E$14+1,1))-AVERAGE(OFFSET($H$3,0,0,'Données projet'!$E$14+1,1))</f>
        <v>212.77458587586861</v>
      </c>
      <c r="DU67" s="60">
        <f t="shared" si="44"/>
        <v>260.45879589483513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projet'!$B$14,Paramètres!$A$1:$I$88,3,0)*0.475*44/12</f>
        <v>33.157743617926691</v>
      </c>
      <c r="EB67" s="23">
        <f>EXP(-LN(2)/25)*EB66+(1-EXP(-LN(2)/25))/(LN(2)/25)*Calculateur!DW67*Calculateur!DY67*VLOOKUP('Données projet'!$B$14,Paramètres!$A$1:$I$88,3,0)*0.475*44/12</f>
        <v>18.13341278338299</v>
      </c>
      <c r="EC67" s="23">
        <f>EXP(-LN(2)/2)*EC66+(1-EXP(-LN(2)/2))/(LN(2)/2)*DW67*DZ67*VLOOKUP('Données projet'!$B$14,Paramètres!$A$1:$I$88,3,0)*0.475*44/12</f>
        <v>0</v>
      </c>
      <c r="ED67" s="24">
        <f t="shared" si="18"/>
        <v>51.291156401309678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5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8">
        <f t="shared" ref="H68:H131" si="56">(B68+E68+F68)*44/12+(C68+D68)*0.475*44/12</f>
        <v>183.33333333333334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14.428571428571429</v>
      </c>
      <c r="N68" s="14">
        <f>IF('Données projet'!$A$36&gt;35,N67+M68-V67,IF(A68&lt;'Données projet'!$A$36,$K$205^A68,IF(A68='Données projet'!$A$36,'Données projet'!$B$36,N67+M68-V67)))</f>
        <v>492.14285714285745</v>
      </c>
      <c r="O68" s="14">
        <f>N68*VLOOKUP('Données projet'!$B$9,Paramètres!$A$1:$I$88,3,0)*VLOOKUP('Données projet'!$B$9,Paramètres!$A$1:$I$88,5,0)</f>
        <v>275.10785714285731</v>
      </c>
      <c r="P68" s="14">
        <f t="shared" si="33"/>
        <v>65.932100275480451</v>
      </c>
      <c r="Q68" s="22">
        <f t="shared" si="54"/>
        <v>593.9779258369382</v>
      </c>
      <c r="R68" s="60">
        <f t="shared" si="55"/>
        <v>857.92113195339334</v>
      </c>
      <c r="S68" s="60">
        <f ca="1">AVERAGE(OFFSET($R$3,0,0,'Données projet'!$E$9+1,1))-AVERAGE(OFFSET($H$3,0,0,'Données projet'!$E$9+1,1))</f>
        <v>366.29380214443631</v>
      </c>
      <c r="T68" s="60">
        <f t="shared" si="34"/>
        <v>413.14502442862897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62.280986639728972</v>
      </c>
      <c r="AA68" s="23">
        <f>EXP(-LN(2)/25)*AA67+(1-EXP(-LN(2)/25))/(LN(2)/25)*Calculateur!V68*Calculateur!X68*VLOOKUP('Données projet'!$B$9,Paramètres!$A$1:$I$88,3,0)*0.475*44/12</f>
        <v>48.252420239665966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110.53340687939493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11.53125</v>
      </c>
      <c r="AI68" s="14">
        <f>IF('Données projet'!$A$62&gt;35,AI67+AH68-AQ67,IF(A68&lt;'Données projet'!$A$62,$AF$205^A68,IF(A68='Données projet'!$A$62,'Données projet'!$B$62,AI67+AH68-AQ67)))</f>
        <v>384.99374999999992</v>
      </c>
      <c r="AJ68" s="14">
        <f>AI68*VLOOKUP('Données projet'!$B$10,Paramètres!$A$1:$I$88,3,0)*VLOOKUP('Données projet'!$B$10,Paramètres!$A$1:$I$88,5,0)</f>
        <v>336.33053999999993</v>
      </c>
      <c r="AK68" s="14">
        <f t="shared" si="35"/>
        <v>78.741334626746422</v>
      </c>
      <c r="AL68" s="22">
        <f t="shared" ref="AL68:AL131" si="58">(AJ68+AK68)*0.475*44/12</f>
        <v>722.91684830824988</v>
      </c>
      <c r="AM68" s="60">
        <f t="shared" ref="AM68:AM131" si="59">AL68+(AD68+AE68)*44/12</f>
        <v>986.86005442470514</v>
      </c>
      <c r="AN68" s="60">
        <f ca="1">AVERAGE(OFFSET($AM$3,0,0,'Données projet'!$E$10+1,1))-AVERAGE(OFFSET($H$3,0,0,'Données projet'!$E$10+1,1))</f>
        <v>436.5217771315057</v>
      </c>
      <c r="AO68" s="60">
        <f t="shared" si="36"/>
        <v>308.97310256098365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28.966430316559926</v>
      </c>
      <c r="AV68" s="23">
        <f>EXP(-LN(2)/25)*AV67+(1-EXP(-LN(2)/25))/(LN(2)/25)*Calculateur!AQ68*Calculateur!AS68*VLOOKUP('Données projet'!$B$10,Paramètres!$A$1:$I$88,3,0)*0.475*44/12</f>
        <v>14.219357566254494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43.185787882814424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6.125</v>
      </c>
      <c r="BD68" s="13">
        <f>IF('Données projet'!$A$88&gt;35,BD67+BC68-BL67,IF(A68&lt;'Données projet'!$A$88,$BA$205^A68,IF(A68='Données projet'!$A$88,'Données projet'!$B$88,BD67+BC68-BL67)))</f>
        <v>150.5</v>
      </c>
      <c r="BE68" s="14">
        <f>BD68*VLOOKUP('Données projet'!$B$11,Paramètres!$A$1:$I$88,3,0)*VLOOKUP('Données projet'!$B$11,Paramètres!$A$1:$I$88,5,0)</f>
        <v>152.607</v>
      </c>
      <c r="BF68" s="14">
        <f t="shared" si="37"/>
        <v>39.170440293600642</v>
      </c>
      <c r="BG68" s="22">
        <f t="shared" ref="BG68:BG131" si="61">(BE68+BF68)*0.475*44/12</f>
        <v>334.0123751780211</v>
      </c>
      <c r="BH68" s="60">
        <f t="shared" ref="BH68:BH131" si="62">BG68+(AY68+AZ68)*44/12</f>
        <v>597.95558129447636</v>
      </c>
      <c r="BI68" s="60">
        <f ca="1">AVERAGE(OFFSET($BH$3,0,0,'Données projet'!$E$11+1,1))-AVERAGE(OFFSET($H$3,0,0,'Données projet'!$E$11+1,1))</f>
        <v>108.30434106718693</v>
      </c>
      <c r="BJ68" s="60">
        <f t="shared" si="38"/>
        <v>67.653808657585842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10.673935471567674</v>
      </c>
      <c r="BQ68" s="23">
        <f>EXP(-LN(2)/25)*BQ67+(1-EXP(-LN(2)/25))/(LN(2)/25)*Calculateur!BL68*Calculateur!BN68*VLOOKUP('Données projet'!$B$11,Paramètres!$A$1:$I$88,3,0)*0.475*44/12</f>
        <v>0</v>
      </c>
      <c r="BR68" s="23">
        <f>EXP(-LN(2)/2)*BR67+(1-EXP(-LN(2)/2))/(LN(2)/2)*BL68*BO68*VLOOKUP('Données projet'!$B$11,Paramètres!$A$1:$I$88,3,0)*0.475*44/12</f>
        <v>0</v>
      </c>
      <c r="BS68" s="24">
        <f t="shared" ref="BS68:BS131" si="63">SUM(BP68:BR68)</f>
        <v>10.673935471567674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projet'!$B$12,Paramètres!$A$1:$I$88,3,0)*VLOOKUP('Données projet'!$B$12,Paramètres!$A$1:$I$88,5,0)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0" t="e">
        <f t="shared" ref="CC68:CC131" si="65">CB68+(BT68+BU68)*44/12</f>
        <v>#NUM!</v>
      </c>
      <c r="CD68" s="60">
        <f ca="1">AVERAGE(OFFSET($CC$3,0,0,'Données projet'!$E$12+1,1))-AVERAGE(OFFSET($H$3,0,0,'Données projet'!$E$12+1,1))</f>
        <v>171.08593400758221</v>
      </c>
      <c r="CE68" s="60">
        <f t="shared" si="40"/>
        <v>201.9528484086932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projet'!$B$12,Paramètres!$A$1:$I$88,3,0)*0.475*44/12</f>
        <v>66.386799781443997</v>
      </c>
      <c r="CL68" s="23">
        <f>EXP(-LN(2)/25)*CL67+(1-EXP(-LN(2)/25))/(LN(2)/25)*Calculateur!CG68*Calculateur!CI68*VLOOKUP('Données projet'!$B$12,Paramètres!$A$1:$I$88,3,0)*0.475*44/12</f>
        <v>37.152937716712344</v>
      </c>
      <c r="CM68" s="23">
        <f>EXP(-LN(2)/2)*CM67+(1-EXP(-LN(2)/2))/(LN(2)/2)*CG68*CJ68*VLOOKUP('Données projet'!$B$12,Paramètres!$A$1:$I$88,3,0)*0.475*44/12</f>
        <v>0</v>
      </c>
      <c r="CN68" s="24">
        <f t="shared" ref="CN68:CN131" si="66">SUM(CK68:CM68)</f>
        <v>103.53973749815634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347</v>
      </c>
      <c r="CR68" s="13">
        <f>VLOOKUP(A68,'Données projet'!$A$139:$I$159,9,0)</f>
        <v>7.4</v>
      </c>
      <c r="CS68" s="13">
        <f t="array" ref="CS68">INDEX(CR:CR,MIN(IF(ISNUMBER(CR68:CR264),ROW(CR68:CR264),"")))</f>
        <v>7.4</v>
      </c>
      <c r="CT68" s="13">
        <f>IF('Données projet'!$A$140&gt;35,CT67+CS68-DB67,IF(A68&lt;'Données projet'!$A$140,$CQ$205^A68,IF(A68='Données projet'!$A$140,'Données projet'!$B$140,CT67+CS68-DB67)))</f>
        <v>346.99999999999983</v>
      </c>
      <c r="CU68" s="18">
        <f>CT68*VLOOKUP('Données projet'!$B$13,Paramètres!$A$1:$I$88,3,0)*VLOOKUP('Données projet'!$B$13,Paramètres!$A$1:$I$88,5,0)</f>
        <v>232.76759999999987</v>
      </c>
      <c r="CV68" s="14">
        <f t="shared" si="41"/>
        <v>56.880684135164152</v>
      </c>
      <c r="CW68" s="22">
        <f t="shared" ref="CW68:CW131" si="67">(CU68+CV68)*0.475*44/12</f>
        <v>504.47076153541065</v>
      </c>
      <c r="CX68" s="60">
        <f t="shared" ref="CX68:CX131" si="68">CW68+(CO68+CP68)*44/12</f>
        <v>768.41396765186585</v>
      </c>
      <c r="CY68" s="60">
        <f ca="1">AVERAGE(OFFSET($CX$3,0,0,'Données projet'!$E$13+1,1))-AVERAGE(OFFSET($H$3,0,0,'Données projet'!$E$13+1,1))</f>
        <v>283.66646124753868</v>
      </c>
      <c r="CZ68" s="60">
        <f t="shared" si="42"/>
        <v>331.61926649572797</v>
      </c>
      <c r="DA68" s="16">
        <f>IF(ISNA(VLOOKUP(A68,'Données projet'!$A$139:$I$159,3,0)),0,VLOOKUP(A68,'Données projet'!$A$139:$I$159,3,0))</f>
        <v>11</v>
      </c>
      <c r="DB68" s="16">
        <f>IF(ISNA(VLOOKUP(A68,'Données projet'!$A$139:$I$159,4,0)),0,VLOOKUP(A68,'Données projet'!$A$139:$I$159,4,0))</f>
        <v>21</v>
      </c>
      <c r="DC68" s="17">
        <f>IF(ISNA(VLOOKUP(A68,'Données projet'!$A$139:$I$159,5,0)),0%,VLOOKUP(A68,'Données projet'!$A$139:$I$159,5,0)*VLOOKUP('Données projet'!$B$13,Paramètres!$A$1:$I$88,7,0))</f>
        <v>0.318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projet'!$B$13,Paramètres!$A$1:$I$88,3,0)*0.475*44/12</f>
        <v>17.678877073116645</v>
      </c>
      <c r="DG68" s="23">
        <f>EXP(-LN(2)/25)*DG67+(1-EXP(-LN(2)/25))/(LN(2)/25)*Calculateur!DB68*Calculateur!DD68*VLOOKUP('Données projet'!$B$13,Paramètres!$A$1:$I$88,3,0)*0.475*44/12</f>
        <v>0</v>
      </c>
      <c r="DH68" s="23">
        <f>EXP(-LN(2)/2)*DH67+(1-EXP(-LN(2)/2))/(LN(2)/2)*DB68*DE68*VLOOKUP('Données projet'!$B$13,Paramètres!$A$1:$I$88,3,0)*0.475*44/12</f>
        <v>0</v>
      </c>
      <c r="DI68" s="24">
        <f t="shared" ref="DI68:DI131" si="69">SUM(DF68:DH68)</f>
        <v>17.678877073116645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1.1368683772161603E-13</v>
      </c>
      <c r="DP68" s="18">
        <f>DO68*VLOOKUP('Données projet'!$B$14,Paramètres!$A$1:$I$88,3,0)*VLOOKUP('Données projet'!$B$14,Paramètres!$A$1:$I$88,5,0)</f>
        <v>8.3355189417488869E-14</v>
      </c>
      <c r="DQ68" s="14">
        <f t="shared" si="43"/>
        <v>1.2790518435140618E-12</v>
      </c>
      <c r="DR68" s="22">
        <f t="shared" ref="DR68:DR131" si="70">(DP68+DQ68)*0.475*44/12</f>
        <v>2.3728589156891171E-12</v>
      </c>
      <c r="DS68" s="60">
        <f t="shared" ref="DS68:DS131" si="71">DR68+(DJ68+DK68)*44/12</f>
        <v>263.94320611645759</v>
      </c>
      <c r="DT68" s="60">
        <f ca="1">AVERAGE(OFFSET($DS$3,0,0,'Données projet'!$E$14+1,1))-AVERAGE(OFFSET($H$3,0,0,'Données projet'!$E$14+1,1))</f>
        <v>212.77458587586861</v>
      </c>
      <c r="DU68" s="60">
        <f t="shared" si="44"/>
        <v>260.45879589483513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projet'!$B$14,Paramètres!$A$1:$I$88,3,0)*0.475*44/12</f>
        <v>32.507540489805777</v>
      </c>
      <c r="EB68" s="23">
        <f>EXP(-LN(2)/25)*EB67+(1-EXP(-LN(2)/25))/(LN(2)/25)*Calculateur!DW68*Calculateur!DY68*VLOOKUP('Données projet'!$B$14,Paramètres!$A$1:$I$88,3,0)*0.475*44/12</f>
        <v>17.637553657226647</v>
      </c>
      <c r="EC68" s="23">
        <f>EXP(-LN(2)/2)*EC67+(1-EXP(-LN(2)/2))/(LN(2)/2)*DW68*DZ68*VLOOKUP('Données projet'!$B$14,Paramètres!$A$1:$I$88,3,0)*0.475*44/12</f>
        <v>0</v>
      </c>
      <c r="ED68" s="24">
        <f t="shared" ref="ED68:ED131" si="72">SUM(EA68:EC68)</f>
        <v>50.145094147032424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5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8">
        <f t="shared" si="56"/>
        <v>183.33333333333334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14.428571428571429</v>
      </c>
      <c r="N69" s="14">
        <f>IF('Données projet'!$A$36&gt;35,N68+M69-V68,IF(A69&lt;'Données projet'!$A$36,$K$205^A69,IF(A69='Données projet'!$A$36,'Données projet'!$B$36,N68+M69-V68)))</f>
        <v>506.5714285714289</v>
      </c>
      <c r="O69" s="14">
        <f>N69*VLOOKUP('Données projet'!$B$9,Paramètres!$A$1:$I$88,3,0)*VLOOKUP('Données projet'!$B$9,Paramètres!$A$1:$I$88,5,0)</f>
        <v>283.17342857142876</v>
      </c>
      <c r="P69" s="14">
        <f t="shared" ref="P69:P132" si="87">EXP(-1.0587+0.8836*LN(O69)+0.284)</f>
        <v>67.637205052920223</v>
      </c>
      <c r="Q69" s="22">
        <f t="shared" si="54"/>
        <v>610.99518689574109</v>
      </c>
      <c r="R69" s="60">
        <f t="shared" si="55"/>
        <v>875.44824601292817</v>
      </c>
      <c r="S69" s="60">
        <f ca="1">AVERAGE(OFFSET($R$3,0,0,'Données projet'!$E$9+1,1))-AVERAGE(OFFSET($H$3,0,0,'Données projet'!$E$9+1,1))</f>
        <v>366.29380214443631</v>
      </c>
      <c r="T69" s="60">
        <f t="shared" ref="T69:T132" si="88">$T$3</f>
        <v>413.14502442862897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61.05969447937477</v>
      </c>
      <c r="AA69" s="23">
        <f>EXP(-LN(2)/25)*AA68+(1-EXP(-LN(2)/25))/(LN(2)/25)*Calculateur!V69*Calculateur!X69*VLOOKUP('Données projet'!$B$9,Paramètres!$A$1:$I$88,3,0)*0.475*44/12</f>
        <v>46.932955270727803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107.99264975010257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11.53125</v>
      </c>
      <c r="AI69" s="14">
        <f>IF('Données projet'!$A$62&gt;35,AI68+AH69-AQ68,IF(A69&lt;'Données projet'!$A$62,$AF$205^A69,IF(A69='Données projet'!$A$62,'Données projet'!$B$62,AI68+AH69-AQ68)))</f>
        <v>396.52499999999992</v>
      </c>
      <c r="AJ69" s="14">
        <f>AI69*VLOOKUP('Données projet'!$B$10,Paramètres!$A$1:$I$88,3,0)*VLOOKUP('Données projet'!$B$10,Paramètres!$A$1:$I$88,5,0)</f>
        <v>346.40423999999996</v>
      </c>
      <c r="AK69" s="14">
        <f t="shared" ref="AK69:AK132" si="89">EXP(-1.0587+0.8836*LN(AJ69)+0.284)</f>
        <v>80.821662503289502</v>
      </c>
      <c r="AL69" s="22">
        <f t="shared" si="58"/>
        <v>744.08511352656251</v>
      </c>
      <c r="AM69" s="60">
        <f t="shared" si="59"/>
        <v>1008.5381726437496</v>
      </c>
      <c r="AN69" s="60">
        <f ca="1">AVERAGE(OFFSET($AM$3,0,0,'Données projet'!$E$10+1,1))-AVERAGE(OFFSET($H$3,0,0,'Données projet'!$E$10+1,1))</f>
        <v>436.5217771315057</v>
      </c>
      <c r="AO69" s="60">
        <f t="shared" ref="AO69:AO132" si="90">$AO$3</f>
        <v>308.97310256098365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28.39841628583013</v>
      </c>
      <c r="AV69" s="23">
        <f>EXP(-LN(2)/25)*AV68+(1-EXP(-LN(2)/25))/(LN(2)/25)*Calculateur!AQ69*Calculateur!AS69*VLOOKUP('Données projet'!$B$10,Paramètres!$A$1:$I$88,3,0)*0.475*44/12</f>
        <v>13.83052848584175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42.228944771671877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6.125</v>
      </c>
      <c r="BD69" s="13">
        <f>IF('Données projet'!$A$88&gt;35,BD68+BC69-BL68,IF(A69&lt;'Données projet'!$A$88,$BA$205^A69,IF(A69='Données projet'!$A$88,'Données projet'!$B$88,BD68+BC69-BL68)))</f>
        <v>156.625</v>
      </c>
      <c r="BE69" s="14">
        <f>BD69*VLOOKUP('Données projet'!$B$11,Paramètres!$A$1:$I$88,3,0)*VLOOKUP('Données projet'!$B$11,Paramètres!$A$1:$I$88,5,0)</f>
        <v>158.81775000000002</v>
      </c>
      <c r="BF69" s="14">
        <f t="shared" ref="BF69:BF132" si="91">EXP(-1.0587+0.8836*LN(BE69)+0.284)</f>
        <v>40.575740627287146</v>
      </c>
      <c r="BG69" s="22">
        <f t="shared" si="61"/>
        <v>347.27699617585841</v>
      </c>
      <c r="BH69" s="60">
        <f t="shared" si="62"/>
        <v>611.73005529304555</v>
      </c>
      <c r="BI69" s="60">
        <f ca="1">AVERAGE(OFFSET($BH$3,0,0,'Données projet'!$E$11+1,1))-AVERAGE(OFFSET($H$3,0,0,'Données projet'!$E$11+1,1))</f>
        <v>108.30434106718693</v>
      </c>
      <c r="BJ69" s="60">
        <f t="shared" ref="BJ69:BJ132" si="92">$BJ$3</f>
        <v>67.653808657585842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10.464626107428016</v>
      </c>
      <c r="BQ69" s="23">
        <f>EXP(-LN(2)/25)*BQ68+(1-EXP(-LN(2)/25))/(LN(2)/25)*Calculateur!BL69*Calculateur!BN69*VLOOKUP('Données projet'!$B$11,Paramètres!$A$1:$I$88,3,0)*0.475*44/12</f>
        <v>0</v>
      </c>
      <c r="BR69" s="23">
        <f>EXP(-LN(2)/2)*BR68+(1-EXP(-LN(2)/2))/(LN(2)/2)*BL69*BO69*VLOOKUP('Données projet'!$B$11,Paramètres!$A$1:$I$88,3,0)*0.475*44/12</f>
        <v>0</v>
      </c>
      <c r="BS69" s="24">
        <f t="shared" si="63"/>
        <v>10.464626107428016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projet'!$B$12,Paramètres!$A$1:$I$88,3,0)*VLOOKUP('Données projet'!$B$12,Paramètres!$A$1:$I$88,5,0)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0" t="e">
        <f t="shared" si="65"/>
        <v>#NUM!</v>
      </c>
      <c r="CD69" s="60">
        <f ca="1">AVERAGE(OFFSET($CC$3,0,0,'Données projet'!$E$12+1,1))-AVERAGE(OFFSET($H$3,0,0,'Données projet'!$E$12+1,1))</f>
        <v>171.08593400758221</v>
      </c>
      <c r="CE69" s="60">
        <f t="shared" ref="CE69:CE132" si="94">$CE$3</f>
        <v>201.9528484086932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projet'!$B$12,Paramètres!$A$1:$I$88,3,0)*0.475*44/12</f>
        <v>65.084995129679498</v>
      </c>
      <c r="CL69" s="23">
        <f>EXP(-LN(2)/25)*CL68+(1-EXP(-LN(2)/25))/(LN(2)/25)*Calculateur!CG69*Calculateur!CI69*VLOOKUP('Données projet'!$B$12,Paramètres!$A$1:$I$88,3,0)*0.475*44/12</f>
        <v>36.136988681060764</v>
      </c>
      <c r="CM69" s="23">
        <f>EXP(-LN(2)/2)*CM68+(1-EXP(-LN(2)/2))/(LN(2)/2)*CG69*CJ69*VLOOKUP('Données projet'!$B$12,Paramètres!$A$1:$I$88,3,0)*0.475*44/12</f>
        <v>0</v>
      </c>
      <c r="CN69" s="24">
        <f t="shared" si="66"/>
        <v>101.22198381074026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7.2</v>
      </c>
      <c r="CT69" s="13">
        <f>IF('Données projet'!$A$140&gt;35,CT68+CS69-DB68,IF(A69&lt;'Données projet'!$A$140,$CQ$205^A69,IF(A69='Données projet'!$A$140,'Données projet'!$B$140,CT68+CS69-DB68)))</f>
        <v>333.19999999999982</v>
      </c>
      <c r="CU69" s="18">
        <f>CT69*VLOOKUP('Données projet'!$B$13,Paramètres!$A$1:$I$88,3,0)*VLOOKUP('Données projet'!$B$13,Paramètres!$A$1:$I$88,5,0)</f>
        <v>223.51055999999988</v>
      </c>
      <c r="CV69" s="14">
        <f t="shared" ref="CV69:CV132" si="95">EXP(-1.0587+0.8836*LN(CU69)+0.284)</f>
        <v>54.877184161405474</v>
      </c>
      <c r="CW69" s="22">
        <f t="shared" si="67"/>
        <v>484.85865441444759</v>
      </c>
      <c r="CX69" s="60">
        <f t="shared" si="68"/>
        <v>749.31171353163472</v>
      </c>
      <c r="CY69" s="60">
        <f ca="1">AVERAGE(OFFSET($CX$3,0,0,'Données projet'!$E$13+1,1))-AVERAGE(OFFSET($H$3,0,0,'Données projet'!$E$13+1,1))</f>
        <v>283.66646124753868</v>
      </c>
      <c r="CZ69" s="60">
        <f t="shared" ref="CZ69:CZ132" si="96">$CZ$3</f>
        <v>331.61926649572797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projet'!$B$13,Paramètres!$A$1:$I$88,3,0)*0.475*44/12</f>
        <v>17.332205076763106</v>
      </c>
      <c r="DG69" s="23">
        <f>EXP(-LN(2)/25)*DG68+(1-EXP(-LN(2)/25))/(LN(2)/25)*Calculateur!DB69*Calculateur!DD69*VLOOKUP('Données projet'!$B$13,Paramètres!$A$1:$I$88,3,0)*0.475*44/12</f>
        <v>0</v>
      </c>
      <c r="DH69" s="23">
        <f>EXP(-LN(2)/2)*DH68+(1-EXP(-LN(2)/2))/(LN(2)/2)*DB69*DE69*VLOOKUP('Données projet'!$B$13,Paramètres!$A$1:$I$88,3,0)*0.475*44/12</f>
        <v>0</v>
      </c>
      <c r="DI69" s="24">
        <f t="shared" si="69"/>
        <v>17.332205076763106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1.1368683772161603E-13</v>
      </c>
      <c r="DP69" s="18">
        <f>DO69*VLOOKUP('Données projet'!$B$14,Paramètres!$A$1:$I$88,3,0)*VLOOKUP('Données projet'!$B$14,Paramètres!$A$1:$I$88,5,0)</f>
        <v>8.3355189417488869E-14</v>
      </c>
      <c r="DQ69" s="14">
        <f t="shared" ref="DQ69:DQ132" si="97">EXP(-1.0587+0.8836*LN(DP69)+0.284)</f>
        <v>1.2790518435140618E-12</v>
      </c>
      <c r="DR69" s="22">
        <f t="shared" si="70"/>
        <v>2.3728589156891171E-12</v>
      </c>
      <c r="DS69" s="60">
        <f t="shared" si="71"/>
        <v>264.45305911718947</v>
      </c>
      <c r="DT69" s="60">
        <f ca="1">AVERAGE(OFFSET($DS$3,0,0,'Données projet'!$E$14+1,1))-AVERAGE(OFFSET($H$3,0,0,'Données projet'!$E$14+1,1))</f>
        <v>212.77458587586861</v>
      </c>
      <c r="DU69" s="60">
        <f t="shared" ref="DU69:DU132" si="98">$DU$3</f>
        <v>260.45879589483513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projet'!$B$14,Paramètres!$A$1:$I$88,3,0)*0.475*44/12</f>
        <v>31.870087448442568</v>
      </c>
      <c r="EB69" s="23">
        <f>EXP(-LN(2)/25)*EB68+(1-EXP(-LN(2)/25))/(LN(2)/25)*Calculateur!DW69*Calculateur!DY69*VLOOKUP('Données projet'!$B$14,Paramètres!$A$1:$I$88,3,0)*0.475*44/12</f>
        <v>17.155253824951149</v>
      </c>
      <c r="EC69" s="23">
        <f>EXP(-LN(2)/2)*EC68+(1-EXP(-LN(2)/2))/(LN(2)/2)*DW69*DZ69*VLOOKUP('Données projet'!$B$14,Paramètres!$A$1:$I$88,3,0)*0.475*44/12</f>
        <v>0</v>
      </c>
      <c r="ED69" s="24">
        <f t="shared" si="72"/>
        <v>49.025341273393721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5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8">
        <f t="shared" si="56"/>
        <v>183.33333333333334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>
        <f>VLOOKUP(A70,'Données projet'!$A$35:$I$55,2,0)</f>
        <v>521</v>
      </c>
      <c r="L70" s="13">
        <f>VLOOKUP(A70,'Données projet'!$A$35:$I$55,9,0)</f>
        <v>14.428571428571429</v>
      </c>
      <c r="M70" s="13">
        <f t="array" ref="M70">INDEX(L:L,MIN(IF(ISNUMBER(L70:L266),ROW(L70:L266),"")))</f>
        <v>14.428571428571429</v>
      </c>
      <c r="N70" s="14">
        <f>IF('Données projet'!$A$36&gt;35,N69+M70-V69,IF(A70&lt;'Données projet'!$A$36,$K$205^A70,IF(A70='Données projet'!$A$36,'Données projet'!$B$36,N69+M70-V69)))</f>
        <v>521.00000000000034</v>
      </c>
      <c r="O70" s="14">
        <f>N70*VLOOKUP('Données projet'!$B$9,Paramètres!$A$1:$I$88,3,0)*VLOOKUP('Données projet'!$B$9,Paramètres!$A$1:$I$88,5,0)</f>
        <v>291.2390000000002</v>
      </c>
      <c r="P70" s="14">
        <f t="shared" si="87"/>
        <v>69.336665284362454</v>
      </c>
      <c r="Q70" s="22">
        <f t="shared" si="54"/>
        <v>628.00261703693161</v>
      </c>
      <c r="R70" s="60">
        <f t="shared" si="55"/>
        <v>892.95668434514846</v>
      </c>
      <c r="S70" s="60">
        <f ca="1">AVERAGE(OFFSET($R$3,0,0,'Données projet'!$E$9+1,1))-AVERAGE(OFFSET($H$3,0,0,'Données projet'!$E$9+1,1))</f>
        <v>366.29380214443631</v>
      </c>
      <c r="T70" s="60">
        <f t="shared" si="88"/>
        <v>413.14502442862897</v>
      </c>
      <c r="U70" s="16">
        <f>IF(ISNA(VLOOKUP(A70,'Données projet'!$A$35:$I$55,3,0)),0,VLOOKUP(A70,'Données projet'!$A$35:$I$55,3,0))</f>
        <v>7</v>
      </c>
      <c r="V70" s="16">
        <f>IF(ISNA(VLOOKUP(A70,'Données projet'!$A$35:$I$55,4,0)),0,VLOOKUP(A70,'Données projet'!$A$35:$I$55,4,0))</f>
        <v>521</v>
      </c>
      <c r="W70" s="17">
        <f>IF(ISNA(VLOOKUP(A70,'Données projet'!$A$35:$I$55,5,0)),0%,VLOOKUP(A70,'Données projet'!$A$35:$I$55,5,0)*VLOOKUP('Données projet'!$B$9,Paramètres!$A$1:$I$88,7,0))</f>
        <v>0.38500000000000001</v>
      </c>
      <c r="X70" s="17">
        <f>IF(ISNA(VLOOKUP(A70,'Données projet'!$A$35:$I$55,6,0)),0%,VLOOKUP(A70,'Données projet'!$A$35:$I$55,6,0)*VLOOKUP('Données projet'!$B$9,Paramètres!$A$1:$I$88,7,0))</f>
        <v>0.16500000000000001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208.60606370690664</v>
      </c>
      <c r="AA70" s="23">
        <f>EXP(-LN(2)/25)*AA69+(1-EXP(-LN(2)/25))/(LN(2)/25)*Calculateur!V70*Calculateur!X70*VLOOKUP('Données projet'!$B$9,Paramètres!$A$1:$I$88,3,0)*0.475*44/12</f>
        <v>109.14587910700615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317.75194281391282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11.53125</v>
      </c>
      <c r="AI70" s="14">
        <f>IF('Données projet'!$A$62&gt;35,AI69+AH70-AQ69,IF(A70&lt;'Données projet'!$A$62,$AF$205^A70,IF(A70='Données projet'!$A$62,'Données projet'!$B$62,AI69+AH70-AQ69)))</f>
        <v>408.05624999999992</v>
      </c>
      <c r="AJ70" s="14">
        <f>AI70*VLOOKUP('Données projet'!$B$10,Paramètres!$A$1:$I$88,3,0)*VLOOKUP('Données projet'!$B$10,Paramètres!$A$1:$I$88,5,0)</f>
        <v>356.47793999999999</v>
      </c>
      <c r="AK70" s="14">
        <f t="shared" si="89"/>
        <v>82.894959325871184</v>
      </c>
      <c r="AL70" s="22">
        <f t="shared" si="58"/>
        <v>765.24113299255896</v>
      </c>
      <c r="AM70" s="60">
        <f t="shared" si="59"/>
        <v>1030.1952003007759</v>
      </c>
      <c r="AN70" s="60">
        <f ca="1">AVERAGE(OFFSET($AM$3,0,0,'Données projet'!$E$10+1,1))-AVERAGE(OFFSET($H$3,0,0,'Données projet'!$E$10+1,1))</f>
        <v>436.5217771315057</v>
      </c>
      <c r="AO70" s="60">
        <f t="shared" si="90"/>
        <v>308.97310256098365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27.841540663788596</v>
      </c>
      <c r="AV70" s="23">
        <f>EXP(-LN(2)/25)*AV69+(1-EXP(-LN(2)/25))/(LN(2)/25)*Calculateur!AQ70*Calculateur!AS70*VLOOKUP('Données projet'!$B$10,Paramètres!$A$1:$I$88,3,0)*0.475*44/12</f>
        <v>13.452331957080524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41.293872620869124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6.125</v>
      </c>
      <c r="BD70" s="13">
        <f>IF('Données projet'!$A$88&gt;35,BD69+BC70-BL69,IF(A70&lt;'Données projet'!$A$88,$BA$205^A70,IF(A70='Données projet'!$A$88,'Données projet'!$B$88,BD69+BC70-BL69)))</f>
        <v>162.75</v>
      </c>
      <c r="BE70" s="14">
        <f>BD70*VLOOKUP('Données projet'!$B$11,Paramètres!$A$1:$I$88,3,0)*VLOOKUP('Données projet'!$B$11,Paramètres!$A$1:$I$88,5,0)</f>
        <v>165.02850000000001</v>
      </c>
      <c r="BF70" s="14">
        <f t="shared" si="91"/>
        <v>41.974656915116022</v>
      </c>
      <c r="BG70" s="22">
        <f t="shared" si="61"/>
        <v>360.53049829382707</v>
      </c>
      <c r="BH70" s="60">
        <f t="shared" si="62"/>
        <v>625.48456560204397</v>
      </c>
      <c r="BI70" s="60">
        <f ca="1">AVERAGE(OFFSET($BH$3,0,0,'Données projet'!$E$11+1,1))-AVERAGE(OFFSET($H$3,0,0,'Données projet'!$E$11+1,1))</f>
        <v>108.30434106718693</v>
      </c>
      <c r="BJ70" s="60">
        <f t="shared" si="92"/>
        <v>67.653808657585842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10.259421172253029</v>
      </c>
      <c r="BQ70" s="23">
        <f>EXP(-LN(2)/25)*BQ69+(1-EXP(-LN(2)/25))/(LN(2)/25)*Calculateur!BL70*Calculateur!BN70*VLOOKUP('Données projet'!$B$11,Paramètres!$A$1:$I$88,3,0)*0.475*44/12</f>
        <v>0</v>
      </c>
      <c r="BR70" s="23">
        <f>EXP(-LN(2)/2)*BR69+(1-EXP(-LN(2)/2))/(LN(2)/2)*BL70*BO70*VLOOKUP('Données projet'!$B$11,Paramètres!$A$1:$I$88,3,0)*0.475*44/12</f>
        <v>0</v>
      </c>
      <c r="BS70" s="24">
        <f t="shared" si="63"/>
        <v>10.259421172253029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projet'!$B$12,Paramètres!$A$1:$I$88,3,0)*VLOOKUP('Données projet'!$B$12,Paramètres!$A$1:$I$88,5,0)</f>
        <v>0</v>
      </c>
      <c r="CA70" s="14" t="e">
        <f t="shared" si="93"/>
        <v>#NUM!</v>
      </c>
      <c r="CB70" s="22" t="e">
        <f t="shared" si="64"/>
        <v>#NUM!</v>
      </c>
      <c r="CC70" s="60" t="e">
        <f t="shared" si="65"/>
        <v>#NUM!</v>
      </c>
      <c r="CD70" s="60">
        <f ca="1">AVERAGE(OFFSET($CC$3,0,0,'Données projet'!$E$12+1,1))-AVERAGE(OFFSET($H$3,0,0,'Données projet'!$E$12+1,1))</f>
        <v>171.08593400758221</v>
      </c>
      <c r="CE70" s="60">
        <f t="shared" si="94"/>
        <v>201.9528484086932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projet'!$B$12,Paramètres!$A$1:$I$88,3,0)*0.475*44/12</f>
        <v>63.808718073113667</v>
      </c>
      <c r="CL70" s="23">
        <f>EXP(-LN(2)/25)*CL69+(1-EXP(-LN(2)/25))/(LN(2)/25)*Calculateur!CG70*Calculateur!CI70*VLOOKUP('Données projet'!$B$12,Paramètres!$A$1:$I$88,3,0)*0.475*44/12</f>
        <v>35.148820825215516</v>
      </c>
      <c r="CM70" s="23">
        <f>EXP(-LN(2)/2)*CM69+(1-EXP(-LN(2)/2))/(LN(2)/2)*CG70*CJ70*VLOOKUP('Données projet'!$B$12,Paramètres!$A$1:$I$88,3,0)*0.475*44/12</f>
        <v>0</v>
      </c>
      <c r="CN70" s="24">
        <f t="shared" si="66"/>
        <v>98.957538898329176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7.2</v>
      </c>
      <c r="CT70" s="13">
        <f>IF('Données projet'!$A$140&gt;35,CT69+CS70-DB69,IF(A70&lt;'Données projet'!$A$140,$CQ$205^A70,IF(A70='Données projet'!$A$140,'Données projet'!$B$140,CT69+CS70-DB69)))</f>
        <v>340.39999999999981</v>
      </c>
      <c r="CU70" s="18">
        <f>CT70*VLOOKUP('Données projet'!$B$13,Paramètres!$A$1:$I$88,3,0)*VLOOKUP('Données projet'!$B$13,Paramètres!$A$1:$I$88,5,0)</f>
        <v>228.34031999999985</v>
      </c>
      <c r="CV70" s="14">
        <f t="shared" si="95"/>
        <v>55.923668794011057</v>
      </c>
      <c r="CW70" s="22">
        <f t="shared" si="67"/>
        <v>495.0931138162357</v>
      </c>
      <c r="CX70" s="60">
        <f t="shared" si="68"/>
        <v>760.04718112445266</v>
      </c>
      <c r="CY70" s="60">
        <f ca="1">AVERAGE(OFFSET($CX$3,0,0,'Données projet'!$E$13+1,1))-AVERAGE(OFFSET($H$3,0,0,'Données projet'!$E$13+1,1))</f>
        <v>283.66646124753868</v>
      </c>
      <c r="CZ70" s="60">
        <f t="shared" si="96"/>
        <v>331.61926649572797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projet'!$B$13,Paramètres!$A$1:$I$88,3,0)*0.475*44/12</f>
        <v>16.992331106809019</v>
      </c>
      <c r="DG70" s="23">
        <f>EXP(-LN(2)/25)*DG69+(1-EXP(-LN(2)/25))/(LN(2)/25)*Calculateur!DB70*Calculateur!DD70*VLOOKUP('Données projet'!$B$13,Paramètres!$A$1:$I$88,3,0)*0.475*44/12</f>
        <v>0</v>
      </c>
      <c r="DH70" s="23">
        <f>EXP(-LN(2)/2)*DH69+(1-EXP(-LN(2)/2))/(LN(2)/2)*DB70*DE70*VLOOKUP('Données projet'!$B$13,Paramètres!$A$1:$I$88,3,0)*0.475*44/12</f>
        <v>0</v>
      </c>
      <c r="DI70" s="24">
        <f t="shared" si="69"/>
        <v>16.992331106809019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1.1368683772161603E-13</v>
      </c>
      <c r="DP70" s="18">
        <f>DO70*VLOOKUP('Données projet'!$B$14,Paramètres!$A$1:$I$88,3,0)*VLOOKUP('Données projet'!$B$14,Paramètres!$A$1:$I$88,5,0)</f>
        <v>8.3355189417488869E-14</v>
      </c>
      <c r="DQ70" s="14">
        <f t="shared" si="97"/>
        <v>1.2790518435140618E-12</v>
      </c>
      <c r="DR70" s="22">
        <f t="shared" si="70"/>
        <v>2.3728589156891171E-12</v>
      </c>
      <c r="DS70" s="60">
        <f t="shared" si="71"/>
        <v>264.95406730821929</v>
      </c>
      <c r="DT70" s="60">
        <f ca="1">AVERAGE(OFFSET($DS$3,0,0,'Données projet'!$E$14+1,1))-AVERAGE(OFFSET($H$3,0,0,'Données projet'!$E$14+1,1))</f>
        <v>212.77458587586861</v>
      </c>
      <c r="DU70" s="60">
        <f t="shared" si="98"/>
        <v>260.45879589483513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projet'!$B$14,Paramètres!$A$1:$I$88,3,0)*0.475*44/12</f>
        <v>31.245134472412527</v>
      </c>
      <c r="EB70" s="23">
        <f>EXP(-LN(2)/25)*EB69+(1-EXP(-LN(2)/25))/(LN(2)/25)*Calculateur!DW70*Calculateur!DY70*VLOOKUP('Données projet'!$B$14,Paramètres!$A$1:$I$88,3,0)*0.475*44/12</f>
        <v>16.686142506952269</v>
      </c>
      <c r="EC70" s="23">
        <f>EXP(-LN(2)/2)*EC69+(1-EXP(-LN(2)/2))/(LN(2)/2)*DW70*DZ70*VLOOKUP('Données projet'!$B$14,Paramètres!$A$1:$I$88,3,0)*0.475*44/12</f>
        <v>0</v>
      </c>
      <c r="ED70" s="24">
        <f t="shared" si="72"/>
        <v>47.931276979364796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5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8">
        <f t="shared" si="56"/>
        <v>183.33333333333334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3.4106051316484809E-13</v>
      </c>
      <c r="O71" s="14">
        <f>N71*VLOOKUP('Données projet'!$B$9,Paramètres!$A$1:$I$88,3,0)*VLOOKUP('Données projet'!$B$9,Paramètres!$A$1:$I$88,5,0)</f>
        <v>1.9065282685915009E-13</v>
      </c>
      <c r="P71" s="14">
        <f t="shared" si="87"/>
        <v>2.6568987209435707E-12</v>
      </c>
      <c r="Q71" s="22">
        <f t="shared" si="54"/>
        <v>4.959485612423072E-12</v>
      </c>
      <c r="R71" s="60">
        <f t="shared" si="55"/>
        <v>265.44638412722378</v>
      </c>
      <c r="S71" s="60">
        <f ca="1">AVERAGE(OFFSET($R$3,0,0,'Données projet'!$E$9+1,1))-AVERAGE(OFFSET($H$3,0,0,'Données projet'!$E$9+1,1))</f>
        <v>366.29380214443631</v>
      </c>
      <c r="T71" s="60">
        <f t="shared" si="88"/>
        <v>413.14502442862897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204.51542603474942</v>
      </c>
      <c r="AA71" s="23">
        <f>EXP(-LN(2)/25)*AA70+(1-EXP(-LN(2)/25))/(LN(2)/25)*Calculateur!V71*Calculateur!X71*VLOOKUP('Données projet'!$B$9,Paramètres!$A$1:$I$88,3,0)*0.475*44/12</f>
        <v>106.16127930309274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310.67670533784218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11.53125</v>
      </c>
      <c r="AI71" s="14">
        <f>IF('Données projet'!$A$62&gt;35,AI70+AH71-AQ70,IF(A71&lt;'Données projet'!$A$62,$AF$205^A71,IF(A71='Données projet'!$A$62,'Données projet'!$B$62,AI70+AH71-AQ70)))</f>
        <v>419.58749999999992</v>
      </c>
      <c r="AJ71" s="14">
        <f>AI71*VLOOKUP('Données projet'!$B$10,Paramètres!$A$1:$I$88,3,0)*VLOOKUP('Données projet'!$B$10,Paramètres!$A$1:$I$88,5,0)</f>
        <v>366.55163999999996</v>
      </c>
      <c r="AK71" s="14">
        <f t="shared" si="89"/>
        <v>84.961446607721712</v>
      </c>
      <c r="AL71" s="22">
        <f t="shared" si="58"/>
        <v>786.38529250844852</v>
      </c>
      <c r="AM71" s="60">
        <f t="shared" si="59"/>
        <v>1051.8316766356675</v>
      </c>
      <c r="AN71" s="60">
        <f ca="1">AVERAGE(OFFSET($AM$3,0,0,'Données projet'!$E$10+1,1))-AVERAGE(OFFSET($H$3,0,0,'Données projet'!$E$10+1,1))</f>
        <v>436.5217771315057</v>
      </c>
      <c r="AO71" s="60">
        <f t="shared" si="90"/>
        <v>308.97310256098365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27.295585033034705</v>
      </c>
      <c r="AV71" s="23">
        <f>EXP(-LN(2)/25)*AV70+(1-EXP(-LN(2)/25))/(LN(2)/25)*Calculateur!AQ71*Calculateur!AS71*VLOOKUP('Données projet'!$B$10,Paramètres!$A$1:$I$88,3,0)*0.475*44/12</f>
        <v>13.084477232286766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40.38006226532147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6.125</v>
      </c>
      <c r="BD71" s="13">
        <f>IF('Données projet'!$A$88&gt;35,BD70+BC71-BL70,IF(A71&lt;'Données projet'!$A$88,$BA$205^A71,IF(A71='Données projet'!$A$88,'Données projet'!$B$88,BD70+BC71-BL70)))</f>
        <v>168.875</v>
      </c>
      <c r="BE71" s="14">
        <f>BD71*VLOOKUP('Données projet'!$B$11,Paramètres!$A$1:$I$88,3,0)*VLOOKUP('Données projet'!$B$11,Paramètres!$A$1:$I$88,5,0)</f>
        <v>171.23925</v>
      </c>
      <c r="BF71" s="14">
        <f t="shared" si="91"/>
        <v>43.367456925131577</v>
      </c>
      <c r="BG71" s="22">
        <f t="shared" si="61"/>
        <v>373.77334789460411</v>
      </c>
      <c r="BH71" s="60">
        <f t="shared" si="62"/>
        <v>639.21973202182289</v>
      </c>
      <c r="BI71" s="60">
        <f ca="1">AVERAGE(OFFSET($BH$3,0,0,'Données projet'!$E$11+1,1))-AVERAGE(OFFSET($H$3,0,0,'Données projet'!$E$11+1,1))</f>
        <v>108.30434106718693</v>
      </c>
      <c r="BJ71" s="60">
        <f t="shared" si="92"/>
        <v>67.653808657585842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10.058240180694172</v>
      </c>
      <c r="BQ71" s="23">
        <f>EXP(-LN(2)/25)*BQ70+(1-EXP(-LN(2)/25))/(LN(2)/25)*Calculateur!BL71*Calculateur!BN71*VLOOKUP('Données projet'!$B$11,Paramètres!$A$1:$I$88,3,0)*0.475*44/12</f>
        <v>0</v>
      </c>
      <c r="BR71" s="23">
        <f>EXP(-LN(2)/2)*BR70+(1-EXP(-LN(2)/2))/(LN(2)/2)*BL71*BO71*VLOOKUP('Données projet'!$B$11,Paramètres!$A$1:$I$88,3,0)*0.475*44/12</f>
        <v>0</v>
      </c>
      <c r="BS71" s="24">
        <f t="shared" si="63"/>
        <v>10.058240180694172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projet'!$B$12,Paramètres!$A$1:$I$88,3,0)*VLOOKUP('Données projet'!$B$12,Paramètres!$A$1:$I$88,5,0)</f>
        <v>0</v>
      </c>
      <c r="CA71" s="14" t="e">
        <f t="shared" si="93"/>
        <v>#NUM!</v>
      </c>
      <c r="CB71" s="22" t="e">
        <f t="shared" si="64"/>
        <v>#NUM!</v>
      </c>
      <c r="CC71" s="60" t="e">
        <f t="shared" si="65"/>
        <v>#NUM!</v>
      </c>
      <c r="CD71" s="60">
        <f ca="1">AVERAGE(OFFSET($CC$3,0,0,'Données projet'!$E$12+1,1))-AVERAGE(OFFSET($H$3,0,0,'Données projet'!$E$12+1,1))</f>
        <v>171.08593400758221</v>
      </c>
      <c r="CE71" s="60">
        <f t="shared" si="94"/>
        <v>201.9528484086932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projet'!$B$12,Paramètres!$A$1:$I$88,3,0)*0.475*44/12</f>
        <v>62.557468031174956</v>
      </c>
      <c r="CL71" s="23">
        <f>EXP(-LN(2)/25)*CL70+(1-EXP(-LN(2)/25))/(LN(2)/25)*Calculateur!CG71*Calculateur!CI71*VLOOKUP('Données projet'!$B$12,Paramètres!$A$1:$I$88,3,0)*0.475*44/12</f>
        <v>34.187674471353844</v>
      </c>
      <c r="CM71" s="23">
        <f>EXP(-LN(2)/2)*CM70+(1-EXP(-LN(2)/2))/(LN(2)/2)*CG71*CJ71*VLOOKUP('Données projet'!$B$12,Paramètres!$A$1:$I$88,3,0)*0.475*44/12</f>
        <v>0</v>
      </c>
      <c r="CN71" s="24">
        <f t="shared" si="66"/>
        <v>96.745142502528807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7.2</v>
      </c>
      <c r="CT71" s="13">
        <f>IF('Données projet'!$A$140&gt;35,CT70+CS71-DB70,IF(A71&lt;'Données projet'!$A$140,$CQ$205^A71,IF(A71='Données projet'!$A$140,'Données projet'!$B$140,CT70+CS71-DB70)))</f>
        <v>347.5999999999998</v>
      </c>
      <c r="CU71" s="18">
        <f>CT71*VLOOKUP('Données projet'!$B$13,Paramètres!$A$1:$I$88,3,0)*VLOOKUP('Données projet'!$B$13,Paramètres!$A$1:$I$88,5,0)</f>
        <v>233.17007999999987</v>
      </c>
      <c r="CV71" s="14">
        <f t="shared" si="95"/>
        <v>56.967579901004683</v>
      </c>
      <c r="CW71" s="22">
        <f t="shared" si="67"/>
        <v>505.32309099424953</v>
      </c>
      <c r="CX71" s="60">
        <f t="shared" si="68"/>
        <v>770.7694751214683</v>
      </c>
      <c r="CY71" s="60">
        <f ca="1">AVERAGE(OFFSET($CX$3,0,0,'Données projet'!$E$13+1,1))-AVERAGE(OFFSET($H$3,0,0,'Données projet'!$E$13+1,1))</f>
        <v>283.66646124753868</v>
      </c>
      <c r="CZ71" s="60">
        <f t="shared" si="96"/>
        <v>331.61926649572797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projet'!$B$13,Paramètres!$A$1:$I$88,3,0)*0.475*44/12</f>
        <v>16.659121858103081</v>
      </c>
      <c r="DG71" s="23">
        <f>EXP(-LN(2)/25)*DG70+(1-EXP(-LN(2)/25))/(LN(2)/25)*Calculateur!DB71*Calculateur!DD71*VLOOKUP('Données projet'!$B$13,Paramètres!$A$1:$I$88,3,0)*0.475*44/12</f>
        <v>0</v>
      </c>
      <c r="DH71" s="23">
        <f>EXP(-LN(2)/2)*DH70+(1-EXP(-LN(2)/2))/(LN(2)/2)*DB71*DE71*VLOOKUP('Données projet'!$B$13,Paramètres!$A$1:$I$88,3,0)*0.475*44/12</f>
        <v>0</v>
      </c>
      <c r="DI71" s="24">
        <f t="shared" si="69"/>
        <v>16.659121858103081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1.1368683772161603E-13</v>
      </c>
      <c r="DP71" s="18">
        <f>DO71*VLOOKUP('Données projet'!$B$14,Paramètres!$A$1:$I$88,3,0)*VLOOKUP('Données projet'!$B$14,Paramètres!$A$1:$I$88,5,0)</f>
        <v>8.3355189417488869E-14</v>
      </c>
      <c r="DQ71" s="14">
        <f t="shared" si="97"/>
        <v>1.2790518435140618E-12</v>
      </c>
      <c r="DR71" s="22">
        <f t="shared" si="70"/>
        <v>2.3728589156891171E-12</v>
      </c>
      <c r="DS71" s="60">
        <f t="shared" si="71"/>
        <v>265.44638412722122</v>
      </c>
      <c r="DT71" s="60">
        <f ca="1">AVERAGE(OFFSET($DS$3,0,0,'Données projet'!$E$14+1,1))-AVERAGE(OFFSET($H$3,0,0,'Données projet'!$E$14+1,1))</f>
        <v>212.77458587586861</v>
      </c>
      <c r="DU71" s="60">
        <f t="shared" si="98"/>
        <v>260.45879589483513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projet'!$B$14,Paramètres!$A$1:$I$88,3,0)*0.475*44/12</f>
        <v>30.632436443058758</v>
      </c>
      <c r="EB71" s="23">
        <f>EXP(-LN(2)/25)*EB70+(1-EXP(-LN(2)/25))/(LN(2)/25)*Calculateur!DW71*Calculateur!DY71*VLOOKUP('Données projet'!$B$14,Paramètres!$A$1:$I$88,3,0)*0.475*44/12</f>
        <v>16.22985906261356</v>
      </c>
      <c r="EC71" s="23">
        <f>EXP(-LN(2)/2)*EC70+(1-EXP(-LN(2)/2))/(LN(2)/2)*DW71*DZ71*VLOOKUP('Données projet'!$B$14,Paramètres!$A$1:$I$88,3,0)*0.475*44/12</f>
        <v>0</v>
      </c>
      <c r="ED71" s="24">
        <f t="shared" si="72"/>
        <v>46.862295505672321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5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8">
        <f t="shared" si="56"/>
        <v>183.33333333333334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3.4106051316484809E-13</v>
      </c>
      <c r="O72" s="14">
        <f>N72*VLOOKUP('Données projet'!$B$9,Paramètres!$A$1:$I$88,3,0)*VLOOKUP('Données projet'!$B$9,Paramètres!$A$1:$I$88,5,0)</f>
        <v>1.9065282685915009E-13</v>
      </c>
      <c r="P72" s="14">
        <f t="shared" si="87"/>
        <v>2.6568987209435707E-12</v>
      </c>
      <c r="Q72" s="22">
        <f t="shared" si="54"/>
        <v>4.959485612423072E-12</v>
      </c>
      <c r="R72" s="60">
        <f t="shared" si="55"/>
        <v>265.9301603500715</v>
      </c>
      <c r="S72" s="60">
        <f ca="1">AVERAGE(OFFSET($R$3,0,0,'Données projet'!$E$9+1,1))-AVERAGE(OFFSET($H$3,0,0,'Données projet'!$E$9+1,1))</f>
        <v>366.29380214443631</v>
      </c>
      <c r="T72" s="60">
        <f t="shared" si="88"/>
        <v>413.14502442862897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200.5050032723006</v>
      </c>
      <c r="AA72" s="23">
        <f>EXP(-LN(2)/25)*AA71+(1-EXP(-LN(2)/25))/(LN(2)/25)*Calculateur!V72*Calculateur!X72*VLOOKUP('Données projet'!$B$9,Paramètres!$A$1:$I$88,3,0)*0.475*44/12</f>
        <v>103.25829353777063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303.76329681007121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11.53125</v>
      </c>
      <c r="AI72" s="14">
        <f>IF('Données projet'!$A$62&gt;35,AI71+AH72-AQ71,IF(A72&lt;'Données projet'!$A$62,$AF$205^A72,IF(A72='Données projet'!$A$62,'Données projet'!$B$62,AI71+AH72-AQ71)))</f>
        <v>431.11874999999992</v>
      </c>
      <c r="AJ72" s="14">
        <f>AI72*VLOOKUP('Données projet'!$B$10,Paramètres!$A$1:$I$88,3,0)*VLOOKUP('Données projet'!$B$10,Paramètres!$A$1:$I$88,5,0)</f>
        <v>376.62533999999999</v>
      </c>
      <c r="AK72" s="14">
        <f t="shared" si="89"/>
        <v>87.021332993744224</v>
      </c>
      <c r="AL72" s="22">
        <f t="shared" si="58"/>
        <v>807.51795546410449</v>
      </c>
      <c r="AM72" s="60">
        <f t="shared" si="59"/>
        <v>1073.4481158141712</v>
      </c>
      <c r="AN72" s="60">
        <f ca="1">AVERAGE(OFFSET($AM$3,0,0,'Données projet'!$E$10+1,1))-AVERAGE(OFFSET($H$3,0,0,'Données projet'!$E$10+1,1))</f>
        <v>436.5217771315057</v>
      </c>
      <c r="AO72" s="60">
        <f t="shared" si="90"/>
        <v>308.97310256098365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26.760335259199845</v>
      </c>
      <c r="AV72" s="23">
        <f>EXP(-LN(2)/25)*AV71+(1-EXP(-LN(2)/25))/(LN(2)/25)*Calculateur!AQ72*Calculateur!AS72*VLOOKUP('Données projet'!$B$10,Paramètres!$A$1:$I$88,3,0)*0.475*44/12</f>
        <v>12.726681514287131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39.487016773486978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>
        <f>VLOOKUP(A72,'Données projet'!$A$87:$I$107,2,0)</f>
        <v>175</v>
      </c>
      <c r="BB72" s="13">
        <f>VLOOKUP(A72,'Données projet'!$A$87:$I$107,9,0)</f>
        <v>6.125</v>
      </c>
      <c r="BC72" s="13">
        <f t="array" ref="BC72">INDEX(BB:BB,MIN(IF(ISNUMBER(BB72:BB268),ROW(BB72:BB268),"")))</f>
        <v>6.125</v>
      </c>
      <c r="BD72" s="13">
        <f>IF('Données projet'!$A$88&gt;35,BD71+BC72-BL71,IF(A72&lt;'Données projet'!$A$88,$BA$205^A72,IF(A72='Données projet'!$A$88,'Données projet'!$B$88,BD71+BC72-BL71)))</f>
        <v>175</v>
      </c>
      <c r="BE72" s="14">
        <f>BD72*VLOOKUP('Données projet'!$B$11,Paramètres!$A$1:$I$88,3,0)*VLOOKUP('Données projet'!$B$11,Paramètres!$A$1:$I$88,5,0)</f>
        <v>177.45000000000002</v>
      </c>
      <c r="BF72" s="14">
        <f t="shared" si="91"/>
        <v>44.754387900936791</v>
      </c>
      <c r="BG72" s="22">
        <f t="shared" si="61"/>
        <v>387.0059755941316</v>
      </c>
      <c r="BH72" s="60">
        <f t="shared" si="62"/>
        <v>652.93613594419821</v>
      </c>
      <c r="BI72" s="60">
        <f ca="1">AVERAGE(OFFSET($BH$3,0,0,'Données projet'!$E$11+1,1))-AVERAGE(OFFSET($H$3,0,0,'Données projet'!$E$11+1,1))</f>
        <v>108.30434106718693</v>
      </c>
      <c r="BJ72" s="60">
        <f t="shared" si="92"/>
        <v>67.653808657585842</v>
      </c>
      <c r="BK72" s="16">
        <f>IF(ISNA(VLOOKUP(A72,'Données projet'!$A$87:$I$107,3,0)),0,VLOOKUP(A72,'Données projet'!$A$87:$I$107,3,0))</f>
        <v>5</v>
      </c>
      <c r="BL72" s="16">
        <f>IF(ISNA(VLOOKUP(A72,'Données projet'!$A$87:$I$107,4,0)),0,VLOOKUP(A72,'Données projet'!$A$87:$I$107,4,0))</f>
        <v>31</v>
      </c>
      <c r="BM72" s="17">
        <f>IF(ISNA(VLOOKUP(A72,'Données projet'!$A$87:$I$107,5,0)),0%,VLOOKUP(A72,'Données projet'!$A$87:$I$107,5,0)*VLOOKUP('Données projet'!$B$11,Paramètres!$A$1:$I$88,7,0))</f>
        <v>0.25800000000000001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18.826338050513094</v>
      </c>
      <c r="BQ72" s="23">
        <f>EXP(-LN(2)/25)*BQ71+(1-EXP(-LN(2)/25))/(LN(2)/25)*Calculateur!BL72*Calculateur!BN72*VLOOKUP('Données projet'!$B$11,Paramètres!$A$1:$I$88,3,0)*0.475*44/12</f>
        <v>0</v>
      </c>
      <c r="BR72" s="23">
        <f>EXP(-LN(2)/2)*BR71+(1-EXP(-LN(2)/2))/(LN(2)/2)*BL72*BO72*VLOOKUP('Données projet'!$B$11,Paramètres!$A$1:$I$88,3,0)*0.475*44/12</f>
        <v>0</v>
      </c>
      <c r="BS72" s="24">
        <f t="shared" si="63"/>
        <v>18.826338050513094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projet'!$B$12,Paramètres!$A$1:$I$88,3,0)*VLOOKUP('Données projet'!$B$12,Paramètres!$A$1:$I$88,5,0)</f>
        <v>0</v>
      </c>
      <c r="CA72" s="14" t="e">
        <f t="shared" si="93"/>
        <v>#NUM!</v>
      </c>
      <c r="CB72" s="22" t="e">
        <f t="shared" si="64"/>
        <v>#NUM!</v>
      </c>
      <c r="CC72" s="60" t="e">
        <f t="shared" si="65"/>
        <v>#NUM!</v>
      </c>
      <c r="CD72" s="60">
        <f ca="1">AVERAGE(OFFSET($CC$3,0,0,'Données projet'!$E$12+1,1))-AVERAGE(OFFSET($H$3,0,0,'Données projet'!$E$12+1,1))</f>
        <v>171.08593400758221</v>
      </c>
      <c r="CE72" s="60">
        <f t="shared" si="94"/>
        <v>201.9528484086932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projet'!$B$12,Paramètres!$A$1:$I$88,3,0)*0.475*44/12</f>
        <v>61.330754239371494</v>
      </c>
      <c r="CL72" s="23">
        <f>EXP(-LN(2)/25)*CL71+(1-EXP(-LN(2)/25))/(LN(2)/25)*Calculateur!CG72*Calculateur!CI72*VLOOKUP('Données projet'!$B$12,Paramètres!$A$1:$I$88,3,0)*0.475*44/12</f>
        <v>33.252810715083008</v>
      </c>
      <c r="CM72" s="23">
        <f>EXP(-LN(2)/2)*CM71+(1-EXP(-LN(2)/2))/(LN(2)/2)*CG72*CJ72*VLOOKUP('Données projet'!$B$12,Paramètres!$A$1:$I$88,3,0)*0.475*44/12</f>
        <v>0</v>
      </c>
      <c r="CN72" s="24">
        <f t="shared" si="66"/>
        <v>94.583564954454502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7.2</v>
      </c>
      <c r="CT72" s="13">
        <f>IF('Données projet'!$A$140&gt;35,CT71+CS72-DB71,IF(A72&lt;'Données projet'!$A$140,$CQ$205^A72,IF(A72='Données projet'!$A$140,'Données projet'!$B$140,CT71+CS72-DB71)))</f>
        <v>354.79999999999978</v>
      </c>
      <c r="CU72" s="18">
        <f>CT72*VLOOKUP('Données projet'!$B$13,Paramètres!$A$1:$I$88,3,0)*VLOOKUP('Données projet'!$B$13,Paramètres!$A$1:$I$88,5,0)</f>
        <v>237.99983999999986</v>
      </c>
      <c r="CV72" s="14">
        <f t="shared" si="95"/>
        <v>58.008976930805012</v>
      </c>
      <c r="CW72" s="22">
        <f t="shared" si="67"/>
        <v>515.54868948781848</v>
      </c>
      <c r="CX72" s="60">
        <f t="shared" si="68"/>
        <v>781.47884983788504</v>
      </c>
      <c r="CY72" s="60">
        <f ca="1">AVERAGE(OFFSET($CX$3,0,0,'Données projet'!$E$13+1,1))-AVERAGE(OFFSET($H$3,0,0,'Données projet'!$E$13+1,1))</f>
        <v>283.66646124753868</v>
      </c>
      <c r="CZ72" s="60">
        <f t="shared" si="96"/>
        <v>331.61926649572797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projet'!$B$13,Paramètres!$A$1:$I$88,3,0)*0.475*44/12</f>
        <v>16.33244663952669</v>
      </c>
      <c r="DG72" s="23">
        <f>EXP(-LN(2)/25)*DG71+(1-EXP(-LN(2)/25))/(LN(2)/25)*Calculateur!DB72*Calculateur!DD72*VLOOKUP('Données projet'!$B$13,Paramètres!$A$1:$I$88,3,0)*0.475*44/12</f>
        <v>0</v>
      </c>
      <c r="DH72" s="23">
        <f>EXP(-LN(2)/2)*DH71+(1-EXP(-LN(2)/2))/(LN(2)/2)*DB72*DE72*VLOOKUP('Données projet'!$B$13,Paramètres!$A$1:$I$88,3,0)*0.475*44/12</f>
        <v>0</v>
      </c>
      <c r="DI72" s="24">
        <f t="shared" si="69"/>
        <v>16.33244663952669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1.1368683772161603E-13</v>
      </c>
      <c r="DP72" s="18">
        <f>DO72*VLOOKUP('Données projet'!$B$14,Paramètres!$A$1:$I$88,3,0)*VLOOKUP('Données projet'!$B$14,Paramètres!$A$1:$I$88,5,0)</f>
        <v>8.3355189417488869E-14</v>
      </c>
      <c r="DQ72" s="14">
        <f t="shared" si="97"/>
        <v>1.2790518435140618E-12</v>
      </c>
      <c r="DR72" s="22">
        <f t="shared" si="70"/>
        <v>2.3728589156891171E-12</v>
      </c>
      <c r="DS72" s="60">
        <f t="shared" si="71"/>
        <v>265.93016035006895</v>
      </c>
      <c r="DT72" s="60">
        <f ca="1">AVERAGE(OFFSET($DS$3,0,0,'Données projet'!$E$14+1,1))-AVERAGE(OFFSET($H$3,0,0,'Données projet'!$E$14+1,1))</f>
        <v>212.77458587586861</v>
      </c>
      <c r="DU72" s="60">
        <f t="shared" si="98"/>
        <v>260.45879589483513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projet'!$B$14,Paramètres!$A$1:$I$88,3,0)*0.475*44/12</f>
        <v>30.031753048351721</v>
      </c>
      <c r="EB72" s="23">
        <f>EXP(-LN(2)/25)*EB71+(1-EXP(-LN(2)/25))/(LN(2)/25)*Calculateur!DW72*Calculateur!DY72*VLOOKUP('Données projet'!$B$14,Paramètres!$A$1:$I$88,3,0)*0.475*44/12</f>
        <v>15.786052713055199</v>
      </c>
      <c r="EC72" s="23">
        <f>EXP(-LN(2)/2)*EC71+(1-EXP(-LN(2)/2))/(LN(2)/2)*DW72*DZ72*VLOOKUP('Données projet'!$B$14,Paramètres!$A$1:$I$88,3,0)*0.475*44/12</f>
        <v>0</v>
      </c>
      <c r="ED72" s="24">
        <f t="shared" si="72"/>
        <v>45.817805761406916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5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8">
        <f t="shared" si="56"/>
        <v>183.33333333333334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3.4106051316484809E-13</v>
      </c>
      <c r="O73" s="14">
        <f>N73*VLOOKUP('Données projet'!$B$9,Paramètres!$A$1:$I$88,3,0)*VLOOKUP('Données projet'!$B$9,Paramètres!$A$1:$I$88,5,0)</f>
        <v>1.9065282685915009E-13</v>
      </c>
      <c r="P73" s="14">
        <f t="shared" si="87"/>
        <v>2.6568987209435707E-12</v>
      </c>
      <c r="Q73" s="22">
        <f t="shared" si="54"/>
        <v>4.959485612423072E-12</v>
      </c>
      <c r="R73" s="60">
        <f t="shared" si="55"/>
        <v>266.40554413701443</v>
      </c>
      <c r="S73" s="60">
        <f ca="1">AVERAGE(OFFSET($R$3,0,0,'Données projet'!$E$9+1,1))-AVERAGE(OFFSET($H$3,0,0,'Données projet'!$E$9+1,1))</f>
        <v>366.29380214443631</v>
      </c>
      <c r="T73" s="60">
        <f t="shared" si="88"/>
        <v>413.14502442862897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196.57322245410705</v>
      </c>
      <c r="AA73" s="23">
        <f>EXP(-LN(2)/25)*AA72+(1-EXP(-LN(2)/25))/(LN(2)/25)*Calculateur!V73*Calculateur!X73*VLOOKUP('Données projet'!$B$9,Paramètres!$A$1:$I$88,3,0)*0.475*44/12</f>
        <v>100.43469007086263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297.0079125249697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11.53125</v>
      </c>
      <c r="AI73" s="14">
        <f>IF('Données projet'!$A$62&gt;35,AI72+AH73-AQ72,IF(A73&lt;'Données projet'!$A$62,$AF$205^A73,IF(A73='Données projet'!$A$62,'Données projet'!$B$62,AI72+AH73-AQ72)))</f>
        <v>442.64999999999992</v>
      </c>
      <c r="AJ73" s="14">
        <f>AI73*VLOOKUP('Données projet'!$B$10,Paramètres!$A$1:$I$88,3,0)*VLOOKUP('Données projet'!$B$10,Paramètres!$A$1:$I$88,5,0)</f>
        <v>386.69903999999997</v>
      </c>
      <c r="AK73" s="14">
        <f t="shared" si="89"/>
        <v>89.074815332006366</v>
      </c>
      <c r="AL73" s="22">
        <f t="shared" si="58"/>
        <v>828.63946470324436</v>
      </c>
      <c r="AM73" s="60">
        <f t="shared" si="59"/>
        <v>1095.0450088402538</v>
      </c>
      <c r="AN73" s="60">
        <f ca="1">AVERAGE(OFFSET($AM$3,0,0,'Données projet'!$E$10+1,1))-AVERAGE(OFFSET($H$3,0,0,'Données projet'!$E$10+1,1))</f>
        <v>436.5217771315057</v>
      </c>
      <c r="AO73" s="60">
        <f t="shared" si="90"/>
        <v>308.97310256098365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26.23558140695976</v>
      </c>
      <c r="AV73" s="23">
        <f>EXP(-LN(2)/25)*AV72+(1-EXP(-LN(2)/25))/(LN(2)/25)*Calculateur!AQ73*Calculateur!AS73*VLOOKUP('Données projet'!$B$10,Paramètres!$A$1:$I$88,3,0)*0.475*44/12</f>
        <v>12.378669739011857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38.614251145971615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6</v>
      </c>
      <c r="BD73" s="13">
        <f>IF('Données projet'!$A$88&gt;35,BD72+BC73-BL72,IF(A73&lt;'Données projet'!$A$88,$BA$205^A73,IF(A73='Données projet'!$A$88,'Données projet'!$B$88,BD72+BC73-BL72)))</f>
        <v>150</v>
      </c>
      <c r="BE73" s="14">
        <f>BD73*VLOOKUP('Données projet'!$B$11,Paramètres!$A$1:$I$88,3,0)*VLOOKUP('Données projet'!$B$11,Paramètres!$A$1:$I$88,5,0)</f>
        <v>152.1</v>
      </c>
      <c r="BF73" s="14">
        <f t="shared" si="91"/>
        <v>39.055431318323095</v>
      </c>
      <c r="BG73" s="22">
        <f t="shared" si="61"/>
        <v>332.92904287941269</v>
      </c>
      <c r="BH73" s="60">
        <f t="shared" si="62"/>
        <v>599.33458701642212</v>
      </c>
      <c r="BI73" s="60">
        <f ca="1">AVERAGE(OFFSET($BH$3,0,0,'Données projet'!$E$11+1,1))-AVERAGE(OFFSET($H$3,0,0,'Données projet'!$E$11+1,1))</f>
        <v>108.30434106718693</v>
      </c>
      <c r="BJ73" s="60">
        <f t="shared" si="92"/>
        <v>67.653808657585842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18.457165044274898</v>
      </c>
      <c r="BQ73" s="23">
        <f>EXP(-LN(2)/25)*BQ72+(1-EXP(-LN(2)/25))/(LN(2)/25)*Calculateur!BL73*Calculateur!BN73*VLOOKUP('Données projet'!$B$11,Paramètres!$A$1:$I$88,3,0)*0.475*44/12</f>
        <v>0</v>
      </c>
      <c r="BR73" s="23">
        <f>EXP(-LN(2)/2)*BR72+(1-EXP(-LN(2)/2))/(LN(2)/2)*BL73*BO73*VLOOKUP('Données projet'!$B$11,Paramètres!$A$1:$I$88,3,0)*0.475*44/12</f>
        <v>0</v>
      </c>
      <c r="BS73" s="24">
        <f t="shared" si="63"/>
        <v>18.457165044274898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projet'!$B$12,Paramètres!$A$1:$I$88,3,0)*VLOOKUP('Données projet'!$B$12,Paramètres!$A$1:$I$88,5,0)</f>
        <v>0</v>
      </c>
      <c r="CA73" s="14" t="e">
        <f t="shared" si="93"/>
        <v>#NUM!</v>
      </c>
      <c r="CB73" s="22" t="e">
        <f t="shared" si="64"/>
        <v>#NUM!</v>
      </c>
      <c r="CC73" s="60" t="e">
        <f t="shared" si="65"/>
        <v>#NUM!</v>
      </c>
      <c r="CD73" s="60">
        <f ca="1">AVERAGE(OFFSET($CC$3,0,0,'Données projet'!$E$12+1,1))-AVERAGE(OFFSET($H$3,0,0,'Données projet'!$E$12+1,1))</f>
        <v>171.08593400758221</v>
      </c>
      <c r="CE73" s="60">
        <f t="shared" si="94"/>
        <v>201.9528484086932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projet'!$B$12,Paramètres!$A$1:$I$88,3,0)*0.475*44/12</f>
        <v>60.128095556803764</v>
      </c>
      <c r="CL73" s="23">
        <f>EXP(-LN(2)/25)*CL72+(1-EXP(-LN(2)/25))/(LN(2)/25)*Calculateur!CG73*Calculateur!CI73*VLOOKUP('Données projet'!$B$12,Paramètres!$A$1:$I$88,3,0)*0.475*44/12</f>
        <v>32.343510857389745</v>
      </c>
      <c r="CM73" s="23">
        <f>EXP(-LN(2)/2)*CM72+(1-EXP(-LN(2)/2))/(LN(2)/2)*CG73*CJ73*VLOOKUP('Données projet'!$B$12,Paramètres!$A$1:$I$88,3,0)*0.475*44/12</f>
        <v>0</v>
      </c>
      <c r="CN73" s="24">
        <f t="shared" si="66"/>
        <v>92.471606414193502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362</v>
      </c>
      <c r="CR73" s="13">
        <f>VLOOKUP(A73,'Données projet'!$A$139:$I$159,9,0)</f>
        <v>7.2</v>
      </c>
      <c r="CS73" s="13">
        <f t="array" ref="CS73">INDEX(CR:CR,MIN(IF(ISNUMBER(CR73:CR269),ROW(CR73:CR269),"")))</f>
        <v>7.2</v>
      </c>
      <c r="CT73" s="13">
        <f>IF('Données projet'!$A$140&gt;35,CT72+CS73-DB72,IF(A73&lt;'Données projet'!$A$140,$CQ$205^A73,IF(A73='Données projet'!$A$140,'Données projet'!$B$140,CT72+CS73-DB72)))</f>
        <v>361.99999999999977</v>
      </c>
      <c r="CU73" s="18">
        <f>CT73*VLOOKUP('Données projet'!$B$13,Paramètres!$A$1:$I$88,3,0)*VLOOKUP('Données projet'!$B$13,Paramètres!$A$1:$I$88,5,0)</f>
        <v>242.82959999999986</v>
      </c>
      <c r="CV73" s="14">
        <f t="shared" si="95"/>
        <v>59.047916781106281</v>
      </c>
      <c r="CW73" s="22">
        <f t="shared" si="67"/>
        <v>525.77000839375978</v>
      </c>
      <c r="CX73" s="60">
        <f t="shared" si="68"/>
        <v>792.17555253076921</v>
      </c>
      <c r="CY73" s="60">
        <f ca="1">AVERAGE(OFFSET($CX$3,0,0,'Données projet'!$E$13+1,1))-AVERAGE(OFFSET($H$3,0,0,'Données projet'!$E$13+1,1))</f>
        <v>283.66646124753868</v>
      </c>
      <c r="CZ73" s="60">
        <f t="shared" si="96"/>
        <v>331.61926649572797</v>
      </c>
      <c r="DA73" s="16">
        <f>IF(ISNA(VLOOKUP(A73,'Données projet'!$A$139:$I$159,3,0)),0,VLOOKUP(A73,'Données projet'!$A$139:$I$159,3,0))</f>
        <v>12</v>
      </c>
      <c r="DB73" s="16">
        <f>IF(ISNA(VLOOKUP(A73,'Données projet'!$A$139:$I$159,4,0)),0,VLOOKUP(A73,'Données projet'!$A$139:$I$159,4,0))</f>
        <v>20</v>
      </c>
      <c r="DC73" s="17">
        <f>IF(ISNA(VLOOKUP(A73,'Données projet'!$A$139:$I$159,5,0)),0%,VLOOKUP(A73,'Données projet'!$A$139:$I$159,5,0)*VLOOKUP('Données projet'!$B$13,Paramètres!$A$1:$I$88,7,0))</f>
        <v>0.318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projet'!$B$13,Paramètres!$A$1:$I$88,3,0)*0.475*44/12</f>
        <v>20.728432337291245</v>
      </c>
      <c r="DG73" s="23">
        <f>EXP(-LN(2)/25)*DG72+(1-EXP(-LN(2)/25))/(LN(2)/25)*Calculateur!DB73*Calculateur!DD73*VLOOKUP('Données projet'!$B$13,Paramètres!$A$1:$I$88,3,0)*0.475*44/12</f>
        <v>0</v>
      </c>
      <c r="DH73" s="23">
        <f>EXP(-LN(2)/2)*DH72+(1-EXP(-LN(2)/2))/(LN(2)/2)*DB73*DE73*VLOOKUP('Données projet'!$B$13,Paramètres!$A$1:$I$88,3,0)*0.475*44/12</f>
        <v>0</v>
      </c>
      <c r="DI73" s="24">
        <f t="shared" si="69"/>
        <v>20.728432337291245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1.1368683772161603E-13</v>
      </c>
      <c r="DP73" s="18">
        <f>DO73*VLOOKUP('Données projet'!$B$14,Paramètres!$A$1:$I$88,3,0)*VLOOKUP('Données projet'!$B$14,Paramètres!$A$1:$I$88,5,0)</f>
        <v>8.3355189417488869E-14</v>
      </c>
      <c r="DQ73" s="14">
        <f t="shared" si="97"/>
        <v>1.2790518435140618E-12</v>
      </c>
      <c r="DR73" s="22">
        <f t="shared" si="70"/>
        <v>2.3728589156891171E-12</v>
      </c>
      <c r="DS73" s="60">
        <f t="shared" si="71"/>
        <v>266.40554413701187</v>
      </c>
      <c r="DT73" s="60">
        <f ca="1">AVERAGE(OFFSET($DS$3,0,0,'Données projet'!$E$14+1,1))-AVERAGE(OFFSET($H$3,0,0,'Données projet'!$E$14+1,1))</f>
        <v>212.77458587586861</v>
      </c>
      <c r="DU73" s="60">
        <f t="shared" si="98"/>
        <v>260.45879589483513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projet'!$B$14,Paramètres!$A$1:$I$88,3,0)*0.475*44/12</f>
        <v>29.442848688634193</v>
      </c>
      <c r="EB73" s="23">
        <f>EXP(-LN(2)/25)*EB72+(1-EXP(-LN(2)/25))/(LN(2)/25)*Calculateur!DW73*Calculateur!DY73*VLOOKUP('Données projet'!$B$14,Paramètres!$A$1:$I$88,3,0)*0.475*44/12</f>
        <v>15.354382271464271</v>
      </c>
      <c r="EC73" s="23">
        <f>EXP(-LN(2)/2)*EC72+(1-EXP(-LN(2)/2))/(LN(2)/2)*DW73*DZ73*VLOOKUP('Données projet'!$B$14,Paramètres!$A$1:$I$88,3,0)*0.475*44/12</f>
        <v>0</v>
      </c>
      <c r="ED73" s="24">
        <f t="shared" si="72"/>
        <v>44.79723096009846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5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8">
        <f t="shared" si="56"/>
        <v>183.33333333333334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3.4106051316484809E-13</v>
      </c>
      <c r="O74" s="14">
        <f>N74*VLOOKUP('Données projet'!$B$9,Paramètres!$A$1:$I$88,3,0)*VLOOKUP('Données projet'!$B$9,Paramètres!$A$1:$I$88,5,0)</f>
        <v>1.9065282685915009E-13</v>
      </c>
      <c r="P74" s="14">
        <f t="shared" si="87"/>
        <v>2.6568987209435707E-12</v>
      </c>
      <c r="Q74" s="22">
        <f t="shared" si="54"/>
        <v>4.959485612423072E-12</v>
      </c>
      <c r="R74" s="60">
        <f t="shared" si="55"/>
        <v>266.87268107805289</v>
      </c>
      <c r="S74" s="60">
        <f ca="1">AVERAGE(OFFSET($R$3,0,0,'Données projet'!$E$9+1,1))-AVERAGE(OFFSET($H$3,0,0,'Données projet'!$E$9+1,1))</f>
        <v>366.29380214443631</v>
      </c>
      <c r="T74" s="60">
        <f t="shared" si="88"/>
        <v>413.14502442862897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192.71854145960879</v>
      </c>
      <c r="AA74" s="23">
        <f>EXP(-LN(2)/25)*AA73+(1-EXP(-LN(2)/25))/(LN(2)/25)*Calculateur!V74*Calculateur!X74*VLOOKUP('Données projet'!$B$9,Paramètres!$A$1:$I$88,3,0)*0.475*44/12</f>
        <v>97.68829818924408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290.40683964885284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11.53125</v>
      </c>
      <c r="AI74" s="14">
        <f>IF('Données projet'!$A$62&gt;35,AI73+AH74-AQ73,IF(A74&lt;'Données projet'!$A$62,$AF$205^A74,IF(A74='Données projet'!$A$62,'Données projet'!$B$62,AI73+AH74-AQ73)))</f>
        <v>454.18124999999992</v>
      </c>
      <c r="AJ74" s="14">
        <f>AI74*VLOOKUP('Données projet'!$B$10,Paramètres!$A$1:$I$88,3,0)*VLOOKUP('Données projet'!$B$10,Paramètres!$A$1:$I$88,5,0)</f>
        <v>396.77273999999994</v>
      </c>
      <c r="AK74" s="14">
        <f t="shared" si="89"/>
        <v>91.122079630437298</v>
      </c>
      <c r="AL74" s="22">
        <f t="shared" si="58"/>
        <v>849.75014418967828</v>
      </c>
      <c r="AM74" s="60">
        <f t="shared" si="59"/>
        <v>1116.6228252677263</v>
      </c>
      <c r="AN74" s="60">
        <f ca="1">AVERAGE(OFFSET($AM$3,0,0,'Données projet'!$E$10+1,1))-AVERAGE(OFFSET($H$3,0,0,'Données projet'!$E$10+1,1))</f>
        <v>436.5217771315057</v>
      </c>
      <c r="AO74" s="60">
        <f t="shared" si="90"/>
        <v>308.97310256098365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25.72111765769386</v>
      </c>
      <c r="AV74" s="23">
        <f>EXP(-LN(2)/25)*AV73+(1-EXP(-LN(2)/25))/(LN(2)/25)*Calculateur!AQ74*Calculateur!AS74*VLOOKUP('Données projet'!$B$10,Paramètres!$A$1:$I$88,3,0)*0.475*44/12</f>
        <v>12.040174364032628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37.76129202172649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</v>
      </c>
      <c r="BD74" s="13">
        <f>IF('Données projet'!$A$88&gt;35,BD73+BC74-BL73,IF(A74&lt;'Données projet'!$A$88,$BA$205^A74,IF(A74='Données projet'!$A$88,'Données projet'!$B$88,BD73+BC74-BL73)))</f>
        <v>156</v>
      </c>
      <c r="BE74" s="14">
        <f>BD74*VLOOKUP('Données projet'!$B$11,Paramètres!$A$1:$I$88,3,0)*VLOOKUP('Données projet'!$B$11,Paramètres!$A$1:$I$88,5,0)</f>
        <v>158.18400000000003</v>
      </c>
      <c r="BF74" s="14">
        <f t="shared" si="91"/>
        <v>40.432639815875881</v>
      </c>
      <c r="BG74" s="22">
        <f t="shared" si="61"/>
        <v>345.92398101265053</v>
      </c>
      <c r="BH74" s="60">
        <f t="shared" si="62"/>
        <v>612.79666209069842</v>
      </c>
      <c r="BI74" s="60">
        <f ca="1">AVERAGE(OFFSET($BH$3,0,0,'Données projet'!$E$11+1,1))-AVERAGE(OFFSET($H$3,0,0,'Données projet'!$E$11+1,1))</f>
        <v>108.30434106718693</v>
      </c>
      <c r="BJ74" s="60">
        <f t="shared" si="92"/>
        <v>67.653808657585842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18.095231295515735</v>
      </c>
      <c r="BQ74" s="23">
        <f>EXP(-LN(2)/25)*BQ73+(1-EXP(-LN(2)/25))/(LN(2)/25)*Calculateur!BL74*Calculateur!BN74*VLOOKUP('Données projet'!$B$11,Paramètres!$A$1:$I$88,3,0)*0.475*44/12</f>
        <v>0</v>
      </c>
      <c r="BR74" s="23">
        <f>EXP(-LN(2)/2)*BR73+(1-EXP(-LN(2)/2))/(LN(2)/2)*BL74*BO74*VLOOKUP('Données projet'!$B$11,Paramètres!$A$1:$I$88,3,0)*0.475*44/12</f>
        <v>0</v>
      </c>
      <c r="BS74" s="24">
        <f t="shared" si="63"/>
        <v>18.095231295515735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projet'!$B$12,Paramètres!$A$1:$I$88,3,0)*VLOOKUP('Données projet'!$B$12,Paramètres!$A$1:$I$88,5,0)</f>
        <v>0</v>
      </c>
      <c r="CA74" s="14" t="e">
        <f t="shared" si="93"/>
        <v>#NUM!</v>
      </c>
      <c r="CB74" s="22" t="e">
        <f t="shared" si="64"/>
        <v>#NUM!</v>
      </c>
      <c r="CC74" s="60" t="e">
        <f t="shared" si="65"/>
        <v>#NUM!</v>
      </c>
      <c r="CD74" s="60">
        <f ca="1">AVERAGE(OFFSET($CC$3,0,0,'Données projet'!$E$12+1,1))-AVERAGE(OFFSET($H$3,0,0,'Données projet'!$E$12+1,1))</f>
        <v>171.08593400758221</v>
      </c>
      <c r="CE74" s="60">
        <f t="shared" si="94"/>
        <v>201.9528484086932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projet'!$B$12,Paramètres!$A$1:$I$88,3,0)*0.475*44/12</f>
        <v>58.949020277451822</v>
      </c>
      <c r="CL74" s="23">
        <f>EXP(-LN(2)/25)*CL73+(1-EXP(-LN(2)/25))/(LN(2)/25)*Calculateur!CG74*Calculateur!CI74*VLOOKUP('Données projet'!$B$12,Paramètres!$A$1:$I$88,3,0)*0.475*44/12</f>
        <v>31.45907585212311</v>
      </c>
      <c r="CM74" s="23">
        <f>EXP(-LN(2)/2)*CM73+(1-EXP(-LN(2)/2))/(LN(2)/2)*CG74*CJ74*VLOOKUP('Données projet'!$B$12,Paramètres!$A$1:$I$88,3,0)*0.475*44/12</f>
        <v>0</v>
      </c>
      <c r="CN74" s="24">
        <f t="shared" si="66"/>
        <v>90.408096129574929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6.6</v>
      </c>
      <c r="CT74" s="13">
        <f>IF('Données projet'!$A$140&gt;35,CT73+CS74-DB73,IF(A74&lt;'Données projet'!$A$140,$CQ$205^A74,IF(A74='Données projet'!$A$140,'Données projet'!$B$140,CT73+CS74-DB73)))</f>
        <v>348.5999999999998</v>
      </c>
      <c r="CU74" s="18">
        <f>CT74*VLOOKUP('Données projet'!$B$13,Paramètres!$A$1:$I$88,3,0)*VLOOKUP('Données projet'!$B$13,Paramètres!$A$1:$I$88,5,0)</f>
        <v>233.84087999999986</v>
      </c>
      <c r="CV74" s="14">
        <f t="shared" si="95"/>
        <v>57.112367399760878</v>
      </c>
      <c r="CW74" s="22">
        <f t="shared" si="67"/>
        <v>506.7435725545833</v>
      </c>
      <c r="CX74" s="60">
        <f t="shared" si="68"/>
        <v>773.61625363263124</v>
      </c>
      <c r="CY74" s="60">
        <f ca="1">AVERAGE(OFFSET($CX$3,0,0,'Données projet'!$E$13+1,1))-AVERAGE(OFFSET($H$3,0,0,'Données projet'!$E$13+1,1))</f>
        <v>283.66646124753868</v>
      </c>
      <c r="CZ74" s="60">
        <f t="shared" si="96"/>
        <v>331.61926649572797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projet'!$B$13,Paramètres!$A$1:$I$88,3,0)*0.475*44/12</f>
        <v>20.321960422252289</v>
      </c>
      <c r="DG74" s="23">
        <f>EXP(-LN(2)/25)*DG73+(1-EXP(-LN(2)/25))/(LN(2)/25)*Calculateur!DB74*Calculateur!DD74*VLOOKUP('Données projet'!$B$13,Paramètres!$A$1:$I$88,3,0)*0.475*44/12</f>
        <v>0</v>
      </c>
      <c r="DH74" s="23">
        <f>EXP(-LN(2)/2)*DH73+(1-EXP(-LN(2)/2))/(LN(2)/2)*DB74*DE74*VLOOKUP('Données projet'!$B$13,Paramètres!$A$1:$I$88,3,0)*0.475*44/12</f>
        <v>0</v>
      </c>
      <c r="DI74" s="24">
        <f t="shared" si="69"/>
        <v>20.321960422252289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1.1368683772161603E-13</v>
      </c>
      <c r="DP74" s="18">
        <f>DO74*VLOOKUP('Données projet'!$B$14,Paramètres!$A$1:$I$88,3,0)*VLOOKUP('Données projet'!$B$14,Paramètres!$A$1:$I$88,5,0)</f>
        <v>8.3355189417488869E-14</v>
      </c>
      <c r="DQ74" s="14">
        <f t="shared" si="97"/>
        <v>1.2790518435140618E-12</v>
      </c>
      <c r="DR74" s="22">
        <f t="shared" si="70"/>
        <v>2.3728589156891171E-12</v>
      </c>
      <c r="DS74" s="60">
        <f t="shared" si="71"/>
        <v>266.87268107805033</v>
      </c>
      <c r="DT74" s="60">
        <f ca="1">AVERAGE(OFFSET($DS$3,0,0,'Données projet'!$E$14+1,1))-AVERAGE(OFFSET($H$3,0,0,'Données projet'!$E$14+1,1))</f>
        <v>212.77458587586861</v>
      </c>
      <c r="DU74" s="60">
        <f t="shared" si="98"/>
        <v>260.45879589483513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projet'!$B$14,Paramètres!$A$1:$I$88,3,0)*0.475*44/12</f>
        <v>28.865492384214534</v>
      </c>
      <c r="EB74" s="23">
        <f>EXP(-LN(2)/25)*EB73+(1-EXP(-LN(2)/25))/(LN(2)/25)*Calculateur!DW74*Calculateur!DY74*VLOOKUP('Données projet'!$B$14,Paramètres!$A$1:$I$88,3,0)*0.475*44/12</f>
        <v>14.934515880799209</v>
      </c>
      <c r="EC74" s="23">
        <f>EXP(-LN(2)/2)*EC73+(1-EXP(-LN(2)/2))/(LN(2)/2)*DW74*DZ74*VLOOKUP('Données projet'!$B$14,Paramètres!$A$1:$I$88,3,0)*0.475*44/12</f>
        <v>0</v>
      </c>
      <c r="ED74" s="24">
        <f t="shared" si="72"/>
        <v>43.800008265013744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5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8">
        <f t="shared" si="56"/>
        <v>183.33333333333334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3.4106051316484809E-13</v>
      </c>
      <c r="O75" s="14">
        <f>N75*VLOOKUP('Données projet'!$B$9,Paramètres!$A$1:$I$88,3,0)*VLOOKUP('Données projet'!$B$9,Paramètres!$A$1:$I$88,5,0)</f>
        <v>1.9065282685915009E-13</v>
      </c>
      <c r="P75" s="14">
        <f t="shared" si="87"/>
        <v>2.6568987209435707E-12</v>
      </c>
      <c r="Q75" s="22">
        <f t="shared" si="54"/>
        <v>4.959485612423072E-12</v>
      </c>
      <c r="R75" s="60">
        <f t="shared" si="55"/>
        <v>267.33171423752606</v>
      </c>
      <c r="S75" s="60">
        <f ca="1">AVERAGE(OFFSET($R$3,0,0,'Données projet'!$E$9+1,1))-AVERAGE(OFFSET($H$3,0,0,'Données projet'!$E$9+1,1))</f>
        <v>366.29380214443631</v>
      </c>
      <c r="T75" s="60">
        <f t="shared" si="88"/>
        <v>413.14502442862897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188.93944840828937</v>
      </c>
      <c r="AA75" s="23">
        <f>EXP(-LN(2)/25)*AA74+(1-EXP(-LN(2)/25))/(LN(2)/25)*Calculateur!V75*Calculateur!X75*VLOOKUP('Données projet'!$B$9,Paramètres!$A$1:$I$88,3,0)*0.475*44/12</f>
        <v>95.017006538054872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283.95645494634425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11.53125</v>
      </c>
      <c r="AI75" s="14">
        <f>IF('Données projet'!$A$62&gt;35,AI74+AH75-AQ74,IF(A75&lt;'Données projet'!$A$62,$AF$205^A75,IF(A75='Données projet'!$A$62,'Données projet'!$B$62,AI74+AH75-AQ74)))</f>
        <v>465.71249999999992</v>
      </c>
      <c r="AJ75" s="14">
        <f>AI75*VLOOKUP('Données projet'!$B$10,Paramètres!$A$1:$I$88,3,0)*VLOOKUP('Données projet'!$B$10,Paramètres!$A$1:$I$88,5,0)</f>
        <v>406.84643999999997</v>
      </c>
      <c r="AK75" s="14">
        <f t="shared" si="89"/>
        <v>93.163301913633518</v>
      </c>
      <c r="AL75" s="22">
        <f t="shared" si="58"/>
        <v>870.85030049957822</v>
      </c>
      <c r="AM75" s="60">
        <f t="shared" si="59"/>
        <v>1138.1820147370993</v>
      </c>
      <c r="AN75" s="60">
        <f ca="1">AVERAGE(OFFSET($AM$3,0,0,'Données projet'!$E$10+1,1))-AVERAGE(OFFSET($H$3,0,0,'Données projet'!$E$10+1,1))</f>
        <v>436.5217771315057</v>
      </c>
      <c r="AO75" s="60">
        <f t="shared" si="90"/>
        <v>308.97310256098365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25.216742228759159</v>
      </c>
      <c r="AV75" s="23">
        <f>EXP(-LN(2)/25)*AV74+(1-EXP(-LN(2)/25))/(LN(2)/25)*Calculateur!AQ75*Calculateur!AS75*VLOOKUP('Données projet'!$B$10,Paramètres!$A$1:$I$88,3,0)*0.475*44/12</f>
        <v>11.710935162882905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36.927677391642064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</v>
      </c>
      <c r="BD75" s="13">
        <f>IF('Données projet'!$A$88&gt;35,BD74+BC75-BL74,IF(A75&lt;'Données projet'!$A$88,$BA$205^A75,IF(A75='Données projet'!$A$88,'Données projet'!$B$88,BD74+BC75-BL74)))</f>
        <v>162</v>
      </c>
      <c r="BE75" s="14">
        <f>BD75*VLOOKUP('Données projet'!$B$11,Paramètres!$A$1:$I$88,3,0)*VLOOKUP('Données projet'!$B$11,Paramètres!$A$1:$I$88,5,0)</f>
        <v>164.268</v>
      </c>
      <c r="BF75" s="14">
        <f t="shared" si="91"/>
        <v>41.803694835525619</v>
      </c>
      <c r="BG75" s="22">
        <f t="shared" si="61"/>
        <v>358.90820183854044</v>
      </c>
      <c r="BH75" s="60">
        <f t="shared" si="62"/>
        <v>626.23991607606149</v>
      </c>
      <c r="BI75" s="60">
        <f ca="1">AVERAGE(OFFSET($BH$3,0,0,'Données projet'!$E$11+1,1))-AVERAGE(OFFSET($H$3,0,0,'Données projet'!$E$11+1,1))</f>
        <v>108.30434106718693</v>
      </c>
      <c r="BJ75" s="60">
        <f t="shared" si="92"/>
        <v>67.653808657585842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17.740394846811949</v>
      </c>
      <c r="BQ75" s="23">
        <f>EXP(-LN(2)/25)*BQ74+(1-EXP(-LN(2)/25))/(LN(2)/25)*Calculateur!BL75*Calculateur!BN75*VLOOKUP('Données projet'!$B$11,Paramètres!$A$1:$I$88,3,0)*0.475*44/12</f>
        <v>0</v>
      </c>
      <c r="BR75" s="23">
        <f>EXP(-LN(2)/2)*BR74+(1-EXP(-LN(2)/2))/(LN(2)/2)*BL75*BO75*VLOOKUP('Données projet'!$B$11,Paramètres!$A$1:$I$88,3,0)*0.475*44/12</f>
        <v>0</v>
      </c>
      <c r="BS75" s="24">
        <f t="shared" si="63"/>
        <v>17.740394846811949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projet'!$B$12,Paramètres!$A$1:$I$88,3,0)*VLOOKUP('Données projet'!$B$12,Paramètres!$A$1:$I$88,5,0)</f>
        <v>0</v>
      </c>
      <c r="CA75" s="14" t="e">
        <f t="shared" si="93"/>
        <v>#NUM!</v>
      </c>
      <c r="CB75" s="22" t="e">
        <f t="shared" si="64"/>
        <v>#NUM!</v>
      </c>
      <c r="CC75" s="60" t="e">
        <f t="shared" si="65"/>
        <v>#NUM!</v>
      </c>
      <c r="CD75" s="60">
        <f ca="1">AVERAGE(OFFSET($CC$3,0,0,'Données projet'!$E$12+1,1))-AVERAGE(OFFSET($H$3,0,0,'Données projet'!$E$12+1,1))</f>
        <v>171.08593400758221</v>
      </c>
      <c r="CE75" s="60">
        <f t="shared" si="94"/>
        <v>201.9528484086932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projet'!$B$12,Paramètres!$A$1:$I$88,3,0)*0.475*44/12</f>
        <v>57.793065945163065</v>
      </c>
      <c r="CL75" s="23">
        <f>EXP(-LN(2)/25)*CL74+(1-EXP(-LN(2)/25))/(LN(2)/25)*Calculateur!CG75*Calculateur!CI75*VLOOKUP('Données projet'!$B$12,Paramètres!$A$1:$I$88,3,0)*0.475*44/12</f>
        <v>30.598825768585904</v>
      </c>
      <c r="CM75" s="23">
        <f>EXP(-LN(2)/2)*CM74+(1-EXP(-LN(2)/2))/(LN(2)/2)*CG75*CJ75*VLOOKUP('Données projet'!$B$12,Paramètres!$A$1:$I$88,3,0)*0.475*44/12</f>
        <v>0</v>
      </c>
      <c r="CN75" s="24">
        <f t="shared" si="66"/>
        <v>88.391891713748976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6.6</v>
      </c>
      <c r="CT75" s="13">
        <f>IF('Données projet'!$A$140&gt;35,CT74+CS75-DB74,IF(A75&lt;'Données projet'!$A$140,$CQ$205^A75,IF(A75='Données projet'!$A$140,'Données projet'!$B$140,CT74+CS75-DB74)))</f>
        <v>355.19999999999982</v>
      </c>
      <c r="CU75" s="18">
        <f>CT75*VLOOKUP('Données projet'!$B$13,Paramètres!$A$1:$I$88,3,0)*VLOOKUP('Données projet'!$B$13,Paramètres!$A$1:$I$88,5,0)</f>
        <v>238.26815999999991</v>
      </c>
      <c r="CV75" s="14">
        <f t="shared" si="95"/>
        <v>58.066759760844413</v>
      </c>
      <c r="CW75" s="22">
        <f t="shared" si="67"/>
        <v>516.1166519168039</v>
      </c>
      <c r="CX75" s="60">
        <f t="shared" si="68"/>
        <v>783.44836615432496</v>
      </c>
      <c r="CY75" s="60">
        <f ca="1">AVERAGE(OFFSET($CX$3,0,0,'Données projet'!$E$13+1,1))-AVERAGE(OFFSET($H$3,0,0,'Données projet'!$E$13+1,1))</f>
        <v>283.66646124753868</v>
      </c>
      <c r="CZ75" s="60">
        <f t="shared" si="96"/>
        <v>331.61926649572797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projet'!$B$13,Paramètres!$A$1:$I$88,3,0)*0.475*44/12</f>
        <v>19.923459173543858</v>
      </c>
      <c r="DG75" s="23">
        <f>EXP(-LN(2)/25)*DG74+(1-EXP(-LN(2)/25))/(LN(2)/25)*Calculateur!DB75*Calculateur!DD75*VLOOKUP('Données projet'!$B$13,Paramètres!$A$1:$I$88,3,0)*0.475*44/12</f>
        <v>0</v>
      </c>
      <c r="DH75" s="23">
        <f>EXP(-LN(2)/2)*DH74+(1-EXP(-LN(2)/2))/(LN(2)/2)*DB75*DE75*VLOOKUP('Données projet'!$B$13,Paramètres!$A$1:$I$88,3,0)*0.475*44/12</f>
        <v>0</v>
      </c>
      <c r="DI75" s="24">
        <f t="shared" si="69"/>
        <v>19.923459173543858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1.1368683772161603E-13</v>
      </c>
      <c r="DP75" s="18">
        <f>DO75*VLOOKUP('Données projet'!$B$14,Paramètres!$A$1:$I$88,3,0)*VLOOKUP('Données projet'!$B$14,Paramètres!$A$1:$I$88,5,0)</f>
        <v>8.3355189417488869E-14</v>
      </c>
      <c r="DQ75" s="14">
        <f t="shared" si="97"/>
        <v>1.2790518435140618E-12</v>
      </c>
      <c r="DR75" s="22">
        <f t="shared" si="70"/>
        <v>2.3728589156891171E-12</v>
      </c>
      <c r="DS75" s="60">
        <f t="shared" si="71"/>
        <v>267.3317142375235</v>
      </c>
      <c r="DT75" s="60">
        <f ca="1">AVERAGE(OFFSET($DS$3,0,0,'Données projet'!$E$14+1,1))-AVERAGE(OFFSET($H$3,0,0,'Données projet'!$E$14+1,1))</f>
        <v>212.77458587586861</v>
      </c>
      <c r="DU75" s="60">
        <f t="shared" si="98"/>
        <v>260.45879589483513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projet'!$B$14,Paramètres!$A$1:$I$88,3,0)*0.475*44/12</f>
        <v>28.299457684771973</v>
      </c>
      <c r="EB75" s="23">
        <f>EXP(-LN(2)/25)*EB74+(1-EXP(-LN(2)/25))/(LN(2)/25)*Calculateur!DW75*Calculateur!DY75*VLOOKUP('Données projet'!$B$14,Paramètres!$A$1:$I$88,3,0)*0.475*44/12</f>
        <v>14.526130758666698</v>
      </c>
      <c r="EC75" s="23">
        <f>EXP(-LN(2)/2)*EC74+(1-EXP(-LN(2)/2))/(LN(2)/2)*DW75*DZ75*VLOOKUP('Données projet'!$B$14,Paramètres!$A$1:$I$88,3,0)*0.475*44/12</f>
        <v>0</v>
      </c>
      <c r="ED75" s="24">
        <f t="shared" si="72"/>
        <v>42.825588443438669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5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8">
        <f t="shared" si="56"/>
        <v>183.33333333333334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3.4106051316484809E-13</v>
      </c>
      <c r="O76" s="14">
        <f>N76*VLOOKUP('Données projet'!$B$9,Paramètres!$A$1:$I$88,3,0)*VLOOKUP('Données projet'!$B$9,Paramètres!$A$1:$I$88,5,0)</f>
        <v>1.9065282685915009E-13</v>
      </c>
      <c r="P76" s="14">
        <f t="shared" si="87"/>
        <v>2.6568987209435707E-12</v>
      </c>
      <c r="Q76" s="22">
        <f t="shared" si="54"/>
        <v>4.959485612423072E-12</v>
      </c>
      <c r="R76" s="60">
        <f t="shared" si="55"/>
        <v>267.78278419792673</v>
      </c>
      <c r="S76" s="60">
        <f ca="1">AVERAGE(OFFSET($R$3,0,0,'Données projet'!$E$9+1,1))-AVERAGE(OFFSET($H$3,0,0,'Données projet'!$E$9+1,1))</f>
        <v>366.29380214443631</v>
      </c>
      <c r="T76" s="60">
        <f t="shared" si="88"/>
        <v>413.14502442862897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185.23446106668717</v>
      </c>
      <c r="AA76" s="23">
        <f>EXP(-LN(2)/25)*AA75+(1-EXP(-LN(2)/25))/(LN(2)/25)*Calculateur!V76*Calculateur!X76*VLOOKUP('Données projet'!$B$9,Paramètres!$A$1:$I$88,3,0)*0.475*44/12</f>
        <v>92.418761497544551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277.65322256423173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11.53125</v>
      </c>
      <c r="AI76" s="14">
        <f>IF('Données projet'!$A$62&gt;35,AI75+AH76-AQ75,IF(A76&lt;'Données projet'!$A$62,$AF$205^A76,IF(A76='Données projet'!$A$62,'Données projet'!$B$62,AI75+AH76-AQ75)))</f>
        <v>477.24374999999992</v>
      </c>
      <c r="AJ76" s="14">
        <f>AI76*VLOOKUP('Données projet'!$B$10,Paramètres!$A$1:$I$88,3,0)*VLOOKUP('Données projet'!$B$10,Paramètres!$A$1:$I$88,5,0)</f>
        <v>416.92013999999995</v>
      </c>
      <c r="AK76" s="14">
        <f t="shared" si="89"/>
        <v>95.198648992414618</v>
      </c>
      <c r="AL76" s="22">
        <f t="shared" si="58"/>
        <v>891.94022416178871</v>
      </c>
      <c r="AM76" s="60">
        <f t="shared" si="59"/>
        <v>1159.7230083597105</v>
      </c>
      <c r="AN76" s="60">
        <f ca="1">AVERAGE(OFFSET($AM$3,0,0,'Données projet'!$E$10+1,1))-AVERAGE(OFFSET($H$3,0,0,'Données projet'!$E$10+1,1))</f>
        <v>436.5217771315057</v>
      </c>
      <c r="AO76" s="60">
        <f t="shared" si="90"/>
        <v>308.97310256098365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24.722257294347234</v>
      </c>
      <c r="AV76" s="23">
        <f>EXP(-LN(2)/25)*AV75+(1-EXP(-LN(2)/25))/(LN(2)/25)*Calculateur!AQ76*Calculateur!AS76*VLOOKUP('Données projet'!$B$10,Paramètres!$A$1:$I$88,3,0)*0.475*44/12</f>
        <v>11.390699025002558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36.112956319349792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</v>
      </c>
      <c r="BD76" s="13">
        <f>IF('Données projet'!$A$88&gt;35,BD75+BC76-BL75,IF(A76&lt;'Données projet'!$A$88,$BA$205^A76,IF(A76='Données projet'!$A$88,'Données projet'!$B$88,BD75+BC76-BL75)))</f>
        <v>168</v>
      </c>
      <c r="BE76" s="14">
        <f>BD76*VLOOKUP('Données projet'!$B$11,Paramètres!$A$1:$I$88,3,0)*VLOOKUP('Données projet'!$B$11,Paramètres!$A$1:$I$88,5,0)</f>
        <v>170.352</v>
      </c>
      <c r="BF76" s="14">
        <f t="shared" si="91"/>
        <v>43.168850382694451</v>
      </c>
      <c r="BG76" s="22">
        <f t="shared" si="61"/>
        <v>371.88214774985948</v>
      </c>
      <c r="BH76" s="60">
        <f t="shared" si="62"/>
        <v>639.66493194778127</v>
      </c>
      <c r="BI76" s="60">
        <f ca="1">AVERAGE(OFFSET($BH$3,0,0,'Données projet'!$E$11+1,1))-AVERAGE(OFFSET($H$3,0,0,'Données projet'!$E$11+1,1))</f>
        <v>108.30434106718693</v>
      </c>
      <c r="BJ76" s="60">
        <f t="shared" si="92"/>
        <v>67.653808657585842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17.392516524438381</v>
      </c>
      <c r="BQ76" s="23">
        <f>EXP(-LN(2)/25)*BQ75+(1-EXP(-LN(2)/25))/(LN(2)/25)*Calculateur!BL76*Calculateur!BN76*VLOOKUP('Données projet'!$B$11,Paramètres!$A$1:$I$88,3,0)*0.475*44/12</f>
        <v>0</v>
      </c>
      <c r="BR76" s="23">
        <f>EXP(-LN(2)/2)*BR75+(1-EXP(-LN(2)/2))/(LN(2)/2)*BL76*BO76*VLOOKUP('Données projet'!$B$11,Paramètres!$A$1:$I$88,3,0)*0.475*44/12</f>
        <v>0</v>
      </c>
      <c r="BS76" s="24">
        <f t="shared" si="63"/>
        <v>17.392516524438381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projet'!$B$12,Paramètres!$A$1:$I$88,3,0)*VLOOKUP('Données projet'!$B$12,Paramètres!$A$1:$I$88,5,0)</f>
        <v>0</v>
      </c>
      <c r="CA76" s="14" t="e">
        <f t="shared" si="93"/>
        <v>#NUM!</v>
      </c>
      <c r="CB76" s="22" t="e">
        <f t="shared" si="64"/>
        <v>#NUM!</v>
      </c>
      <c r="CC76" s="60" t="e">
        <f t="shared" si="65"/>
        <v>#NUM!</v>
      </c>
      <c r="CD76" s="60">
        <f ca="1">AVERAGE(OFFSET($CC$3,0,0,'Données projet'!$E$12+1,1))-AVERAGE(OFFSET($H$3,0,0,'Données projet'!$E$12+1,1))</f>
        <v>171.08593400758221</v>
      </c>
      <c r="CE76" s="60">
        <f t="shared" si="94"/>
        <v>201.9528484086932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projet'!$B$12,Paramètres!$A$1:$I$88,3,0)*0.475*44/12</f>
        <v>56.659779172267967</v>
      </c>
      <c r="CL76" s="23">
        <f>EXP(-LN(2)/25)*CL75+(1-EXP(-LN(2)/25))/(LN(2)/25)*Calculateur!CG76*Calculateur!CI76*VLOOKUP('Données projet'!$B$12,Paramètres!$A$1:$I$88,3,0)*0.475*44/12</f>
        <v>29.762099268821611</v>
      </c>
      <c r="CM76" s="23">
        <f>EXP(-LN(2)/2)*CM75+(1-EXP(-LN(2)/2))/(LN(2)/2)*CG76*CJ76*VLOOKUP('Données projet'!$B$12,Paramètres!$A$1:$I$88,3,0)*0.475*44/12</f>
        <v>0</v>
      </c>
      <c r="CN76" s="24">
        <f t="shared" si="66"/>
        <v>86.421878441089575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6.6</v>
      </c>
      <c r="CT76" s="13">
        <f>IF('Données projet'!$A$140&gt;35,CT75+CS76-DB75,IF(A76&lt;'Données projet'!$A$140,$CQ$205^A76,IF(A76='Données projet'!$A$140,'Données projet'!$B$140,CT75+CS76-DB75)))</f>
        <v>361.79999999999984</v>
      </c>
      <c r="CU76" s="18">
        <f>CT76*VLOOKUP('Données projet'!$B$13,Paramètres!$A$1:$I$88,3,0)*VLOOKUP('Données projet'!$B$13,Paramètres!$A$1:$I$88,5,0)</f>
        <v>242.69543999999991</v>
      </c>
      <c r="CV76" s="14">
        <f t="shared" si="95"/>
        <v>59.019090031230199</v>
      </c>
      <c r="CW76" s="22">
        <f t="shared" si="67"/>
        <v>525.48613980439234</v>
      </c>
      <c r="CX76" s="60">
        <f t="shared" si="68"/>
        <v>793.26892400231418</v>
      </c>
      <c r="CY76" s="60">
        <f ca="1">AVERAGE(OFFSET($CX$3,0,0,'Données projet'!$E$13+1,1))-AVERAGE(OFFSET($H$3,0,0,'Données projet'!$E$13+1,1))</f>
        <v>283.66646124753868</v>
      </c>
      <c r="CZ76" s="60">
        <f t="shared" si="96"/>
        <v>331.61926649572797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projet'!$B$13,Paramètres!$A$1:$I$88,3,0)*0.475*44/12</f>
        <v>19.532772291260837</v>
      </c>
      <c r="DG76" s="23">
        <f>EXP(-LN(2)/25)*DG75+(1-EXP(-LN(2)/25))/(LN(2)/25)*Calculateur!DB76*Calculateur!DD76*VLOOKUP('Données projet'!$B$13,Paramètres!$A$1:$I$88,3,0)*0.475*44/12</f>
        <v>0</v>
      </c>
      <c r="DH76" s="23">
        <f>EXP(-LN(2)/2)*DH75+(1-EXP(-LN(2)/2))/(LN(2)/2)*DB76*DE76*VLOOKUP('Données projet'!$B$13,Paramètres!$A$1:$I$88,3,0)*0.475*44/12</f>
        <v>0</v>
      </c>
      <c r="DI76" s="24">
        <f t="shared" si="69"/>
        <v>19.532772291260837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1.1368683772161603E-13</v>
      </c>
      <c r="DP76" s="18">
        <f>DO76*VLOOKUP('Données projet'!$B$14,Paramètres!$A$1:$I$88,3,0)*VLOOKUP('Données projet'!$B$14,Paramètres!$A$1:$I$88,5,0)</f>
        <v>8.3355189417488869E-14</v>
      </c>
      <c r="DQ76" s="14">
        <f t="shared" si="97"/>
        <v>1.2790518435140618E-12</v>
      </c>
      <c r="DR76" s="22">
        <f t="shared" si="70"/>
        <v>2.3728589156891171E-12</v>
      </c>
      <c r="DS76" s="60">
        <f t="shared" si="71"/>
        <v>267.78278419792417</v>
      </c>
      <c r="DT76" s="60">
        <f ca="1">AVERAGE(OFFSET($DS$3,0,0,'Données projet'!$E$14+1,1))-AVERAGE(OFFSET($H$3,0,0,'Données projet'!$E$14+1,1))</f>
        <v>212.77458587586861</v>
      </c>
      <c r="DU76" s="60">
        <f t="shared" si="98"/>
        <v>260.45879589483513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projet'!$B$14,Paramètres!$A$1:$I$88,3,0)*0.475*44/12</f>
        <v>27.744522580538405</v>
      </c>
      <c r="EB76" s="23">
        <f>EXP(-LN(2)/25)*EB75+(1-EXP(-LN(2)/25))/(LN(2)/25)*Calculateur!DW76*Calculateur!DY76*VLOOKUP('Données projet'!$B$14,Paramètres!$A$1:$I$88,3,0)*0.475*44/12</f>
        <v>14.128912949174941</v>
      </c>
      <c r="EC76" s="23">
        <f>EXP(-LN(2)/2)*EC75+(1-EXP(-LN(2)/2))/(LN(2)/2)*DW76*DZ76*VLOOKUP('Données projet'!$B$14,Paramètres!$A$1:$I$88,3,0)*0.475*44/12</f>
        <v>0</v>
      </c>
      <c r="ED76" s="24">
        <f t="shared" si="72"/>
        <v>41.873435529713348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5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8">
        <f t="shared" si="56"/>
        <v>183.33333333333334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3.4106051316484809E-13</v>
      </c>
      <c r="O77" s="14">
        <f>N77*VLOOKUP('Données projet'!$B$9,Paramètres!$A$1:$I$88,3,0)*VLOOKUP('Données projet'!$B$9,Paramètres!$A$1:$I$88,5,0)</f>
        <v>1.9065282685915009E-13</v>
      </c>
      <c r="P77" s="14">
        <f t="shared" si="87"/>
        <v>2.6568987209435707E-12</v>
      </c>
      <c r="Q77" s="22">
        <f t="shared" si="54"/>
        <v>4.959485612423072E-12</v>
      </c>
      <c r="R77" s="60">
        <f t="shared" si="55"/>
        <v>268.22602910295581</v>
      </c>
      <c r="S77" s="60">
        <f ca="1">AVERAGE(OFFSET($R$3,0,0,'Données projet'!$E$9+1,1))-AVERAGE(OFFSET($H$3,0,0,'Données projet'!$E$9+1,1))</f>
        <v>366.29380214443631</v>
      </c>
      <c r="T77" s="60">
        <f t="shared" si="88"/>
        <v>413.14502442862897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181.60212626703466</v>
      </c>
      <c r="AA77" s="23">
        <f>EXP(-LN(2)/25)*AA76+(1-EXP(-LN(2)/25))/(LN(2)/25)*Calculateur!V77*Calculateur!X77*VLOOKUP('Données projet'!$B$9,Paramètres!$A$1:$I$88,3,0)*0.475*44/12</f>
        <v>89.891565604302755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271.49369187133743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11.53125</v>
      </c>
      <c r="AI77" s="14">
        <f>IF('Données projet'!$A$62&gt;35,AI76+AH77-AQ76,IF(A77&lt;'Données projet'!$A$62,$AF$205^A77,IF(A77='Données projet'!$A$62,'Données projet'!$B$62,AI76+AH77-AQ76)))</f>
        <v>488.77499999999992</v>
      </c>
      <c r="AJ77" s="14">
        <f>AI77*VLOOKUP('Données projet'!$B$10,Paramètres!$A$1:$I$88,3,0)*VLOOKUP('Données projet'!$B$10,Paramètres!$A$1:$I$88,5,0)</f>
        <v>426.99384000000003</v>
      </c>
      <c r="AK77" s="14">
        <f t="shared" si="89"/>
        <v>97.228279156909025</v>
      </c>
      <c r="AL77" s="22">
        <f t="shared" si="58"/>
        <v>913.02019086494977</v>
      </c>
      <c r="AM77" s="60">
        <f t="shared" si="59"/>
        <v>1181.2462199679007</v>
      </c>
      <c r="AN77" s="60">
        <f ca="1">AVERAGE(OFFSET($AM$3,0,0,'Données projet'!$E$10+1,1))-AVERAGE(OFFSET($H$3,0,0,'Données projet'!$E$10+1,1))</f>
        <v>436.5217771315057</v>
      </c>
      <c r="AO77" s="60">
        <f t="shared" si="90"/>
        <v>308.97310256098365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24.237468907893099</v>
      </c>
      <c r="AV77" s="23">
        <f>EXP(-LN(2)/25)*AV76+(1-EXP(-LN(2)/25))/(LN(2)/25)*Calculateur!AQ77*Calculateur!AS77*VLOOKUP('Données projet'!$B$10,Paramètres!$A$1:$I$88,3,0)*0.475*44/12</f>
        <v>11.079219761153036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35.316688669046137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</v>
      </c>
      <c r="BD77" s="13">
        <f>IF('Données projet'!$A$88&gt;35,BD76+BC77-BL76,IF(A77&lt;'Données projet'!$A$88,$BA$205^A77,IF(A77='Données projet'!$A$88,'Données projet'!$B$88,BD76+BC77-BL76)))</f>
        <v>174</v>
      </c>
      <c r="BE77" s="14">
        <f>BD77*VLOOKUP('Données projet'!$B$11,Paramètres!$A$1:$I$88,3,0)*VLOOKUP('Données projet'!$B$11,Paramètres!$A$1:$I$88,5,0)</f>
        <v>176.43600000000001</v>
      </c>
      <c r="BF77" s="14">
        <f t="shared" si="91"/>
        <v>44.52834129105058</v>
      </c>
      <c r="BG77" s="22">
        <f t="shared" si="61"/>
        <v>384.84622774857968</v>
      </c>
      <c r="BH77" s="60">
        <f t="shared" si="62"/>
        <v>653.07225685153048</v>
      </c>
      <c r="BI77" s="60">
        <f ca="1">AVERAGE(OFFSET($BH$3,0,0,'Données projet'!$E$11+1,1))-AVERAGE(OFFSET($H$3,0,0,'Données projet'!$E$11+1,1))</f>
        <v>108.30434106718693</v>
      </c>
      <c r="BJ77" s="60">
        <f t="shared" si="92"/>
        <v>67.653808657585842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17.051459883781732</v>
      </c>
      <c r="BQ77" s="23">
        <f>EXP(-LN(2)/25)*BQ76+(1-EXP(-LN(2)/25))/(LN(2)/25)*Calculateur!BL77*Calculateur!BN77*VLOOKUP('Données projet'!$B$11,Paramètres!$A$1:$I$88,3,0)*0.475*44/12</f>
        <v>0</v>
      </c>
      <c r="BR77" s="23">
        <f>EXP(-LN(2)/2)*BR76+(1-EXP(-LN(2)/2))/(LN(2)/2)*BL77*BO77*VLOOKUP('Données projet'!$B$11,Paramètres!$A$1:$I$88,3,0)*0.475*44/12</f>
        <v>0</v>
      </c>
      <c r="BS77" s="24">
        <f t="shared" si="63"/>
        <v>17.051459883781732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projet'!$B$12,Paramètres!$A$1:$I$88,3,0)*VLOOKUP('Données projet'!$B$12,Paramètres!$A$1:$I$88,5,0)</f>
        <v>0</v>
      </c>
      <c r="CA77" s="14" t="e">
        <f t="shared" si="93"/>
        <v>#NUM!</v>
      </c>
      <c r="CB77" s="22" t="e">
        <f t="shared" si="64"/>
        <v>#NUM!</v>
      </c>
      <c r="CC77" s="60" t="e">
        <f t="shared" si="65"/>
        <v>#NUM!</v>
      </c>
      <c r="CD77" s="60">
        <f ca="1">AVERAGE(OFFSET($CC$3,0,0,'Données projet'!$E$12+1,1))-AVERAGE(OFFSET($H$3,0,0,'Données projet'!$E$12+1,1))</f>
        <v>171.08593400758221</v>
      </c>
      <c r="CE77" s="60">
        <f t="shared" si="94"/>
        <v>201.9528484086932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projet'!$B$12,Paramètres!$A$1:$I$88,3,0)*0.475*44/12</f>
        <v>55.548715461752664</v>
      </c>
      <c r="CL77" s="23">
        <f>EXP(-LN(2)/25)*CL76+(1-EXP(-LN(2)/25))/(LN(2)/25)*Calculateur!CG77*Calculateur!CI77*VLOOKUP('Données projet'!$B$12,Paramètres!$A$1:$I$88,3,0)*0.475*44/12</f>
        <v>28.948253099194908</v>
      </c>
      <c r="CM77" s="23">
        <f>EXP(-LN(2)/2)*CM76+(1-EXP(-LN(2)/2))/(LN(2)/2)*CG77*CJ77*VLOOKUP('Données projet'!$B$12,Paramètres!$A$1:$I$88,3,0)*0.475*44/12</f>
        <v>0</v>
      </c>
      <c r="CN77" s="24">
        <f t="shared" si="66"/>
        <v>84.496968560947579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6.6</v>
      </c>
      <c r="CT77" s="13">
        <f>IF('Données projet'!$A$140&gt;35,CT76+CS77-DB76,IF(A77&lt;'Données projet'!$A$140,$CQ$205^A77,IF(A77='Données projet'!$A$140,'Données projet'!$B$140,CT76+CS77-DB76)))</f>
        <v>368.39999999999986</v>
      </c>
      <c r="CU77" s="18">
        <f>CT77*VLOOKUP('Données projet'!$B$13,Paramètres!$A$1:$I$88,3,0)*VLOOKUP('Données projet'!$B$13,Paramètres!$A$1:$I$88,5,0)</f>
        <v>247.12271999999993</v>
      </c>
      <c r="CV77" s="14">
        <f t="shared" si="95"/>
        <v>59.969400166576158</v>
      </c>
      <c r="CW77" s="22">
        <f t="shared" si="67"/>
        <v>534.85210929011998</v>
      </c>
      <c r="CX77" s="60">
        <f t="shared" si="68"/>
        <v>803.07813839307084</v>
      </c>
      <c r="CY77" s="60">
        <f ca="1">AVERAGE(OFFSET($CX$3,0,0,'Données projet'!$E$13+1,1))-AVERAGE(OFFSET($H$3,0,0,'Données projet'!$E$13+1,1))</f>
        <v>283.66646124753868</v>
      </c>
      <c r="CZ77" s="60">
        <f t="shared" si="96"/>
        <v>331.61926649572797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projet'!$B$13,Paramètres!$A$1:$I$88,3,0)*0.475*44/12</f>
        <v>19.149746540443918</v>
      </c>
      <c r="DG77" s="23">
        <f>EXP(-LN(2)/25)*DG76+(1-EXP(-LN(2)/25))/(LN(2)/25)*Calculateur!DB77*Calculateur!DD77*VLOOKUP('Données projet'!$B$13,Paramètres!$A$1:$I$88,3,0)*0.475*44/12</f>
        <v>0</v>
      </c>
      <c r="DH77" s="23">
        <f>EXP(-LN(2)/2)*DH76+(1-EXP(-LN(2)/2))/(LN(2)/2)*DB77*DE77*VLOOKUP('Données projet'!$B$13,Paramètres!$A$1:$I$88,3,0)*0.475*44/12</f>
        <v>0</v>
      </c>
      <c r="DI77" s="24">
        <f t="shared" si="69"/>
        <v>19.149746540443918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1.1368683772161603E-13</v>
      </c>
      <c r="DP77" s="18">
        <f>DO77*VLOOKUP('Données projet'!$B$14,Paramètres!$A$1:$I$88,3,0)*VLOOKUP('Données projet'!$B$14,Paramètres!$A$1:$I$88,5,0)</f>
        <v>8.3355189417488869E-14</v>
      </c>
      <c r="DQ77" s="14">
        <f t="shared" si="97"/>
        <v>1.2790518435140618E-12</v>
      </c>
      <c r="DR77" s="22">
        <f t="shared" si="70"/>
        <v>2.3728589156891171E-12</v>
      </c>
      <c r="DS77" s="60">
        <f t="shared" si="71"/>
        <v>268.22602910295325</v>
      </c>
      <c r="DT77" s="60">
        <f ca="1">AVERAGE(OFFSET($DS$3,0,0,'Données projet'!$E$14+1,1))-AVERAGE(OFFSET($H$3,0,0,'Données projet'!$E$14+1,1))</f>
        <v>212.77458587586861</v>
      </c>
      <c r="DU77" s="60">
        <f t="shared" si="98"/>
        <v>260.45879589483513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projet'!$B$14,Paramètres!$A$1:$I$88,3,0)*0.475*44/12</f>
        <v>27.200469415221864</v>
      </c>
      <c r="EB77" s="23">
        <f>EXP(-LN(2)/25)*EB76+(1-EXP(-LN(2)/25))/(LN(2)/25)*Calculateur!DW77*Calculateur!DY77*VLOOKUP('Données projet'!$B$14,Paramètres!$A$1:$I$88,3,0)*0.475*44/12</f>
        <v>13.742557081572512</v>
      </c>
      <c r="EC77" s="23">
        <f>EXP(-LN(2)/2)*EC76+(1-EXP(-LN(2)/2))/(LN(2)/2)*DW77*DZ77*VLOOKUP('Données projet'!$B$14,Paramètres!$A$1:$I$88,3,0)*0.475*44/12</f>
        <v>0</v>
      </c>
      <c r="ED77" s="24">
        <f t="shared" si="72"/>
        <v>40.943026496794374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5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8">
        <f t="shared" si="56"/>
        <v>183.33333333333334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3.4106051316484809E-13</v>
      </c>
      <c r="O78" s="14">
        <f>N78*VLOOKUP('Données projet'!$B$9,Paramètres!$A$1:$I$88,3,0)*VLOOKUP('Données projet'!$B$9,Paramètres!$A$1:$I$88,5,0)</f>
        <v>1.9065282685915009E-13</v>
      </c>
      <c r="P78" s="14">
        <f t="shared" si="87"/>
        <v>2.6568987209435707E-12</v>
      </c>
      <c r="Q78" s="22">
        <f t="shared" si="54"/>
        <v>4.959485612423072E-12</v>
      </c>
      <c r="R78" s="60">
        <f t="shared" si="55"/>
        <v>268.66158469982975</v>
      </c>
      <c r="S78" s="60">
        <f ca="1">AVERAGE(OFFSET($R$3,0,0,'Données projet'!$E$9+1,1))-AVERAGE(OFFSET($H$3,0,0,'Données projet'!$E$9+1,1))</f>
        <v>366.29380214443631</v>
      </c>
      <c r="T78" s="60">
        <f t="shared" si="88"/>
        <v>413.14502442862897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178.04101933729785</v>
      </c>
      <c r="AA78" s="23">
        <f>EXP(-LN(2)/25)*AA77+(1-EXP(-LN(2)/25))/(LN(2)/25)*Calculateur!V78*Calculateur!X78*VLOOKUP('Données projet'!$B$9,Paramètres!$A$1:$I$88,3,0)*0.475*44/12</f>
        <v>87.433476015661114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265.47449535295897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11.53125</v>
      </c>
      <c r="AI78" s="14">
        <f>IF('Données projet'!$A$62&gt;35,AI77+AH78-AQ77,IF(A78&lt;'Données projet'!$A$62,$AF$205^A78,IF(A78='Données projet'!$A$62,'Données projet'!$B$62,AI77+AH78-AQ77)))</f>
        <v>500.30624999999992</v>
      </c>
      <c r="AJ78" s="14">
        <f>AI78*VLOOKUP('Données projet'!$B$10,Paramètres!$A$1:$I$88,3,0)*VLOOKUP('Données projet'!$B$10,Paramètres!$A$1:$I$88,5,0)</f>
        <v>437.06754000000001</v>
      </c>
      <c r="AK78" s="14">
        <f t="shared" si="89"/>
        <v>99.252342802391027</v>
      </c>
      <c r="AL78" s="22">
        <f t="shared" si="58"/>
        <v>934.09046254749762</v>
      </c>
      <c r="AM78" s="60">
        <f t="shared" si="59"/>
        <v>1202.7520472473225</v>
      </c>
      <c r="AN78" s="60">
        <f ca="1">AVERAGE(OFFSET($AM$3,0,0,'Données projet'!$E$10+1,1))-AVERAGE(OFFSET($H$3,0,0,'Données projet'!$E$10+1,1))</f>
        <v>436.5217771315057</v>
      </c>
      <c r="AO78" s="60">
        <f t="shared" si="90"/>
        <v>308.97310256098365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23.762186926005612</v>
      </c>
      <c r="AV78" s="23">
        <f>EXP(-LN(2)/25)*AV77+(1-EXP(-LN(2)/25))/(LN(2)/25)*Calculateur!AQ78*Calculateur!AS78*VLOOKUP('Données projet'!$B$10,Paramètres!$A$1:$I$88,3,0)*0.475*44/12</f>
        <v>10.776257914153462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34.538444840159073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6</v>
      </c>
      <c r="BD78" s="13">
        <f>IF('Données projet'!$A$88&gt;35,BD77+BC78-BL77,IF(A78&lt;'Données projet'!$A$88,$BA$205^A78,IF(A78='Données projet'!$A$88,'Données projet'!$B$88,BD77+BC78-BL77)))</f>
        <v>180</v>
      </c>
      <c r="BE78" s="14">
        <f>BD78*VLOOKUP('Données projet'!$B$11,Paramètres!$A$1:$I$88,3,0)*VLOOKUP('Données projet'!$B$11,Paramètres!$A$1:$I$88,5,0)</f>
        <v>182.52</v>
      </c>
      <c r="BF78" s="14">
        <f t="shared" si="91"/>
        <v>45.882385280285632</v>
      </c>
      <c r="BG78" s="22">
        <f t="shared" si="61"/>
        <v>397.80082102983079</v>
      </c>
      <c r="BH78" s="60">
        <f t="shared" si="62"/>
        <v>666.46240572965553</v>
      </c>
      <c r="BI78" s="60">
        <f ca="1">AVERAGE(OFFSET($BH$3,0,0,'Données projet'!$E$11+1,1))-AVERAGE(OFFSET($H$3,0,0,'Données projet'!$E$11+1,1))</f>
        <v>108.30434106718693</v>
      </c>
      <c r="BJ78" s="60">
        <f t="shared" si="92"/>
        <v>67.653808657585842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16.717091155824349</v>
      </c>
      <c r="BQ78" s="23">
        <f>EXP(-LN(2)/25)*BQ77+(1-EXP(-LN(2)/25))/(LN(2)/25)*Calculateur!BL78*Calculateur!BN78*VLOOKUP('Données projet'!$B$11,Paramètres!$A$1:$I$88,3,0)*0.475*44/12</f>
        <v>0</v>
      </c>
      <c r="BR78" s="23">
        <f>EXP(-LN(2)/2)*BR77+(1-EXP(-LN(2)/2))/(LN(2)/2)*BL78*BO78*VLOOKUP('Données projet'!$B$11,Paramètres!$A$1:$I$88,3,0)*0.475*44/12</f>
        <v>0</v>
      </c>
      <c r="BS78" s="24">
        <f t="shared" si="63"/>
        <v>16.717091155824349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projet'!$B$12,Paramètres!$A$1:$I$88,3,0)*VLOOKUP('Données projet'!$B$12,Paramètres!$A$1:$I$88,5,0)</f>
        <v>0</v>
      </c>
      <c r="CA78" s="14" t="e">
        <f t="shared" si="93"/>
        <v>#NUM!</v>
      </c>
      <c r="CB78" s="22" t="e">
        <f t="shared" si="64"/>
        <v>#NUM!</v>
      </c>
      <c r="CC78" s="60" t="e">
        <f t="shared" si="65"/>
        <v>#NUM!</v>
      </c>
      <c r="CD78" s="60">
        <f ca="1">AVERAGE(OFFSET($CC$3,0,0,'Données projet'!$E$12+1,1))-AVERAGE(OFFSET($H$3,0,0,'Données projet'!$E$12+1,1))</f>
        <v>171.08593400758221</v>
      </c>
      <c r="CE78" s="60">
        <f t="shared" si="94"/>
        <v>201.9528484086932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projet'!$B$12,Paramètres!$A$1:$I$88,3,0)*0.475*44/12</f>
        <v>54.459439032918617</v>
      </c>
      <c r="CL78" s="23">
        <f>EXP(-LN(2)/25)*CL77+(1-EXP(-LN(2)/25))/(LN(2)/25)*Calculateur!CG78*Calculateur!CI78*VLOOKUP('Données projet'!$B$12,Paramètres!$A$1:$I$88,3,0)*0.475*44/12</f>
        <v>28.156661595874954</v>
      </c>
      <c r="CM78" s="23">
        <f>EXP(-LN(2)/2)*CM77+(1-EXP(-LN(2)/2))/(LN(2)/2)*CG78*CJ78*VLOOKUP('Données projet'!$B$12,Paramètres!$A$1:$I$88,3,0)*0.475*44/12</f>
        <v>0</v>
      </c>
      <c r="CN78" s="24">
        <f t="shared" si="66"/>
        <v>82.616100628793575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375</v>
      </c>
      <c r="CR78" s="13">
        <f>VLOOKUP(A78,'Données projet'!$A$139:$I$159,9,0)</f>
        <v>6.6</v>
      </c>
      <c r="CS78" s="13">
        <f t="array" ref="CS78">INDEX(CR:CR,MIN(IF(ISNUMBER(CR78:CR274),ROW(CR78:CR274),"")))</f>
        <v>6.6</v>
      </c>
      <c r="CT78" s="13">
        <f>IF('Données projet'!$A$140&gt;35,CT77+CS78-DB77,IF(A78&lt;'Données projet'!$A$140,$CQ$205^A78,IF(A78='Données projet'!$A$140,'Données projet'!$B$140,CT77+CS78-DB77)))</f>
        <v>374.99999999999989</v>
      </c>
      <c r="CU78" s="18">
        <f>CT78*VLOOKUP('Données projet'!$B$13,Paramètres!$A$1:$I$88,3,0)*VLOOKUP('Données projet'!$B$13,Paramètres!$A$1:$I$88,5,0)</f>
        <v>251.54999999999993</v>
      </c>
      <c r="CV78" s="14">
        <f t="shared" si="95"/>
        <v>60.917730533154099</v>
      </c>
      <c r="CW78" s="22">
        <f t="shared" si="67"/>
        <v>544.21463067857655</v>
      </c>
      <c r="CX78" s="60">
        <f t="shared" si="68"/>
        <v>812.87621537840141</v>
      </c>
      <c r="CY78" s="60">
        <f ca="1">AVERAGE(OFFSET($CX$3,0,0,'Données projet'!$E$13+1,1))-AVERAGE(OFFSET($H$3,0,0,'Données projet'!$E$13+1,1))</f>
        <v>283.66646124753868</v>
      </c>
      <c r="CZ78" s="60">
        <f t="shared" si="96"/>
        <v>331.61926649572797</v>
      </c>
      <c r="DA78" s="16">
        <f>IF(ISNA(VLOOKUP(A78,'Données projet'!$A$139:$I$159,3,0)),0,VLOOKUP(A78,'Données projet'!$A$139:$I$159,3,0))</f>
        <v>13</v>
      </c>
      <c r="DB78" s="16">
        <f>IF(ISNA(VLOOKUP(A78,'Données projet'!$A$139:$I$159,4,0)),0,VLOOKUP(A78,'Données projet'!$A$139:$I$159,4,0))</f>
        <v>18</v>
      </c>
      <c r="DC78" s="17">
        <f>IF(ISNA(VLOOKUP(A78,'Données projet'!$A$139:$I$159,5,0)),0%,VLOOKUP(A78,'Données projet'!$A$139:$I$159,5,0)*VLOOKUP('Données projet'!$B$13,Paramètres!$A$1:$I$88,7,0))</f>
        <v>0.318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projet'!$B$13,Paramètres!$A$1:$I$88,3,0)*0.475*44/12</f>
        <v>23.018861204079062</v>
      </c>
      <c r="DG78" s="23">
        <f>EXP(-LN(2)/25)*DG77+(1-EXP(-LN(2)/25))/(LN(2)/25)*Calculateur!DB78*Calculateur!DD78*VLOOKUP('Données projet'!$B$13,Paramètres!$A$1:$I$88,3,0)*0.475*44/12</f>
        <v>0</v>
      </c>
      <c r="DH78" s="23">
        <f>EXP(-LN(2)/2)*DH77+(1-EXP(-LN(2)/2))/(LN(2)/2)*DB78*DE78*VLOOKUP('Données projet'!$B$13,Paramètres!$A$1:$I$88,3,0)*0.475*44/12</f>
        <v>0</v>
      </c>
      <c r="DI78" s="24">
        <f t="shared" si="69"/>
        <v>23.018861204079062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1.1368683772161603E-13</v>
      </c>
      <c r="DP78" s="18">
        <f>DO78*VLOOKUP('Données projet'!$B$14,Paramètres!$A$1:$I$88,3,0)*VLOOKUP('Données projet'!$B$14,Paramètres!$A$1:$I$88,5,0)</f>
        <v>8.3355189417488869E-14</v>
      </c>
      <c r="DQ78" s="14">
        <f t="shared" si="97"/>
        <v>1.2790518435140618E-12</v>
      </c>
      <c r="DR78" s="22">
        <f t="shared" si="70"/>
        <v>2.3728589156891171E-12</v>
      </c>
      <c r="DS78" s="60">
        <f t="shared" si="71"/>
        <v>268.66158469982719</v>
      </c>
      <c r="DT78" s="60">
        <f ca="1">AVERAGE(OFFSET($DS$3,0,0,'Données projet'!$E$14+1,1))-AVERAGE(OFFSET($H$3,0,0,'Données projet'!$E$14+1,1))</f>
        <v>212.77458587586861</v>
      </c>
      <c r="DU78" s="60">
        <f t="shared" si="98"/>
        <v>260.45879589483513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projet'!$B$14,Paramètres!$A$1:$I$88,3,0)*0.475*44/12</f>
        <v>26.667084800637515</v>
      </c>
      <c r="EB78" s="23">
        <f>EXP(-LN(2)/25)*EB77+(1-EXP(-LN(2)/25))/(LN(2)/25)*Calculateur!DW78*Calculateur!DY78*VLOOKUP('Données projet'!$B$14,Paramètres!$A$1:$I$88,3,0)*0.475*44/12</f>
        <v>13.366766135487243</v>
      </c>
      <c r="EC78" s="23">
        <f>EXP(-LN(2)/2)*EC77+(1-EXP(-LN(2)/2))/(LN(2)/2)*DW78*DZ78*VLOOKUP('Données projet'!$B$14,Paramètres!$A$1:$I$88,3,0)*0.475*44/12</f>
        <v>0</v>
      </c>
      <c r="ED78" s="24">
        <f t="shared" si="72"/>
        <v>40.033850936124757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5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8">
        <f t="shared" si="56"/>
        <v>183.33333333333334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3.4106051316484809E-13</v>
      </c>
      <c r="O79" s="14">
        <f>N79*VLOOKUP('Données projet'!$B$9,Paramètres!$A$1:$I$88,3,0)*VLOOKUP('Données projet'!$B$9,Paramètres!$A$1:$I$88,5,0)</f>
        <v>1.9065282685915009E-13</v>
      </c>
      <c r="P79" s="14">
        <f t="shared" si="87"/>
        <v>2.6568987209435707E-12</v>
      </c>
      <c r="Q79" s="22">
        <f t="shared" si="54"/>
        <v>4.959485612423072E-12</v>
      </c>
      <c r="R79" s="60">
        <f t="shared" si="55"/>
        <v>269.08958438085438</v>
      </c>
      <c r="S79" s="60">
        <f ca="1">AVERAGE(OFFSET($R$3,0,0,'Données projet'!$E$9+1,1))-AVERAGE(OFFSET($H$3,0,0,'Données projet'!$E$9+1,1))</f>
        <v>366.29380214443631</v>
      </c>
      <c r="T79" s="60">
        <f t="shared" si="88"/>
        <v>413.14502442862897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174.54974354239243</v>
      </c>
      <c r="AA79" s="23">
        <f>EXP(-LN(2)/25)*AA78+(1-EXP(-LN(2)/25))/(LN(2)/25)*Calculateur!V79*Calculateur!X79*VLOOKUP('Données projet'!$B$9,Paramètres!$A$1:$I$88,3,0)*0.475*44/12</f>
        <v>85.04260301608619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259.59234655847865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11.53125</v>
      </c>
      <c r="AI79" s="14">
        <f>IF('Données projet'!$A$62&gt;35,AI78+AH79-AQ78,IF(A79&lt;'Données projet'!$A$62,$AF$205^A79,IF(A79='Données projet'!$A$62,'Données projet'!$B$62,AI78+AH79-AQ78)))</f>
        <v>511.83749999999992</v>
      </c>
      <c r="AJ79" s="14">
        <f>AI79*VLOOKUP('Données projet'!$B$10,Paramètres!$A$1:$I$88,3,0)*VLOOKUP('Données projet'!$B$10,Paramètres!$A$1:$I$88,5,0)</f>
        <v>447.14123999999998</v>
      </c>
      <c r="AK79" s="14">
        <f t="shared" si="89"/>
        <v>101.2709829957939</v>
      </c>
      <c r="AL79" s="22">
        <f t="shared" si="58"/>
        <v>955.151288384341</v>
      </c>
      <c r="AM79" s="60">
        <f t="shared" si="59"/>
        <v>1224.2408727651905</v>
      </c>
      <c r="AN79" s="60">
        <f ca="1">AVERAGE(OFFSET($AM$3,0,0,'Données projet'!$E$10+1,1))-AVERAGE(OFFSET($H$3,0,0,'Données projet'!$E$10+1,1))</f>
        <v>436.5217771315057</v>
      </c>
      <c r="AO79" s="60">
        <f t="shared" si="90"/>
        <v>308.97310256098365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23.296224933889551</v>
      </c>
      <c r="AV79" s="23">
        <f>EXP(-LN(2)/25)*AV78+(1-EXP(-LN(2)/25))/(LN(2)/25)*Calculateur!AQ79*Calculateur!AS79*VLOOKUP('Données projet'!$B$10,Paramètres!$A$1:$I$88,3,0)*0.475*44/12</f>
        <v>10.481580574792162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33.777805508681709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186</v>
      </c>
      <c r="BE79" s="14">
        <f>BD79*VLOOKUP('Données projet'!$B$11,Paramètres!$A$1:$I$88,3,0)*VLOOKUP('Données projet'!$B$11,Paramètres!$A$1:$I$88,5,0)</f>
        <v>188.60400000000001</v>
      </c>
      <c r="BF79" s="14">
        <f t="shared" si="91"/>
        <v>47.231184731814224</v>
      </c>
      <c r="BG79" s="22">
        <f t="shared" si="61"/>
        <v>410.74628007457642</v>
      </c>
      <c r="BH79" s="60">
        <f t="shared" si="62"/>
        <v>679.83586445542585</v>
      </c>
      <c r="BI79" s="60">
        <f ca="1">AVERAGE(OFFSET($BH$3,0,0,'Données projet'!$E$11+1,1))-AVERAGE(OFFSET($H$3,0,0,'Données projet'!$E$11+1,1))</f>
        <v>108.30434106718693</v>
      </c>
      <c r="BJ79" s="60">
        <f t="shared" si="92"/>
        <v>67.653808657585842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16.389279194677425</v>
      </c>
      <c r="BQ79" s="23">
        <f>EXP(-LN(2)/25)*BQ78+(1-EXP(-LN(2)/25))/(LN(2)/25)*Calculateur!BL79*Calculateur!BN79*VLOOKUP('Données projet'!$B$11,Paramètres!$A$1:$I$88,3,0)*0.475*44/12</f>
        <v>0</v>
      </c>
      <c r="BR79" s="23">
        <f>EXP(-LN(2)/2)*BR78+(1-EXP(-LN(2)/2))/(LN(2)/2)*BL79*BO79*VLOOKUP('Données projet'!$B$11,Paramètres!$A$1:$I$88,3,0)*0.475*44/12</f>
        <v>0</v>
      </c>
      <c r="BS79" s="24">
        <f t="shared" si="63"/>
        <v>16.389279194677425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projet'!$B$12,Paramètres!$A$1:$I$88,3,0)*VLOOKUP('Données projet'!$B$12,Paramètres!$A$1:$I$88,5,0)</f>
        <v>0</v>
      </c>
      <c r="CA79" s="14" t="e">
        <f t="shared" si="93"/>
        <v>#NUM!</v>
      </c>
      <c r="CB79" s="22" t="e">
        <f t="shared" si="64"/>
        <v>#NUM!</v>
      </c>
      <c r="CC79" s="60" t="e">
        <f t="shared" si="65"/>
        <v>#NUM!</v>
      </c>
      <c r="CD79" s="60">
        <f ca="1">AVERAGE(OFFSET($CC$3,0,0,'Données projet'!$E$12+1,1))-AVERAGE(OFFSET($H$3,0,0,'Données projet'!$E$12+1,1))</f>
        <v>171.08593400758221</v>
      </c>
      <c r="CE79" s="60">
        <f t="shared" si="94"/>
        <v>201.9528484086932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projet'!$B$12,Paramètres!$A$1:$I$88,3,0)*0.475*44/12</f>
        <v>53.391522650460992</v>
      </c>
      <c r="CL79" s="23">
        <f>EXP(-LN(2)/25)*CL78+(1-EXP(-LN(2)/25))/(LN(2)/25)*Calculateur!CG79*Calculateur!CI79*VLOOKUP('Données projet'!$B$12,Paramètres!$A$1:$I$88,3,0)*0.475*44/12</f>
        <v>27.386716203841274</v>
      </c>
      <c r="CM79" s="23">
        <f>EXP(-LN(2)/2)*CM78+(1-EXP(-LN(2)/2))/(LN(2)/2)*CG79*CJ79*VLOOKUP('Données projet'!$B$12,Paramètres!$A$1:$I$88,3,0)*0.475*44/12</f>
        <v>0</v>
      </c>
      <c r="CN79" s="24">
        <f t="shared" si="66"/>
        <v>80.778238854302259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6.6</v>
      </c>
      <c r="CT79" s="13">
        <f>IF('Données projet'!$A$140&gt;35,CT78+CS79-DB78,IF(A79&lt;'Données projet'!$A$140,$CQ$205^A79,IF(A79='Données projet'!$A$140,'Données projet'!$B$140,CT78+CS79-DB78)))</f>
        <v>363.59999999999991</v>
      </c>
      <c r="CU79" s="18">
        <f>CT79*VLOOKUP('Données projet'!$B$13,Paramètres!$A$1:$I$88,3,0)*VLOOKUP('Données projet'!$B$13,Paramètres!$A$1:$I$88,5,0)</f>
        <v>243.90287999999995</v>
      </c>
      <c r="CV79" s="14">
        <f t="shared" si="95"/>
        <v>59.278464140171089</v>
      </c>
      <c r="CW79" s="22">
        <f t="shared" si="67"/>
        <v>528.0408410441313</v>
      </c>
      <c r="CX79" s="60">
        <f t="shared" si="68"/>
        <v>797.13042542498079</v>
      </c>
      <c r="CY79" s="60">
        <f ca="1">AVERAGE(OFFSET($CX$3,0,0,'Données projet'!$E$13+1,1))-AVERAGE(OFFSET($H$3,0,0,'Données projet'!$E$13+1,1))</f>
        <v>283.66646124753868</v>
      </c>
      <c r="CZ79" s="60">
        <f t="shared" si="96"/>
        <v>331.61926649572797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projet'!$B$13,Paramètres!$A$1:$I$88,3,0)*0.475*44/12</f>
        <v>22.56747537598606</v>
      </c>
      <c r="DG79" s="23">
        <f>EXP(-LN(2)/25)*DG78+(1-EXP(-LN(2)/25))/(LN(2)/25)*Calculateur!DB79*Calculateur!DD79*VLOOKUP('Données projet'!$B$13,Paramètres!$A$1:$I$88,3,0)*0.475*44/12</f>
        <v>0</v>
      </c>
      <c r="DH79" s="23">
        <f>EXP(-LN(2)/2)*DH78+(1-EXP(-LN(2)/2))/(LN(2)/2)*DB79*DE79*VLOOKUP('Données projet'!$B$13,Paramètres!$A$1:$I$88,3,0)*0.475*44/12</f>
        <v>0</v>
      </c>
      <c r="DI79" s="24">
        <f t="shared" si="69"/>
        <v>22.56747537598606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1.1368683772161603E-13</v>
      </c>
      <c r="DP79" s="18">
        <f>DO79*VLOOKUP('Données projet'!$B$14,Paramètres!$A$1:$I$88,3,0)*VLOOKUP('Données projet'!$B$14,Paramètres!$A$1:$I$88,5,0)</f>
        <v>8.3355189417488869E-14</v>
      </c>
      <c r="DQ79" s="14">
        <f t="shared" si="97"/>
        <v>1.2790518435140618E-12</v>
      </c>
      <c r="DR79" s="22">
        <f t="shared" si="70"/>
        <v>2.3728589156891171E-12</v>
      </c>
      <c r="DS79" s="60">
        <f t="shared" si="71"/>
        <v>269.08958438085182</v>
      </c>
      <c r="DT79" s="60">
        <f ca="1">AVERAGE(OFFSET($DS$3,0,0,'Données projet'!$E$14+1,1))-AVERAGE(OFFSET($H$3,0,0,'Données projet'!$E$14+1,1))</f>
        <v>212.77458587586861</v>
      </c>
      <c r="DU79" s="60">
        <f t="shared" si="98"/>
        <v>260.45879589483513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projet'!$B$14,Paramètres!$A$1:$I$88,3,0)*0.475*44/12</f>
        <v>26.144159533012676</v>
      </c>
      <c r="EB79" s="23">
        <f>EXP(-LN(2)/25)*EB78+(1-EXP(-LN(2)/25))/(LN(2)/25)*Calculateur!DW79*Calculateur!DY79*VLOOKUP('Données projet'!$B$14,Paramètres!$A$1:$I$88,3,0)*0.475*44/12</f>
        <v>13.001251212584663</v>
      </c>
      <c r="EC79" s="23">
        <f>EXP(-LN(2)/2)*EC78+(1-EXP(-LN(2)/2))/(LN(2)/2)*DW79*DZ79*VLOOKUP('Données projet'!$B$14,Paramètres!$A$1:$I$88,3,0)*0.475*44/12</f>
        <v>0</v>
      </c>
      <c r="ED79" s="24">
        <f t="shared" si="72"/>
        <v>39.145410745597339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5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8">
        <f t="shared" si="56"/>
        <v>183.33333333333334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3.4106051316484809E-13</v>
      </c>
      <c r="O80" s="14">
        <f>N80*VLOOKUP('Données projet'!$B$9,Paramètres!$A$1:$I$88,3,0)*VLOOKUP('Données projet'!$B$9,Paramètres!$A$1:$I$88,5,0)</f>
        <v>1.9065282685915009E-13</v>
      </c>
      <c r="P80" s="14">
        <f t="shared" si="87"/>
        <v>2.6568987209435707E-12</v>
      </c>
      <c r="Q80" s="22">
        <f t="shared" si="54"/>
        <v>4.959485612423072E-12</v>
      </c>
      <c r="R80" s="60">
        <f t="shared" si="55"/>
        <v>269.51015922427723</v>
      </c>
      <c r="S80" s="60">
        <f ca="1">AVERAGE(OFFSET($R$3,0,0,'Données projet'!$E$9+1,1))-AVERAGE(OFFSET($H$3,0,0,'Données projet'!$E$9+1,1))</f>
        <v>366.29380214443631</v>
      </c>
      <c r="T80" s="60">
        <f t="shared" si="88"/>
        <v>413.14502442862897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171.12692953635715</v>
      </c>
      <c r="AA80" s="23">
        <f>EXP(-LN(2)/25)*AA79+(1-EXP(-LN(2)/25))/(LN(2)/25)*Calculateur!V80*Calculateur!X80*VLOOKUP('Données projet'!$B$9,Paramètres!$A$1:$I$88,3,0)*0.475*44/12</f>
        <v>82.717108564415184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253.84403810077234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11.53125</v>
      </c>
      <c r="AI80" s="14">
        <f>IF('Données projet'!$A$62&gt;35,AI79+AH80-AQ79,IF(A80&lt;'Données projet'!$A$62,$AF$205^A80,IF(A80='Données projet'!$A$62,'Données projet'!$B$62,AI79+AH80-AQ79)))</f>
        <v>523.36874999999986</v>
      </c>
      <c r="AJ80" s="14">
        <f>AI80*VLOOKUP('Données projet'!$B$10,Paramètres!$A$1:$I$88,3,0)*VLOOKUP('Données projet'!$B$10,Paramètres!$A$1:$I$88,5,0)</f>
        <v>457.21493999999996</v>
      </c>
      <c r="AK80" s="14">
        <f t="shared" si="89"/>
        <v>103.28433598973167</v>
      </c>
      <c r="AL80" s="22">
        <f t="shared" si="58"/>
        <v>976.20290568211578</v>
      </c>
      <c r="AM80" s="60">
        <f t="shared" si="59"/>
        <v>1245.7130649063881</v>
      </c>
      <c r="AN80" s="60">
        <f ca="1">AVERAGE(OFFSET($AM$3,0,0,'Données projet'!$E$10+1,1))-AVERAGE(OFFSET($H$3,0,0,'Données projet'!$E$10+1,1))</f>
        <v>436.5217771315057</v>
      </c>
      <c r="AO80" s="60">
        <f t="shared" si="90"/>
        <v>308.97310256098365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22.839400172230135</v>
      </c>
      <c r="AV80" s="23">
        <f>EXP(-LN(2)/25)*AV79+(1-EXP(-LN(2)/25))/(LN(2)/25)*Calculateur!AQ80*Calculateur!AS80*VLOOKUP('Données projet'!$B$10,Paramètres!$A$1:$I$88,3,0)*0.475*44/12</f>
        <v>10.194961202772104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33.034361375002241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>
        <f>VLOOKUP(A80,'Données projet'!$A$87:$I$107,2,0)</f>
        <v>192</v>
      </c>
      <c r="BB80" s="13">
        <f>VLOOKUP(A80,'Données projet'!$A$87:$I$107,9,0)</f>
        <v>6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192</v>
      </c>
      <c r="BE80" s="14">
        <f>BD80*VLOOKUP('Données projet'!$B$11,Paramètres!$A$1:$I$88,3,0)*VLOOKUP('Données projet'!$B$11,Paramètres!$A$1:$I$88,5,0)</f>
        <v>194.68800000000002</v>
      </c>
      <c r="BF80" s="14">
        <f t="shared" si="91"/>
        <v>48.574928228914978</v>
      </c>
      <c r="BG80" s="22">
        <f t="shared" si="61"/>
        <v>423.68293333202695</v>
      </c>
      <c r="BH80" s="60">
        <f t="shared" si="62"/>
        <v>693.19309255629923</v>
      </c>
      <c r="BI80" s="60">
        <f ca="1">AVERAGE(OFFSET($BH$3,0,0,'Données projet'!$E$11+1,1))-AVERAGE(OFFSET($H$3,0,0,'Données projet'!$E$11+1,1))</f>
        <v>108.30434106718693</v>
      </c>
      <c r="BJ80" s="60">
        <f t="shared" si="92"/>
        <v>67.653808657585842</v>
      </c>
      <c r="BK80" s="16">
        <f>IF(ISNA(VLOOKUP(A80,'Données projet'!$A$87:$I$107,3,0)),0,VLOOKUP(A80,'Données projet'!$A$87:$I$107,3,0))</f>
        <v>6</v>
      </c>
      <c r="BL80" s="16">
        <f>IF(ISNA(VLOOKUP(A80,'Données projet'!$A$87:$I$107,4,0)),0,VLOOKUP(A80,'Données projet'!$A$87:$I$107,4,0))</f>
        <v>31</v>
      </c>
      <c r="BM80" s="17">
        <f>IF(ISNA(VLOOKUP(A80,'Données projet'!$A$87:$I$107,5,0)),0%,VLOOKUP(A80,'Données projet'!$A$87:$I$107,5,0)*VLOOKUP('Données projet'!$B$11,Paramètres!$A$1:$I$88,7,0))</f>
        <v>0.25800000000000001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25.03322925098464</v>
      </c>
      <c r="BQ80" s="23">
        <f>EXP(-LN(2)/25)*BQ79+(1-EXP(-LN(2)/25))/(LN(2)/25)*Calculateur!BL80*Calculateur!BN80*VLOOKUP('Données projet'!$B$11,Paramètres!$A$1:$I$88,3,0)*0.475*44/12</f>
        <v>0</v>
      </c>
      <c r="BR80" s="23">
        <f>EXP(-LN(2)/2)*BR79+(1-EXP(-LN(2)/2))/(LN(2)/2)*BL80*BO80*VLOOKUP('Données projet'!$B$11,Paramètres!$A$1:$I$88,3,0)*0.475*44/12</f>
        <v>0</v>
      </c>
      <c r="BS80" s="24">
        <f t="shared" si="63"/>
        <v>25.03322925098464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projet'!$B$12,Paramètres!$A$1:$I$88,3,0)*VLOOKUP('Données projet'!$B$12,Paramètres!$A$1:$I$88,5,0)</f>
        <v>0</v>
      </c>
      <c r="CA80" s="14" t="e">
        <f t="shared" si="93"/>
        <v>#NUM!</v>
      </c>
      <c r="CB80" s="22" t="e">
        <f t="shared" si="64"/>
        <v>#NUM!</v>
      </c>
      <c r="CC80" s="60" t="e">
        <f t="shared" si="65"/>
        <v>#NUM!</v>
      </c>
      <c r="CD80" s="60">
        <f ca="1">AVERAGE(OFFSET($CC$3,0,0,'Données projet'!$E$12+1,1))-AVERAGE(OFFSET($H$3,0,0,'Données projet'!$E$12+1,1))</f>
        <v>171.08593400758221</v>
      </c>
      <c r="CE80" s="60">
        <f t="shared" si="94"/>
        <v>201.9528484086932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projet'!$B$12,Paramètres!$A$1:$I$88,3,0)*0.475*44/12</f>
        <v>52.344547456898681</v>
      </c>
      <c r="CL80" s="23">
        <f>EXP(-LN(2)/25)*CL79+(1-EXP(-LN(2)/25))/(LN(2)/25)*Calculateur!CG80*Calculateur!CI80*VLOOKUP('Données projet'!$B$12,Paramètres!$A$1:$I$88,3,0)*0.475*44/12</f>
        <v>26.637825009042423</v>
      </c>
      <c r="CM80" s="23">
        <f>EXP(-LN(2)/2)*CM79+(1-EXP(-LN(2)/2))/(LN(2)/2)*CG80*CJ80*VLOOKUP('Données projet'!$B$12,Paramètres!$A$1:$I$88,3,0)*0.475*44/12</f>
        <v>0</v>
      </c>
      <c r="CN80" s="24">
        <f t="shared" si="66"/>
        <v>78.982372465941097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6.6</v>
      </c>
      <c r="CT80" s="13">
        <f>IF('Données projet'!$A$140&gt;35,CT79+CS80-DB79,IF(A80&lt;'Données projet'!$A$140,$CQ$205^A80,IF(A80='Données projet'!$A$140,'Données projet'!$B$140,CT79+CS80-DB79)))</f>
        <v>370.19999999999993</v>
      </c>
      <c r="CU80" s="18">
        <f>CT80*VLOOKUP('Données projet'!$B$13,Paramètres!$A$1:$I$88,3,0)*VLOOKUP('Données projet'!$B$13,Paramètres!$A$1:$I$88,5,0)</f>
        <v>248.33015999999998</v>
      </c>
      <c r="CV80" s="14">
        <f t="shared" si="95"/>
        <v>60.228230400049362</v>
      </c>
      <c r="CW80" s="22">
        <f t="shared" si="67"/>
        <v>537.4058632800859</v>
      </c>
      <c r="CX80" s="60">
        <f t="shared" si="68"/>
        <v>806.91602250435812</v>
      </c>
      <c r="CY80" s="60">
        <f ca="1">AVERAGE(OFFSET($CX$3,0,0,'Données projet'!$E$13+1,1))-AVERAGE(OFFSET($H$3,0,0,'Données projet'!$E$13+1,1))</f>
        <v>283.66646124753868</v>
      </c>
      <c r="CZ80" s="60">
        <f t="shared" si="96"/>
        <v>331.61926649572797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projet'!$B$13,Paramètres!$A$1:$I$88,3,0)*0.475*44/12</f>
        <v>22.124940948663792</v>
      </c>
      <c r="DG80" s="23">
        <f>EXP(-LN(2)/25)*DG79+(1-EXP(-LN(2)/25))/(LN(2)/25)*Calculateur!DB80*Calculateur!DD80*VLOOKUP('Données projet'!$B$13,Paramètres!$A$1:$I$88,3,0)*0.475*44/12</f>
        <v>0</v>
      </c>
      <c r="DH80" s="23">
        <f>EXP(-LN(2)/2)*DH79+(1-EXP(-LN(2)/2))/(LN(2)/2)*DB80*DE80*VLOOKUP('Données projet'!$B$13,Paramètres!$A$1:$I$88,3,0)*0.475*44/12</f>
        <v>0</v>
      </c>
      <c r="DI80" s="24">
        <f t="shared" si="69"/>
        <v>22.124940948663792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1.1368683772161603E-13</v>
      </c>
      <c r="DP80" s="18">
        <f>DO80*VLOOKUP('Données projet'!$B$14,Paramètres!$A$1:$I$88,3,0)*VLOOKUP('Données projet'!$B$14,Paramètres!$A$1:$I$88,5,0)</f>
        <v>8.3355189417488869E-14</v>
      </c>
      <c r="DQ80" s="14">
        <f t="shared" si="97"/>
        <v>1.2790518435140618E-12</v>
      </c>
      <c r="DR80" s="22">
        <f t="shared" si="70"/>
        <v>2.3728589156891171E-12</v>
      </c>
      <c r="DS80" s="60">
        <f t="shared" si="71"/>
        <v>269.51015922427467</v>
      </c>
      <c r="DT80" s="60">
        <f ca="1">AVERAGE(OFFSET($DS$3,0,0,'Données projet'!$E$14+1,1))-AVERAGE(OFFSET($H$3,0,0,'Données projet'!$E$14+1,1))</f>
        <v>212.77458587586861</v>
      </c>
      <c r="DU80" s="60">
        <f t="shared" si="98"/>
        <v>260.45879589483513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projet'!$B$14,Paramètres!$A$1:$I$88,3,0)*0.475*44/12</f>
        <v>25.631488510933039</v>
      </c>
      <c r="EB80" s="23">
        <f>EXP(-LN(2)/25)*EB79+(1-EXP(-LN(2)/25))/(LN(2)/25)*Calculateur!DW80*Calculateur!DY80*VLOOKUP('Données projet'!$B$14,Paramètres!$A$1:$I$88,3,0)*0.475*44/12</f>
        <v>12.645731314470449</v>
      </c>
      <c r="EC80" s="23">
        <f>EXP(-LN(2)/2)*EC79+(1-EXP(-LN(2)/2))/(LN(2)/2)*DW80*DZ80*VLOOKUP('Données projet'!$B$14,Paramètres!$A$1:$I$88,3,0)*0.475*44/12</f>
        <v>0</v>
      </c>
      <c r="ED80" s="24">
        <f t="shared" si="72"/>
        <v>38.277219825403492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5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8">
        <f t="shared" si="56"/>
        <v>183.33333333333334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3.4106051316484809E-13</v>
      </c>
      <c r="O81" s="14">
        <f>N81*VLOOKUP('Données projet'!$B$9,Paramètres!$A$1:$I$88,3,0)*VLOOKUP('Données projet'!$B$9,Paramètres!$A$1:$I$88,5,0)</f>
        <v>1.9065282685915009E-13</v>
      </c>
      <c r="P81" s="14">
        <f t="shared" si="87"/>
        <v>2.6568987209435707E-12</v>
      </c>
      <c r="Q81" s="22">
        <f t="shared" si="54"/>
        <v>4.959485612423072E-12</v>
      </c>
      <c r="R81" s="60">
        <f t="shared" si="55"/>
        <v>269.92343803443117</v>
      </c>
      <c r="S81" s="60">
        <f ca="1">AVERAGE(OFFSET($R$3,0,0,'Données projet'!$E$9+1,1))-AVERAGE(OFFSET($H$3,0,0,'Données projet'!$E$9+1,1))</f>
        <v>366.29380214443631</v>
      </c>
      <c r="T81" s="60">
        <f t="shared" si="88"/>
        <v>413.14502442862897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167.77123482526983</v>
      </c>
      <c r="AA81" s="23">
        <f>EXP(-LN(2)/25)*AA80+(1-EXP(-LN(2)/25))/(LN(2)/25)*Calculateur!V81*Calculateur!X81*VLOOKUP('Données projet'!$B$9,Paramètres!$A$1:$I$88,3,0)*0.475*44/12</f>
        <v>80.455204880817561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248.22643970608738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>
        <f>VLOOKUP(A81,'Données projet'!$A$61:$I$81,2,0)</f>
        <v>534.9</v>
      </c>
      <c r="AG81" s="13">
        <f>VLOOKUP(A81,'Données projet'!$A$61:$I$81,9,0)</f>
        <v>11.53125</v>
      </c>
      <c r="AH81" s="13">
        <f t="array" ref="AH81">INDEX(AG:AG,MIN(IF(ISNUMBER(AG81:AG277),ROW(AG81:AG277),"")))</f>
        <v>11.53125</v>
      </c>
      <c r="AI81" s="14">
        <f>IF('Données projet'!$A$62&gt;35,AI80+AH81-AQ80,IF(A81&lt;'Données projet'!$A$62,$AF$205^A81,IF(A81='Données projet'!$A$62,'Données projet'!$B$62,AI80+AH81-AQ80)))</f>
        <v>534.89999999999986</v>
      </c>
      <c r="AJ81" s="14">
        <f>AI81*VLOOKUP('Données projet'!$B$10,Paramètres!$A$1:$I$88,3,0)*VLOOKUP('Données projet'!$B$10,Paramètres!$A$1:$I$88,5,0)</f>
        <v>467.28863999999987</v>
      </c>
      <c r="AK81" s="14">
        <f t="shared" si="89"/>
        <v>105.29253168994205</v>
      </c>
      <c r="AL81" s="22">
        <f t="shared" si="58"/>
        <v>997.24554069331555</v>
      </c>
      <c r="AM81" s="60">
        <f t="shared" si="59"/>
        <v>1267.1689787277419</v>
      </c>
      <c r="AN81" s="60">
        <f ca="1">AVERAGE(OFFSET($AM$3,0,0,'Données projet'!$E$10+1,1))-AVERAGE(OFFSET($H$3,0,0,'Données projet'!$E$10+1,1))</f>
        <v>436.5217771315057</v>
      </c>
      <c r="AO81" s="60">
        <f t="shared" si="90"/>
        <v>308.97310256098365</v>
      </c>
      <c r="AP81" s="16">
        <f>IF(ISNA(VLOOKUP(A81,'Données projet'!$A$61:$I$81,3,0)),0,VLOOKUP(A81,'Données projet'!$A$61:$I$81,3,0))</f>
        <v>6</v>
      </c>
      <c r="AQ81" s="16">
        <f>IF(ISNA(VLOOKUP(A81,'Données projet'!$A$61:$I$81,4,0)),0,VLOOKUP(A81,'Données projet'!$A$61:$I$81,4,0))</f>
        <v>82.4</v>
      </c>
      <c r="AR81" s="17">
        <f>IF(ISNA(VLOOKUP(A81,'Données projet'!$A$61:$I$81,5,0)),0%,VLOOKUP(A81,'Données projet'!$A$61:$I$81,5,0)*VLOOKUP('Données projet'!$B$10,Paramètres!$A$1:$I$88,7,0))</f>
        <v>0.25800000000000001</v>
      </c>
      <c r="AS81" s="17">
        <f>IF(ISNA(VLOOKUP(A81,'Données projet'!$A$61:$I$81,6,0)),0%,VLOOKUP(A81,'Données projet'!$A$61:$I$81,6,0)*VLOOKUP('Données projet'!$B$10,Paramètres!$A$1:$I$88,7,0))</f>
        <v>0.129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42.922370389257715</v>
      </c>
      <c r="AV81" s="23">
        <f>EXP(-LN(2)/25)*AV80+(1-EXP(-LN(2)/25))/(LN(2)/25)*Calculateur!AQ81*Calculateur!AS81*VLOOKUP('Données projet'!$B$10,Paramètres!$A$1:$I$88,3,0)*0.475*44/12</f>
        <v>20.141179050510335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63.063549439768053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5.75</v>
      </c>
      <c r="BD81" s="13">
        <f>IF('Données projet'!$A$88&gt;35,BD80+BC81-BL80,IF(A81&lt;'Données projet'!$A$88,$BA$205^A81,IF(A81='Données projet'!$A$88,'Données projet'!$B$88,BD80+BC81-BL80)))</f>
        <v>166.75</v>
      </c>
      <c r="BE81" s="14">
        <f>BD81*VLOOKUP('Données projet'!$B$11,Paramètres!$A$1:$I$88,3,0)*VLOOKUP('Données projet'!$B$11,Paramètres!$A$1:$I$88,5,0)</f>
        <v>169.08450000000002</v>
      </c>
      <c r="BF81" s="14">
        <f t="shared" si="91"/>
        <v>42.884917645888443</v>
      </c>
      <c r="BG81" s="22">
        <f t="shared" si="61"/>
        <v>369.18006906658906</v>
      </c>
      <c r="BH81" s="60">
        <f t="shared" si="62"/>
        <v>639.10350710101534</v>
      </c>
      <c r="BI81" s="60">
        <f ca="1">AVERAGE(OFFSET($BH$3,0,0,'Données projet'!$E$11+1,1))-AVERAGE(OFFSET($H$3,0,0,'Données projet'!$E$11+1,1))</f>
        <v>108.30434106718693</v>
      </c>
      <c r="BJ81" s="60">
        <f t="shared" si="92"/>
        <v>67.653808657585842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24.542342894135007</v>
      </c>
      <c r="BQ81" s="23">
        <f>EXP(-LN(2)/25)*BQ80+(1-EXP(-LN(2)/25))/(LN(2)/25)*Calculateur!BL81*Calculateur!BN81*VLOOKUP('Données projet'!$B$11,Paramètres!$A$1:$I$88,3,0)*0.475*44/12</f>
        <v>0</v>
      </c>
      <c r="BR81" s="23">
        <f>EXP(-LN(2)/2)*BR80+(1-EXP(-LN(2)/2))/(LN(2)/2)*BL81*BO81*VLOOKUP('Données projet'!$B$11,Paramètres!$A$1:$I$88,3,0)*0.475*44/12</f>
        <v>0</v>
      </c>
      <c r="BS81" s="24">
        <f t="shared" si="63"/>
        <v>24.542342894135007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projet'!$B$12,Paramètres!$A$1:$I$88,3,0)*VLOOKUP('Données projet'!$B$12,Paramètres!$A$1:$I$88,5,0)</f>
        <v>0</v>
      </c>
      <c r="CA81" s="14" t="e">
        <f t="shared" si="93"/>
        <v>#NUM!</v>
      </c>
      <c r="CB81" s="22" t="e">
        <f t="shared" si="64"/>
        <v>#NUM!</v>
      </c>
      <c r="CC81" s="60" t="e">
        <f t="shared" si="65"/>
        <v>#NUM!</v>
      </c>
      <c r="CD81" s="60">
        <f ca="1">AVERAGE(OFFSET($CC$3,0,0,'Données projet'!$E$12+1,1))-AVERAGE(OFFSET($H$3,0,0,'Données projet'!$E$12+1,1))</f>
        <v>171.08593400758221</v>
      </c>
      <c r="CE81" s="60">
        <f t="shared" si="94"/>
        <v>201.9528484086932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projet'!$B$12,Paramètres!$A$1:$I$88,3,0)*0.475*44/12</f>
        <v>51.318102808290313</v>
      </c>
      <c r="CL81" s="23">
        <f>EXP(-LN(2)/25)*CL80+(1-EXP(-LN(2)/25))/(LN(2)/25)*Calculateur!CG81*Calculateur!CI81*VLOOKUP('Données projet'!$B$12,Paramètres!$A$1:$I$88,3,0)*0.475*44/12</f>
        <v>25.909412283347823</v>
      </c>
      <c r="CM81" s="23">
        <f>EXP(-LN(2)/2)*CM80+(1-EXP(-LN(2)/2))/(LN(2)/2)*CG81*CJ81*VLOOKUP('Données projet'!$B$12,Paramètres!$A$1:$I$88,3,0)*0.475*44/12</f>
        <v>0</v>
      </c>
      <c r="CN81" s="24">
        <f t="shared" si="66"/>
        <v>77.227515091638139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6.6</v>
      </c>
      <c r="CT81" s="13">
        <f>IF('Données projet'!$A$140&gt;35,CT80+CS81-DB80,IF(A81&lt;'Données projet'!$A$140,$CQ$205^A81,IF(A81='Données projet'!$A$140,'Données projet'!$B$140,CT80+CS81-DB80)))</f>
        <v>376.79999999999995</v>
      </c>
      <c r="CU81" s="18">
        <f>CT81*VLOOKUP('Données projet'!$B$13,Paramètres!$A$1:$I$88,3,0)*VLOOKUP('Données projet'!$B$13,Paramètres!$A$1:$I$88,5,0)</f>
        <v>252.75743999999997</v>
      </c>
      <c r="CV81" s="14">
        <f t="shared" si="95"/>
        <v>61.176027635904163</v>
      </c>
      <c r="CW81" s="22">
        <f t="shared" si="67"/>
        <v>546.76745613253308</v>
      </c>
      <c r="CX81" s="60">
        <f t="shared" si="68"/>
        <v>816.69089416695931</v>
      </c>
      <c r="CY81" s="60">
        <f ca="1">AVERAGE(OFFSET($CX$3,0,0,'Données projet'!$E$13+1,1))-AVERAGE(OFFSET($H$3,0,0,'Données projet'!$E$13+1,1))</f>
        <v>283.66646124753868</v>
      </c>
      <c r="CZ81" s="60">
        <f t="shared" si="96"/>
        <v>331.61926649572797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projet'!$B$13,Paramètres!$A$1:$I$88,3,0)*0.475*44/12</f>
        <v>21.691084351541964</v>
      </c>
      <c r="DG81" s="23">
        <f>EXP(-LN(2)/25)*DG80+(1-EXP(-LN(2)/25))/(LN(2)/25)*Calculateur!DB81*Calculateur!DD81*VLOOKUP('Données projet'!$B$13,Paramètres!$A$1:$I$88,3,0)*0.475*44/12</f>
        <v>0</v>
      </c>
      <c r="DH81" s="23">
        <f>EXP(-LN(2)/2)*DH80+(1-EXP(-LN(2)/2))/(LN(2)/2)*DB81*DE81*VLOOKUP('Données projet'!$B$13,Paramètres!$A$1:$I$88,3,0)*0.475*44/12</f>
        <v>0</v>
      </c>
      <c r="DI81" s="24">
        <f t="shared" si="69"/>
        <v>21.691084351541964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1.1368683772161603E-13</v>
      </c>
      <c r="DP81" s="18">
        <f>DO81*VLOOKUP('Données projet'!$B$14,Paramètres!$A$1:$I$88,3,0)*VLOOKUP('Données projet'!$B$14,Paramètres!$A$1:$I$88,5,0)</f>
        <v>8.3355189417488869E-14</v>
      </c>
      <c r="DQ81" s="14">
        <f t="shared" si="97"/>
        <v>1.2790518435140618E-12</v>
      </c>
      <c r="DR81" s="22">
        <f t="shared" si="70"/>
        <v>2.3728589156891171E-12</v>
      </c>
      <c r="DS81" s="60">
        <f t="shared" si="71"/>
        <v>269.92343803442861</v>
      </c>
      <c r="DT81" s="60">
        <f ca="1">AVERAGE(OFFSET($DS$3,0,0,'Données projet'!$E$14+1,1))-AVERAGE(OFFSET($H$3,0,0,'Données projet'!$E$14+1,1))</f>
        <v>212.77458587586861</v>
      </c>
      <c r="DU81" s="60">
        <f t="shared" si="98"/>
        <v>260.45879589483513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projet'!$B$14,Paramètres!$A$1:$I$88,3,0)*0.475*44/12</f>
        <v>25.128870654897938</v>
      </c>
      <c r="EB81" s="23">
        <f>EXP(-LN(2)/25)*EB80+(1-EXP(-LN(2)/25))/(LN(2)/25)*Calculateur!DW81*Calculateur!DY81*VLOOKUP('Données projet'!$B$14,Paramètres!$A$1:$I$88,3,0)*0.475*44/12</f>
        <v>12.299933126666147</v>
      </c>
      <c r="EC81" s="23">
        <f>EXP(-LN(2)/2)*EC80+(1-EXP(-LN(2)/2))/(LN(2)/2)*DW81*DZ81*VLOOKUP('Données projet'!$B$14,Paramètres!$A$1:$I$88,3,0)*0.475*44/12</f>
        <v>0</v>
      </c>
      <c r="ED81" s="24">
        <f t="shared" si="72"/>
        <v>37.428803781564085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5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8">
        <f t="shared" si="56"/>
        <v>183.33333333333334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3.4106051316484809E-13</v>
      </c>
      <c r="O82" s="14">
        <f>N82*VLOOKUP('Données projet'!$B$9,Paramètres!$A$1:$I$88,3,0)*VLOOKUP('Données projet'!$B$9,Paramètres!$A$1:$I$88,5,0)</f>
        <v>1.9065282685915009E-13</v>
      </c>
      <c r="P82" s="14">
        <f t="shared" si="87"/>
        <v>2.6568987209435707E-12</v>
      </c>
      <c r="Q82" s="22">
        <f t="shared" si="54"/>
        <v>4.959485612423072E-12</v>
      </c>
      <c r="R82" s="60">
        <f t="shared" si="55"/>
        <v>270.3295473811819</v>
      </c>
      <c r="S82" s="60">
        <f ca="1">AVERAGE(OFFSET($R$3,0,0,'Données projet'!$E$9+1,1))-AVERAGE(OFFSET($H$3,0,0,'Données projet'!$E$9+1,1))</f>
        <v>366.29380214443631</v>
      </c>
      <c r="T82" s="60">
        <f t="shared" si="88"/>
        <v>413.14502442862897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164.48134324069525</v>
      </c>
      <c r="AA82" s="23">
        <f>EXP(-LN(2)/25)*AA81+(1-EXP(-LN(2)/25))/(LN(2)/25)*Calculateur!V82*Calculateur!X82*VLOOKUP('Données projet'!$B$9,Paramètres!$A$1:$I$88,3,0)*0.475*44/12</f>
        <v>78.255153072396268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242.73649631309152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452.49999999999989</v>
      </c>
      <c r="AJ82" s="14">
        <f>AI82*VLOOKUP('Données projet'!$B$10,Paramètres!$A$1:$I$88,3,0)*VLOOKUP('Données projet'!$B$10,Paramètres!$A$1:$I$88,5,0)</f>
        <v>395.30399999999992</v>
      </c>
      <c r="AK82" s="14">
        <f t="shared" si="89"/>
        <v>90.823969929029445</v>
      </c>
      <c r="AL82" s="22">
        <f t="shared" si="58"/>
        <v>846.67288095972606</v>
      </c>
      <c r="AM82" s="60">
        <f t="shared" si="59"/>
        <v>1117.002428340903</v>
      </c>
      <c r="AN82" s="60">
        <f ca="1">AVERAGE(OFFSET($AM$3,0,0,'Données projet'!$E$10+1,1))-AVERAGE(OFFSET($H$3,0,0,'Données projet'!$E$10+1,1))</f>
        <v>436.5217771315057</v>
      </c>
      <c r="AO82" s="60">
        <f t="shared" si="90"/>
        <v>308.97310256098365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42.080688885985239</v>
      </c>
      <c r="AV82" s="23">
        <f>EXP(-LN(2)/25)*AV81+(1-EXP(-LN(2)/25))/(LN(2)/25)*Calculateur!AQ82*Calculateur!AS82*VLOOKUP('Données projet'!$B$10,Paramètres!$A$1:$I$88,3,0)*0.475*44/12</f>
        <v>19.590417450195556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61.671106336180799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5.75</v>
      </c>
      <c r="BD82" s="13">
        <f>IF('Données projet'!$A$88&gt;35,BD81+BC82-BL81,IF(A82&lt;'Données projet'!$A$88,$BA$205^A82,IF(A82='Données projet'!$A$88,'Données projet'!$B$88,BD81+BC82-BL81)))</f>
        <v>172.5</v>
      </c>
      <c r="BE82" s="14">
        <f>BD82*VLOOKUP('Données projet'!$B$11,Paramètres!$A$1:$I$88,3,0)*VLOOKUP('Données projet'!$B$11,Paramètres!$A$1:$I$88,5,0)</f>
        <v>174.91499999999999</v>
      </c>
      <c r="BF82" s="14">
        <f t="shared" si="91"/>
        <v>44.188987442418778</v>
      </c>
      <c r="BG82" s="22">
        <f t="shared" si="61"/>
        <v>381.60611146221271</v>
      </c>
      <c r="BH82" s="60">
        <f t="shared" si="62"/>
        <v>651.93565884338966</v>
      </c>
      <c r="BI82" s="60">
        <f ca="1">AVERAGE(OFFSET($BH$3,0,0,'Données projet'!$E$11+1,1))-AVERAGE(OFFSET($H$3,0,0,'Données projet'!$E$11+1,1))</f>
        <v>108.30434106718693</v>
      </c>
      <c r="BJ82" s="60">
        <f t="shared" si="92"/>
        <v>67.653808657585842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24.061082519332086</v>
      </c>
      <c r="BQ82" s="23">
        <f>EXP(-LN(2)/25)*BQ81+(1-EXP(-LN(2)/25))/(LN(2)/25)*Calculateur!BL82*Calculateur!BN82*VLOOKUP('Données projet'!$B$11,Paramètres!$A$1:$I$88,3,0)*0.475*44/12</f>
        <v>0</v>
      </c>
      <c r="BR82" s="23">
        <f>EXP(-LN(2)/2)*BR81+(1-EXP(-LN(2)/2))/(LN(2)/2)*BL82*BO82*VLOOKUP('Données projet'!$B$11,Paramètres!$A$1:$I$88,3,0)*0.475*44/12</f>
        <v>0</v>
      </c>
      <c r="BS82" s="24">
        <f t="shared" si="63"/>
        <v>24.061082519332086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projet'!$B$12,Paramètres!$A$1:$I$88,3,0)*VLOOKUP('Données projet'!$B$12,Paramètres!$A$1:$I$88,5,0)</f>
        <v>0</v>
      </c>
      <c r="CA82" s="14" t="e">
        <f t="shared" si="93"/>
        <v>#NUM!</v>
      </c>
      <c r="CB82" s="22" t="e">
        <f t="shared" si="64"/>
        <v>#NUM!</v>
      </c>
      <c r="CC82" s="60" t="e">
        <f t="shared" si="65"/>
        <v>#NUM!</v>
      </c>
      <c r="CD82" s="60">
        <f ca="1">AVERAGE(OFFSET($CC$3,0,0,'Données projet'!$E$12+1,1))-AVERAGE(OFFSET($H$3,0,0,'Données projet'!$E$12+1,1))</f>
        <v>171.08593400758221</v>
      </c>
      <c r="CE82" s="60">
        <f t="shared" si="94"/>
        <v>201.9528484086932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projet'!$B$12,Paramètres!$A$1:$I$88,3,0)*0.475*44/12</f>
        <v>50.311786113171742</v>
      </c>
      <c r="CL82" s="23">
        <f>EXP(-LN(2)/25)*CL81+(1-EXP(-LN(2)/25))/(LN(2)/25)*Calculateur!CG82*Calculateur!CI82*VLOOKUP('Données projet'!$B$12,Paramètres!$A$1:$I$88,3,0)*0.475*44/12</f>
        <v>25.200918041942902</v>
      </c>
      <c r="CM82" s="23">
        <f>EXP(-LN(2)/2)*CM81+(1-EXP(-LN(2)/2))/(LN(2)/2)*CG82*CJ82*VLOOKUP('Données projet'!$B$12,Paramètres!$A$1:$I$88,3,0)*0.475*44/12</f>
        <v>0</v>
      </c>
      <c r="CN82" s="24">
        <f t="shared" si="66"/>
        <v>75.512704155114648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6.6</v>
      </c>
      <c r="CT82" s="13">
        <f>IF('Données projet'!$A$140&gt;35,CT81+CS82-DB81,IF(A82&lt;'Données projet'!$A$140,$CQ$205^A82,IF(A82='Données projet'!$A$140,'Données projet'!$B$140,CT81+CS82-DB81)))</f>
        <v>383.4</v>
      </c>
      <c r="CU82" s="18">
        <f>CT82*VLOOKUP('Données projet'!$B$13,Paramètres!$A$1:$I$88,3,0)*VLOOKUP('Données projet'!$B$13,Paramètres!$A$1:$I$88,5,0)</f>
        <v>257.18472000000003</v>
      </c>
      <c r="CV82" s="14">
        <f t="shared" si="95"/>
        <v>62.12189431630177</v>
      </c>
      <c r="CW82" s="22">
        <f t="shared" si="67"/>
        <v>556.12568660089221</v>
      </c>
      <c r="CX82" s="60">
        <f t="shared" si="68"/>
        <v>826.4552339820691</v>
      </c>
      <c r="CY82" s="60">
        <f ca="1">AVERAGE(OFFSET($CX$3,0,0,'Données projet'!$E$13+1,1))-AVERAGE(OFFSET($H$3,0,0,'Données projet'!$E$13+1,1))</f>
        <v>283.66646124753868</v>
      </c>
      <c r="CZ82" s="60">
        <f t="shared" si="96"/>
        <v>331.61926649572797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projet'!$B$13,Paramètres!$A$1:$I$88,3,0)*0.475*44/12</f>
        <v>21.265735417663301</v>
      </c>
      <c r="DG82" s="23">
        <f>EXP(-LN(2)/25)*DG81+(1-EXP(-LN(2)/25))/(LN(2)/25)*Calculateur!DB82*Calculateur!DD82*VLOOKUP('Données projet'!$B$13,Paramètres!$A$1:$I$88,3,0)*0.475*44/12</f>
        <v>0</v>
      </c>
      <c r="DH82" s="23">
        <f>EXP(-LN(2)/2)*DH81+(1-EXP(-LN(2)/2))/(LN(2)/2)*DB82*DE82*VLOOKUP('Données projet'!$B$13,Paramètres!$A$1:$I$88,3,0)*0.475*44/12</f>
        <v>0</v>
      </c>
      <c r="DI82" s="24">
        <f t="shared" si="69"/>
        <v>21.265735417663301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1.1368683772161603E-13</v>
      </c>
      <c r="DP82" s="18">
        <f>DO82*VLOOKUP('Données projet'!$B$14,Paramètres!$A$1:$I$88,3,0)*VLOOKUP('Données projet'!$B$14,Paramètres!$A$1:$I$88,5,0)</f>
        <v>8.3355189417488869E-14</v>
      </c>
      <c r="DQ82" s="14">
        <f t="shared" si="97"/>
        <v>1.2790518435140618E-12</v>
      </c>
      <c r="DR82" s="22">
        <f t="shared" si="70"/>
        <v>2.3728589156891171E-12</v>
      </c>
      <c r="DS82" s="60">
        <f t="shared" si="71"/>
        <v>270.32954738117934</v>
      </c>
      <c r="DT82" s="60">
        <f ca="1">AVERAGE(OFFSET($DS$3,0,0,'Données projet'!$E$14+1,1))-AVERAGE(OFFSET($H$3,0,0,'Données projet'!$E$14+1,1))</f>
        <v>212.77458587586861</v>
      </c>
      <c r="DU82" s="60">
        <f t="shared" si="98"/>
        <v>260.45879589483513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projet'!$B$14,Paramètres!$A$1:$I$88,3,0)*0.475*44/12</f>
        <v>24.636108828453064</v>
      </c>
      <c r="EB82" s="23">
        <f>EXP(-LN(2)/25)*EB81+(1-EXP(-LN(2)/25))/(LN(2)/25)*Calculateur!DW82*Calculateur!DY82*VLOOKUP('Données projet'!$B$14,Paramètres!$A$1:$I$88,3,0)*0.475*44/12</f>
        <v>11.963590808492089</v>
      </c>
      <c r="EC82" s="23">
        <f>EXP(-LN(2)/2)*EC81+(1-EXP(-LN(2)/2))/(LN(2)/2)*DW82*DZ82*VLOOKUP('Données projet'!$B$14,Paramètres!$A$1:$I$88,3,0)*0.475*44/12</f>
        <v>0</v>
      </c>
      <c r="ED82" s="24">
        <f t="shared" si="72"/>
        <v>36.599699636945154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5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8">
        <f t="shared" si="56"/>
        <v>183.33333333333334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3.4106051316484809E-13</v>
      </c>
      <c r="O83" s="14">
        <f>N83*VLOOKUP('Données projet'!$B$9,Paramètres!$A$1:$I$88,3,0)*VLOOKUP('Données projet'!$B$9,Paramètres!$A$1:$I$88,5,0)</f>
        <v>1.9065282685915009E-13</v>
      </c>
      <c r="P83" s="14">
        <f t="shared" si="87"/>
        <v>2.6568987209435707E-12</v>
      </c>
      <c r="Q83" s="22">
        <f t="shared" si="54"/>
        <v>4.959485612423072E-12</v>
      </c>
      <c r="R83" s="60">
        <f t="shared" si="55"/>
        <v>270.72861163869106</v>
      </c>
      <c r="S83" s="60">
        <f ca="1">AVERAGE(OFFSET($R$3,0,0,'Données projet'!$E$9+1,1))-AVERAGE(OFFSET($H$3,0,0,'Données projet'!$E$9+1,1))</f>
        <v>366.29380214443631</v>
      </c>
      <c r="T83" s="60">
        <f t="shared" si="88"/>
        <v>413.14502442862897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161.25596442345847</v>
      </c>
      <c r="AA83" s="23">
        <f>EXP(-LN(2)/25)*AA82+(1-EXP(-LN(2)/25))/(LN(2)/25)*Calculateur!V83*Calculateur!X83*VLOOKUP('Données projet'!$B$9,Paramètres!$A$1:$I$88,3,0)*0.475*44/12</f>
        <v>76.115261796371954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237.37122621983042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452.49999999999989</v>
      </c>
      <c r="AJ83" s="14">
        <f>AI83*VLOOKUP('Données projet'!$B$10,Paramètres!$A$1:$I$88,3,0)*VLOOKUP('Données projet'!$B$10,Paramètres!$A$1:$I$88,5,0)</f>
        <v>395.30399999999992</v>
      </c>
      <c r="AK83" s="14">
        <f t="shared" si="89"/>
        <v>90.823969929029445</v>
      </c>
      <c r="AL83" s="22">
        <f t="shared" si="58"/>
        <v>846.67288095972606</v>
      </c>
      <c r="AM83" s="60">
        <f t="shared" si="59"/>
        <v>1117.4014925984122</v>
      </c>
      <c r="AN83" s="60">
        <f ca="1">AVERAGE(OFFSET($AM$3,0,0,'Données projet'!$E$10+1,1))-AVERAGE(OFFSET($H$3,0,0,'Données projet'!$E$10+1,1))</f>
        <v>436.5217771315057</v>
      </c>
      <c r="AO83" s="60">
        <f t="shared" si="90"/>
        <v>308.97310256098365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41.255512243616913</v>
      </c>
      <c r="AV83" s="23">
        <f>EXP(-LN(2)/25)*AV82+(1-EXP(-LN(2)/25))/(LN(2)/25)*Calculateur!AQ83*Calculateur!AS83*VLOOKUP('Données projet'!$B$10,Paramètres!$A$1:$I$88,3,0)*0.475*44/12</f>
        <v>19.05471645480468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60.310228698421597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5.75</v>
      </c>
      <c r="BD83" s="13">
        <f>IF('Données projet'!$A$88&gt;35,BD82+BC83-BL82,IF(A83&lt;'Données projet'!$A$88,$BA$205^A83,IF(A83='Données projet'!$A$88,'Données projet'!$B$88,BD82+BC83-BL82)))</f>
        <v>178.25</v>
      </c>
      <c r="BE83" s="14">
        <f>BD83*VLOOKUP('Données projet'!$B$11,Paramètres!$A$1:$I$88,3,0)*VLOOKUP('Données projet'!$B$11,Paramètres!$A$1:$I$88,5,0)</f>
        <v>180.74549999999999</v>
      </c>
      <c r="BF83" s="14">
        <f t="shared" si="91"/>
        <v>45.488006263298338</v>
      </c>
      <c r="BG83" s="22">
        <f t="shared" si="61"/>
        <v>394.02335674191119</v>
      </c>
      <c r="BH83" s="60">
        <f t="shared" si="62"/>
        <v>664.7519683805973</v>
      </c>
      <c r="BI83" s="60">
        <f ca="1">AVERAGE(OFFSET($BH$3,0,0,'Données projet'!$E$11+1,1))-AVERAGE(OFFSET($H$3,0,0,'Données projet'!$E$11+1,1))</f>
        <v>108.30434106718693</v>
      </c>
      <c r="BJ83" s="60">
        <f t="shared" si="92"/>
        <v>67.653808657585842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23.589259366939203</v>
      </c>
      <c r="BQ83" s="23">
        <f>EXP(-LN(2)/25)*BQ82+(1-EXP(-LN(2)/25))/(LN(2)/25)*Calculateur!BL83*Calculateur!BN83*VLOOKUP('Données projet'!$B$11,Paramètres!$A$1:$I$88,3,0)*0.475*44/12</f>
        <v>0</v>
      </c>
      <c r="BR83" s="23">
        <f>EXP(-LN(2)/2)*BR82+(1-EXP(-LN(2)/2))/(LN(2)/2)*BL83*BO83*VLOOKUP('Données projet'!$B$11,Paramètres!$A$1:$I$88,3,0)*0.475*44/12</f>
        <v>0</v>
      </c>
      <c r="BS83" s="24">
        <f t="shared" si="63"/>
        <v>23.589259366939203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projet'!$B$12,Paramètres!$A$1:$I$88,3,0)*VLOOKUP('Données projet'!$B$12,Paramètres!$A$1:$I$88,5,0)</f>
        <v>0</v>
      </c>
      <c r="CA83" s="14" t="e">
        <f t="shared" si="93"/>
        <v>#NUM!</v>
      </c>
      <c r="CB83" s="22" t="e">
        <f t="shared" si="64"/>
        <v>#NUM!</v>
      </c>
      <c r="CC83" s="60" t="e">
        <f t="shared" si="65"/>
        <v>#NUM!</v>
      </c>
      <c r="CD83" s="60">
        <f ca="1">AVERAGE(OFFSET($CC$3,0,0,'Données projet'!$E$12+1,1))-AVERAGE(OFFSET($H$3,0,0,'Données projet'!$E$12+1,1))</f>
        <v>171.08593400758221</v>
      </c>
      <c r="CE83" s="60">
        <f t="shared" si="94"/>
        <v>201.9528484086932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projet'!$B$12,Paramètres!$A$1:$I$88,3,0)*0.475*44/12</f>
        <v>49.325202674651869</v>
      </c>
      <c r="CL83" s="23">
        <f>EXP(-LN(2)/25)*CL82+(1-EXP(-LN(2)/25))/(LN(2)/25)*Calculateur!CG83*Calculateur!CI83*VLOOKUP('Données projet'!$B$12,Paramètres!$A$1:$I$88,3,0)*0.475*44/12</f>
        <v>24.511797612827291</v>
      </c>
      <c r="CM83" s="23">
        <f>EXP(-LN(2)/2)*CM82+(1-EXP(-LN(2)/2))/(LN(2)/2)*CG83*CJ83*VLOOKUP('Données projet'!$B$12,Paramètres!$A$1:$I$88,3,0)*0.475*44/12</f>
        <v>0</v>
      </c>
      <c r="CN83" s="24">
        <f t="shared" si="66"/>
        <v>73.837000287479157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390</v>
      </c>
      <c r="CR83" s="13">
        <f>VLOOKUP(A83,'Données projet'!$A$139:$I$159,9,0)</f>
        <v>6.6</v>
      </c>
      <c r="CS83" s="13">
        <f t="array" ref="CS83">INDEX(CR:CR,MIN(IF(ISNUMBER(CR83:CR279),ROW(CR83:CR279),"")))</f>
        <v>6.6</v>
      </c>
      <c r="CT83" s="13">
        <f>IF('Données projet'!$A$140&gt;35,CT82+CS83-DB82,IF(A83&lt;'Données projet'!$A$140,$CQ$205^A83,IF(A83='Données projet'!$A$140,'Données projet'!$B$140,CT82+CS83-DB82)))</f>
        <v>390</v>
      </c>
      <c r="CU83" s="18">
        <f>CT83*VLOOKUP('Données projet'!$B$13,Paramètres!$A$1:$I$88,3,0)*VLOOKUP('Données projet'!$B$13,Paramètres!$A$1:$I$88,5,0)</f>
        <v>261.61199999999997</v>
      </c>
      <c r="CV83" s="14">
        <f t="shared" si="95"/>
        <v>63.065867509496442</v>
      </c>
      <c r="CW83" s="22">
        <f t="shared" si="67"/>
        <v>565.48061924570618</v>
      </c>
      <c r="CX83" s="60">
        <f t="shared" si="68"/>
        <v>836.20923088439235</v>
      </c>
      <c r="CY83" s="60">
        <f ca="1">AVERAGE(OFFSET($CX$3,0,0,'Données projet'!$E$13+1,1))-AVERAGE(OFFSET($H$3,0,0,'Données projet'!$E$13+1,1))</f>
        <v>283.66646124753868</v>
      </c>
      <c r="CZ83" s="60">
        <f t="shared" si="96"/>
        <v>331.61926649572797</v>
      </c>
      <c r="DA83" s="16">
        <f>IF(ISNA(VLOOKUP(A83,'Données projet'!$A$139:$I$159,3,0)),0,VLOOKUP(A83,'Données projet'!$A$139:$I$159,3,0))</f>
        <v>14</v>
      </c>
      <c r="DB83" s="16">
        <f>IF(ISNA(VLOOKUP(A83,'Données projet'!$A$139:$I$159,4,0)),0,VLOOKUP(A83,'Données projet'!$A$139:$I$159,4,0))</f>
        <v>19</v>
      </c>
      <c r="DC83" s="17">
        <f>IF(ISNA(VLOOKUP(A83,'Données projet'!$A$139:$I$159,5,0)),0%,VLOOKUP(A83,'Données projet'!$A$139:$I$159,5,0)*VLOOKUP('Données projet'!$B$13,Paramètres!$A$1:$I$88,7,0))</f>
        <v>0.318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projet'!$B$13,Paramètres!$A$1:$I$88,3,0)*0.475*44/12</f>
        <v>25.329169580769793</v>
      </c>
      <c r="DG83" s="23">
        <f>EXP(-LN(2)/25)*DG82+(1-EXP(-LN(2)/25))/(LN(2)/25)*Calculateur!DB83*Calculateur!DD83*VLOOKUP('Données projet'!$B$13,Paramètres!$A$1:$I$88,3,0)*0.475*44/12</f>
        <v>0</v>
      </c>
      <c r="DH83" s="23">
        <f>EXP(-LN(2)/2)*DH82+(1-EXP(-LN(2)/2))/(LN(2)/2)*DB83*DE83*VLOOKUP('Données projet'!$B$13,Paramètres!$A$1:$I$88,3,0)*0.475*44/12</f>
        <v>0</v>
      </c>
      <c r="DI83" s="24">
        <f t="shared" si="69"/>
        <v>25.329169580769793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1.1368683772161603E-13</v>
      </c>
      <c r="DP83" s="18">
        <f>DO83*VLOOKUP('Données projet'!$B$14,Paramètres!$A$1:$I$88,3,0)*VLOOKUP('Données projet'!$B$14,Paramètres!$A$1:$I$88,5,0)</f>
        <v>8.3355189417488869E-14</v>
      </c>
      <c r="DQ83" s="14">
        <f t="shared" si="97"/>
        <v>1.2790518435140618E-12</v>
      </c>
      <c r="DR83" s="22">
        <f t="shared" si="70"/>
        <v>2.3728589156891171E-12</v>
      </c>
      <c r="DS83" s="60">
        <f t="shared" si="71"/>
        <v>270.72861163868851</v>
      </c>
      <c r="DT83" s="60">
        <f ca="1">AVERAGE(OFFSET($DS$3,0,0,'Données projet'!$E$14+1,1))-AVERAGE(OFFSET($H$3,0,0,'Données projet'!$E$14+1,1))</f>
        <v>212.77458587586861</v>
      </c>
      <c r="DU83" s="60">
        <f t="shared" si="98"/>
        <v>260.45879589483513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projet'!$B$14,Paramètres!$A$1:$I$88,3,0)*0.475*44/12</f>
        <v>24.153009760869736</v>
      </c>
      <c r="EB83" s="23">
        <f>EXP(-LN(2)/25)*EB82+(1-EXP(-LN(2)/25))/(LN(2)/25)*Calculateur!DW83*Calculateur!DY83*VLOOKUP('Données projet'!$B$14,Paramètres!$A$1:$I$88,3,0)*0.475*44/12</f>
        <v>11.636445788695976</v>
      </c>
      <c r="EC83" s="23">
        <f>EXP(-LN(2)/2)*EC82+(1-EXP(-LN(2)/2))/(LN(2)/2)*DW83*DZ83*VLOOKUP('Données projet'!$B$14,Paramètres!$A$1:$I$88,3,0)*0.475*44/12</f>
        <v>0</v>
      </c>
      <c r="ED83" s="24">
        <f t="shared" si="72"/>
        <v>35.789455549565716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5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8">
        <f t="shared" si="56"/>
        <v>183.33333333333334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3.4106051316484809E-13</v>
      </c>
      <c r="O84" s="14">
        <f>N84*VLOOKUP('Données projet'!$B$9,Paramètres!$A$1:$I$88,3,0)*VLOOKUP('Données projet'!$B$9,Paramètres!$A$1:$I$88,5,0)</f>
        <v>1.9065282685915009E-13</v>
      </c>
      <c r="P84" s="14">
        <f t="shared" si="87"/>
        <v>2.6568987209435707E-12</v>
      </c>
      <c r="Q84" s="22">
        <f t="shared" si="54"/>
        <v>4.959485612423072E-12</v>
      </c>
      <c r="R84" s="60">
        <f t="shared" si="55"/>
        <v>271.12075302350638</v>
      </c>
      <c r="S84" s="60">
        <f ca="1">AVERAGE(OFFSET($R$3,0,0,'Données projet'!$E$9+1,1))-AVERAGE(OFFSET($H$3,0,0,'Données projet'!$E$9+1,1))</f>
        <v>366.29380214443631</v>
      </c>
      <c r="T84" s="60">
        <f t="shared" si="88"/>
        <v>413.14502442862897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158.09383331754086</v>
      </c>
      <c r="AA84" s="23">
        <f>EXP(-LN(2)/25)*AA83+(1-EXP(-LN(2)/25))/(LN(2)/25)*Calculateur!V84*Calculateur!X84*VLOOKUP('Données projet'!$B$9,Paramètres!$A$1:$I$88,3,0)*0.475*44/12</f>
        <v>74.033885959822513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232.12771927736338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452.49999999999989</v>
      </c>
      <c r="AJ84" s="14">
        <f>AI84*VLOOKUP('Données projet'!$B$10,Paramètres!$A$1:$I$88,3,0)*VLOOKUP('Données projet'!$B$10,Paramètres!$A$1:$I$88,5,0)</f>
        <v>395.30399999999992</v>
      </c>
      <c r="AK84" s="14">
        <f t="shared" si="89"/>
        <v>90.823969929029445</v>
      </c>
      <c r="AL84" s="22">
        <f t="shared" si="58"/>
        <v>846.67288095972606</v>
      </c>
      <c r="AM84" s="60">
        <f t="shared" si="59"/>
        <v>1117.7936339832274</v>
      </c>
      <c r="AN84" s="60">
        <f ca="1">AVERAGE(OFFSET($AM$3,0,0,'Données projet'!$E$10+1,1))-AVERAGE(OFFSET($H$3,0,0,'Données projet'!$E$10+1,1))</f>
        <v>436.5217771315057</v>
      </c>
      <c r="AO84" s="60">
        <f t="shared" si="90"/>
        <v>308.97310256098365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40.446516811897375</v>
      </c>
      <c r="AV84" s="23">
        <f>EXP(-LN(2)/25)*AV83+(1-EXP(-LN(2)/25))/(LN(2)/25)*Calculateur!AQ84*Calculateur!AS84*VLOOKUP('Données projet'!$B$10,Paramètres!$A$1:$I$88,3,0)*0.475*44/12</f>
        <v>18.533664231304058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58.980181043201434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5.75</v>
      </c>
      <c r="BD84" s="13">
        <f>IF('Données projet'!$A$88&gt;35,BD83+BC84-BL83,IF(A84&lt;'Données projet'!$A$88,$BA$205^A84,IF(A84='Données projet'!$A$88,'Données projet'!$B$88,BD83+BC84-BL83)))</f>
        <v>184</v>
      </c>
      <c r="BE84" s="14">
        <f>BD84*VLOOKUP('Données projet'!$B$11,Paramètres!$A$1:$I$88,3,0)*VLOOKUP('Données projet'!$B$11,Paramètres!$A$1:$I$88,5,0)</f>
        <v>186.57600000000002</v>
      </c>
      <c r="BF84" s="14">
        <f t="shared" si="91"/>
        <v>46.782155731694274</v>
      </c>
      <c r="BG84" s="22">
        <f t="shared" si="61"/>
        <v>406.43212123270087</v>
      </c>
      <c r="BH84" s="60">
        <f t="shared" si="62"/>
        <v>677.55287425620236</v>
      </c>
      <c r="BI84" s="60">
        <f ca="1">AVERAGE(OFFSET($BH$3,0,0,'Données projet'!$E$11+1,1))-AVERAGE(OFFSET($H$3,0,0,'Données projet'!$E$11+1,1))</f>
        <v>108.30434106718693</v>
      </c>
      <c r="BJ84" s="60">
        <f t="shared" si="92"/>
        <v>67.653808657585842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23.12668837878104</v>
      </c>
      <c r="BQ84" s="23">
        <f>EXP(-LN(2)/25)*BQ83+(1-EXP(-LN(2)/25))/(LN(2)/25)*Calculateur!BL84*Calculateur!BN84*VLOOKUP('Données projet'!$B$11,Paramètres!$A$1:$I$88,3,0)*0.475*44/12</f>
        <v>0</v>
      </c>
      <c r="BR84" s="23">
        <f>EXP(-LN(2)/2)*BR83+(1-EXP(-LN(2)/2))/(LN(2)/2)*BL84*BO84*VLOOKUP('Données projet'!$B$11,Paramètres!$A$1:$I$88,3,0)*0.475*44/12</f>
        <v>0</v>
      </c>
      <c r="BS84" s="24">
        <f t="shared" si="63"/>
        <v>23.12668837878104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projet'!$B$12,Paramètres!$A$1:$I$88,3,0)*VLOOKUP('Données projet'!$B$12,Paramètres!$A$1:$I$88,5,0)</f>
        <v>0</v>
      </c>
      <c r="CA84" s="14" t="e">
        <f t="shared" si="93"/>
        <v>#NUM!</v>
      </c>
      <c r="CB84" s="22" t="e">
        <f t="shared" si="64"/>
        <v>#NUM!</v>
      </c>
      <c r="CC84" s="60" t="e">
        <f t="shared" si="65"/>
        <v>#NUM!</v>
      </c>
      <c r="CD84" s="60">
        <f ca="1">AVERAGE(OFFSET($CC$3,0,0,'Données projet'!$E$12+1,1))-AVERAGE(OFFSET($H$3,0,0,'Données projet'!$E$12+1,1))</f>
        <v>171.08593400758221</v>
      </c>
      <c r="CE84" s="60">
        <f t="shared" si="94"/>
        <v>201.9528484086932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projet'!$B$12,Paramètres!$A$1:$I$88,3,0)*0.475*44/12</f>
        <v>48.35796553560489</v>
      </c>
      <c r="CL84" s="23">
        <f>EXP(-LN(2)/25)*CL83+(1-EXP(-LN(2)/25))/(LN(2)/25)*Calculateur!CG84*Calculateur!CI84*VLOOKUP('Données projet'!$B$12,Paramètres!$A$1:$I$88,3,0)*0.475*44/12</f>
        <v>23.841521218085113</v>
      </c>
      <c r="CM84" s="23">
        <f>EXP(-LN(2)/2)*CM83+(1-EXP(-LN(2)/2))/(LN(2)/2)*CG84*CJ84*VLOOKUP('Données projet'!$B$12,Paramètres!$A$1:$I$88,3,0)*0.475*44/12</f>
        <v>0</v>
      </c>
      <c r="CN84" s="24">
        <f t="shared" si="66"/>
        <v>72.199486753689996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6.0000000000000115</v>
      </c>
      <c r="CT84" s="13">
        <f>IF('Données projet'!$A$140&gt;35,CT83+CS84-DB83,IF(A84&lt;'Données projet'!$A$140,$CQ$205^A84,IF(A84='Données projet'!$A$140,'Données projet'!$B$140,CT83+CS84-DB83)))</f>
        <v>377</v>
      </c>
      <c r="CU84" s="18">
        <f>CT84*VLOOKUP('Données projet'!$B$13,Paramètres!$A$1:$I$88,3,0)*VLOOKUP('Données projet'!$B$13,Paramètres!$A$1:$I$88,5,0)</f>
        <v>252.89159999999998</v>
      </c>
      <c r="CV84" s="14">
        <f t="shared" si="95"/>
        <v>61.204718436590312</v>
      </c>
      <c r="CW84" s="22">
        <f t="shared" si="67"/>
        <v>547.05108794372802</v>
      </c>
      <c r="CX84" s="60">
        <f t="shared" si="68"/>
        <v>818.1718409672294</v>
      </c>
      <c r="CY84" s="60">
        <f ca="1">AVERAGE(OFFSET($CX$3,0,0,'Données projet'!$E$13+1,1))-AVERAGE(OFFSET($H$3,0,0,'Données projet'!$E$13+1,1))</f>
        <v>283.66646124753868</v>
      </c>
      <c r="CZ84" s="60">
        <f t="shared" si="96"/>
        <v>331.61926649572797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projet'!$B$13,Paramètres!$A$1:$I$88,3,0)*0.475*44/12</f>
        <v>24.832480014558854</v>
      </c>
      <c r="DG84" s="23">
        <f>EXP(-LN(2)/25)*DG83+(1-EXP(-LN(2)/25))/(LN(2)/25)*Calculateur!DB84*Calculateur!DD84*VLOOKUP('Données projet'!$B$13,Paramètres!$A$1:$I$88,3,0)*0.475*44/12</f>
        <v>0</v>
      </c>
      <c r="DH84" s="23">
        <f>EXP(-LN(2)/2)*DH83+(1-EXP(-LN(2)/2))/(LN(2)/2)*DB84*DE84*VLOOKUP('Données projet'!$B$13,Paramètres!$A$1:$I$88,3,0)*0.475*44/12</f>
        <v>0</v>
      </c>
      <c r="DI84" s="24">
        <f t="shared" si="69"/>
        <v>24.832480014558854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1.1368683772161603E-13</v>
      </c>
      <c r="DP84" s="18">
        <f>DO84*VLOOKUP('Données projet'!$B$14,Paramètres!$A$1:$I$88,3,0)*VLOOKUP('Données projet'!$B$14,Paramètres!$A$1:$I$88,5,0)</f>
        <v>8.3355189417488869E-14</v>
      </c>
      <c r="DQ84" s="14">
        <f t="shared" si="97"/>
        <v>1.2790518435140618E-12</v>
      </c>
      <c r="DR84" s="22">
        <f t="shared" si="70"/>
        <v>2.3728589156891171E-12</v>
      </c>
      <c r="DS84" s="60">
        <f t="shared" si="71"/>
        <v>271.12075302350382</v>
      </c>
      <c r="DT84" s="60">
        <f ca="1">AVERAGE(OFFSET($DS$3,0,0,'Données projet'!$E$14+1,1))-AVERAGE(OFFSET($H$3,0,0,'Données projet'!$E$14+1,1))</f>
        <v>212.77458587586861</v>
      </c>
      <c r="DU84" s="60">
        <f t="shared" si="98"/>
        <v>260.45879589483513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projet'!$B$14,Paramètres!$A$1:$I$88,3,0)*0.475*44/12</f>
        <v>23.679383971340382</v>
      </c>
      <c r="EB84" s="23">
        <f>EXP(-LN(2)/25)*EB83+(1-EXP(-LN(2)/25))/(LN(2)/25)*Calculateur!DW84*Calculateur!DY84*VLOOKUP('Données projet'!$B$14,Paramètres!$A$1:$I$88,3,0)*0.475*44/12</f>
        <v>11.318246566669997</v>
      </c>
      <c r="EC84" s="23">
        <f>EXP(-LN(2)/2)*EC83+(1-EXP(-LN(2)/2))/(LN(2)/2)*DW84*DZ84*VLOOKUP('Données projet'!$B$14,Paramètres!$A$1:$I$88,3,0)*0.475*44/12</f>
        <v>0</v>
      </c>
      <c r="ED84" s="24">
        <f t="shared" si="72"/>
        <v>34.997630538010377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5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8">
        <f t="shared" si="56"/>
        <v>183.33333333333334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3.4106051316484809E-13</v>
      </c>
      <c r="O85" s="14">
        <f>N85*VLOOKUP('Données projet'!$B$9,Paramètres!$A$1:$I$88,3,0)*VLOOKUP('Données projet'!$B$9,Paramètres!$A$1:$I$88,5,0)</f>
        <v>1.9065282685915009E-13</v>
      </c>
      <c r="P85" s="14">
        <f t="shared" si="87"/>
        <v>2.6568987209435707E-12</v>
      </c>
      <c r="Q85" s="22">
        <f t="shared" si="54"/>
        <v>4.959485612423072E-12</v>
      </c>
      <c r="R85" s="60">
        <f t="shared" si="55"/>
        <v>271.50609163199198</v>
      </c>
      <c r="S85" s="60">
        <f ca="1">AVERAGE(OFFSET($R$3,0,0,'Données projet'!$E$9+1,1))-AVERAGE(OFFSET($H$3,0,0,'Données projet'!$E$9+1,1))</f>
        <v>366.29380214443631</v>
      </c>
      <c r="T85" s="60">
        <f t="shared" si="88"/>
        <v>413.14502442862897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154.99370967390075</v>
      </c>
      <c r="AA85" s="23">
        <f>EXP(-LN(2)/25)*AA84+(1-EXP(-LN(2)/25))/(LN(2)/25)*Calculateur!V85*Calculateur!X85*VLOOKUP('Données projet'!$B$9,Paramètres!$A$1:$I$88,3,0)*0.475*44/12</f>
        <v>72.009425454978313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227.00313512887908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452.49999999999989</v>
      </c>
      <c r="AJ85" s="14">
        <f>AI85*VLOOKUP('Données projet'!$B$10,Paramètres!$A$1:$I$88,3,0)*VLOOKUP('Données projet'!$B$10,Paramètres!$A$1:$I$88,5,0)</f>
        <v>395.30399999999992</v>
      </c>
      <c r="AK85" s="14">
        <f t="shared" si="89"/>
        <v>90.823969929029445</v>
      </c>
      <c r="AL85" s="22">
        <f t="shared" si="58"/>
        <v>846.67288095972606</v>
      </c>
      <c r="AM85" s="60">
        <f t="shared" si="59"/>
        <v>1118.1789725917131</v>
      </c>
      <c r="AN85" s="60">
        <f ca="1">AVERAGE(OFFSET($AM$3,0,0,'Données projet'!$E$10+1,1))-AVERAGE(OFFSET($H$3,0,0,'Données projet'!$E$10+1,1))</f>
        <v>436.5217771315057</v>
      </c>
      <c r="AO85" s="60">
        <f t="shared" si="90"/>
        <v>308.97310256098365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39.653385287155366</v>
      </c>
      <c r="AV85" s="23">
        <f>EXP(-LN(2)/25)*AV84+(1-EXP(-LN(2)/25))/(LN(2)/25)*Calculateur!AQ85*Calculateur!AS85*VLOOKUP('Données projet'!$B$10,Paramètres!$A$1:$I$88,3,0)*0.475*44/12</f>
        <v>18.026860208256007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57.68024549541137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5.75</v>
      </c>
      <c r="BD85" s="13">
        <f>IF('Données projet'!$A$88&gt;35,BD84+BC85-BL84,IF(A85&lt;'Données projet'!$A$88,$BA$205^A85,IF(A85='Données projet'!$A$88,'Données projet'!$B$88,BD84+BC85-BL84)))</f>
        <v>189.75</v>
      </c>
      <c r="BE85" s="14">
        <f>BD85*VLOOKUP('Données projet'!$B$11,Paramètres!$A$1:$I$88,3,0)*VLOOKUP('Données projet'!$B$11,Paramètres!$A$1:$I$88,5,0)</f>
        <v>192.40650000000002</v>
      </c>
      <c r="BF85" s="14">
        <f t="shared" si="91"/>
        <v>48.07160547456769</v>
      </c>
      <c r="BG85" s="22">
        <f t="shared" si="61"/>
        <v>418.83270036820545</v>
      </c>
      <c r="BH85" s="60">
        <f t="shared" si="62"/>
        <v>690.33879200019248</v>
      </c>
      <c r="BI85" s="60">
        <f ca="1">AVERAGE(OFFSET($BH$3,0,0,'Données projet'!$E$11+1,1))-AVERAGE(OFFSET($H$3,0,0,'Données projet'!$E$11+1,1))</f>
        <v>108.30434106718693</v>
      </c>
      <c r="BJ85" s="60">
        <f t="shared" si="92"/>
        <v>67.653808657585842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22.673188125560213</v>
      </c>
      <c r="BQ85" s="23">
        <f>EXP(-LN(2)/25)*BQ84+(1-EXP(-LN(2)/25))/(LN(2)/25)*Calculateur!BL85*Calculateur!BN85*VLOOKUP('Données projet'!$B$11,Paramètres!$A$1:$I$88,3,0)*0.475*44/12</f>
        <v>0</v>
      </c>
      <c r="BR85" s="23">
        <f>EXP(-LN(2)/2)*BR84+(1-EXP(-LN(2)/2))/(LN(2)/2)*BL85*BO85*VLOOKUP('Données projet'!$B$11,Paramètres!$A$1:$I$88,3,0)*0.475*44/12</f>
        <v>0</v>
      </c>
      <c r="BS85" s="24">
        <f t="shared" si="63"/>
        <v>22.673188125560213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projet'!$B$12,Paramètres!$A$1:$I$88,3,0)*VLOOKUP('Données projet'!$B$12,Paramètres!$A$1:$I$88,5,0)</f>
        <v>0</v>
      </c>
      <c r="CA85" s="14" t="e">
        <f t="shared" si="93"/>
        <v>#NUM!</v>
      </c>
      <c r="CB85" s="22" t="e">
        <f t="shared" si="64"/>
        <v>#NUM!</v>
      </c>
      <c r="CC85" s="60" t="e">
        <f t="shared" si="65"/>
        <v>#NUM!</v>
      </c>
      <c r="CD85" s="60">
        <f ca="1">AVERAGE(OFFSET($CC$3,0,0,'Données projet'!$E$12+1,1))-AVERAGE(OFFSET($H$3,0,0,'Données projet'!$E$12+1,1))</f>
        <v>171.08593400758221</v>
      </c>
      <c r="CE85" s="60">
        <f t="shared" si="94"/>
        <v>201.9528484086932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projet'!$B$12,Paramètres!$A$1:$I$88,3,0)*0.475*44/12</f>
        <v>47.409695326898223</v>
      </c>
      <c r="CL85" s="23">
        <f>EXP(-LN(2)/25)*CL84+(1-EXP(-LN(2)/25))/(LN(2)/25)*Calculateur!CG85*Calculateur!CI85*VLOOKUP('Données projet'!$B$12,Paramètres!$A$1:$I$88,3,0)*0.475*44/12</f>
        <v>23.189573566605464</v>
      </c>
      <c r="CM85" s="23">
        <f>EXP(-LN(2)/2)*CM84+(1-EXP(-LN(2)/2))/(LN(2)/2)*CG85*CJ85*VLOOKUP('Données projet'!$B$12,Paramètres!$A$1:$I$88,3,0)*0.475*44/12</f>
        <v>0</v>
      </c>
      <c r="CN85" s="24">
        <f t="shared" si="66"/>
        <v>70.599268893503691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6.0000000000000115</v>
      </c>
      <c r="CT85" s="13">
        <f>IF('Données projet'!$A$140&gt;35,CT84+CS85-DB84,IF(A85&lt;'Données projet'!$A$140,$CQ$205^A85,IF(A85='Données projet'!$A$140,'Données projet'!$B$140,CT84+CS85-DB84)))</f>
        <v>383</v>
      </c>
      <c r="CU85" s="18">
        <f>CT85*VLOOKUP('Données projet'!$B$13,Paramètres!$A$1:$I$88,3,0)*VLOOKUP('Données projet'!$B$13,Paramètres!$A$1:$I$88,5,0)</f>
        <v>256.91640000000001</v>
      </c>
      <c r="CV85" s="14">
        <f t="shared" si="95"/>
        <v>62.064623330301217</v>
      </c>
      <c r="CW85" s="22">
        <f t="shared" si="67"/>
        <v>555.55861563360793</v>
      </c>
      <c r="CX85" s="60">
        <f t="shared" si="68"/>
        <v>827.06470726559496</v>
      </c>
      <c r="CY85" s="60">
        <f ca="1">AVERAGE(OFFSET($CX$3,0,0,'Données projet'!$E$13+1,1))-AVERAGE(OFFSET($H$3,0,0,'Données projet'!$E$13+1,1))</f>
        <v>283.66646124753868</v>
      </c>
      <c r="CZ85" s="60">
        <f t="shared" si="96"/>
        <v>331.61926649572797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projet'!$B$13,Paramètres!$A$1:$I$88,3,0)*0.475*44/12</f>
        <v>24.34553022779059</v>
      </c>
      <c r="DG85" s="23">
        <f>EXP(-LN(2)/25)*DG84+(1-EXP(-LN(2)/25))/(LN(2)/25)*Calculateur!DB85*Calculateur!DD85*VLOOKUP('Données projet'!$B$13,Paramètres!$A$1:$I$88,3,0)*0.475*44/12</f>
        <v>0</v>
      </c>
      <c r="DH85" s="23">
        <f>EXP(-LN(2)/2)*DH84+(1-EXP(-LN(2)/2))/(LN(2)/2)*DB85*DE85*VLOOKUP('Données projet'!$B$13,Paramètres!$A$1:$I$88,3,0)*0.475*44/12</f>
        <v>0</v>
      </c>
      <c r="DI85" s="24">
        <f t="shared" si="69"/>
        <v>24.34553022779059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1.1368683772161603E-13</v>
      </c>
      <c r="DP85" s="18">
        <f>DO85*VLOOKUP('Données projet'!$B$14,Paramètres!$A$1:$I$88,3,0)*VLOOKUP('Données projet'!$B$14,Paramètres!$A$1:$I$88,5,0)</f>
        <v>8.3355189417488869E-14</v>
      </c>
      <c r="DQ85" s="14">
        <f t="shared" si="97"/>
        <v>1.2790518435140618E-12</v>
      </c>
      <c r="DR85" s="22">
        <f t="shared" si="70"/>
        <v>2.3728589156891171E-12</v>
      </c>
      <c r="DS85" s="60">
        <f t="shared" si="71"/>
        <v>271.50609163198942</v>
      </c>
      <c r="DT85" s="60">
        <f ca="1">AVERAGE(OFFSET($DS$3,0,0,'Données projet'!$E$14+1,1))-AVERAGE(OFFSET($H$3,0,0,'Données projet'!$E$14+1,1))</f>
        <v>212.77458587586861</v>
      </c>
      <c r="DU85" s="60">
        <f t="shared" si="98"/>
        <v>260.45879589483513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projet'!$B$14,Paramètres!$A$1:$I$88,3,0)*0.475*44/12</f>
        <v>23.215045694660493</v>
      </c>
      <c r="EB85" s="23">
        <f>EXP(-LN(2)/25)*EB84+(1-EXP(-LN(2)/25))/(LN(2)/25)*Calculateur!DW85*Calculateur!DY85*VLOOKUP('Données projet'!$B$14,Paramètres!$A$1:$I$88,3,0)*0.475*44/12</f>
        <v>11.008748519103687</v>
      </c>
      <c r="EC85" s="23">
        <f>EXP(-LN(2)/2)*EC84+(1-EXP(-LN(2)/2))/(LN(2)/2)*DW85*DZ85*VLOOKUP('Données projet'!$B$14,Paramètres!$A$1:$I$88,3,0)*0.475*44/12</f>
        <v>0</v>
      </c>
      <c r="ED85" s="24">
        <f t="shared" si="72"/>
        <v>34.22379421376418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5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8">
        <f t="shared" si="56"/>
        <v>183.33333333333334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3.4106051316484809E-13</v>
      </c>
      <c r="O86" s="14">
        <f>N86*VLOOKUP('Données projet'!$B$9,Paramètres!$A$1:$I$88,3,0)*VLOOKUP('Données projet'!$B$9,Paramètres!$A$1:$I$88,5,0)</f>
        <v>1.9065282685915009E-13</v>
      </c>
      <c r="P86" s="14">
        <f t="shared" si="87"/>
        <v>2.6568987209435707E-12</v>
      </c>
      <c r="Q86" s="22">
        <f t="shared" si="54"/>
        <v>4.959485612423072E-12</v>
      </c>
      <c r="R86" s="60">
        <f t="shared" si="55"/>
        <v>271.88474547710842</v>
      </c>
      <c r="S86" s="60">
        <f ca="1">AVERAGE(OFFSET($R$3,0,0,'Données projet'!$E$9+1,1))-AVERAGE(OFFSET($H$3,0,0,'Données projet'!$E$9+1,1))</f>
        <v>366.29380214443631</v>
      </c>
      <c r="T86" s="60">
        <f t="shared" si="88"/>
        <v>413.14502442862897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151.95437756402373</v>
      </c>
      <c r="AA86" s="23">
        <f>EXP(-LN(2)/25)*AA85+(1-EXP(-LN(2)/25))/(LN(2)/25)*Calculateur!V86*Calculateur!X86*VLOOKUP('Données projet'!$B$9,Paramètres!$A$1:$I$88,3,0)*0.475*44/12</f>
        <v>70.040323929100822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221.99470149312455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452.49999999999989</v>
      </c>
      <c r="AJ86" s="14">
        <f>AI86*VLOOKUP('Données projet'!$B$10,Paramètres!$A$1:$I$88,3,0)*VLOOKUP('Données projet'!$B$10,Paramètres!$A$1:$I$88,5,0)</f>
        <v>395.30399999999992</v>
      </c>
      <c r="AK86" s="14">
        <f t="shared" si="89"/>
        <v>90.823969929029445</v>
      </c>
      <c r="AL86" s="22">
        <f t="shared" si="58"/>
        <v>846.67288095972606</v>
      </c>
      <c r="AM86" s="60">
        <f t="shared" si="59"/>
        <v>1118.5576264368297</v>
      </c>
      <c r="AN86" s="60">
        <f ca="1">AVERAGE(OFFSET($AM$3,0,0,'Données projet'!$E$10+1,1))-AVERAGE(OFFSET($H$3,0,0,'Données projet'!$E$10+1,1))</f>
        <v>436.5217771315057</v>
      </c>
      <c r="AO86" s="60">
        <f t="shared" si="90"/>
        <v>308.97310256098365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38.875806587851088</v>
      </c>
      <c r="AV86" s="23">
        <f>EXP(-LN(2)/25)*AV85+(1-EXP(-LN(2)/25))/(LN(2)/25)*Calculateur!AQ86*Calculateur!AS86*VLOOKUP('Données projet'!$B$10,Paramètres!$A$1:$I$88,3,0)*0.475*44/12</f>
        <v>17.53391476786987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56.409721355720961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5.75</v>
      </c>
      <c r="BD86" s="13">
        <f>IF('Données projet'!$A$88&gt;35,BD85+BC86-BL85,IF(A86&lt;'Données projet'!$A$88,$BA$205^A86,IF(A86='Données projet'!$A$88,'Données projet'!$B$88,BD85+BC86-BL85)))</f>
        <v>195.5</v>
      </c>
      <c r="BE86" s="14">
        <f>BD86*VLOOKUP('Données projet'!$B$11,Paramètres!$A$1:$I$88,3,0)*VLOOKUP('Données projet'!$B$11,Paramètres!$A$1:$I$88,5,0)</f>
        <v>198.23700000000002</v>
      </c>
      <c r="BF86" s="14">
        <f t="shared" si="91"/>
        <v>49.356514254260809</v>
      </c>
      <c r="BG86" s="22">
        <f t="shared" si="61"/>
        <v>431.22537065950428</v>
      </c>
      <c r="BH86" s="60">
        <f t="shared" si="62"/>
        <v>703.11011613660776</v>
      </c>
      <c r="BI86" s="60">
        <f ca="1">AVERAGE(OFFSET($BH$3,0,0,'Données projet'!$E$11+1,1))-AVERAGE(OFFSET($H$3,0,0,'Données projet'!$E$11+1,1))</f>
        <v>108.30434106718693</v>
      </c>
      <c r="BJ86" s="60">
        <f t="shared" si="92"/>
        <v>67.653808657585842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22.228580735697207</v>
      </c>
      <c r="BQ86" s="23">
        <f>EXP(-LN(2)/25)*BQ85+(1-EXP(-LN(2)/25))/(LN(2)/25)*Calculateur!BL86*Calculateur!BN86*VLOOKUP('Données projet'!$B$11,Paramètres!$A$1:$I$88,3,0)*0.475*44/12</f>
        <v>0</v>
      </c>
      <c r="BR86" s="23">
        <f>EXP(-LN(2)/2)*BR85+(1-EXP(-LN(2)/2))/(LN(2)/2)*BL86*BO86*VLOOKUP('Données projet'!$B$11,Paramètres!$A$1:$I$88,3,0)*0.475*44/12</f>
        <v>0</v>
      </c>
      <c r="BS86" s="24">
        <f t="shared" si="63"/>
        <v>22.228580735697207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projet'!$B$12,Paramètres!$A$1:$I$88,3,0)*VLOOKUP('Données projet'!$B$12,Paramètres!$A$1:$I$88,5,0)</f>
        <v>0</v>
      </c>
      <c r="CA86" s="14" t="e">
        <f t="shared" si="93"/>
        <v>#NUM!</v>
      </c>
      <c r="CB86" s="22" t="e">
        <f t="shared" si="64"/>
        <v>#NUM!</v>
      </c>
      <c r="CC86" s="60" t="e">
        <f t="shared" si="65"/>
        <v>#NUM!</v>
      </c>
      <c r="CD86" s="60">
        <f ca="1">AVERAGE(OFFSET($CC$3,0,0,'Données projet'!$E$12+1,1))-AVERAGE(OFFSET($H$3,0,0,'Données projet'!$E$12+1,1))</f>
        <v>171.08593400758221</v>
      </c>
      <c r="CE86" s="60">
        <f t="shared" si="94"/>
        <v>201.9528484086932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projet'!$B$12,Paramètres!$A$1:$I$88,3,0)*0.475*44/12</f>
        <v>46.480020118596578</v>
      </c>
      <c r="CL86" s="23">
        <f>EXP(-LN(2)/25)*CL85+(1-EXP(-LN(2)/25))/(LN(2)/25)*Calculateur!CG86*Calculateur!CI86*VLOOKUP('Données projet'!$B$12,Paramètres!$A$1:$I$88,3,0)*0.475*44/12</f>
        <v>22.555453457939965</v>
      </c>
      <c r="CM86" s="23">
        <f>EXP(-LN(2)/2)*CM85+(1-EXP(-LN(2)/2))/(LN(2)/2)*CG86*CJ86*VLOOKUP('Données projet'!$B$12,Paramètres!$A$1:$I$88,3,0)*0.475*44/12</f>
        <v>0</v>
      </c>
      <c r="CN86" s="24">
        <f t="shared" si="66"/>
        <v>69.035473576536546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6.0000000000000115</v>
      </c>
      <c r="CT86" s="13">
        <f>IF('Données projet'!$A$140&gt;35,CT85+CS86-DB85,IF(A86&lt;'Données projet'!$A$140,$CQ$205^A86,IF(A86='Données projet'!$A$140,'Données projet'!$B$140,CT85+CS86-DB85)))</f>
        <v>389</v>
      </c>
      <c r="CU86" s="18">
        <f>CT86*VLOOKUP('Données projet'!$B$13,Paramètres!$A$1:$I$88,3,0)*VLOOKUP('Données projet'!$B$13,Paramètres!$A$1:$I$88,5,0)</f>
        <v>260.94120000000004</v>
      </c>
      <c r="CV86" s="14">
        <f t="shared" si="95"/>
        <v>62.922961549594426</v>
      </c>
      <c r="CW86" s="22">
        <f t="shared" si="67"/>
        <v>564.06341469887695</v>
      </c>
      <c r="CX86" s="60">
        <f t="shared" si="68"/>
        <v>835.94816017598043</v>
      </c>
      <c r="CY86" s="60">
        <f ca="1">AVERAGE(OFFSET($CX$3,0,0,'Données projet'!$E$13+1,1))-AVERAGE(OFFSET($H$3,0,0,'Données projet'!$E$13+1,1))</f>
        <v>283.66646124753868</v>
      </c>
      <c r="CZ86" s="60">
        <f t="shared" si="96"/>
        <v>331.61926649572797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projet'!$B$13,Paramètres!$A$1:$I$88,3,0)*0.475*44/12</f>
        <v>23.868129229330808</v>
      </c>
      <c r="DG86" s="23">
        <f>EXP(-LN(2)/25)*DG85+(1-EXP(-LN(2)/25))/(LN(2)/25)*Calculateur!DB86*Calculateur!DD86*VLOOKUP('Données projet'!$B$13,Paramètres!$A$1:$I$88,3,0)*0.475*44/12</f>
        <v>0</v>
      </c>
      <c r="DH86" s="23">
        <f>EXP(-LN(2)/2)*DH85+(1-EXP(-LN(2)/2))/(LN(2)/2)*DB86*DE86*VLOOKUP('Données projet'!$B$13,Paramètres!$A$1:$I$88,3,0)*0.475*44/12</f>
        <v>0</v>
      </c>
      <c r="DI86" s="24">
        <f t="shared" si="69"/>
        <v>23.868129229330808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1.1368683772161603E-13</v>
      </c>
      <c r="DP86" s="18">
        <f>DO86*VLOOKUP('Données projet'!$B$14,Paramètres!$A$1:$I$88,3,0)*VLOOKUP('Données projet'!$B$14,Paramètres!$A$1:$I$88,5,0)</f>
        <v>8.3355189417488869E-14</v>
      </c>
      <c r="DQ86" s="14">
        <f t="shared" si="97"/>
        <v>1.2790518435140618E-12</v>
      </c>
      <c r="DR86" s="22">
        <f t="shared" si="70"/>
        <v>2.3728589156891171E-12</v>
      </c>
      <c r="DS86" s="60">
        <f t="shared" si="71"/>
        <v>271.88474547710587</v>
      </c>
      <c r="DT86" s="60">
        <f ca="1">AVERAGE(OFFSET($DS$3,0,0,'Données projet'!$E$14+1,1))-AVERAGE(OFFSET($H$3,0,0,'Données projet'!$E$14+1,1))</f>
        <v>212.77458587586861</v>
      </c>
      <c r="DU86" s="60">
        <f t="shared" si="98"/>
        <v>260.45879589483513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projet'!$B$14,Paramètres!$A$1:$I$88,3,0)*0.475*44/12</f>
        <v>22.759812808367911</v>
      </c>
      <c r="EB86" s="23">
        <f>EXP(-LN(2)/25)*EB85+(1-EXP(-LN(2)/25))/(LN(2)/25)*Calculateur!DW86*Calculateur!DY86*VLOOKUP('Données projet'!$B$14,Paramètres!$A$1:$I$88,3,0)*0.475*44/12</f>
        <v>10.707713711923873</v>
      </c>
      <c r="EC86" s="23">
        <f>EXP(-LN(2)/2)*EC85+(1-EXP(-LN(2)/2))/(LN(2)/2)*DW86*DZ86*VLOOKUP('Données projet'!$B$14,Paramètres!$A$1:$I$88,3,0)*0.475*44/12</f>
        <v>0</v>
      </c>
      <c r="ED86" s="24">
        <f t="shared" si="72"/>
        <v>33.467526520291784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5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8">
        <f t="shared" si="56"/>
        <v>183.33333333333334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3.4106051316484809E-13</v>
      </c>
      <c r="O87" s="14">
        <f>N87*VLOOKUP('Données projet'!$B$9,Paramètres!$A$1:$I$88,3,0)*VLOOKUP('Données projet'!$B$9,Paramètres!$A$1:$I$88,5,0)</f>
        <v>1.9065282685915009E-13</v>
      </c>
      <c r="P87" s="14">
        <f t="shared" si="87"/>
        <v>2.6568987209435707E-12</v>
      </c>
      <c r="Q87" s="22">
        <f t="shared" si="54"/>
        <v>4.959485612423072E-12</v>
      </c>
      <c r="R87" s="60">
        <f t="shared" si="55"/>
        <v>272.25683052455526</v>
      </c>
      <c r="S87" s="60">
        <f ca="1">AVERAGE(OFFSET($R$3,0,0,'Données projet'!$E$9+1,1))-AVERAGE(OFFSET($H$3,0,0,'Données projet'!$E$9+1,1))</f>
        <v>366.29380214443631</v>
      </c>
      <c r="T87" s="60">
        <f t="shared" si="88"/>
        <v>413.14502442862897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148.97464490301186</v>
      </c>
      <c r="AA87" s="23">
        <f>EXP(-LN(2)/25)*AA86+(1-EXP(-LN(2)/25))/(LN(2)/25)*Calculateur!V87*Calculateur!X87*VLOOKUP('Données projet'!$B$9,Paramètres!$A$1:$I$88,3,0)*0.475*44/12</f>
        <v>68.125067587998998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217.09971249101085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452.49999999999989</v>
      </c>
      <c r="AJ87" s="14">
        <f>AI87*VLOOKUP('Données projet'!$B$10,Paramètres!$A$1:$I$88,3,0)*VLOOKUP('Données projet'!$B$10,Paramètres!$A$1:$I$88,5,0)</f>
        <v>395.30399999999992</v>
      </c>
      <c r="AK87" s="14">
        <f t="shared" si="89"/>
        <v>90.823969929029445</v>
      </c>
      <c r="AL87" s="22">
        <f t="shared" si="58"/>
        <v>846.67288095972606</v>
      </c>
      <c r="AM87" s="60">
        <f t="shared" si="59"/>
        <v>1118.9297114842764</v>
      </c>
      <c r="AN87" s="60">
        <f ca="1">AVERAGE(OFFSET($AM$3,0,0,'Données projet'!$E$10+1,1))-AVERAGE(OFFSET($H$3,0,0,'Données projet'!$E$10+1,1))</f>
        <v>436.5217771315057</v>
      </c>
      <c r="AO87" s="60">
        <f t="shared" si="90"/>
        <v>308.97310256098365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38.113475732563991</v>
      </c>
      <c r="AV87" s="23">
        <f>EXP(-LN(2)/25)*AV86+(1-EXP(-LN(2)/25))/(LN(2)/25)*Calculateur!AQ87*Calculateur!AS87*VLOOKUP('Données projet'!$B$10,Paramètres!$A$1:$I$88,3,0)*0.475*44/12</f>
        <v>17.054448946473965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55.167924679037952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5.75</v>
      </c>
      <c r="BD87" s="13">
        <f>IF('Données projet'!$A$88&gt;35,BD86+BC87-BL86,IF(A87&lt;'Données projet'!$A$88,$BA$205^A87,IF(A87='Données projet'!$A$88,'Données projet'!$B$88,BD86+BC87-BL86)))</f>
        <v>201.25</v>
      </c>
      <c r="BE87" s="14">
        <f>BD87*VLOOKUP('Données projet'!$B$11,Paramètres!$A$1:$I$88,3,0)*VLOOKUP('Données projet'!$B$11,Paramètres!$A$1:$I$88,5,0)</f>
        <v>204.0675</v>
      </c>
      <c r="BF87" s="14">
        <f t="shared" si="91"/>
        <v>50.637030963214741</v>
      </c>
      <c r="BG87" s="22">
        <f t="shared" si="61"/>
        <v>443.61039142759893</v>
      </c>
      <c r="BH87" s="60">
        <f t="shared" si="62"/>
        <v>715.86722195214929</v>
      </c>
      <c r="BI87" s="60">
        <f ca="1">AVERAGE(OFFSET($BH$3,0,0,'Données projet'!$E$11+1,1))-AVERAGE(OFFSET($H$3,0,0,'Données projet'!$E$11+1,1))</f>
        <v>108.30434106718693</v>
      </c>
      <c r="BJ87" s="60">
        <f t="shared" si="92"/>
        <v>67.653808657585842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21.792691825565683</v>
      </c>
      <c r="BQ87" s="23">
        <f>EXP(-LN(2)/25)*BQ86+(1-EXP(-LN(2)/25))/(LN(2)/25)*Calculateur!BL87*Calculateur!BN87*VLOOKUP('Données projet'!$B$11,Paramètres!$A$1:$I$88,3,0)*0.475*44/12</f>
        <v>0</v>
      </c>
      <c r="BR87" s="23">
        <f>EXP(-LN(2)/2)*BR86+(1-EXP(-LN(2)/2))/(LN(2)/2)*BL87*BO87*VLOOKUP('Données projet'!$B$11,Paramètres!$A$1:$I$88,3,0)*0.475*44/12</f>
        <v>0</v>
      </c>
      <c r="BS87" s="24">
        <f t="shared" si="63"/>
        <v>21.792691825565683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projet'!$B$12,Paramètres!$A$1:$I$88,3,0)*VLOOKUP('Données projet'!$B$12,Paramètres!$A$1:$I$88,5,0)</f>
        <v>0</v>
      </c>
      <c r="CA87" s="14" t="e">
        <f t="shared" si="93"/>
        <v>#NUM!</v>
      </c>
      <c r="CB87" s="22" t="e">
        <f t="shared" si="64"/>
        <v>#NUM!</v>
      </c>
      <c r="CC87" s="60" t="e">
        <f t="shared" si="65"/>
        <v>#NUM!</v>
      </c>
      <c r="CD87" s="60">
        <f ca="1">AVERAGE(OFFSET($CC$3,0,0,'Données projet'!$E$12+1,1))-AVERAGE(OFFSET($H$3,0,0,'Données projet'!$E$12+1,1))</f>
        <v>171.08593400758221</v>
      </c>
      <c r="CE87" s="60">
        <f t="shared" si="94"/>
        <v>201.9528484086932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projet'!$B$12,Paramètres!$A$1:$I$88,3,0)*0.475*44/12</f>
        <v>45.568575274083841</v>
      </c>
      <c r="CL87" s="23">
        <f>EXP(-LN(2)/25)*CL86+(1-EXP(-LN(2)/25))/(LN(2)/25)*Calculateur!CG87*Calculateur!CI87*VLOOKUP('Données projet'!$B$12,Paramètres!$A$1:$I$88,3,0)*0.475*44/12</f>
        <v>21.938673396992851</v>
      </c>
      <c r="CM87" s="23">
        <f>EXP(-LN(2)/2)*CM86+(1-EXP(-LN(2)/2))/(LN(2)/2)*CG87*CJ87*VLOOKUP('Données projet'!$B$12,Paramètres!$A$1:$I$88,3,0)*0.475*44/12</f>
        <v>0</v>
      </c>
      <c r="CN87" s="24">
        <f t="shared" si="66"/>
        <v>67.507248671076695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6.0000000000000115</v>
      </c>
      <c r="CT87" s="13">
        <f>IF('Données projet'!$A$140&gt;35,CT86+CS87-DB86,IF(A87&lt;'Données projet'!$A$140,$CQ$205^A87,IF(A87='Données projet'!$A$140,'Données projet'!$B$140,CT86+CS87-DB86)))</f>
        <v>395</v>
      </c>
      <c r="CU87" s="18">
        <f>CT87*VLOOKUP('Données projet'!$B$13,Paramètres!$A$1:$I$88,3,0)*VLOOKUP('Données projet'!$B$13,Paramètres!$A$1:$I$88,5,0)</f>
        <v>264.96600000000001</v>
      </c>
      <c r="CV87" s="14">
        <f t="shared" si="95"/>
        <v>63.779760049828347</v>
      </c>
      <c r="CW87" s="22">
        <f t="shared" si="67"/>
        <v>572.5655320867844</v>
      </c>
      <c r="CX87" s="60">
        <f t="shared" si="68"/>
        <v>844.82236261133471</v>
      </c>
      <c r="CY87" s="60">
        <f ca="1">AVERAGE(OFFSET($CX$3,0,0,'Données projet'!$E$13+1,1))-AVERAGE(OFFSET($H$3,0,0,'Données projet'!$E$13+1,1))</f>
        <v>283.66646124753868</v>
      </c>
      <c r="CZ87" s="60">
        <f t="shared" si="96"/>
        <v>331.61926649572797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projet'!$B$13,Paramètres!$A$1:$I$88,3,0)*0.475*44/12</f>
        <v>23.400089773264966</v>
      </c>
      <c r="DG87" s="23">
        <f>EXP(-LN(2)/25)*DG86+(1-EXP(-LN(2)/25))/(LN(2)/25)*Calculateur!DB87*Calculateur!DD87*VLOOKUP('Données projet'!$B$13,Paramètres!$A$1:$I$88,3,0)*0.475*44/12</f>
        <v>0</v>
      </c>
      <c r="DH87" s="23">
        <f>EXP(-LN(2)/2)*DH86+(1-EXP(-LN(2)/2))/(LN(2)/2)*DB87*DE87*VLOOKUP('Données projet'!$B$13,Paramètres!$A$1:$I$88,3,0)*0.475*44/12</f>
        <v>0</v>
      </c>
      <c r="DI87" s="24">
        <f t="shared" si="69"/>
        <v>23.400089773264966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1.1368683772161603E-13</v>
      </c>
      <c r="DP87" s="18">
        <f>DO87*VLOOKUP('Données projet'!$B$14,Paramètres!$A$1:$I$88,3,0)*VLOOKUP('Données projet'!$B$14,Paramètres!$A$1:$I$88,5,0)</f>
        <v>8.3355189417488869E-14</v>
      </c>
      <c r="DQ87" s="14">
        <f t="shared" si="97"/>
        <v>1.2790518435140618E-12</v>
      </c>
      <c r="DR87" s="22">
        <f t="shared" si="70"/>
        <v>2.3728589156891171E-12</v>
      </c>
      <c r="DS87" s="60">
        <f t="shared" si="71"/>
        <v>272.2568305245527</v>
      </c>
      <c r="DT87" s="60">
        <f ca="1">AVERAGE(OFFSET($DS$3,0,0,'Données projet'!$E$14+1,1))-AVERAGE(OFFSET($H$3,0,0,'Données projet'!$E$14+1,1))</f>
        <v>212.77458587586861</v>
      </c>
      <c r="DU87" s="60">
        <f t="shared" si="98"/>
        <v>260.45879589483513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projet'!$B$14,Paramètres!$A$1:$I$88,3,0)*0.475*44/12</f>
        <v>22.313506761310883</v>
      </c>
      <c r="EB87" s="23">
        <f>EXP(-LN(2)/25)*EB86+(1-EXP(-LN(2)/25))/(LN(2)/25)*Calculateur!DW87*Calculateur!DY87*VLOOKUP('Données projet'!$B$14,Paramètres!$A$1:$I$88,3,0)*0.475*44/12</f>
        <v>10.414910717377124</v>
      </c>
      <c r="EC87" s="23">
        <f>EXP(-LN(2)/2)*EC86+(1-EXP(-LN(2)/2))/(LN(2)/2)*DW87*DZ87*VLOOKUP('Données projet'!$B$14,Paramètres!$A$1:$I$88,3,0)*0.475*44/12</f>
        <v>0</v>
      </c>
      <c r="ED87" s="24">
        <f t="shared" si="72"/>
        <v>32.728417478688009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5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8">
        <f t="shared" si="56"/>
        <v>183.33333333333334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3.4106051316484809E-13</v>
      </c>
      <c r="O88" s="14">
        <f>N88*VLOOKUP('Données projet'!$B$9,Paramètres!$A$1:$I$88,3,0)*VLOOKUP('Données projet'!$B$9,Paramètres!$A$1:$I$88,5,0)</f>
        <v>1.9065282685915009E-13</v>
      </c>
      <c r="P88" s="14">
        <f t="shared" si="87"/>
        <v>2.6568987209435707E-12</v>
      </c>
      <c r="Q88" s="22">
        <f t="shared" si="54"/>
        <v>4.959485612423072E-12</v>
      </c>
      <c r="R88" s="60">
        <f t="shared" si="55"/>
        <v>272.62246072828646</v>
      </c>
      <c r="S88" s="60">
        <f ca="1">AVERAGE(OFFSET($R$3,0,0,'Données projet'!$E$9+1,1))-AVERAGE(OFFSET($H$3,0,0,'Données projet'!$E$9+1,1))</f>
        <v>366.29380214443631</v>
      </c>
      <c r="T88" s="60">
        <f t="shared" si="88"/>
        <v>413.14502442862897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146.05334298202496</v>
      </c>
      <c r="AA88" s="23">
        <f>EXP(-LN(2)/25)*AA87+(1-EXP(-LN(2)/25))/(LN(2)/25)*Calculateur!V88*Calculateur!X88*VLOOKUP('Données projet'!$B$9,Paramètres!$A$1:$I$88,3,0)*0.475*44/12</f>
        <v>66.262184032263562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212.31552701428853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452.49999999999989</v>
      </c>
      <c r="AJ88" s="14">
        <f>AI88*VLOOKUP('Données projet'!$B$10,Paramètres!$A$1:$I$88,3,0)*VLOOKUP('Données projet'!$B$10,Paramètres!$A$1:$I$88,5,0)</f>
        <v>395.30399999999992</v>
      </c>
      <c r="AK88" s="14">
        <f t="shared" si="89"/>
        <v>90.823969929029445</v>
      </c>
      <c r="AL88" s="22">
        <f t="shared" si="58"/>
        <v>846.67288095972606</v>
      </c>
      <c r="AM88" s="60">
        <f t="shared" si="59"/>
        <v>1119.2953416880075</v>
      </c>
      <c r="AN88" s="60">
        <f ca="1">AVERAGE(OFFSET($AM$3,0,0,'Données projet'!$E$10+1,1))-AVERAGE(OFFSET($H$3,0,0,'Données projet'!$E$10+1,1))</f>
        <v>436.5217771315057</v>
      </c>
      <c r="AO88" s="60">
        <f t="shared" si="90"/>
        <v>308.97310256098365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37.366093720373165</v>
      </c>
      <c r="AV88" s="23">
        <f>EXP(-LN(2)/25)*AV87+(1-EXP(-LN(2)/25))/(LN(2)/25)*Calculateur!AQ88*Calculateur!AS88*VLOOKUP('Données projet'!$B$10,Paramètres!$A$1:$I$88,3,0)*0.475*44/12</f>
        <v>16.588094143178143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53.954187863551311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207</v>
      </c>
      <c r="BB88" s="13">
        <f>VLOOKUP(A88,'Données projet'!$A$87:$I$107,9,0)</f>
        <v>5.75</v>
      </c>
      <c r="BC88" s="13">
        <f t="array" ref="BC88">INDEX(BB:BB,MIN(IF(ISNUMBER(BB88:BB284),ROW(BB88:BB284),"")))</f>
        <v>5.75</v>
      </c>
      <c r="BD88" s="13">
        <f>IF('Données projet'!$A$88&gt;35,BD87+BC88-BL87,IF(A88&lt;'Données projet'!$A$88,$BA$205^A88,IF(A88='Données projet'!$A$88,'Données projet'!$B$88,BD87+BC88-BL87)))</f>
        <v>207</v>
      </c>
      <c r="BE88" s="14">
        <f>BD88*VLOOKUP('Données projet'!$B$11,Paramètres!$A$1:$I$88,3,0)*VLOOKUP('Données projet'!$B$11,Paramètres!$A$1:$I$88,5,0)</f>
        <v>209.89800000000002</v>
      </c>
      <c r="BF88" s="14">
        <f t="shared" si="91"/>
        <v>51.913295501810218</v>
      </c>
      <c r="BG88" s="22">
        <f t="shared" si="61"/>
        <v>455.98800633231957</v>
      </c>
      <c r="BH88" s="60">
        <f t="shared" si="62"/>
        <v>728.61046706060108</v>
      </c>
      <c r="BI88" s="60">
        <f ca="1">AVERAGE(OFFSET($BH$3,0,0,'Données projet'!$E$11+1,1))-AVERAGE(OFFSET($H$3,0,0,'Données projet'!$E$11+1,1))</f>
        <v>108.30434106718693</v>
      </c>
      <c r="BJ88" s="60">
        <f t="shared" si="92"/>
        <v>67.653808657585842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30</v>
      </c>
      <c r="BM88" s="17">
        <f>IF(ISNA(VLOOKUP(A88,'Données projet'!$A$87:$I$107,5,0)),0%,VLOOKUP(A88,'Données projet'!$A$87:$I$107,5,0)*VLOOKUP('Données projet'!$B$11,Paramètres!$A$1:$I$88,7,0))</f>
        <v>0.25800000000000001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30.041479939007083</v>
      </c>
      <c r="BQ88" s="23">
        <f>EXP(-LN(2)/25)*BQ87+(1-EXP(-LN(2)/25))/(LN(2)/25)*Calculateur!BL88*Calculateur!BN88*VLOOKUP('Données projet'!$B$11,Paramètres!$A$1:$I$88,3,0)*0.475*44/12</f>
        <v>0</v>
      </c>
      <c r="BR88" s="23">
        <f>EXP(-LN(2)/2)*BR87+(1-EXP(-LN(2)/2))/(LN(2)/2)*BL88*BO88*VLOOKUP('Données projet'!$B$11,Paramètres!$A$1:$I$88,3,0)*0.475*44/12</f>
        <v>0</v>
      </c>
      <c r="BS88" s="24">
        <f t="shared" si="63"/>
        <v>30.041479939007083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projet'!$B$12,Paramètres!$A$1:$I$88,3,0)*VLOOKUP('Données projet'!$B$12,Paramètres!$A$1:$I$88,5,0)</f>
        <v>0</v>
      </c>
      <c r="CA88" s="14" t="e">
        <f t="shared" si="93"/>
        <v>#NUM!</v>
      </c>
      <c r="CB88" s="22" t="e">
        <f t="shared" si="64"/>
        <v>#NUM!</v>
      </c>
      <c r="CC88" s="60" t="e">
        <f t="shared" si="65"/>
        <v>#NUM!</v>
      </c>
      <c r="CD88" s="60">
        <f ca="1">AVERAGE(OFFSET($CC$3,0,0,'Données projet'!$E$12+1,1))-AVERAGE(OFFSET($H$3,0,0,'Données projet'!$E$12+1,1))</f>
        <v>171.08593400758221</v>
      </c>
      <c r="CE88" s="60">
        <f t="shared" si="94"/>
        <v>201.9528484086932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projet'!$B$12,Paramètres!$A$1:$I$88,3,0)*0.475*44/12</f>
        <v>44.675003307045536</v>
      </c>
      <c r="CL88" s="23">
        <f>EXP(-LN(2)/25)*CL87+(1-EXP(-LN(2)/25))/(LN(2)/25)*Calculateur!CG88*Calculateur!CI88*VLOOKUP('Données projet'!$B$12,Paramètres!$A$1:$I$88,3,0)*0.475*44/12</f>
        <v>21.33875921924739</v>
      </c>
      <c r="CM88" s="23">
        <f>EXP(-LN(2)/2)*CM87+(1-EXP(-LN(2)/2))/(LN(2)/2)*CG88*CJ88*VLOOKUP('Données projet'!$B$12,Paramètres!$A$1:$I$88,3,0)*0.475*44/12</f>
        <v>0</v>
      </c>
      <c r="CN88" s="24">
        <f t="shared" si="66"/>
        <v>66.013762526292922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401.00000000000006</v>
      </c>
      <c r="CR88" s="13">
        <f>VLOOKUP(A88,'Données projet'!$A$139:$I$159,9,0)</f>
        <v>6.0000000000000115</v>
      </c>
      <c r="CS88" s="13">
        <f t="array" ref="CS88">INDEX(CR:CR,MIN(IF(ISNUMBER(CR88:CR284),ROW(CR88:CR284),"")))</f>
        <v>6.0000000000000115</v>
      </c>
      <c r="CT88" s="13">
        <f>IF('Données projet'!$A$140&gt;35,CT87+CS88-DB87,IF(A88&lt;'Données projet'!$A$140,$CQ$205^A88,IF(A88='Données projet'!$A$140,'Données projet'!$B$140,CT87+CS88-DB87)))</f>
        <v>401</v>
      </c>
      <c r="CU88" s="18">
        <f>CT88*VLOOKUP('Données projet'!$B$13,Paramètres!$A$1:$I$88,3,0)*VLOOKUP('Données projet'!$B$13,Paramètres!$A$1:$I$88,5,0)</f>
        <v>268.99080000000004</v>
      </c>
      <c r="CV88" s="14">
        <f t="shared" si="95"/>
        <v>64.635044920470676</v>
      </c>
      <c r="CW88" s="22">
        <f t="shared" si="67"/>
        <v>581.06501323648661</v>
      </c>
      <c r="CX88" s="60">
        <f t="shared" si="68"/>
        <v>853.68747396476806</v>
      </c>
      <c r="CY88" s="60">
        <f ca="1">AVERAGE(OFFSET($CX$3,0,0,'Données projet'!$E$13+1,1))-AVERAGE(OFFSET($H$3,0,0,'Données projet'!$E$13+1,1))</f>
        <v>283.66646124753868</v>
      </c>
      <c r="CZ88" s="60">
        <f t="shared" si="96"/>
        <v>331.61926649572797</v>
      </c>
      <c r="DA88" s="16">
        <f>IF(ISNA(VLOOKUP(A88,'Données projet'!$A$139:$I$159,3,0)),0,VLOOKUP(A88,'Données projet'!$A$139:$I$159,3,0))</f>
        <v>15</v>
      </c>
      <c r="DB88" s="16">
        <f>IF(ISNA(VLOOKUP(A88,'Données projet'!$A$139:$I$159,4,0)),0,VLOOKUP(A88,'Données projet'!$A$139:$I$159,4,0))</f>
        <v>18</v>
      </c>
      <c r="DC88" s="17">
        <f>IF(ISNA(VLOOKUP(A88,'Données projet'!$A$139:$I$159,5,0)),0%,VLOOKUP(A88,'Données projet'!$A$139:$I$159,5,0)*VLOOKUP('Données projet'!$B$13,Paramètres!$A$1:$I$88,7,0))</f>
        <v>0.318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projet'!$B$13,Paramètres!$A$1:$I$88,3,0)*0.475*44/12</f>
        <v>27.18585779855788</v>
      </c>
      <c r="DG88" s="23">
        <f>EXP(-LN(2)/25)*DG87+(1-EXP(-LN(2)/25))/(LN(2)/25)*Calculateur!DB88*Calculateur!DD88*VLOOKUP('Données projet'!$B$13,Paramètres!$A$1:$I$88,3,0)*0.475*44/12</f>
        <v>0</v>
      </c>
      <c r="DH88" s="23">
        <f>EXP(-LN(2)/2)*DH87+(1-EXP(-LN(2)/2))/(LN(2)/2)*DB88*DE88*VLOOKUP('Données projet'!$B$13,Paramètres!$A$1:$I$88,3,0)*0.475*44/12</f>
        <v>0</v>
      </c>
      <c r="DI88" s="24">
        <f t="shared" si="69"/>
        <v>27.18585779855788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1.1368683772161603E-13</v>
      </c>
      <c r="DP88" s="18">
        <f>DO88*VLOOKUP('Données projet'!$B$14,Paramètres!$A$1:$I$88,3,0)*VLOOKUP('Données projet'!$B$14,Paramètres!$A$1:$I$88,5,0)</f>
        <v>8.3355189417488869E-14</v>
      </c>
      <c r="DQ88" s="14">
        <f t="shared" si="97"/>
        <v>1.2790518435140618E-12</v>
      </c>
      <c r="DR88" s="22">
        <f t="shared" si="70"/>
        <v>2.3728589156891171E-12</v>
      </c>
      <c r="DS88" s="60">
        <f t="shared" si="71"/>
        <v>272.6224607282839</v>
      </c>
      <c r="DT88" s="60">
        <f ca="1">AVERAGE(OFFSET($DS$3,0,0,'Données projet'!$E$14+1,1))-AVERAGE(OFFSET($H$3,0,0,'Données projet'!$E$14+1,1))</f>
        <v>212.77458587586861</v>
      </c>
      <c r="DU88" s="60">
        <f t="shared" si="98"/>
        <v>260.45879589483513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projet'!$B$14,Paramètres!$A$1:$I$88,3,0)*0.475*44/12</f>
        <v>21.875952503616837</v>
      </c>
      <c r="EB88" s="23">
        <f>EXP(-LN(2)/25)*EB87+(1-EXP(-LN(2)/25))/(LN(2)/25)*Calculateur!DW88*Calculateur!DY88*VLOOKUP('Données projet'!$B$14,Paramètres!$A$1:$I$88,3,0)*0.475*44/12</f>
        <v>10.130114436114095</v>
      </c>
      <c r="EC88" s="23">
        <f>EXP(-LN(2)/2)*EC87+(1-EXP(-LN(2)/2))/(LN(2)/2)*DW88*DZ88*VLOOKUP('Données projet'!$B$14,Paramètres!$A$1:$I$88,3,0)*0.475*44/12</f>
        <v>0</v>
      </c>
      <c r="ED88" s="24">
        <f t="shared" si="72"/>
        <v>32.006066939730928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5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8">
        <f t="shared" si="56"/>
        <v>183.33333333333334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3.4106051316484809E-13</v>
      </c>
      <c r="O89" s="14">
        <f>N89*VLOOKUP('Données projet'!$B$9,Paramètres!$A$1:$I$88,3,0)*VLOOKUP('Données projet'!$B$9,Paramètres!$A$1:$I$88,5,0)</f>
        <v>1.9065282685915009E-13</v>
      </c>
      <c r="P89" s="14">
        <f t="shared" si="87"/>
        <v>2.6568987209435707E-12</v>
      </c>
      <c r="Q89" s="22">
        <f t="shared" si="54"/>
        <v>4.959485612423072E-12</v>
      </c>
      <c r="R89" s="60">
        <f t="shared" si="55"/>
        <v>272.98174806540965</v>
      </c>
      <c r="S89" s="60">
        <f ca="1">AVERAGE(OFFSET($R$3,0,0,'Données projet'!$E$9+1,1))-AVERAGE(OFFSET($H$3,0,0,'Données projet'!$E$9+1,1))</f>
        <v>366.29380214443631</v>
      </c>
      <c r="T89" s="60">
        <f t="shared" si="88"/>
        <v>413.14502442862897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143.18932600989038</v>
      </c>
      <c r="AA89" s="23">
        <f>EXP(-LN(2)/25)*AA88+(1-EXP(-LN(2)/25))/(LN(2)/25)*Calculateur!V89*Calculateur!X89*VLOOKUP('Données projet'!$B$9,Paramètres!$A$1:$I$88,3,0)*0.475*44/12</f>
        <v>64.450241125324496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207.63956713521486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452.49999999999989</v>
      </c>
      <c r="AJ89" s="14">
        <f>AI89*VLOOKUP('Données projet'!$B$10,Paramètres!$A$1:$I$88,3,0)*VLOOKUP('Données projet'!$B$10,Paramètres!$A$1:$I$88,5,0)</f>
        <v>395.30399999999992</v>
      </c>
      <c r="AK89" s="14">
        <f t="shared" si="89"/>
        <v>90.823969929029445</v>
      </c>
      <c r="AL89" s="22">
        <f t="shared" si="58"/>
        <v>846.67288095972606</v>
      </c>
      <c r="AM89" s="60">
        <f t="shared" si="59"/>
        <v>1119.6546290251308</v>
      </c>
      <c r="AN89" s="60">
        <f ca="1">AVERAGE(OFFSET($AM$3,0,0,'Données projet'!$E$10+1,1))-AVERAGE(OFFSET($H$3,0,0,'Données projet'!$E$10+1,1))</f>
        <v>436.5217771315057</v>
      </c>
      <c r="AO89" s="60">
        <f t="shared" si="90"/>
        <v>308.97310256098365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36.633367413583386</v>
      </c>
      <c r="AV89" s="23">
        <f>EXP(-LN(2)/25)*AV88+(1-EXP(-LN(2)/25))/(LN(2)/25)*Calculateur!AQ89*Calculateur!AS89*VLOOKUP('Données projet'!$B$10,Paramètres!$A$1:$I$88,3,0)*0.475*44/12</f>
        <v>16.134491836502978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52.76785925008636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5.6</v>
      </c>
      <c r="BD89" s="13">
        <f>IF('Données projet'!$A$88&gt;35,BD88+BC89-BL88,IF(A89&lt;'Données projet'!$A$88,$BA$205^A89,IF(A89='Données projet'!$A$88,'Données projet'!$B$88,BD88+BC89-BL88)))</f>
        <v>182.6</v>
      </c>
      <c r="BE89" s="14">
        <f>BD89*VLOOKUP('Données projet'!$B$11,Paramètres!$A$1:$I$88,3,0)*VLOOKUP('Données projet'!$B$11,Paramètres!$A$1:$I$88,5,0)</f>
        <v>185.15639999999999</v>
      </c>
      <c r="BF89" s="14">
        <f t="shared" si="91"/>
        <v>46.467497591770453</v>
      </c>
      <c r="BG89" s="22">
        <f t="shared" si="61"/>
        <v>403.4116216390002</v>
      </c>
      <c r="BH89" s="60">
        <f t="shared" si="62"/>
        <v>676.3933697044049</v>
      </c>
      <c r="BI89" s="60">
        <f ca="1">AVERAGE(OFFSET($BH$3,0,0,'Données projet'!$E$11+1,1))-AVERAGE(OFFSET($H$3,0,0,'Données projet'!$E$11+1,1))</f>
        <v>108.30434106718693</v>
      </c>
      <c r="BJ89" s="60">
        <f t="shared" si="92"/>
        <v>67.653808657585842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29.45238484089662</v>
      </c>
      <c r="BQ89" s="23">
        <f>EXP(-LN(2)/25)*BQ88+(1-EXP(-LN(2)/25))/(LN(2)/25)*Calculateur!BL89*Calculateur!BN89*VLOOKUP('Données projet'!$B$11,Paramètres!$A$1:$I$88,3,0)*0.475*44/12</f>
        <v>0</v>
      </c>
      <c r="BR89" s="23">
        <f>EXP(-LN(2)/2)*BR88+(1-EXP(-LN(2)/2))/(LN(2)/2)*BL89*BO89*VLOOKUP('Données projet'!$B$11,Paramètres!$A$1:$I$88,3,0)*0.475*44/12</f>
        <v>0</v>
      </c>
      <c r="BS89" s="24">
        <f t="shared" si="63"/>
        <v>29.45238484089662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projet'!$B$12,Paramètres!$A$1:$I$88,3,0)*VLOOKUP('Données projet'!$B$12,Paramètres!$A$1:$I$88,5,0)</f>
        <v>0</v>
      </c>
      <c r="CA89" s="14" t="e">
        <f t="shared" si="93"/>
        <v>#NUM!</v>
      </c>
      <c r="CB89" s="22" t="e">
        <f t="shared" si="64"/>
        <v>#NUM!</v>
      </c>
      <c r="CC89" s="60" t="e">
        <f t="shared" si="65"/>
        <v>#NUM!</v>
      </c>
      <c r="CD89" s="60">
        <f ca="1">AVERAGE(OFFSET($CC$3,0,0,'Données projet'!$E$12+1,1))-AVERAGE(OFFSET($H$3,0,0,'Données projet'!$E$12+1,1))</f>
        <v>171.08593400758221</v>
      </c>
      <c r="CE89" s="60">
        <f t="shared" si="94"/>
        <v>201.9528484086932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projet'!$B$12,Paramètres!$A$1:$I$88,3,0)*0.475*44/12</f>
        <v>43.798953741255772</v>
      </c>
      <c r="CL89" s="23">
        <f>EXP(-LN(2)/25)*CL88+(1-EXP(-LN(2)/25))/(LN(2)/25)*Calculateur!CG89*Calculateur!CI89*VLOOKUP('Données projet'!$B$12,Paramètres!$A$1:$I$88,3,0)*0.475*44/12</f>
        <v>20.755249726240493</v>
      </c>
      <c r="CM89" s="23">
        <f>EXP(-LN(2)/2)*CM88+(1-EXP(-LN(2)/2))/(LN(2)/2)*CG89*CJ89*VLOOKUP('Données projet'!$B$12,Paramètres!$A$1:$I$88,3,0)*0.475*44/12</f>
        <v>0</v>
      </c>
      <c r="CN89" s="24">
        <f t="shared" si="66"/>
        <v>64.554203467496265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5.599999999999989</v>
      </c>
      <c r="CT89" s="13">
        <f>IF('Données projet'!$A$140&gt;35,CT88+CS89-DB88,IF(A89&lt;'Données projet'!$A$140,$CQ$205^A89,IF(A89='Données projet'!$A$140,'Données projet'!$B$140,CT88+CS89-DB88)))</f>
        <v>388.59999999999997</v>
      </c>
      <c r="CU89" s="18">
        <f>CT89*VLOOKUP('Données projet'!$B$13,Paramètres!$A$1:$I$88,3,0)*VLOOKUP('Données projet'!$B$13,Paramètres!$A$1:$I$88,5,0)</f>
        <v>260.67287999999996</v>
      </c>
      <c r="CV89" s="14">
        <f t="shared" si="95"/>
        <v>62.86578719746359</v>
      </c>
      <c r="CW89" s="22">
        <f t="shared" si="67"/>
        <v>563.49651203558233</v>
      </c>
      <c r="CX89" s="60">
        <f t="shared" si="68"/>
        <v>836.47826010098697</v>
      </c>
      <c r="CY89" s="60">
        <f ca="1">AVERAGE(OFFSET($CX$3,0,0,'Données projet'!$E$13+1,1))-AVERAGE(OFFSET($H$3,0,0,'Données projet'!$E$13+1,1))</f>
        <v>283.66646124753868</v>
      </c>
      <c r="CZ89" s="60">
        <f t="shared" si="96"/>
        <v>331.61926649572797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projet'!$B$13,Paramètres!$A$1:$I$88,3,0)*0.475*44/12</f>
        <v>26.652759708864107</v>
      </c>
      <c r="DG89" s="23">
        <f>EXP(-LN(2)/25)*DG88+(1-EXP(-LN(2)/25))/(LN(2)/25)*Calculateur!DB89*Calculateur!DD89*VLOOKUP('Données projet'!$B$13,Paramètres!$A$1:$I$88,3,0)*0.475*44/12</f>
        <v>0</v>
      </c>
      <c r="DH89" s="23">
        <f>EXP(-LN(2)/2)*DH88+(1-EXP(-LN(2)/2))/(LN(2)/2)*DB89*DE89*VLOOKUP('Données projet'!$B$13,Paramètres!$A$1:$I$88,3,0)*0.475*44/12</f>
        <v>0</v>
      </c>
      <c r="DI89" s="24">
        <f t="shared" si="69"/>
        <v>26.652759708864107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1.1368683772161603E-13</v>
      </c>
      <c r="DP89" s="18">
        <f>DO89*VLOOKUP('Données projet'!$B$14,Paramètres!$A$1:$I$88,3,0)*VLOOKUP('Données projet'!$B$14,Paramètres!$A$1:$I$88,5,0)</f>
        <v>8.3355189417488869E-14</v>
      </c>
      <c r="DQ89" s="14">
        <f t="shared" si="97"/>
        <v>1.2790518435140618E-12</v>
      </c>
      <c r="DR89" s="22">
        <f t="shared" si="70"/>
        <v>2.3728589156891171E-12</v>
      </c>
      <c r="DS89" s="60">
        <f t="shared" si="71"/>
        <v>272.98174806540709</v>
      </c>
      <c r="DT89" s="60">
        <f ca="1">AVERAGE(OFFSET($DS$3,0,0,'Données projet'!$E$14+1,1))-AVERAGE(OFFSET($H$3,0,0,'Données projet'!$E$14+1,1))</f>
        <v>212.77458587586861</v>
      </c>
      <c r="DU89" s="60">
        <f t="shared" si="98"/>
        <v>260.45879589483513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projet'!$B$14,Paramètres!$A$1:$I$88,3,0)*0.475*44/12</f>
        <v>21.446978418034426</v>
      </c>
      <c r="EB89" s="23">
        <f>EXP(-LN(2)/25)*EB88+(1-EXP(-LN(2)/25))/(LN(2)/25)*Calculateur!DW89*Calculateur!DY89*VLOOKUP('Données projet'!$B$14,Paramètres!$A$1:$I$88,3,0)*0.475*44/12</f>
        <v>9.8531059241389887</v>
      </c>
      <c r="EC89" s="23">
        <f>EXP(-LN(2)/2)*EC88+(1-EXP(-LN(2)/2))/(LN(2)/2)*DW89*DZ89*VLOOKUP('Données projet'!$B$14,Paramètres!$A$1:$I$88,3,0)*0.475*44/12</f>
        <v>0</v>
      </c>
      <c r="ED89" s="24">
        <f t="shared" si="72"/>
        <v>31.300084342173413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5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8">
        <f t="shared" si="56"/>
        <v>183.33333333333334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3.4106051316484809E-13</v>
      </c>
      <c r="O90" s="14">
        <f>N90*VLOOKUP('Données projet'!$B$9,Paramètres!$A$1:$I$88,3,0)*VLOOKUP('Données projet'!$B$9,Paramètres!$A$1:$I$88,5,0)</f>
        <v>1.9065282685915009E-13</v>
      </c>
      <c r="P90" s="14">
        <f t="shared" si="87"/>
        <v>2.6568987209435707E-12</v>
      </c>
      <c r="Q90" s="22">
        <f t="shared" si="54"/>
        <v>4.959485612423072E-12</v>
      </c>
      <c r="R90" s="60">
        <f t="shared" si="55"/>
        <v>273.33480257047978</v>
      </c>
      <c r="S90" s="60">
        <f ca="1">AVERAGE(OFFSET($R$3,0,0,'Données projet'!$E$9+1,1))-AVERAGE(OFFSET($H$3,0,0,'Données projet'!$E$9+1,1))</f>
        <v>366.29380214443631</v>
      </c>
      <c r="T90" s="60">
        <f t="shared" si="88"/>
        <v>413.14502442862897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140.38147066370149</v>
      </c>
      <c r="AA90" s="23">
        <f>EXP(-LN(2)/25)*AA89+(1-EXP(-LN(2)/25))/(LN(2)/25)*Calculateur!V90*Calculateur!X90*VLOOKUP('Données projet'!$B$9,Paramètres!$A$1:$I$88,3,0)*0.475*44/12</f>
        <v>62.687845892461617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203.0693165561631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452.49999999999989</v>
      </c>
      <c r="AJ90" s="14">
        <f>AI90*VLOOKUP('Données projet'!$B$10,Paramètres!$A$1:$I$88,3,0)*VLOOKUP('Données projet'!$B$10,Paramètres!$A$1:$I$88,5,0)</f>
        <v>395.30399999999992</v>
      </c>
      <c r="AK90" s="14">
        <f t="shared" si="89"/>
        <v>90.823969929029445</v>
      </c>
      <c r="AL90" s="22">
        <f t="shared" si="58"/>
        <v>846.67288095972606</v>
      </c>
      <c r="AM90" s="60">
        <f t="shared" si="59"/>
        <v>1120.0076835302009</v>
      </c>
      <c r="AN90" s="60">
        <f ca="1">AVERAGE(OFFSET($AM$3,0,0,'Données projet'!$E$10+1,1))-AVERAGE(OFFSET($H$3,0,0,'Données projet'!$E$10+1,1))</f>
        <v>436.5217771315057</v>
      </c>
      <c r="AO90" s="60">
        <f t="shared" si="90"/>
        <v>308.97310256098365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35.915009422750835</v>
      </c>
      <c r="AV90" s="23">
        <f>EXP(-LN(2)/25)*AV89+(1-EXP(-LN(2)/25))/(LN(2)/25)*Calculateur!AQ90*Calculateur!AS90*VLOOKUP('Données projet'!$B$10,Paramètres!$A$1:$I$88,3,0)*0.475*44/12</f>
        <v>15.693293308757754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51.608302731508587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5.6</v>
      </c>
      <c r="BD90" s="13">
        <f>IF('Données projet'!$A$88&gt;35,BD89+BC90-BL89,IF(A90&lt;'Données projet'!$A$88,$BA$205^A90,IF(A90='Données projet'!$A$88,'Données projet'!$B$88,BD89+BC90-BL89)))</f>
        <v>188.2</v>
      </c>
      <c r="BE90" s="14">
        <f>BD90*VLOOKUP('Données projet'!$B$11,Paramètres!$A$1:$I$88,3,0)*VLOOKUP('Données projet'!$B$11,Paramètres!$A$1:$I$88,5,0)</f>
        <v>190.8348</v>
      </c>
      <c r="BF90" s="14">
        <f t="shared" si="91"/>
        <v>47.724468160640392</v>
      </c>
      <c r="BG90" s="22">
        <f t="shared" si="61"/>
        <v>415.49072537978196</v>
      </c>
      <c r="BH90" s="60">
        <f t="shared" si="62"/>
        <v>688.82552795025686</v>
      </c>
      <c r="BI90" s="60">
        <f ca="1">AVERAGE(OFFSET($BH$3,0,0,'Données projet'!$E$11+1,1))-AVERAGE(OFFSET($H$3,0,0,'Données projet'!$E$11+1,1))</f>
        <v>108.30434106718693</v>
      </c>
      <c r="BJ90" s="60">
        <f t="shared" si="92"/>
        <v>67.653808657585842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28.874841538347574</v>
      </c>
      <c r="BQ90" s="23">
        <f>EXP(-LN(2)/25)*BQ89+(1-EXP(-LN(2)/25))/(LN(2)/25)*Calculateur!BL90*Calculateur!BN90*VLOOKUP('Données projet'!$B$11,Paramètres!$A$1:$I$88,3,0)*0.475*44/12</f>
        <v>0</v>
      </c>
      <c r="BR90" s="23">
        <f>EXP(-LN(2)/2)*BR89+(1-EXP(-LN(2)/2))/(LN(2)/2)*BL90*BO90*VLOOKUP('Données projet'!$B$11,Paramètres!$A$1:$I$88,3,0)*0.475*44/12</f>
        <v>0</v>
      </c>
      <c r="BS90" s="24">
        <f t="shared" si="63"/>
        <v>28.874841538347574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projet'!$B$12,Paramètres!$A$1:$I$88,3,0)*VLOOKUP('Données projet'!$B$12,Paramètres!$A$1:$I$88,5,0)</f>
        <v>0</v>
      </c>
      <c r="CA90" s="14" t="e">
        <f t="shared" si="93"/>
        <v>#NUM!</v>
      </c>
      <c r="CB90" s="22" t="e">
        <f t="shared" si="64"/>
        <v>#NUM!</v>
      </c>
      <c r="CC90" s="60" t="e">
        <f t="shared" si="65"/>
        <v>#NUM!</v>
      </c>
      <c r="CD90" s="60">
        <f ca="1">AVERAGE(OFFSET($CC$3,0,0,'Données projet'!$E$12+1,1))-AVERAGE(OFFSET($H$3,0,0,'Données projet'!$E$12+1,1))</f>
        <v>171.08593400758221</v>
      </c>
      <c r="CE90" s="60">
        <f t="shared" si="94"/>
        <v>201.9528484086932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projet'!$B$12,Paramètres!$A$1:$I$88,3,0)*0.475*44/12</f>
        <v>42.940082973113668</v>
      </c>
      <c r="CL90" s="23">
        <f>EXP(-LN(2)/25)*CL89+(1-EXP(-LN(2)/25))/(LN(2)/25)*Calculateur!CG90*Calculateur!CI90*VLOOKUP('Données projet'!$B$12,Paramètres!$A$1:$I$88,3,0)*0.475*44/12</f>
        <v>20.187696331005299</v>
      </c>
      <c r="CM90" s="23">
        <f>EXP(-LN(2)/2)*CM89+(1-EXP(-LN(2)/2))/(LN(2)/2)*CG90*CJ90*VLOOKUP('Données projet'!$B$12,Paramètres!$A$1:$I$88,3,0)*0.475*44/12</f>
        <v>0</v>
      </c>
      <c r="CN90" s="24">
        <f t="shared" si="66"/>
        <v>63.127779304118967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5.599999999999989</v>
      </c>
      <c r="CT90" s="13">
        <f>IF('Données projet'!$A$140&gt;35,CT89+CS90-DB89,IF(A90&lt;'Données projet'!$A$140,$CQ$205^A90,IF(A90='Données projet'!$A$140,'Données projet'!$B$140,CT89+CS90-DB89)))</f>
        <v>394.19999999999993</v>
      </c>
      <c r="CU90" s="18">
        <f>CT90*VLOOKUP('Données projet'!$B$13,Paramètres!$A$1:$I$88,3,0)*VLOOKUP('Données projet'!$B$13,Paramètres!$A$1:$I$88,5,0)</f>
        <v>264.42935999999997</v>
      </c>
      <c r="CV90" s="14">
        <f t="shared" si="95"/>
        <v>63.665608264831278</v>
      </c>
      <c r="CW90" s="22">
        <f t="shared" si="67"/>
        <v>571.43206972791438</v>
      </c>
      <c r="CX90" s="60">
        <f t="shared" si="68"/>
        <v>844.76687229838922</v>
      </c>
      <c r="CY90" s="60">
        <f ca="1">AVERAGE(OFFSET($CX$3,0,0,'Données projet'!$E$13+1,1))-AVERAGE(OFFSET($H$3,0,0,'Données projet'!$E$13+1,1))</f>
        <v>283.66646124753868</v>
      </c>
      <c r="CZ90" s="60">
        <f t="shared" si="96"/>
        <v>331.61926649572797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projet'!$B$13,Paramètres!$A$1:$I$88,3,0)*0.475*44/12</f>
        <v>26.130115347551499</v>
      </c>
      <c r="DG90" s="23">
        <f>EXP(-LN(2)/25)*DG89+(1-EXP(-LN(2)/25))/(LN(2)/25)*Calculateur!DB90*Calculateur!DD90*VLOOKUP('Données projet'!$B$13,Paramètres!$A$1:$I$88,3,0)*0.475*44/12</f>
        <v>0</v>
      </c>
      <c r="DH90" s="23">
        <f>EXP(-LN(2)/2)*DH89+(1-EXP(-LN(2)/2))/(LN(2)/2)*DB90*DE90*VLOOKUP('Données projet'!$B$13,Paramètres!$A$1:$I$88,3,0)*0.475*44/12</f>
        <v>0</v>
      </c>
      <c r="DI90" s="24">
        <f t="shared" si="69"/>
        <v>26.130115347551499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1.1368683772161603E-13</v>
      </c>
      <c r="DP90" s="18">
        <f>DO90*VLOOKUP('Données projet'!$B$14,Paramètres!$A$1:$I$88,3,0)*VLOOKUP('Données projet'!$B$14,Paramètres!$A$1:$I$88,5,0)</f>
        <v>8.3355189417488869E-14</v>
      </c>
      <c r="DQ90" s="14">
        <f t="shared" si="97"/>
        <v>1.2790518435140618E-12</v>
      </c>
      <c r="DR90" s="22">
        <f t="shared" si="70"/>
        <v>2.3728589156891171E-12</v>
      </c>
      <c r="DS90" s="60">
        <f t="shared" si="71"/>
        <v>273.33480257047722</v>
      </c>
      <c r="DT90" s="60">
        <f ca="1">AVERAGE(OFFSET($DS$3,0,0,'Données projet'!$E$14+1,1))-AVERAGE(OFFSET($H$3,0,0,'Données projet'!$E$14+1,1))</f>
        <v>212.77458587586861</v>
      </c>
      <c r="DU90" s="60">
        <f t="shared" si="98"/>
        <v>260.45879589483513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projet'!$B$14,Paramètres!$A$1:$I$88,3,0)*0.475*44/12</f>
        <v>21.026416252621928</v>
      </c>
      <c r="EB90" s="23">
        <f>EXP(-LN(2)/25)*EB89+(1-EXP(-LN(2)/25))/(LN(2)/25)*Calculateur!DW90*Calculateur!DY90*VLOOKUP('Données projet'!$B$14,Paramètres!$A$1:$I$88,3,0)*0.475*44/12</f>
        <v>9.583672224491087</v>
      </c>
      <c r="EC90" s="23">
        <f>EXP(-LN(2)/2)*EC89+(1-EXP(-LN(2)/2))/(LN(2)/2)*DW90*DZ90*VLOOKUP('Données projet'!$B$14,Paramètres!$A$1:$I$88,3,0)*0.475*44/12</f>
        <v>0</v>
      </c>
      <c r="ED90" s="24">
        <f t="shared" si="72"/>
        <v>30.610088477113017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5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8">
        <f t="shared" si="56"/>
        <v>183.33333333333334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3.4106051316484809E-13</v>
      </c>
      <c r="O91" s="14">
        <f>N91*VLOOKUP('Données projet'!$B$9,Paramètres!$A$1:$I$88,3,0)*VLOOKUP('Données projet'!$B$9,Paramètres!$A$1:$I$88,5,0)</f>
        <v>1.9065282685915009E-13</v>
      </c>
      <c r="P91" s="14">
        <f t="shared" si="87"/>
        <v>2.6568987209435707E-12</v>
      </c>
      <c r="Q91" s="22">
        <f t="shared" si="54"/>
        <v>4.959485612423072E-12</v>
      </c>
      <c r="R91" s="60">
        <f t="shared" si="55"/>
        <v>273.68173236919864</v>
      </c>
      <c r="S91" s="60">
        <f ca="1">AVERAGE(OFFSET($R$3,0,0,'Données projet'!$E$9+1,1))-AVERAGE(OFFSET($H$3,0,0,'Données projet'!$E$9+1,1))</f>
        <v>366.29380214443631</v>
      </c>
      <c r="T91" s="60">
        <f t="shared" si="88"/>
        <v>413.14502442862897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137.62867564822872</v>
      </c>
      <c r="AA91" s="23">
        <f>EXP(-LN(2)/25)*AA90+(1-EXP(-LN(2)/25))/(LN(2)/25)*Calculateur!V91*Calculateur!X91*VLOOKUP('Données projet'!$B$9,Paramètres!$A$1:$I$88,3,0)*0.475*44/12</f>
        <v>60.973643449921717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198.60231909815045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452.49999999999989</v>
      </c>
      <c r="AJ91" s="14">
        <f>AI91*VLOOKUP('Données projet'!$B$10,Paramètres!$A$1:$I$88,3,0)*VLOOKUP('Données projet'!$B$10,Paramètres!$A$1:$I$88,5,0)</f>
        <v>395.30399999999992</v>
      </c>
      <c r="AK91" s="14">
        <f t="shared" si="89"/>
        <v>90.823969929029445</v>
      </c>
      <c r="AL91" s="22">
        <f t="shared" si="58"/>
        <v>846.67288095972606</v>
      </c>
      <c r="AM91" s="60">
        <f t="shared" si="59"/>
        <v>1120.3546133289196</v>
      </c>
      <c r="AN91" s="60">
        <f ca="1">AVERAGE(OFFSET($AM$3,0,0,'Données projet'!$E$10+1,1))-AVERAGE(OFFSET($H$3,0,0,'Données projet'!$E$10+1,1))</f>
        <v>436.5217771315057</v>
      </c>
      <c r="AO91" s="60">
        <f t="shared" si="90"/>
        <v>308.97310256098365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35.210737993963399</v>
      </c>
      <c r="AV91" s="23">
        <f>EXP(-LN(2)/25)*AV90+(1-EXP(-LN(2)/25))/(LN(2)/25)*Calculateur!AQ91*Calculateur!AS91*VLOOKUP('Données projet'!$B$10,Paramètres!$A$1:$I$88,3,0)*0.475*44/12</f>
        <v>15.264159377955346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50.474897371918743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5.6</v>
      </c>
      <c r="BD91" s="13">
        <f>IF('Données projet'!$A$88&gt;35,BD90+BC91-BL90,IF(A91&lt;'Données projet'!$A$88,$BA$205^A91,IF(A91='Données projet'!$A$88,'Données projet'!$B$88,BD90+BC91-BL90)))</f>
        <v>193.79999999999998</v>
      </c>
      <c r="BE91" s="14">
        <f>BD91*VLOOKUP('Données projet'!$B$11,Paramètres!$A$1:$I$88,3,0)*VLOOKUP('Données projet'!$B$11,Paramètres!$A$1:$I$88,5,0)</f>
        <v>196.51320000000001</v>
      </c>
      <c r="BF91" s="14">
        <f t="shared" si="91"/>
        <v>48.977092002823696</v>
      </c>
      <c r="BG91" s="22">
        <f t="shared" si="61"/>
        <v>427.56225857158461</v>
      </c>
      <c r="BH91" s="60">
        <f t="shared" si="62"/>
        <v>701.2439909407783</v>
      </c>
      <c r="BI91" s="60">
        <f ca="1">AVERAGE(OFFSET($BH$3,0,0,'Données projet'!$E$11+1,1))-AVERAGE(OFFSET($H$3,0,0,'Données projet'!$E$11+1,1))</f>
        <v>108.30434106718693</v>
      </c>
      <c r="BJ91" s="60">
        <f t="shared" si="92"/>
        <v>67.653808657585842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28.308623507694886</v>
      </c>
      <c r="BQ91" s="23">
        <f>EXP(-LN(2)/25)*BQ90+(1-EXP(-LN(2)/25))/(LN(2)/25)*Calculateur!BL91*Calculateur!BN91*VLOOKUP('Données projet'!$B$11,Paramètres!$A$1:$I$88,3,0)*0.475*44/12</f>
        <v>0</v>
      </c>
      <c r="BR91" s="23">
        <f>EXP(-LN(2)/2)*BR90+(1-EXP(-LN(2)/2))/(LN(2)/2)*BL91*BO91*VLOOKUP('Données projet'!$B$11,Paramètres!$A$1:$I$88,3,0)*0.475*44/12</f>
        <v>0</v>
      </c>
      <c r="BS91" s="24">
        <f t="shared" si="63"/>
        <v>28.308623507694886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projet'!$B$12,Paramètres!$A$1:$I$88,3,0)*VLOOKUP('Données projet'!$B$12,Paramètres!$A$1:$I$88,5,0)</f>
        <v>0</v>
      </c>
      <c r="CA91" s="14" t="e">
        <f t="shared" si="93"/>
        <v>#NUM!</v>
      </c>
      <c r="CB91" s="22" t="e">
        <f t="shared" si="64"/>
        <v>#NUM!</v>
      </c>
      <c r="CC91" s="60" t="e">
        <f t="shared" si="65"/>
        <v>#NUM!</v>
      </c>
      <c r="CD91" s="60">
        <f ca="1">AVERAGE(OFFSET($CC$3,0,0,'Données projet'!$E$12+1,1))-AVERAGE(OFFSET($H$3,0,0,'Données projet'!$E$12+1,1))</f>
        <v>171.08593400758221</v>
      </c>
      <c r="CE91" s="60">
        <f t="shared" si="94"/>
        <v>201.9528484086932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projet'!$B$12,Paramètres!$A$1:$I$88,3,0)*0.475*44/12</f>
        <v>42.09805413687539</v>
      </c>
      <c r="CL91" s="23">
        <f>EXP(-LN(2)/25)*CL90+(1-EXP(-LN(2)/25))/(LN(2)/25)*Calculateur!CG91*Calculateur!CI91*VLOOKUP('Données projet'!$B$12,Paramètres!$A$1:$I$88,3,0)*0.475*44/12</f>
        <v>19.635662713209147</v>
      </c>
      <c r="CM91" s="23">
        <f>EXP(-LN(2)/2)*CM90+(1-EXP(-LN(2)/2))/(LN(2)/2)*CG91*CJ91*VLOOKUP('Données projet'!$B$12,Paramètres!$A$1:$I$88,3,0)*0.475*44/12</f>
        <v>0</v>
      </c>
      <c r="CN91" s="24">
        <f t="shared" si="66"/>
        <v>61.733716850084534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5.599999999999989</v>
      </c>
      <c r="CT91" s="13">
        <f>IF('Données projet'!$A$140&gt;35,CT90+CS91-DB90,IF(A91&lt;'Données projet'!$A$140,$CQ$205^A91,IF(A91='Données projet'!$A$140,'Données projet'!$B$140,CT90+CS91-DB90)))</f>
        <v>399.7999999999999</v>
      </c>
      <c r="CU91" s="18">
        <f>CT91*VLOOKUP('Données projet'!$B$13,Paramètres!$A$1:$I$88,3,0)*VLOOKUP('Données projet'!$B$13,Paramètres!$A$1:$I$88,5,0)</f>
        <v>268.18583999999993</v>
      </c>
      <c r="CV91" s="14">
        <f t="shared" si="95"/>
        <v>64.464107812465912</v>
      </c>
      <c r="CW91" s="22">
        <f t="shared" si="67"/>
        <v>579.365325773378</v>
      </c>
      <c r="CX91" s="60">
        <f t="shared" si="68"/>
        <v>853.0470581425717</v>
      </c>
      <c r="CY91" s="60">
        <f ca="1">AVERAGE(OFFSET($CX$3,0,0,'Données projet'!$E$13+1,1))-AVERAGE(OFFSET($H$3,0,0,'Données projet'!$E$13+1,1))</f>
        <v>283.66646124753868</v>
      </c>
      <c r="CZ91" s="60">
        <f t="shared" si="96"/>
        <v>331.61926649572797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projet'!$B$13,Paramètres!$A$1:$I$88,3,0)*0.475*44/12</f>
        <v>25.617719723382649</v>
      </c>
      <c r="DG91" s="23">
        <f>EXP(-LN(2)/25)*DG90+(1-EXP(-LN(2)/25))/(LN(2)/25)*Calculateur!DB91*Calculateur!DD91*VLOOKUP('Données projet'!$B$13,Paramètres!$A$1:$I$88,3,0)*0.475*44/12</f>
        <v>0</v>
      </c>
      <c r="DH91" s="23">
        <f>EXP(-LN(2)/2)*DH90+(1-EXP(-LN(2)/2))/(LN(2)/2)*DB91*DE91*VLOOKUP('Données projet'!$B$13,Paramètres!$A$1:$I$88,3,0)*0.475*44/12</f>
        <v>0</v>
      </c>
      <c r="DI91" s="24">
        <f t="shared" si="69"/>
        <v>25.617719723382649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1.1368683772161603E-13</v>
      </c>
      <c r="DP91" s="18">
        <f>DO91*VLOOKUP('Données projet'!$B$14,Paramètres!$A$1:$I$88,3,0)*VLOOKUP('Données projet'!$B$14,Paramètres!$A$1:$I$88,5,0)</f>
        <v>8.3355189417488869E-14</v>
      </c>
      <c r="DQ91" s="14">
        <f t="shared" si="97"/>
        <v>1.2790518435140618E-12</v>
      </c>
      <c r="DR91" s="22">
        <f t="shared" si="70"/>
        <v>2.3728589156891171E-12</v>
      </c>
      <c r="DS91" s="60">
        <f t="shared" si="71"/>
        <v>273.68173236919608</v>
      </c>
      <c r="DT91" s="60">
        <f ca="1">AVERAGE(OFFSET($DS$3,0,0,'Données projet'!$E$14+1,1))-AVERAGE(OFFSET($H$3,0,0,'Données projet'!$E$14+1,1))</f>
        <v>212.77458587586861</v>
      </c>
      <c r="DU91" s="60">
        <f t="shared" si="98"/>
        <v>260.45879589483513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projet'!$B$14,Paramètres!$A$1:$I$88,3,0)*0.475*44/12</f>
        <v>20.614101054755576</v>
      </c>
      <c r="EB91" s="23">
        <f>EXP(-LN(2)/25)*EB90+(1-EXP(-LN(2)/25))/(LN(2)/25)*Calculateur!DW91*Calculateur!DY91*VLOOKUP('Données projet'!$B$14,Paramètres!$A$1:$I$88,3,0)*0.475*44/12</f>
        <v>9.32160620352896</v>
      </c>
      <c r="EC91" s="23">
        <f>EXP(-LN(2)/2)*EC90+(1-EXP(-LN(2)/2))/(LN(2)/2)*DW91*DZ91*VLOOKUP('Données projet'!$B$14,Paramètres!$A$1:$I$88,3,0)*0.475*44/12</f>
        <v>0</v>
      </c>
      <c r="ED91" s="24">
        <f t="shared" si="72"/>
        <v>29.935707258284538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5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8">
        <f t="shared" si="56"/>
        <v>183.33333333333334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3.4106051316484809E-13</v>
      </c>
      <c r="O92" s="14">
        <f>N92*VLOOKUP('Données projet'!$B$9,Paramètres!$A$1:$I$88,3,0)*VLOOKUP('Données projet'!$B$9,Paramètres!$A$1:$I$88,5,0)</f>
        <v>1.9065282685915009E-13</v>
      </c>
      <c r="P92" s="14">
        <f t="shared" si="87"/>
        <v>2.6568987209435707E-12</v>
      </c>
      <c r="Q92" s="22">
        <f t="shared" si="54"/>
        <v>4.959485612423072E-12</v>
      </c>
      <c r="R92" s="60">
        <f t="shared" si="55"/>
        <v>274.02264371152853</v>
      </c>
      <c r="S92" s="60">
        <f ca="1">AVERAGE(OFFSET($R$3,0,0,'Données projet'!$E$9+1,1))-AVERAGE(OFFSET($H$3,0,0,'Données projet'!$E$9+1,1))</f>
        <v>366.29380214443631</v>
      </c>
      <c r="T92" s="60">
        <f t="shared" si="88"/>
        <v>413.14502442862897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134.9298612639702</v>
      </c>
      <c r="AA92" s="23">
        <f>EXP(-LN(2)/25)*AA91+(1-EXP(-LN(2)/25))/(LN(2)/25)*Calculateur!V92*Calculateur!X92*VLOOKUP('Données projet'!$B$9,Paramètres!$A$1:$I$88,3,0)*0.475*44/12</f>
        <v>59.306315963319058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194.23617722728926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452.49999999999989</v>
      </c>
      <c r="AJ92" s="14">
        <f>AI92*VLOOKUP('Données projet'!$B$10,Paramètres!$A$1:$I$88,3,0)*VLOOKUP('Données projet'!$B$10,Paramètres!$A$1:$I$88,5,0)</f>
        <v>395.30399999999992</v>
      </c>
      <c r="AK92" s="14">
        <f t="shared" si="89"/>
        <v>90.823969929029445</v>
      </c>
      <c r="AL92" s="22">
        <f t="shared" si="58"/>
        <v>846.67288095972606</v>
      </c>
      <c r="AM92" s="60">
        <f t="shared" si="59"/>
        <v>1120.6955246712496</v>
      </c>
      <c r="AN92" s="60">
        <f ca="1">AVERAGE(OFFSET($AM$3,0,0,'Données projet'!$E$10+1,1))-AVERAGE(OFFSET($H$3,0,0,'Données projet'!$E$10+1,1))</f>
        <v>436.5217771315057</v>
      </c>
      <c r="AO92" s="60">
        <f t="shared" si="90"/>
        <v>308.97310256098365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34.520276898331332</v>
      </c>
      <c r="AV92" s="23">
        <f>EXP(-LN(2)/25)*AV91+(1-EXP(-LN(2)/25))/(LN(2)/25)*Calculateur!AQ92*Calculateur!AS92*VLOOKUP('Données projet'!$B$10,Paramètres!$A$1:$I$88,3,0)*0.475*44/12</f>
        <v>14.846760137057903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49.367037035389231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5.6</v>
      </c>
      <c r="BD92" s="13">
        <f>IF('Données projet'!$A$88&gt;35,BD91+BC92-BL91,IF(A92&lt;'Données projet'!$A$88,$BA$205^A92,IF(A92='Données projet'!$A$88,'Données projet'!$B$88,BD91+BC92-BL91)))</f>
        <v>199.39999999999998</v>
      </c>
      <c r="BE92" s="14">
        <f>BD92*VLOOKUP('Données projet'!$B$11,Paramètres!$A$1:$I$88,3,0)*VLOOKUP('Données projet'!$B$11,Paramètres!$A$1:$I$88,5,0)</f>
        <v>202.19159999999999</v>
      </c>
      <c r="BF92" s="14">
        <f t="shared" si="91"/>
        <v>50.225509144346276</v>
      </c>
      <c r="BG92" s="22">
        <f t="shared" si="61"/>
        <v>439.62646509306978</v>
      </c>
      <c r="BH92" s="60">
        <f t="shared" si="62"/>
        <v>713.64910880459342</v>
      </c>
      <c r="BI92" s="60">
        <f ca="1">AVERAGE(OFFSET($BH$3,0,0,'Données projet'!$E$11+1,1))-AVERAGE(OFFSET($H$3,0,0,'Données projet'!$E$11+1,1))</f>
        <v>108.30434106718693</v>
      </c>
      <c r="BJ92" s="60">
        <f t="shared" si="92"/>
        <v>67.653808657585842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27.753508667264398</v>
      </c>
      <c r="BQ92" s="23">
        <f>EXP(-LN(2)/25)*BQ91+(1-EXP(-LN(2)/25))/(LN(2)/25)*Calculateur!BL92*Calculateur!BN92*VLOOKUP('Données projet'!$B$11,Paramètres!$A$1:$I$88,3,0)*0.475*44/12</f>
        <v>0</v>
      </c>
      <c r="BR92" s="23">
        <f>EXP(-LN(2)/2)*BR91+(1-EXP(-LN(2)/2))/(LN(2)/2)*BL92*BO92*VLOOKUP('Données projet'!$B$11,Paramètres!$A$1:$I$88,3,0)*0.475*44/12</f>
        <v>0</v>
      </c>
      <c r="BS92" s="24">
        <f t="shared" si="63"/>
        <v>27.753508667264398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projet'!$B$12,Paramètres!$A$1:$I$88,3,0)*VLOOKUP('Données projet'!$B$12,Paramètres!$A$1:$I$88,5,0)</f>
        <v>0</v>
      </c>
      <c r="CA92" s="14" t="e">
        <f t="shared" si="93"/>
        <v>#NUM!</v>
      </c>
      <c r="CB92" s="22" t="e">
        <f t="shared" si="64"/>
        <v>#NUM!</v>
      </c>
      <c r="CC92" s="60" t="e">
        <f t="shared" si="65"/>
        <v>#NUM!</v>
      </c>
      <c r="CD92" s="60">
        <f ca="1">AVERAGE(OFFSET($CC$3,0,0,'Données projet'!$E$12+1,1))-AVERAGE(OFFSET($H$3,0,0,'Données projet'!$E$12+1,1))</f>
        <v>171.08593400758221</v>
      </c>
      <c r="CE92" s="60">
        <f t="shared" si="94"/>
        <v>201.9528484086932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projet'!$B$12,Paramètres!$A$1:$I$88,3,0)*0.475*44/12</f>
        <v>41.272536972528869</v>
      </c>
      <c r="CL92" s="23">
        <f>EXP(-LN(2)/25)*CL91+(1-EXP(-LN(2)/25))/(LN(2)/25)*Calculateur!CG92*Calculateur!CI92*VLOOKUP('Données projet'!$B$12,Paramètres!$A$1:$I$88,3,0)*0.475*44/12</f>
        <v>19.098724483721817</v>
      </c>
      <c r="CM92" s="23">
        <f>EXP(-LN(2)/2)*CM91+(1-EXP(-LN(2)/2))/(LN(2)/2)*CG92*CJ92*VLOOKUP('Données projet'!$B$12,Paramètres!$A$1:$I$88,3,0)*0.475*44/12</f>
        <v>0</v>
      </c>
      <c r="CN92" s="24">
        <f t="shared" si="66"/>
        <v>60.371261456250686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5.599999999999989</v>
      </c>
      <c r="CT92" s="13">
        <f>IF('Données projet'!$A$140&gt;35,CT91+CS92-DB91,IF(A92&lt;'Données projet'!$A$140,$CQ$205^A92,IF(A92='Données projet'!$A$140,'Données projet'!$B$140,CT91+CS92-DB91)))</f>
        <v>405.39999999999986</v>
      </c>
      <c r="CU92" s="18">
        <f>CT92*VLOOKUP('Données projet'!$B$13,Paramètres!$A$1:$I$88,3,0)*VLOOKUP('Données projet'!$B$13,Paramètres!$A$1:$I$88,5,0)</f>
        <v>271.94231999999994</v>
      </c>
      <c r="CV92" s="14">
        <f t="shared" si="95"/>
        <v>65.261306490046792</v>
      </c>
      <c r="CW92" s="22">
        <f t="shared" si="67"/>
        <v>587.29631613683136</v>
      </c>
      <c r="CX92" s="60">
        <f t="shared" si="68"/>
        <v>861.31895984835501</v>
      </c>
      <c r="CY92" s="60">
        <f ca="1">AVERAGE(OFFSET($CX$3,0,0,'Données projet'!$E$13+1,1))-AVERAGE(OFFSET($H$3,0,0,'Données projet'!$E$13+1,1))</f>
        <v>283.66646124753868</v>
      </c>
      <c r="CZ92" s="60">
        <f t="shared" si="96"/>
        <v>331.61926649572797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projet'!$B$13,Paramètres!$A$1:$I$88,3,0)*0.475*44/12</f>
        <v>25.115371864873278</v>
      </c>
      <c r="DG92" s="23">
        <f>EXP(-LN(2)/25)*DG91+(1-EXP(-LN(2)/25))/(LN(2)/25)*Calculateur!DB92*Calculateur!DD92*VLOOKUP('Données projet'!$B$13,Paramètres!$A$1:$I$88,3,0)*0.475*44/12</f>
        <v>0</v>
      </c>
      <c r="DH92" s="23">
        <f>EXP(-LN(2)/2)*DH91+(1-EXP(-LN(2)/2))/(LN(2)/2)*DB92*DE92*VLOOKUP('Données projet'!$B$13,Paramètres!$A$1:$I$88,3,0)*0.475*44/12</f>
        <v>0</v>
      </c>
      <c r="DI92" s="24">
        <f t="shared" si="69"/>
        <v>25.115371864873278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1.1368683772161603E-13</v>
      </c>
      <c r="DP92" s="18">
        <f>DO92*VLOOKUP('Données projet'!$B$14,Paramètres!$A$1:$I$88,3,0)*VLOOKUP('Données projet'!$B$14,Paramètres!$A$1:$I$88,5,0)</f>
        <v>8.3355189417488869E-14</v>
      </c>
      <c r="DQ92" s="14">
        <f t="shared" si="97"/>
        <v>1.2790518435140618E-12</v>
      </c>
      <c r="DR92" s="22">
        <f t="shared" si="70"/>
        <v>2.3728589156891171E-12</v>
      </c>
      <c r="DS92" s="60">
        <f t="shared" si="71"/>
        <v>274.02264371152597</v>
      </c>
      <c r="DT92" s="60">
        <f ca="1">AVERAGE(OFFSET($DS$3,0,0,'Données projet'!$E$14+1,1))-AVERAGE(OFFSET($H$3,0,0,'Données projet'!$E$14+1,1))</f>
        <v>212.77458587586861</v>
      </c>
      <c r="DU92" s="60">
        <f t="shared" si="98"/>
        <v>260.45879589483513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projet'!$B$14,Paramètres!$A$1:$I$88,3,0)*0.475*44/12</f>
        <v>20.209871106431947</v>
      </c>
      <c r="EB92" s="23">
        <f>EXP(-LN(2)/25)*EB91+(1-EXP(-LN(2)/25))/(LN(2)/25)*Calculateur!DW92*Calculateur!DY92*VLOOKUP('Données projet'!$B$14,Paramètres!$A$1:$I$88,3,0)*0.475*44/12</f>
        <v>9.0667063916914952</v>
      </c>
      <c r="EC92" s="23">
        <f>EXP(-LN(2)/2)*EC91+(1-EXP(-LN(2)/2))/(LN(2)/2)*DW92*DZ92*VLOOKUP('Données projet'!$B$14,Paramètres!$A$1:$I$88,3,0)*0.475*44/12</f>
        <v>0</v>
      </c>
      <c r="ED92" s="24">
        <f t="shared" si="72"/>
        <v>29.276577498123444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5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8">
        <f t="shared" si="56"/>
        <v>183.33333333333334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3.4106051316484809E-13</v>
      </c>
      <c r="O93" s="14">
        <f>N93*VLOOKUP('Données projet'!$B$9,Paramètres!$A$1:$I$88,3,0)*VLOOKUP('Données projet'!$B$9,Paramètres!$A$1:$I$88,5,0)</f>
        <v>1.9065282685915009E-13</v>
      </c>
      <c r="P93" s="14">
        <f t="shared" si="87"/>
        <v>2.6568987209435707E-12</v>
      </c>
      <c r="Q93" s="22">
        <f t="shared" si="54"/>
        <v>4.959485612423072E-12</v>
      </c>
      <c r="R93" s="60">
        <f t="shared" si="55"/>
        <v>274.35764100423262</v>
      </c>
      <c r="S93" s="60">
        <f ca="1">AVERAGE(OFFSET($R$3,0,0,'Données projet'!$E$9+1,1))-AVERAGE(OFFSET($H$3,0,0,'Données projet'!$E$9+1,1))</f>
        <v>366.29380214443631</v>
      </c>
      <c r="T93" s="60">
        <f t="shared" si="88"/>
        <v>413.14502442862897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132.28396898367276</v>
      </c>
      <c r="AA93" s="23">
        <f>EXP(-LN(2)/25)*AA92+(1-EXP(-LN(2)/25))/(LN(2)/25)*Calculateur!V93*Calculateur!X93*VLOOKUP('Données projet'!$B$9,Paramètres!$A$1:$I$88,3,0)*0.475*44/12</f>
        <v>57.684581634518487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189.96855061819124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452.49999999999989</v>
      </c>
      <c r="AJ93" s="14">
        <f>AI93*VLOOKUP('Données projet'!$B$10,Paramètres!$A$1:$I$88,3,0)*VLOOKUP('Données projet'!$B$10,Paramètres!$A$1:$I$88,5,0)</f>
        <v>395.30399999999992</v>
      </c>
      <c r="AK93" s="14">
        <f t="shared" si="89"/>
        <v>90.823969929029445</v>
      </c>
      <c r="AL93" s="22">
        <f t="shared" si="58"/>
        <v>846.67288095972606</v>
      </c>
      <c r="AM93" s="60">
        <f t="shared" si="59"/>
        <v>1121.0305219639538</v>
      </c>
      <c r="AN93" s="60">
        <f ca="1">AVERAGE(OFFSET($AM$3,0,0,'Données projet'!$E$10+1,1))-AVERAGE(OFFSET($H$3,0,0,'Données projet'!$E$10+1,1))</f>
        <v>436.5217771315057</v>
      </c>
      <c r="AO93" s="60">
        <f t="shared" si="90"/>
        <v>308.97310256098365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33.843355323644928</v>
      </c>
      <c r="AV93" s="23">
        <f>EXP(-LN(2)/25)*AV92+(1-EXP(-LN(2)/25))/(LN(2)/25)*Calculateur!AQ93*Calculateur!AS93*VLOOKUP('Données projet'!$B$10,Paramètres!$A$1:$I$88,3,0)*0.475*44/12</f>
        <v>14.440774700352872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48.284130023997804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5.6</v>
      </c>
      <c r="BD93" s="13">
        <f>IF('Données projet'!$A$88&gt;35,BD92+BC93-BL92,IF(A93&lt;'Données projet'!$A$88,$BA$205^A93,IF(A93='Données projet'!$A$88,'Données projet'!$B$88,BD92+BC93-BL92)))</f>
        <v>204.99999999999997</v>
      </c>
      <c r="BE93" s="14">
        <f>BD93*VLOOKUP('Données projet'!$B$11,Paramètres!$A$1:$I$88,3,0)*VLOOKUP('Données projet'!$B$11,Paramètres!$A$1:$I$88,5,0)</f>
        <v>207.87</v>
      </c>
      <c r="BF93" s="14">
        <f t="shared" si="91"/>
        <v>51.469851298719313</v>
      </c>
      <c r="BG93" s="22">
        <f t="shared" si="61"/>
        <v>451.68357434526951</v>
      </c>
      <c r="BH93" s="60">
        <f t="shared" si="62"/>
        <v>726.04121534949718</v>
      </c>
      <c r="BI93" s="60">
        <f ca="1">AVERAGE(OFFSET($BH$3,0,0,'Données projet'!$E$11+1,1))-AVERAGE(OFFSET($H$3,0,0,'Données projet'!$E$11+1,1))</f>
        <v>108.30434106718693</v>
      </c>
      <c r="BJ93" s="60">
        <f t="shared" si="92"/>
        <v>67.653808657585842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27.209279290268132</v>
      </c>
      <c r="BQ93" s="23">
        <f>EXP(-LN(2)/25)*BQ92+(1-EXP(-LN(2)/25))/(LN(2)/25)*Calculateur!BL93*Calculateur!BN93*VLOOKUP('Données projet'!$B$11,Paramètres!$A$1:$I$88,3,0)*0.475*44/12</f>
        <v>0</v>
      </c>
      <c r="BR93" s="23">
        <f>EXP(-LN(2)/2)*BR92+(1-EXP(-LN(2)/2))/(LN(2)/2)*BL93*BO93*VLOOKUP('Données projet'!$B$11,Paramètres!$A$1:$I$88,3,0)*0.475*44/12</f>
        <v>0</v>
      </c>
      <c r="BS93" s="24">
        <f t="shared" si="63"/>
        <v>27.209279290268132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projet'!$B$12,Paramètres!$A$1:$I$88,3,0)*VLOOKUP('Données projet'!$B$12,Paramètres!$A$1:$I$88,5,0)</f>
        <v>0</v>
      </c>
      <c r="CA93" s="14" t="e">
        <f t="shared" si="93"/>
        <v>#NUM!</v>
      </c>
      <c r="CB93" s="22" t="e">
        <f t="shared" si="64"/>
        <v>#NUM!</v>
      </c>
      <c r="CC93" s="60" t="e">
        <f t="shared" si="65"/>
        <v>#NUM!</v>
      </c>
      <c r="CD93" s="60">
        <f ca="1">AVERAGE(OFFSET($CC$3,0,0,'Données projet'!$E$12+1,1))-AVERAGE(OFFSET($H$3,0,0,'Données projet'!$E$12+1,1))</f>
        <v>171.08593400758221</v>
      </c>
      <c r="CE93" s="60">
        <f t="shared" si="94"/>
        <v>201.9528484086932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projet'!$B$12,Paramètres!$A$1:$I$88,3,0)*0.475*44/12</f>
        <v>40.463207696259431</v>
      </c>
      <c r="CL93" s="23">
        <f>EXP(-LN(2)/25)*CL92+(1-EXP(-LN(2)/25))/(LN(2)/25)*Calculateur!CG93*Calculateur!CI93*VLOOKUP('Données projet'!$B$12,Paramètres!$A$1:$I$88,3,0)*0.475*44/12</f>
        <v>18.576468858356176</v>
      </c>
      <c r="CM93" s="23">
        <f>EXP(-LN(2)/2)*CM92+(1-EXP(-LN(2)/2))/(LN(2)/2)*CG93*CJ93*VLOOKUP('Données projet'!$B$12,Paramètres!$A$1:$I$88,3,0)*0.475*44/12</f>
        <v>0</v>
      </c>
      <c r="CN93" s="24">
        <f t="shared" si="66"/>
        <v>59.03967655461561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411</v>
      </c>
      <c r="CR93" s="13">
        <f>VLOOKUP(A93,'Données projet'!$A$139:$I$159,9,0)</f>
        <v>5.599999999999989</v>
      </c>
      <c r="CS93" s="13">
        <f t="array" ref="CS93">INDEX(CR:CR,MIN(IF(ISNUMBER(CR93:CR289),ROW(CR93:CR289),"")))</f>
        <v>5.599999999999989</v>
      </c>
      <c r="CT93" s="13">
        <f>IF('Données projet'!$A$140&gt;35,CT92+CS93-DB92,IF(A93&lt;'Données projet'!$A$140,$CQ$205^A93,IF(A93='Données projet'!$A$140,'Données projet'!$B$140,CT92+CS93-DB92)))</f>
        <v>410.99999999999983</v>
      </c>
      <c r="CU93" s="18">
        <f>CT93*VLOOKUP('Données projet'!$B$13,Paramètres!$A$1:$I$88,3,0)*VLOOKUP('Données projet'!$B$13,Paramètres!$A$1:$I$88,5,0)</f>
        <v>275.69879999999989</v>
      </c>
      <c r="CV93" s="14">
        <f t="shared" si="95"/>
        <v>66.057224343988878</v>
      </c>
      <c r="CW93" s="22">
        <f t="shared" si="67"/>
        <v>595.22507573244707</v>
      </c>
      <c r="CX93" s="60">
        <f t="shared" si="68"/>
        <v>869.58271673667468</v>
      </c>
      <c r="CY93" s="60">
        <f ca="1">AVERAGE(OFFSET($CX$3,0,0,'Données projet'!$E$13+1,1))-AVERAGE(OFFSET($H$3,0,0,'Données projet'!$E$13+1,1))</f>
        <v>283.66646124753868</v>
      </c>
      <c r="CZ93" s="60">
        <f t="shared" si="96"/>
        <v>331.61926649572797</v>
      </c>
      <c r="DA93" s="16">
        <f>IF(ISNA(VLOOKUP(A93,'Données projet'!$A$139:$I$159,3,0)),0,VLOOKUP(A93,'Données projet'!$A$139:$I$159,3,0))</f>
        <v>16</v>
      </c>
      <c r="DB93" s="16">
        <f>IF(ISNA(VLOOKUP(A93,'Données projet'!$A$139:$I$159,4,0)),0,VLOOKUP(A93,'Données projet'!$A$139:$I$159,4,0))</f>
        <v>18</v>
      </c>
      <c r="DC93" s="17">
        <f>IF(ISNA(VLOOKUP(A93,'Données projet'!$A$139:$I$159,5,0)),0%,VLOOKUP(A93,'Données projet'!$A$139:$I$159,5,0)*VLOOKUP('Données projet'!$B$13,Paramètres!$A$1:$I$88,7,0))</f>
        <v>0.318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projet'!$B$13,Paramètres!$A$1:$I$88,3,0)*0.475*44/12</f>
        <v>28.867504254568523</v>
      </c>
      <c r="DG93" s="23">
        <f>EXP(-LN(2)/25)*DG92+(1-EXP(-LN(2)/25))/(LN(2)/25)*Calculateur!DB93*Calculateur!DD93*VLOOKUP('Données projet'!$B$13,Paramètres!$A$1:$I$88,3,0)*0.475*44/12</f>
        <v>0</v>
      </c>
      <c r="DH93" s="23">
        <f>EXP(-LN(2)/2)*DH92+(1-EXP(-LN(2)/2))/(LN(2)/2)*DB93*DE93*VLOOKUP('Données projet'!$B$13,Paramètres!$A$1:$I$88,3,0)*0.475*44/12</f>
        <v>0</v>
      </c>
      <c r="DI93" s="24">
        <f t="shared" si="69"/>
        <v>28.867504254568523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1.1368683772161603E-13</v>
      </c>
      <c r="DP93" s="18">
        <f>DO93*VLOOKUP('Données projet'!$B$14,Paramètres!$A$1:$I$88,3,0)*VLOOKUP('Données projet'!$B$14,Paramètres!$A$1:$I$88,5,0)</f>
        <v>8.3355189417488869E-14</v>
      </c>
      <c r="DQ93" s="14">
        <f t="shared" si="97"/>
        <v>1.2790518435140618E-12</v>
      </c>
      <c r="DR93" s="22">
        <f t="shared" si="70"/>
        <v>2.3728589156891171E-12</v>
      </c>
      <c r="DS93" s="60">
        <f t="shared" si="71"/>
        <v>274.35764100423006</v>
      </c>
      <c r="DT93" s="60">
        <f ca="1">AVERAGE(OFFSET($DS$3,0,0,'Données projet'!$E$14+1,1))-AVERAGE(OFFSET($H$3,0,0,'Données projet'!$E$14+1,1))</f>
        <v>212.77458587586861</v>
      </c>
      <c r="DU93" s="60">
        <f t="shared" si="98"/>
        <v>260.45879589483513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projet'!$B$14,Paramètres!$A$1:$I$88,3,0)*0.475*44/12</f>
        <v>19.813567860839022</v>
      </c>
      <c r="EB93" s="23">
        <f>EXP(-LN(2)/25)*EB92+(1-EXP(-LN(2)/25))/(LN(2)/25)*Calculateur!DW93*Calculateur!DY93*VLOOKUP('Données projet'!$B$14,Paramètres!$A$1:$I$88,3,0)*0.475*44/12</f>
        <v>8.8187768286133235</v>
      </c>
      <c r="EC93" s="23">
        <f>EXP(-LN(2)/2)*EC92+(1-EXP(-LN(2)/2))/(LN(2)/2)*DW93*DZ93*VLOOKUP('Données projet'!$B$14,Paramètres!$A$1:$I$88,3,0)*0.475*44/12</f>
        <v>0</v>
      </c>
      <c r="ED93" s="24">
        <f t="shared" si="72"/>
        <v>28.632344689452346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5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8">
        <f t="shared" si="56"/>
        <v>183.33333333333334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3.4106051316484809E-13</v>
      </c>
      <c r="O94" s="14">
        <f>N94*VLOOKUP('Données projet'!$B$9,Paramètres!$A$1:$I$88,3,0)*VLOOKUP('Données projet'!$B$9,Paramètres!$A$1:$I$88,5,0)</f>
        <v>1.9065282685915009E-13</v>
      </c>
      <c r="P94" s="14">
        <f t="shared" si="87"/>
        <v>2.6568987209435707E-12</v>
      </c>
      <c r="Q94" s="22">
        <f t="shared" si="54"/>
        <v>4.959485612423072E-12</v>
      </c>
      <c r="R94" s="60">
        <f t="shared" si="55"/>
        <v>274.68682684285</v>
      </c>
      <c r="S94" s="60">
        <f ca="1">AVERAGE(OFFSET($R$3,0,0,'Données projet'!$E$9+1,1))-AVERAGE(OFFSET($H$3,0,0,'Données projet'!$E$9+1,1))</f>
        <v>366.29380214443631</v>
      </c>
      <c r="T94" s="60">
        <f t="shared" si="88"/>
        <v>413.14502442862897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129.68996103715702</v>
      </c>
      <c r="AA94" s="23">
        <f>EXP(-LN(2)/25)*AA93+(1-EXP(-LN(2)/25))/(LN(2)/25)*Calculateur!V94*Calculateur!X94*VLOOKUP('Données projet'!$B$9,Paramètres!$A$1:$I$88,3,0)*0.475*44/12</f>
        <v>56.10719371622227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185.79715475337929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452.49999999999989</v>
      </c>
      <c r="AJ94" s="14">
        <f>AI94*VLOOKUP('Données projet'!$B$10,Paramètres!$A$1:$I$88,3,0)*VLOOKUP('Données projet'!$B$10,Paramètres!$A$1:$I$88,5,0)</f>
        <v>395.30399999999992</v>
      </c>
      <c r="AK94" s="14">
        <f t="shared" si="89"/>
        <v>90.823969929029445</v>
      </c>
      <c r="AL94" s="22">
        <f t="shared" si="58"/>
        <v>846.67288095972606</v>
      </c>
      <c r="AM94" s="60">
        <f t="shared" si="59"/>
        <v>1121.3597078025712</v>
      </c>
      <c r="AN94" s="60">
        <f ca="1">AVERAGE(OFFSET($AM$3,0,0,'Données projet'!$E$10+1,1))-AVERAGE(OFFSET($H$3,0,0,'Données projet'!$E$10+1,1))</f>
        <v>436.5217771315057</v>
      </c>
      <c r="AO94" s="60">
        <f t="shared" si="90"/>
        <v>308.97310256098365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33.179707768156732</v>
      </c>
      <c r="AV94" s="23">
        <f>EXP(-LN(2)/25)*AV93+(1-EXP(-LN(2)/25))/(LN(2)/25)*Calculateur!AQ94*Calculateur!AS94*VLOOKUP('Données projet'!$B$10,Paramètres!$A$1:$I$88,3,0)*0.475*44/12</f>
        <v>14.045890956764387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47.22559872492112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5.6</v>
      </c>
      <c r="BD94" s="13">
        <f>IF('Données projet'!$A$88&gt;35,BD93+BC94-BL93,IF(A94&lt;'Données projet'!$A$88,$BA$205^A94,IF(A94='Données projet'!$A$88,'Données projet'!$B$88,BD93+BC94-BL93)))</f>
        <v>210.59999999999997</v>
      </c>
      <c r="BE94" s="14">
        <f>BD94*VLOOKUP('Données projet'!$B$11,Paramètres!$A$1:$I$88,3,0)*VLOOKUP('Données projet'!$B$11,Paramètres!$A$1:$I$88,5,0)</f>
        <v>213.54839999999999</v>
      </c>
      <c r="BF94" s="14">
        <f t="shared" si="91"/>
        <v>52.710242573823805</v>
      </c>
      <c r="BG94" s="22">
        <f t="shared" si="61"/>
        <v>463.7338024827431</v>
      </c>
      <c r="BH94" s="60">
        <f t="shared" si="62"/>
        <v>738.42062932558815</v>
      </c>
      <c r="BI94" s="60">
        <f ca="1">AVERAGE(OFFSET($BH$3,0,0,'Données projet'!$E$11+1,1))-AVERAGE(OFFSET($H$3,0,0,'Données projet'!$E$11+1,1))</f>
        <v>108.30434106718693</v>
      </c>
      <c r="BJ94" s="60">
        <f t="shared" si="92"/>
        <v>67.653808657585842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26.675721919407621</v>
      </c>
      <c r="BQ94" s="23">
        <f>EXP(-LN(2)/25)*BQ93+(1-EXP(-LN(2)/25))/(LN(2)/25)*Calculateur!BL94*Calculateur!BN94*VLOOKUP('Données projet'!$B$11,Paramètres!$A$1:$I$88,3,0)*0.475*44/12</f>
        <v>0</v>
      </c>
      <c r="BR94" s="23">
        <f>EXP(-LN(2)/2)*BR93+(1-EXP(-LN(2)/2))/(LN(2)/2)*BL94*BO94*VLOOKUP('Données projet'!$B$11,Paramètres!$A$1:$I$88,3,0)*0.475*44/12</f>
        <v>0</v>
      </c>
      <c r="BS94" s="24">
        <f t="shared" si="63"/>
        <v>26.675721919407621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projet'!$B$12,Paramètres!$A$1:$I$88,3,0)*VLOOKUP('Données projet'!$B$12,Paramètres!$A$1:$I$88,5,0)</f>
        <v>0</v>
      </c>
      <c r="CA94" s="14" t="e">
        <f t="shared" si="93"/>
        <v>#NUM!</v>
      </c>
      <c r="CB94" s="22" t="e">
        <f t="shared" si="64"/>
        <v>#NUM!</v>
      </c>
      <c r="CC94" s="60" t="e">
        <f t="shared" si="65"/>
        <v>#NUM!</v>
      </c>
      <c r="CD94" s="60">
        <f ca="1">AVERAGE(OFFSET($CC$3,0,0,'Données projet'!$E$12+1,1))-AVERAGE(OFFSET($H$3,0,0,'Données projet'!$E$12+1,1))</f>
        <v>171.08593400758221</v>
      </c>
      <c r="CE94" s="60">
        <f t="shared" si="94"/>
        <v>201.9528484086932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projet'!$B$12,Paramètres!$A$1:$I$88,3,0)*0.475*44/12</f>
        <v>39.669748873455518</v>
      </c>
      <c r="CL94" s="23">
        <f>EXP(-LN(2)/25)*CL93+(1-EXP(-LN(2)/25))/(LN(2)/25)*Calculateur!CG94*Calculateur!CI94*VLOOKUP('Données projet'!$B$12,Paramètres!$A$1:$I$88,3,0)*0.475*44/12</f>
        <v>18.068494340530386</v>
      </c>
      <c r="CM94" s="23">
        <f>EXP(-LN(2)/2)*CM93+(1-EXP(-LN(2)/2))/(LN(2)/2)*CG94*CJ94*VLOOKUP('Données projet'!$B$12,Paramètres!$A$1:$I$88,3,0)*0.475*44/12</f>
        <v>0</v>
      </c>
      <c r="CN94" s="24">
        <f t="shared" si="66"/>
        <v>57.738243213985903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5.6</v>
      </c>
      <c r="CT94" s="13">
        <f>IF('Données projet'!$A$140&gt;35,CT93+CS94-DB93,IF(A94&lt;'Données projet'!$A$140,$CQ$205^A94,IF(A94='Données projet'!$A$140,'Données projet'!$B$140,CT93+CS94-DB93)))</f>
        <v>398.59999999999985</v>
      </c>
      <c r="CU94" s="18">
        <f>CT94*VLOOKUP('Données projet'!$B$13,Paramètres!$A$1:$I$88,3,0)*VLOOKUP('Données projet'!$B$13,Paramètres!$A$1:$I$88,5,0)</f>
        <v>267.38087999999993</v>
      </c>
      <c r="CV94" s="14">
        <f t="shared" si="95"/>
        <v>64.293110972833801</v>
      </c>
      <c r="CW94" s="22">
        <f t="shared" si="67"/>
        <v>577.66553427768542</v>
      </c>
      <c r="CX94" s="60">
        <f t="shared" si="68"/>
        <v>852.35236112053053</v>
      </c>
      <c r="CY94" s="60">
        <f ca="1">AVERAGE(OFFSET($CX$3,0,0,'Données projet'!$E$13+1,1))-AVERAGE(OFFSET($H$3,0,0,'Données projet'!$E$13+1,1))</f>
        <v>283.66646124753868</v>
      </c>
      <c r="CZ94" s="60">
        <f t="shared" si="96"/>
        <v>331.61926649572797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projet'!$B$13,Paramètres!$A$1:$I$88,3,0)*0.475*44/12</f>
        <v>28.301430103575438</v>
      </c>
      <c r="DG94" s="23">
        <f>EXP(-LN(2)/25)*DG93+(1-EXP(-LN(2)/25))/(LN(2)/25)*Calculateur!DB94*Calculateur!DD94*VLOOKUP('Données projet'!$B$13,Paramètres!$A$1:$I$88,3,0)*0.475*44/12</f>
        <v>0</v>
      </c>
      <c r="DH94" s="23">
        <f>EXP(-LN(2)/2)*DH93+(1-EXP(-LN(2)/2))/(LN(2)/2)*DB94*DE94*VLOOKUP('Données projet'!$B$13,Paramètres!$A$1:$I$88,3,0)*0.475*44/12</f>
        <v>0</v>
      </c>
      <c r="DI94" s="24">
        <f t="shared" si="69"/>
        <v>28.301430103575438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1.1368683772161603E-13</v>
      </c>
      <c r="DP94" s="18">
        <f>DO94*VLOOKUP('Données projet'!$B$14,Paramètres!$A$1:$I$88,3,0)*VLOOKUP('Données projet'!$B$14,Paramètres!$A$1:$I$88,5,0)</f>
        <v>8.3355189417488869E-14</v>
      </c>
      <c r="DQ94" s="14">
        <f t="shared" si="97"/>
        <v>1.2790518435140618E-12</v>
      </c>
      <c r="DR94" s="22">
        <f t="shared" si="70"/>
        <v>2.3728589156891171E-12</v>
      </c>
      <c r="DS94" s="60">
        <f t="shared" si="71"/>
        <v>274.68682684284744</v>
      </c>
      <c r="DT94" s="60">
        <f ca="1">AVERAGE(OFFSET($DS$3,0,0,'Données projet'!$E$14+1,1))-AVERAGE(OFFSET($H$3,0,0,'Données projet'!$E$14+1,1))</f>
        <v>212.77458587586861</v>
      </c>
      <c r="DU94" s="60">
        <f t="shared" si="98"/>
        <v>260.45879589483513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projet'!$B$14,Paramètres!$A$1:$I$88,3,0)*0.475*44/12</f>
        <v>19.425035880171063</v>
      </c>
      <c r="EB94" s="23">
        <f>EXP(-LN(2)/25)*EB93+(1-EXP(-LN(2)/25))/(LN(2)/25)*Calculateur!DW94*Calculateur!DY94*VLOOKUP('Données projet'!$B$14,Paramètres!$A$1:$I$88,3,0)*0.475*44/12</f>
        <v>8.5776269124755746</v>
      </c>
      <c r="EC94" s="23">
        <f>EXP(-LN(2)/2)*EC93+(1-EXP(-LN(2)/2))/(LN(2)/2)*DW94*DZ94*VLOOKUP('Données projet'!$B$14,Paramètres!$A$1:$I$88,3,0)*0.475*44/12</f>
        <v>0</v>
      </c>
      <c r="ED94" s="24">
        <f t="shared" si="72"/>
        <v>28.002662792646639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5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8">
        <f t="shared" si="56"/>
        <v>183.33333333333334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3.4106051316484809E-13</v>
      </c>
      <c r="O95" s="14">
        <f>N95*VLOOKUP('Données projet'!$B$9,Paramètres!$A$1:$I$88,3,0)*VLOOKUP('Données projet'!$B$9,Paramètres!$A$1:$I$88,5,0)</f>
        <v>1.9065282685915009E-13</v>
      </c>
      <c r="P95" s="14">
        <f t="shared" si="87"/>
        <v>2.6568987209435707E-12</v>
      </c>
      <c r="Q95" s="22">
        <f t="shared" si="54"/>
        <v>4.959485612423072E-12</v>
      </c>
      <c r="R95" s="60">
        <f t="shared" si="55"/>
        <v>275.01030204311667</v>
      </c>
      <c r="S95" s="60">
        <f ca="1">AVERAGE(OFFSET($R$3,0,0,'Données projet'!$E$9+1,1))-AVERAGE(OFFSET($H$3,0,0,'Données projet'!$E$9+1,1))</f>
        <v>366.29380214443631</v>
      </c>
      <c r="T95" s="60">
        <f t="shared" si="88"/>
        <v>413.14502442862897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127.14682000428382</v>
      </c>
      <c r="AA95" s="23">
        <f>EXP(-LN(2)/25)*AA94+(1-EXP(-LN(2)/25))/(LN(2)/25)*Calculateur!V95*Calculateur!X95*VLOOKUP('Données projet'!$B$9,Paramètres!$A$1:$I$88,3,0)*0.475*44/12</f>
        <v>54.57293955350309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181.71975955778692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452.49999999999989</v>
      </c>
      <c r="AJ95" s="14">
        <f>AI95*VLOOKUP('Données projet'!$B$10,Paramètres!$A$1:$I$88,3,0)*VLOOKUP('Données projet'!$B$10,Paramètres!$A$1:$I$88,5,0)</f>
        <v>395.30399999999992</v>
      </c>
      <c r="AK95" s="14">
        <f t="shared" si="89"/>
        <v>90.823969929029445</v>
      </c>
      <c r="AL95" s="22">
        <f t="shared" si="58"/>
        <v>846.67288095972606</v>
      </c>
      <c r="AM95" s="60">
        <f t="shared" si="59"/>
        <v>1121.6831830028377</v>
      </c>
      <c r="AN95" s="60">
        <f ca="1">AVERAGE(OFFSET($AM$3,0,0,'Données projet'!$E$10+1,1))-AVERAGE(OFFSET($H$3,0,0,'Données projet'!$E$10+1,1))</f>
        <v>436.5217771315057</v>
      </c>
      <c r="AO95" s="60">
        <f t="shared" si="90"/>
        <v>308.97310256098365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32.529073936446615</v>
      </c>
      <c r="AV95" s="23">
        <f>EXP(-LN(2)/25)*AV94+(1-EXP(-LN(2)/25))/(LN(2)/25)*Calculateur!AQ95*Calculateur!AS95*VLOOKUP('Données projet'!$B$10,Paramètres!$A$1:$I$88,3,0)*0.475*44/12</f>
        <v>13.661805329910361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46.190879266356973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5.6</v>
      </c>
      <c r="BD95" s="13">
        <f>IF('Données projet'!$A$88&gt;35,BD94+BC95-BL94,IF(A95&lt;'Données projet'!$A$88,$BA$205^A95,IF(A95='Données projet'!$A$88,'Données projet'!$B$88,BD94+BC95-BL94)))</f>
        <v>216.19999999999996</v>
      </c>
      <c r="BE95" s="14">
        <f>BD95*VLOOKUP('Données projet'!$B$11,Paramètres!$A$1:$I$88,3,0)*VLOOKUP('Données projet'!$B$11,Paramètres!$A$1:$I$88,5,0)</f>
        <v>219.22679999999997</v>
      </c>
      <c r="BF95" s="14">
        <f t="shared" si="91"/>
        <v>53.946800101493466</v>
      </c>
      <c r="BG95" s="22">
        <f t="shared" si="61"/>
        <v>475.77735351010102</v>
      </c>
      <c r="BH95" s="60">
        <f t="shared" si="62"/>
        <v>750.78765555321274</v>
      </c>
      <c r="BI95" s="60">
        <f ca="1">AVERAGE(OFFSET($BH$3,0,0,'Données projet'!$E$11+1,1))-AVERAGE(OFFSET($H$3,0,0,'Données projet'!$E$11+1,1))</f>
        <v>108.30434106718693</v>
      </c>
      <c r="BJ95" s="60">
        <f t="shared" si="92"/>
        <v>67.653808657585842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26.152627283151823</v>
      </c>
      <c r="BQ95" s="23">
        <f>EXP(-LN(2)/25)*BQ94+(1-EXP(-LN(2)/25))/(LN(2)/25)*Calculateur!BL95*Calculateur!BN95*VLOOKUP('Données projet'!$B$11,Paramètres!$A$1:$I$88,3,0)*0.475*44/12</f>
        <v>0</v>
      </c>
      <c r="BR95" s="23">
        <f>EXP(-LN(2)/2)*BR94+(1-EXP(-LN(2)/2))/(LN(2)/2)*BL95*BO95*VLOOKUP('Données projet'!$B$11,Paramètres!$A$1:$I$88,3,0)*0.475*44/12</f>
        <v>0</v>
      </c>
      <c r="BS95" s="24">
        <f t="shared" si="63"/>
        <v>26.152627283151823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projet'!$B$12,Paramètres!$A$1:$I$88,3,0)*VLOOKUP('Données projet'!$B$12,Paramètres!$A$1:$I$88,5,0)</f>
        <v>0</v>
      </c>
      <c r="CA95" s="14" t="e">
        <f t="shared" si="93"/>
        <v>#NUM!</v>
      </c>
      <c r="CB95" s="22" t="e">
        <f t="shared" si="64"/>
        <v>#NUM!</v>
      </c>
      <c r="CC95" s="60" t="e">
        <f t="shared" si="65"/>
        <v>#NUM!</v>
      </c>
      <c r="CD95" s="60">
        <f ca="1">AVERAGE(OFFSET($CC$3,0,0,'Données projet'!$E$12+1,1))-AVERAGE(OFFSET($H$3,0,0,'Données projet'!$E$12+1,1))</f>
        <v>171.08593400758221</v>
      </c>
      <c r="CE95" s="60">
        <f t="shared" si="94"/>
        <v>201.9528484086932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projet'!$B$12,Paramètres!$A$1:$I$88,3,0)*0.475*44/12</f>
        <v>38.891849294204697</v>
      </c>
      <c r="CL95" s="23">
        <f>EXP(-LN(2)/25)*CL94+(1-EXP(-LN(2)/25))/(LN(2)/25)*Calculateur!CG95*Calculateur!CI95*VLOOKUP('Données projet'!$B$12,Paramètres!$A$1:$I$88,3,0)*0.475*44/12</f>
        <v>17.574410412607762</v>
      </c>
      <c r="CM95" s="23">
        <f>EXP(-LN(2)/2)*CM94+(1-EXP(-LN(2)/2))/(LN(2)/2)*CG95*CJ95*VLOOKUP('Données projet'!$B$12,Paramètres!$A$1:$I$88,3,0)*0.475*44/12</f>
        <v>0</v>
      </c>
      <c r="CN95" s="24">
        <f t="shared" si="66"/>
        <v>56.466259706812458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5.6</v>
      </c>
      <c r="CT95" s="13">
        <f>IF('Données projet'!$A$140&gt;35,CT94+CS95-DB94,IF(A95&lt;'Données projet'!$A$140,$CQ$205^A95,IF(A95='Données projet'!$A$140,'Données projet'!$B$140,CT94+CS95-DB94)))</f>
        <v>404.19999999999987</v>
      </c>
      <c r="CU95" s="18">
        <f>CT95*VLOOKUP('Données projet'!$B$13,Paramètres!$A$1:$I$88,3,0)*VLOOKUP('Données projet'!$B$13,Paramètres!$A$1:$I$88,5,0)</f>
        <v>271.13735999999994</v>
      </c>
      <c r="CV95" s="14">
        <f t="shared" si="95"/>
        <v>65.090586700545941</v>
      </c>
      <c r="CW95" s="22">
        <f t="shared" si="67"/>
        <v>585.59700717011731</v>
      </c>
      <c r="CX95" s="60">
        <f t="shared" si="68"/>
        <v>860.60730921322897</v>
      </c>
      <c r="CY95" s="60">
        <f ca="1">AVERAGE(OFFSET($CX$3,0,0,'Données projet'!$E$13+1,1))-AVERAGE(OFFSET($H$3,0,0,'Données projet'!$E$13+1,1))</f>
        <v>283.66646124753868</v>
      </c>
      <c r="CZ95" s="60">
        <f t="shared" si="96"/>
        <v>331.61926649572797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projet'!$B$13,Paramètres!$A$1:$I$88,3,0)*0.475*44/12</f>
        <v>27.74645632141219</v>
      </c>
      <c r="DG95" s="23">
        <f>EXP(-LN(2)/25)*DG94+(1-EXP(-LN(2)/25))/(LN(2)/25)*Calculateur!DB95*Calculateur!DD95*VLOOKUP('Données projet'!$B$13,Paramètres!$A$1:$I$88,3,0)*0.475*44/12</f>
        <v>0</v>
      </c>
      <c r="DH95" s="23">
        <f>EXP(-LN(2)/2)*DH94+(1-EXP(-LN(2)/2))/(LN(2)/2)*DB95*DE95*VLOOKUP('Données projet'!$B$13,Paramètres!$A$1:$I$88,3,0)*0.475*44/12</f>
        <v>0</v>
      </c>
      <c r="DI95" s="24">
        <f t="shared" si="69"/>
        <v>27.74645632141219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1.1368683772161603E-13</v>
      </c>
      <c r="DP95" s="18">
        <f>DO95*VLOOKUP('Données projet'!$B$14,Paramètres!$A$1:$I$88,3,0)*VLOOKUP('Données projet'!$B$14,Paramètres!$A$1:$I$88,5,0)</f>
        <v>8.3355189417488869E-14</v>
      </c>
      <c r="DQ95" s="14">
        <f t="shared" si="97"/>
        <v>1.2790518435140618E-12</v>
      </c>
      <c r="DR95" s="22">
        <f t="shared" si="70"/>
        <v>2.3728589156891171E-12</v>
      </c>
      <c r="DS95" s="60">
        <f t="shared" si="71"/>
        <v>275.01030204311411</v>
      </c>
      <c r="DT95" s="60">
        <f ca="1">AVERAGE(OFFSET($DS$3,0,0,'Données projet'!$E$14+1,1))-AVERAGE(OFFSET($H$3,0,0,'Données projet'!$E$14+1,1))</f>
        <v>212.77458587586861</v>
      </c>
      <c r="DU95" s="60">
        <f t="shared" si="98"/>
        <v>260.45879589483513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projet'!$B$14,Paramètres!$A$1:$I$88,3,0)*0.475*44/12</f>
        <v>19.044122774662892</v>
      </c>
      <c r="EB95" s="23">
        <f>EXP(-LN(2)/25)*EB94+(1-EXP(-LN(2)/25))/(LN(2)/25)*Calculateur!DW95*Calculateur!DY95*VLOOKUP('Données projet'!$B$14,Paramètres!$A$1:$I$88,3,0)*0.475*44/12</f>
        <v>8.3430712534761344</v>
      </c>
      <c r="EC95" s="23">
        <f>EXP(-LN(2)/2)*EC94+(1-EXP(-LN(2)/2))/(LN(2)/2)*DW95*DZ95*VLOOKUP('Données projet'!$B$14,Paramètres!$A$1:$I$88,3,0)*0.475*44/12</f>
        <v>0</v>
      </c>
      <c r="ED95" s="24">
        <f t="shared" si="72"/>
        <v>27.387194028139028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5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8">
        <f t="shared" si="56"/>
        <v>183.33333333333334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3.4106051316484809E-13</v>
      </c>
      <c r="O96" s="14">
        <f>N96*VLOOKUP('Données projet'!$B$9,Paramètres!$A$1:$I$88,3,0)*VLOOKUP('Données projet'!$B$9,Paramètres!$A$1:$I$88,5,0)</f>
        <v>1.9065282685915009E-13</v>
      </c>
      <c r="P96" s="14">
        <f t="shared" si="87"/>
        <v>2.6568987209435707E-12</v>
      </c>
      <c r="Q96" s="22">
        <f t="shared" si="54"/>
        <v>4.959485612423072E-12</v>
      </c>
      <c r="R96" s="60">
        <f t="shared" si="55"/>
        <v>275.32816567184091</v>
      </c>
      <c r="S96" s="60">
        <f ca="1">AVERAGE(OFFSET($R$3,0,0,'Données projet'!$E$9+1,1))-AVERAGE(OFFSET($H$3,0,0,'Données projet'!$E$9+1,1))</f>
        <v>366.29380214443631</v>
      </c>
      <c r="T96" s="60">
        <f t="shared" si="88"/>
        <v>413.14502442862897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124.65354841590241</v>
      </c>
      <c r="AA96" s="23">
        <f>EXP(-LN(2)/25)*AA95+(1-EXP(-LN(2)/25))/(LN(2)/25)*Calculateur!V96*Calculateur!X96*VLOOKUP('Données projet'!$B$9,Paramètres!$A$1:$I$88,3,0)*0.475*44/12</f>
        <v>53.080639651546385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177.7341880674488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452.49999999999989</v>
      </c>
      <c r="AJ96" s="14">
        <f>AI96*VLOOKUP('Données projet'!$B$10,Paramètres!$A$1:$I$88,3,0)*VLOOKUP('Données projet'!$B$10,Paramètres!$A$1:$I$88,5,0)</f>
        <v>395.30399999999992</v>
      </c>
      <c r="AK96" s="14">
        <f t="shared" si="89"/>
        <v>90.823969929029445</v>
      </c>
      <c r="AL96" s="22">
        <f t="shared" si="58"/>
        <v>846.67288095972606</v>
      </c>
      <c r="AM96" s="60">
        <f t="shared" si="59"/>
        <v>1122.0010466315621</v>
      </c>
      <c r="AN96" s="60">
        <f ca="1">AVERAGE(OFFSET($AM$3,0,0,'Données projet'!$E$10+1,1))-AVERAGE(OFFSET($H$3,0,0,'Données projet'!$E$10+1,1))</f>
        <v>436.5217771315057</v>
      </c>
      <c r="AO96" s="60">
        <f t="shared" si="90"/>
        <v>308.97310256098365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31.891198637328884</v>
      </c>
      <c r="AV96" s="23">
        <f>EXP(-LN(2)/25)*AV95+(1-EXP(-LN(2)/25))/(LN(2)/25)*Calculateur!AQ96*Calculateur!AS96*VLOOKUP('Données projet'!$B$10,Paramètres!$A$1:$I$88,3,0)*0.475*44/12</f>
        <v>13.288222544720846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45.17942118204973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5.6</v>
      </c>
      <c r="BD96" s="13">
        <f>IF('Données projet'!$A$88&gt;35,BD95+BC96-BL95,IF(A96&lt;'Données projet'!$A$88,$BA$205^A96,IF(A96='Données projet'!$A$88,'Données projet'!$B$88,BD95+BC96-BL95)))</f>
        <v>221.79999999999995</v>
      </c>
      <c r="BE96" s="14">
        <f>BD96*VLOOKUP('Données projet'!$B$11,Paramètres!$A$1:$I$88,3,0)*VLOOKUP('Données projet'!$B$11,Paramètres!$A$1:$I$88,5,0)</f>
        <v>224.90519999999998</v>
      </c>
      <c r="BF96" s="14">
        <f t="shared" si="91"/>
        <v>55.17963460003309</v>
      </c>
      <c r="BG96" s="22">
        <f t="shared" si="61"/>
        <v>487.81442026172425</v>
      </c>
      <c r="BH96" s="60">
        <f t="shared" si="62"/>
        <v>763.14258593356021</v>
      </c>
      <c r="BI96" s="60">
        <f ca="1">AVERAGE(OFFSET($BH$3,0,0,'Données projet'!$E$11+1,1))-AVERAGE(OFFSET($H$3,0,0,'Données projet'!$E$11+1,1))</f>
        <v>108.30434106718693</v>
      </c>
      <c r="BJ96" s="60">
        <f t="shared" si="92"/>
        <v>67.653808657585842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25.639790213656777</v>
      </c>
      <c r="BQ96" s="23">
        <f>EXP(-LN(2)/25)*BQ95+(1-EXP(-LN(2)/25))/(LN(2)/25)*Calculateur!BL96*Calculateur!BN96*VLOOKUP('Données projet'!$B$11,Paramètres!$A$1:$I$88,3,0)*0.475*44/12</f>
        <v>0</v>
      </c>
      <c r="BR96" s="23">
        <f>EXP(-LN(2)/2)*BR95+(1-EXP(-LN(2)/2))/(LN(2)/2)*BL96*BO96*VLOOKUP('Données projet'!$B$11,Paramètres!$A$1:$I$88,3,0)*0.475*44/12</f>
        <v>0</v>
      </c>
      <c r="BS96" s="24">
        <f t="shared" si="63"/>
        <v>25.639790213656777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projet'!$B$12,Paramètres!$A$1:$I$88,3,0)*VLOOKUP('Données projet'!$B$12,Paramètres!$A$1:$I$88,5,0)</f>
        <v>0</v>
      </c>
      <c r="CA96" s="14" t="e">
        <f t="shared" si="93"/>
        <v>#NUM!</v>
      </c>
      <c r="CB96" s="22" t="e">
        <f t="shared" si="64"/>
        <v>#NUM!</v>
      </c>
      <c r="CC96" s="60" t="e">
        <f t="shared" si="65"/>
        <v>#NUM!</v>
      </c>
      <c r="CD96" s="60">
        <f ca="1">AVERAGE(OFFSET($CC$3,0,0,'Données projet'!$E$12+1,1))-AVERAGE(OFFSET($H$3,0,0,'Données projet'!$E$12+1,1))</f>
        <v>171.08593400758221</v>
      </c>
      <c r="CE96" s="60">
        <f t="shared" si="94"/>
        <v>201.9528484086932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projet'!$B$12,Paramètres!$A$1:$I$88,3,0)*0.475*44/12</f>
        <v>38.12920385123109</v>
      </c>
      <c r="CL96" s="23">
        <f>EXP(-LN(2)/25)*CL95+(1-EXP(-LN(2)/25))/(LN(2)/25)*Calculateur!CG96*Calculateur!CI96*VLOOKUP('Données projet'!$B$12,Paramètres!$A$1:$I$88,3,0)*0.475*44/12</f>
        <v>17.093837235676926</v>
      </c>
      <c r="CM96" s="23">
        <f>EXP(-LN(2)/2)*CM95+(1-EXP(-LN(2)/2))/(LN(2)/2)*CG96*CJ96*VLOOKUP('Données projet'!$B$12,Paramètres!$A$1:$I$88,3,0)*0.475*44/12</f>
        <v>0</v>
      </c>
      <c r="CN96" s="24">
        <f t="shared" si="66"/>
        <v>55.223041086908012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5.6</v>
      </c>
      <c r="CT96" s="13">
        <f>IF('Données projet'!$A$140&gt;35,CT95+CS96-DB95,IF(A96&lt;'Données projet'!$A$140,$CQ$205^A96,IF(A96='Données projet'!$A$140,'Données projet'!$B$140,CT95+CS96-DB95)))</f>
        <v>409.7999999999999</v>
      </c>
      <c r="CU96" s="18">
        <f>CT96*VLOOKUP('Données projet'!$B$13,Paramètres!$A$1:$I$88,3,0)*VLOOKUP('Données projet'!$B$13,Paramètres!$A$1:$I$88,5,0)</f>
        <v>274.8938399999999</v>
      </c>
      <c r="CV96" s="14">
        <f t="shared" si="95"/>
        <v>65.886777358439062</v>
      </c>
      <c r="CW96" s="22">
        <f t="shared" si="67"/>
        <v>593.52624189928122</v>
      </c>
      <c r="CX96" s="60">
        <f t="shared" si="68"/>
        <v>868.85440757111724</v>
      </c>
      <c r="CY96" s="60">
        <f ca="1">AVERAGE(OFFSET($CX$3,0,0,'Données projet'!$E$13+1,1))-AVERAGE(OFFSET($H$3,0,0,'Données projet'!$E$13+1,1))</f>
        <v>283.66646124753868</v>
      </c>
      <c r="CZ96" s="60">
        <f t="shared" si="96"/>
        <v>331.61926649572797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projet'!$B$13,Paramètres!$A$1:$I$88,3,0)*0.475*44/12</f>
        <v>27.202365236616579</v>
      </c>
      <c r="DG96" s="23">
        <f>EXP(-LN(2)/25)*DG95+(1-EXP(-LN(2)/25))/(LN(2)/25)*Calculateur!DB96*Calculateur!DD96*VLOOKUP('Données projet'!$B$13,Paramètres!$A$1:$I$88,3,0)*0.475*44/12</f>
        <v>0</v>
      </c>
      <c r="DH96" s="23">
        <f>EXP(-LN(2)/2)*DH95+(1-EXP(-LN(2)/2))/(LN(2)/2)*DB96*DE96*VLOOKUP('Données projet'!$B$13,Paramètres!$A$1:$I$88,3,0)*0.475*44/12</f>
        <v>0</v>
      </c>
      <c r="DI96" s="24">
        <f t="shared" si="69"/>
        <v>27.202365236616579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1.1368683772161603E-13</v>
      </c>
      <c r="DP96" s="18">
        <f>DO96*VLOOKUP('Données projet'!$B$14,Paramètres!$A$1:$I$88,3,0)*VLOOKUP('Données projet'!$B$14,Paramètres!$A$1:$I$88,5,0)</f>
        <v>8.3355189417488869E-14</v>
      </c>
      <c r="DQ96" s="14">
        <f t="shared" si="97"/>
        <v>1.2790518435140618E-12</v>
      </c>
      <c r="DR96" s="22">
        <f t="shared" si="70"/>
        <v>2.3728589156891171E-12</v>
      </c>
      <c r="DS96" s="60">
        <f t="shared" si="71"/>
        <v>275.32816567183835</v>
      </c>
      <c r="DT96" s="60">
        <f ca="1">AVERAGE(OFFSET($DS$3,0,0,'Données projet'!$E$14+1,1))-AVERAGE(OFFSET($H$3,0,0,'Données projet'!$E$14+1,1))</f>
        <v>212.77458587586861</v>
      </c>
      <c r="DU96" s="60">
        <f t="shared" si="98"/>
        <v>260.45879589483513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projet'!$B$14,Paramètres!$A$1:$I$88,3,0)*0.475*44/12</f>
        <v>18.670679142819683</v>
      </c>
      <c r="EB96" s="23">
        <f>EXP(-LN(2)/25)*EB95+(1-EXP(-LN(2)/25))/(LN(2)/25)*Calculateur!DW96*Calculateur!DY96*VLOOKUP('Données projet'!$B$14,Paramètres!$A$1:$I$88,3,0)*0.475*44/12</f>
        <v>8.11492953130678</v>
      </c>
      <c r="EC96" s="23">
        <f>EXP(-LN(2)/2)*EC95+(1-EXP(-LN(2)/2))/(LN(2)/2)*DW96*DZ96*VLOOKUP('Données projet'!$B$14,Paramètres!$A$1:$I$88,3,0)*0.475*44/12</f>
        <v>0</v>
      </c>
      <c r="ED96" s="24">
        <f t="shared" si="72"/>
        <v>26.785608674126465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5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8">
        <f t="shared" si="56"/>
        <v>183.33333333333334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3.4106051316484809E-13</v>
      </c>
      <c r="O97" s="14">
        <f>N97*VLOOKUP('Données projet'!$B$9,Paramètres!$A$1:$I$88,3,0)*VLOOKUP('Données projet'!$B$9,Paramètres!$A$1:$I$88,5,0)</f>
        <v>1.9065282685915009E-13</v>
      </c>
      <c r="P97" s="14">
        <f t="shared" si="87"/>
        <v>2.6568987209435707E-12</v>
      </c>
      <c r="Q97" s="22">
        <f t="shared" si="54"/>
        <v>4.959485612423072E-12</v>
      </c>
      <c r="R97" s="60">
        <f t="shared" si="55"/>
        <v>275.64051507724344</v>
      </c>
      <c r="S97" s="60">
        <f ca="1">AVERAGE(OFFSET($R$3,0,0,'Données projet'!$E$9+1,1))-AVERAGE(OFFSET($H$3,0,0,'Données projet'!$E$9+1,1))</f>
        <v>366.29380214443631</v>
      </c>
      <c r="T97" s="60">
        <f t="shared" si="88"/>
        <v>413.14502442862897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122.20916836262364</v>
      </c>
      <c r="AA97" s="23">
        <f>EXP(-LN(2)/25)*AA96+(1-EXP(-LN(2)/25))/(LN(2)/25)*Calculateur!V97*Calculateur!X97*VLOOKUP('Données projet'!$B$9,Paramètres!$A$1:$I$88,3,0)*0.475*44/12</f>
        <v>51.629146768885327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173.83831513150898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452.49999999999989</v>
      </c>
      <c r="AJ97" s="14">
        <f>AI97*VLOOKUP('Données projet'!$B$10,Paramètres!$A$1:$I$88,3,0)*VLOOKUP('Données projet'!$B$10,Paramètres!$A$1:$I$88,5,0)</f>
        <v>395.30399999999992</v>
      </c>
      <c r="AK97" s="14">
        <f t="shared" si="89"/>
        <v>90.823969929029445</v>
      </c>
      <c r="AL97" s="22">
        <f t="shared" si="58"/>
        <v>846.67288095972606</v>
      </c>
      <c r="AM97" s="60">
        <f t="shared" si="59"/>
        <v>1122.3133960369646</v>
      </c>
      <c r="AN97" s="60">
        <f ca="1">AVERAGE(OFFSET($AM$3,0,0,'Données projet'!$E$10+1,1))-AVERAGE(OFFSET($H$3,0,0,'Données projet'!$E$10+1,1))</f>
        <v>436.5217771315057</v>
      </c>
      <c r="AO97" s="60">
        <f t="shared" si="90"/>
        <v>308.97310256098365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31.265831683761338</v>
      </c>
      <c r="AV97" s="23">
        <f>EXP(-LN(2)/25)*AV96+(1-EXP(-LN(2)/25))/(LN(2)/25)*Calculateur!AQ97*Calculateur!AS97*VLOOKUP('Données projet'!$B$10,Paramètres!$A$1:$I$88,3,0)*0.475*44/12</f>
        <v>12.924855400438201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44.190687084199539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5.6</v>
      </c>
      <c r="BD97" s="13">
        <f>IF('Données projet'!$A$88&gt;35,BD96+BC97-BL96,IF(A97&lt;'Données projet'!$A$88,$BA$205^A97,IF(A97='Données projet'!$A$88,'Données projet'!$B$88,BD96+BC97-BL96)))</f>
        <v>227.39999999999995</v>
      </c>
      <c r="BE97" s="14">
        <f>BD97*VLOOKUP('Données projet'!$B$11,Paramètres!$A$1:$I$88,3,0)*VLOOKUP('Données projet'!$B$11,Paramètres!$A$1:$I$88,5,0)</f>
        <v>230.58359999999996</v>
      </c>
      <c r="BF97" s="14">
        <f t="shared" si="91"/>
        <v>56.408850878327968</v>
      </c>
      <c r="BG97" s="22">
        <f t="shared" si="61"/>
        <v>499.8451852797545</v>
      </c>
      <c r="BH97" s="60">
        <f t="shared" si="62"/>
        <v>775.48570035699299</v>
      </c>
      <c r="BI97" s="60">
        <f ca="1">AVERAGE(OFFSET($BH$3,0,0,'Données projet'!$E$11+1,1))-AVERAGE(OFFSET($H$3,0,0,'Données projet'!$E$11+1,1))</f>
        <v>108.30434106718693</v>
      </c>
      <c r="BJ97" s="60">
        <f t="shared" si="92"/>
        <v>67.653808657585842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25.1370095662948</v>
      </c>
      <c r="BQ97" s="23">
        <f>EXP(-LN(2)/25)*BQ96+(1-EXP(-LN(2)/25))/(LN(2)/25)*Calculateur!BL97*Calculateur!BN97*VLOOKUP('Données projet'!$B$11,Paramètres!$A$1:$I$88,3,0)*0.475*44/12</f>
        <v>0</v>
      </c>
      <c r="BR97" s="23">
        <f>EXP(-LN(2)/2)*BR96+(1-EXP(-LN(2)/2))/(LN(2)/2)*BL97*BO97*VLOOKUP('Données projet'!$B$11,Paramètres!$A$1:$I$88,3,0)*0.475*44/12</f>
        <v>0</v>
      </c>
      <c r="BS97" s="24">
        <f t="shared" si="63"/>
        <v>25.1370095662948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projet'!$B$12,Paramètres!$A$1:$I$88,3,0)*VLOOKUP('Données projet'!$B$12,Paramètres!$A$1:$I$88,5,0)</f>
        <v>0</v>
      </c>
      <c r="CA97" s="14" t="e">
        <f t="shared" si="93"/>
        <v>#NUM!</v>
      </c>
      <c r="CB97" s="22" t="e">
        <f t="shared" si="64"/>
        <v>#NUM!</v>
      </c>
      <c r="CC97" s="60" t="e">
        <f t="shared" si="65"/>
        <v>#NUM!</v>
      </c>
      <c r="CD97" s="60">
        <f ca="1">AVERAGE(OFFSET($CC$3,0,0,'Données projet'!$E$12+1,1))-AVERAGE(OFFSET($H$3,0,0,'Données projet'!$E$12+1,1))</f>
        <v>171.08593400758221</v>
      </c>
      <c r="CE97" s="60">
        <f t="shared" si="94"/>
        <v>201.9528484086932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projet'!$B$12,Paramètres!$A$1:$I$88,3,0)*0.475*44/12</f>
        <v>37.381513420226405</v>
      </c>
      <c r="CL97" s="23">
        <f>EXP(-LN(2)/25)*CL96+(1-EXP(-LN(2)/25))/(LN(2)/25)*Calculateur!CG97*Calculateur!CI97*VLOOKUP('Données projet'!$B$12,Paramètres!$A$1:$I$88,3,0)*0.475*44/12</f>
        <v>16.626405357541508</v>
      </c>
      <c r="CM97" s="23">
        <f>EXP(-LN(2)/2)*CM96+(1-EXP(-LN(2)/2))/(LN(2)/2)*CG97*CJ97*VLOOKUP('Données projet'!$B$12,Paramètres!$A$1:$I$88,3,0)*0.475*44/12</f>
        <v>0</v>
      </c>
      <c r="CN97" s="24">
        <f t="shared" si="66"/>
        <v>54.007918777767912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5.6</v>
      </c>
      <c r="CT97" s="13">
        <f>IF('Données projet'!$A$140&gt;35,CT96+CS97-DB96,IF(A97&lt;'Données projet'!$A$140,$CQ$205^A97,IF(A97='Données projet'!$A$140,'Données projet'!$B$140,CT96+CS97-DB96)))</f>
        <v>415.39999999999992</v>
      </c>
      <c r="CU97" s="18">
        <f>CT97*VLOOKUP('Données projet'!$B$13,Paramètres!$A$1:$I$88,3,0)*VLOOKUP('Données projet'!$B$13,Paramètres!$A$1:$I$88,5,0)</f>
        <v>278.65031999999997</v>
      </c>
      <c r="CV97" s="14">
        <f t="shared" si="95"/>
        <v>66.681702536965759</v>
      </c>
      <c r="CW97" s="22">
        <f t="shared" si="67"/>
        <v>601.45327258521536</v>
      </c>
      <c r="CX97" s="60">
        <f t="shared" si="68"/>
        <v>877.09378766245391</v>
      </c>
      <c r="CY97" s="60">
        <f ca="1">AVERAGE(OFFSET($CX$3,0,0,'Données projet'!$E$13+1,1))-AVERAGE(OFFSET($H$3,0,0,'Données projet'!$E$13+1,1))</f>
        <v>283.66646124753868</v>
      </c>
      <c r="CZ97" s="60">
        <f t="shared" si="96"/>
        <v>331.61926649572797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projet'!$B$13,Paramètres!$A$1:$I$88,3,0)*0.475*44/12</f>
        <v>26.668943446131017</v>
      </c>
      <c r="DG97" s="23">
        <f>EXP(-LN(2)/25)*DG96+(1-EXP(-LN(2)/25))/(LN(2)/25)*Calculateur!DB97*Calculateur!DD97*VLOOKUP('Données projet'!$B$13,Paramètres!$A$1:$I$88,3,0)*0.475*44/12</f>
        <v>0</v>
      </c>
      <c r="DH97" s="23">
        <f>EXP(-LN(2)/2)*DH96+(1-EXP(-LN(2)/2))/(LN(2)/2)*DB97*DE97*VLOOKUP('Données projet'!$B$13,Paramètres!$A$1:$I$88,3,0)*0.475*44/12</f>
        <v>0</v>
      </c>
      <c r="DI97" s="24">
        <f t="shared" si="69"/>
        <v>26.668943446131017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1.1368683772161603E-13</v>
      </c>
      <c r="DP97" s="18">
        <f>DO97*VLOOKUP('Données projet'!$B$14,Paramètres!$A$1:$I$88,3,0)*VLOOKUP('Données projet'!$B$14,Paramètres!$A$1:$I$88,5,0)</f>
        <v>8.3355189417488869E-14</v>
      </c>
      <c r="DQ97" s="14">
        <f t="shared" si="97"/>
        <v>1.2790518435140618E-12</v>
      </c>
      <c r="DR97" s="22">
        <f t="shared" si="70"/>
        <v>2.3728589156891171E-12</v>
      </c>
      <c r="DS97" s="60">
        <f t="shared" si="71"/>
        <v>275.64051507724088</v>
      </c>
      <c r="DT97" s="60">
        <f ca="1">AVERAGE(OFFSET($DS$3,0,0,'Données projet'!$E$14+1,1))-AVERAGE(OFFSET($H$3,0,0,'Données projet'!$E$14+1,1))</f>
        <v>212.77458587586861</v>
      </c>
      <c r="DU97" s="60">
        <f t="shared" si="98"/>
        <v>260.45879589483513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projet'!$B$14,Paramètres!$A$1:$I$88,3,0)*0.475*44/12</f>
        <v>18.304558512818794</v>
      </c>
      <c r="EB97" s="23">
        <f>EXP(-LN(2)/25)*EB96+(1-EXP(-LN(2)/25))/(LN(2)/25)*Calculateur!DW97*Calculateur!DY97*VLOOKUP('Données projet'!$B$14,Paramètres!$A$1:$I$88,3,0)*0.475*44/12</f>
        <v>7.8930263565275993</v>
      </c>
      <c r="EC97" s="23">
        <f>EXP(-LN(2)/2)*EC96+(1-EXP(-LN(2)/2))/(LN(2)/2)*DW97*DZ97*VLOOKUP('Données projet'!$B$14,Paramètres!$A$1:$I$88,3,0)*0.475*44/12</f>
        <v>0</v>
      </c>
      <c r="ED97" s="24">
        <f t="shared" si="72"/>
        <v>26.197584869346393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5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8">
        <f t="shared" si="56"/>
        <v>183.33333333333334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3.4106051316484809E-13</v>
      </c>
      <c r="O98" s="14">
        <f>N98*VLOOKUP('Données projet'!$B$9,Paramètres!$A$1:$I$88,3,0)*VLOOKUP('Données projet'!$B$9,Paramètres!$A$1:$I$88,5,0)</f>
        <v>1.9065282685915009E-13</v>
      </c>
      <c r="P98" s="14">
        <f t="shared" si="87"/>
        <v>2.6568987209435707E-12</v>
      </c>
      <c r="Q98" s="22">
        <f t="shared" si="54"/>
        <v>4.959485612423072E-12</v>
      </c>
      <c r="R98" s="60">
        <f t="shared" si="55"/>
        <v>275.94744591877088</v>
      </c>
      <c r="S98" s="60">
        <f ca="1">AVERAGE(OFFSET($R$3,0,0,'Données projet'!$E$9+1,1))-AVERAGE(OFFSET($H$3,0,0,'Données projet'!$E$9+1,1))</f>
        <v>366.29380214443631</v>
      </c>
      <c r="T98" s="60">
        <f t="shared" si="88"/>
        <v>413.14502442862897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119.81272111126506</v>
      </c>
      <c r="AA98" s="23">
        <f>EXP(-LN(2)/25)*AA97+(1-EXP(-LN(2)/25))/(LN(2)/25)*Calculateur!V98*Calculateur!X98*VLOOKUP('Données projet'!$B$9,Paramètres!$A$1:$I$88,3,0)*0.475*44/12</f>
        <v>50.217345035431329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170.03006614669638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452.49999999999989</v>
      </c>
      <c r="AJ98" s="14">
        <f>AI98*VLOOKUP('Données projet'!$B$10,Paramètres!$A$1:$I$88,3,0)*VLOOKUP('Données projet'!$B$10,Paramètres!$A$1:$I$88,5,0)</f>
        <v>395.30399999999992</v>
      </c>
      <c r="AK98" s="14">
        <f t="shared" si="89"/>
        <v>90.823969929029445</v>
      </c>
      <c r="AL98" s="22">
        <f t="shared" si="58"/>
        <v>846.67288095972606</v>
      </c>
      <c r="AM98" s="60">
        <f t="shared" si="59"/>
        <v>1122.6203268784921</v>
      </c>
      <c r="AN98" s="60">
        <f ca="1">AVERAGE(OFFSET($AM$3,0,0,'Données projet'!$E$10+1,1))-AVERAGE(OFFSET($H$3,0,0,'Données projet'!$E$10+1,1))</f>
        <v>436.5217771315057</v>
      </c>
      <c r="AO98" s="60">
        <f t="shared" si="90"/>
        <v>308.97310256098365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30.652727794717073</v>
      </c>
      <c r="AV98" s="23">
        <f>EXP(-LN(2)/25)*AV97+(1-EXP(-LN(2)/25))/(LN(2)/25)*Calculateur!AQ98*Calculateur!AS98*VLOOKUP('Données projet'!$B$10,Paramètres!$A$1:$I$88,3,0)*0.475*44/12</f>
        <v>12.571424549824613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43.224152344541686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233</v>
      </c>
      <c r="BB98" s="13">
        <f>VLOOKUP(A98,'Données projet'!$A$87:$I$107,9,0)</f>
        <v>5.6</v>
      </c>
      <c r="BC98" s="13">
        <f t="array" ref="BC98">INDEX(BB:BB,MIN(IF(ISNUMBER(BB98:BB294),ROW(BB98:BB294),"")))</f>
        <v>5.6</v>
      </c>
      <c r="BD98" s="13">
        <f>IF('Données projet'!$A$88&gt;35,BD97+BC98-BL97,IF(A98&lt;'Données projet'!$A$88,$BA$205^A98,IF(A98='Données projet'!$A$88,'Données projet'!$B$88,BD97+BC98-BL97)))</f>
        <v>232.99999999999994</v>
      </c>
      <c r="BE98" s="14">
        <f>BD98*VLOOKUP('Données projet'!$B$11,Paramètres!$A$1:$I$88,3,0)*VLOOKUP('Données projet'!$B$11,Paramètres!$A$1:$I$88,5,0)</f>
        <v>236.26199999999994</v>
      </c>
      <c r="BF98" s="14">
        <f t="shared" si="91"/>
        <v>57.634548288898394</v>
      </c>
      <c r="BG98" s="22">
        <f t="shared" si="61"/>
        <v>511.86982160316455</v>
      </c>
      <c r="BH98" s="60">
        <f t="shared" si="62"/>
        <v>787.81726752193049</v>
      </c>
      <c r="BI98" s="60">
        <f ca="1">AVERAGE(OFFSET($BH$3,0,0,'Données projet'!$E$11+1,1))-AVERAGE(OFFSET($H$3,0,0,'Données projet'!$E$11+1,1))</f>
        <v>108.30434106718693</v>
      </c>
      <c r="BJ98" s="60">
        <f t="shared" si="92"/>
        <v>67.653808657585842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40</v>
      </c>
      <c r="BM98" s="17">
        <f>IF(ISNA(VLOOKUP(A98,'Données projet'!$A$87:$I$107,5,0)),0%,VLOOKUP(A98,'Données projet'!$A$87:$I$107,5,0)*VLOOKUP('Données projet'!$B$11,Paramètres!$A$1:$I$88,7,0))</f>
        <v>0.25800000000000001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36.212260817976642</v>
      </c>
      <c r="BQ98" s="23">
        <f>EXP(-LN(2)/25)*BQ97+(1-EXP(-LN(2)/25))/(LN(2)/25)*Calculateur!BL98*Calculateur!BN98*VLOOKUP('Données projet'!$B$11,Paramètres!$A$1:$I$88,3,0)*0.475*44/12</f>
        <v>0</v>
      </c>
      <c r="BR98" s="23">
        <f>EXP(-LN(2)/2)*BR97+(1-EXP(-LN(2)/2))/(LN(2)/2)*BL98*BO98*VLOOKUP('Données projet'!$B$11,Paramètres!$A$1:$I$88,3,0)*0.475*44/12</f>
        <v>0</v>
      </c>
      <c r="BS98" s="24">
        <f t="shared" si="63"/>
        <v>36.212260817976642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projet'!$B$12,Paramètres!$A$1:$I$88,3,0)*VLOOKUP('Données projet'!$B$12,Paramètres!$A$1:$I$88,5,0)</f>
        <v>0</v>
      </c>
      <c r="CA98" s="14" t="e">
        <f t="shared" si="93"/>
        <v>#NUM!</v>
      </c>
      <c r="CB98" s="22" t="e">
        <f t="shared" si="64"/>
        <v>#NUM!</v>
      </c>
      <c r="CC98" s="60" t="e">
        <f t="shared" si="65"/>
        <v>#NUM!</v>
      </c>
      <c r="CD98" s="60">
        <f ca="1">AVERAGE(OFFSET($CC$3,0,0,'Données projet'!$E$12+1,1))-AVERAGE(OFFSET($H$3,0,0,'Données projet'!$E$12+1,1))</f>
        <v>171.08593400758221</v>
      </c>
      <c r="CE98" s="60">
        <f t="shared" si="94"/>
        <v>201.9528484086932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projet'!$B$12,Paramètres!$A$1:$I$88,3,0)*0.475*44/12</f>
        <v>36.648484742527593</v>
      </c>
      <c r="CL98" s="23">
        <f>EXP(-LN(2)/25)*CL97+(1-EXP(-LN(2)/25))/(LN(2)/25)*Calculateur!CG98*Calculateur!CI98*VLOOKUP('Données projet'!$B$12,Paramètres!$A$1:$I$88,3,0)*0.475*44/12</f>
        <v>16.171755428694876</v>
      </c>
      <c r="CM98" s="23">
        <f>EXP(-LN(2)/2)*CM97+(1-EXP(-LN(2)/2))/(LN(2)/2)*CG98*CJ98*VLOOKUP('Données projet'!$B$12,Paramètres!$A$1:$I$88,3,0)*0.475*44/12</f>
        <v>0</v>
      </c>
      <c r="CN98" s="24">
        <f t="shared" si="66"/>
        <v>52.820240171222466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421</v>
      </c>
      <c r="CR98" s="13">
        <f>VLOOKUP(A98,'Données projet'!$A$139:$I$159,9,0)</f>
        <v>5.6</v>
      </c>
      <c r="CS98" s="13">
        <f t="array" ref="CS98">INDEX(CR:CR,MIN(IF(ISNUMBER(CR98:CR294),ROW(CR98:CR294),"")))</f>
        <v>5.6</v>
      </c>
      <c r="CT98" s="13">
        <f>IF('Données projet'!$A$140&gt;35,CT97+CS98-DB97,IF(A98&lt;'Données projet'!$A$140,$CQ$205^A98,IF(A98='Données projet'!$A$140,'Données projet'!$B$140,CT97+CS98-DB97)))</f>
        <v>420.99999999999994</v>
      </c>
      <c r="CU98" s="18">
        <f>CT98*VLOOKUP('Données projet'!$B$13,Paramètres!$A$1:$I$88,3,0)*VLOOKUP('Données projet'!$B$13,Paramètres!$A$1:$I$88,5,0)</f>
        <v>282.40679999999998</v>
      </c>
      <c r="CV98" s="14">
        <f t="shared" si="95"/>
        <v>67.475381268028372</v>
      </c>
      <c r="CW98" s="22">
        <f t="shared" si="67"/>
        <v>609.37813237514945</v>
      </c>
      <c r="CX98" s="60">
        <f t="shared" si="68"/>
        <v>885.32557829391544</v>
      </c>
      <c r="CY98" s="60">
        <f ca="1">AVERAGE(OFFSET($CX$3,0,0,'Données projet'!$E$13+1,1))-AVERAGE(OFFSET($H$3,0,0,'Données projet'!$E$13+1,1))</f>
        <v>283.66646124753868</v>
      </c>
      <c r="CZ98" s="60">
        <f t="shared" si="96"/>
        <v>331.61926649572797</v>
      </c>
      <c r="DA98" s="16">
        <f>IF(ISNA(VLOOKUP(A98,'Données projet'!$A$139:$I$159,3,0)),0,VLOOKUP(A98,'Données projet'!$A$139:$I$159,3,0))</f>
        <v>17</v>
      </c>
      <c r="DB98" s="16">
        <f>IF(ISNA(VLOOKUP(A98,'Données projet'!$A$139:$I$159,4,0)),0,VLOOKUP(A98,'Données projet'!$A$139:$I$159,4,0))</f>
        <v>17</v>
      </c>
      <c r="DC98" s="17">
        <f>IF(ISNA(VLOOKUP(A98,'Données projet'!$A$139:$I$159,5,0)),0%,VLOOKUP(A98,'Données projet'!$A$139:$I$159,5,0)*VLOOKUP('Données projet'!$B$13,Paramètres!$A$1:$I$88,7,0))</f>
        <v>0.318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projet'!$B$13,Paramètres!$A$1:$I$88,3,0)*0.475*44/12</f>
        <v>30.154798493975051</v>
      </c>
      <c r="DG98" s="23">
        <f>EXP(-LN(2)/25)*DG97+(1-EXP(-LN(2)/25))/(LN(2)/25)*Calculateur!DB98*Calculateur!DD98*VLOOKUP('Données projet'!$B$13,Paramètres!$A$1:$I$88,3,0)*0.475*44/12</f>
        <v>0</v>
      </c>
      <c r="DH98" s="23">
        <f>EXP(-LN(2)/2)*DH97+(1-EXP(-LN(2)/2))/(LN(2)/2)*DB98*DE98*VLOOKUP('Données projet'!$B$13,Paramètres!$A$1:$I$88,3,0)*0.475*44/12</f>
        <v>0</v>
      </c>
      <c r="DI98" s="24">
        <f t="shared" si="69"/>
        <v>30.154798493975051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1.1368683772161603E-13</v>
      </c>
      <c r="DP98" s="18">
        <f>DO98*VLOOKUP('Données projet'!$B$14,Paramètres!$A$1:$I$88,3,0)*VLOOKUP('Données projet'!$B$14,Paramètres!$A$1:$I$88,5,0)</f>
        <v>8.3355189417488869E-14</v>
      </c>
      <c r="DQ98" s="14">
        <f t="shared" si="97"/>
        <v>1.2790518435140618E-12</v>
      </c>
      <c r="DR98" s="22">
        <f t="shared" si="70"/>
        <v>2.3728589156891171E-12</v>
      </c>
      <c r="DS98" s="60">
        <f t="shared" si="71"/>
        <v>275.94744591876832</v>
      </c>
      <c r="DT98" s="60">
        <f ca="1">AVERAGE(OFFSET($DS$3,0,0,'Données projet'!$E$14+1,1))-AVERAGE(OFFSET($H$3,0,0,'Données projet'!$E$14+1,1))</f>
        <v>212.77458587586861</v>
      </c>
      <c r="DU98" s="60">
        <f t="shared" si="98"/>
        <v>260.45879589483513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projet'!$B$14,Paramètres!$A$1:$I$88,3,0)*0.475*44/12</f>
        <v>17.945617285060688</v>
      </c>
      <c r="EB98" s="23">
        <f>EXP(-LN(2)/25)*EB97+(1-EXP(-LN(2)/25))/(LN(2)/25)*Calculateur!DW98*Calculateur!DY98*VLOOKUP('Données projet'!$B$14,Paramètres!$A$1:$I$88,3,0)*0.475*44/12</f>
        <v>7.6771911357321354</v>
      </c>
      <c r="EC98" s="23">
        <f>EXP(-LN(2)/2)*EC97+(1-EXP(-LN(2)/2))/(LN(2)/2)*DW98*DZ98*VLOOKUP('Données projet'!$B$14,Paramètres!$A$1:$I$88,3,0)*0.475*44/12</f>
        <v>0</v>
      </c>
      <c r="ED98" s="24">
        <f t="shared" si="72"/>
        <v>25.622808420792822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5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8">
        <f t="shared" si="56"/>
        <v>183.33333333333334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3.4106051316484809E-13</v>
      </c>
      <c r="O99" s="14">
        <f>N99*VLOOKUP('Données projet'!$B$9,Paramètres!$A$1:$I$88,3,0)*VLOOKUP('Données projet'!$B$9,Paramètres!$A$1:$I$88,5,0)</f>
        <v>1.9065282685915009E-13</v>
      </c>
      <c r="P99" s="14">
        <f t="shared" si="87"/>
        <v>2.6568987209435707E-12</v>
      </c>
      <c r="Q99" s="22">
        <f t="shared" ref="Q99:Q130" si="107">(O99+P99)*0.475*44/12</f>
        <v>4.959485612423072E-12</v>
      </c>
      <c r="R99" s="60">
        <f t="shared" si="55"/>
        <v>276.24905219639237</v>
      </c>
      <c r="S99" s="60">
        <f ca="1">AVERAGE(OFFSET($R$3,0,0,'Données projet'!$E$9+1,1))-AVERAGE(OFFSET($H$3,0,0,'Données projet'!$E$9+1,1))</f>
        <v>366.29380214443631</v>
      </c>
      <c r="T99" s="60">
        <f t="shared" si="88"/>
        <v>413.14502442862897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117.46326672881713</v>
      </c>
      <c r="AA99" s="23">
        <f>EXP(-LN(2)/25)*AA98+(1-EXP(-LN(2)/25))/(LN(2)/25)*Calculateur!V99*Calculateur!X99*VLOOKUP('Données projet'!$B$9,Paramètres!$A$1:$I$88,3,0)*0.475*44/12</f>
        <v>48.844149094622054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166.30741582343919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452.49999999999989</v>
      </c>
      <c r="AJ99" s="14">
        <f>AI99*VLOOKUP('Données projet'!$B$10,Paramètres!$A$1:$I$88,3,0)*VLOOKUP('Données projet'!$B$10,Paramètres!$A$1:$I$88,5,0)</f>
        <v>395.30399999999992</v>
      </c>
      <c r="AK99" s="14">
        <f t="shared" si="89"/>
        <v>90.823969929029445</v>
      </c>
      <c r="AL99" s="22">
        <f t="shared" si="58"/>
        <v>846.67288095972606</v>
      </c>
      <c r="AM99" s="60">
        <f t="shared" si="59"/>
        <v>1122.9219331561135</v>
      </c>
      <c r="AN99" s="60">
        <f ca="1">AVERAGE(OFFSET($AM$3,0,0,'Données projet'!$E$10+1,1))-AVERAGE(OFFSET($H$3,0,0,'Données projet'!$E$10+1,1))</f>
        <v>436.5217771315057</v>
      </c>
      <c r="AO99" s="60">
        <f t="shared" si="90"/>
        <v>308.97310256098365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30.051646498980517</v>
      </c>
      <c r="AV99" s="23">
        <f>EXP(-LN(2)/25)*AV98+(1-EXP(-LN(2)/25))/(LN(2)/25)*Calculateur!AQ99*Calculateur!AS99*VLOOKUP('Données projet'!$B$10,Paramètres!$A$1:$I$88,3,0)*0.475*44/12</f>
        <v>12.227658284407173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42.279304783387687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5.4</v>
      </c>
      <c r="BD99" s="13">
        <f>IF('Données projet'!$A$88&gt;35,BD98+BC99-BL98,IF(A99&lt;'Données projet'!$A$88,$BA$205^A99,IF(A99='Données projet'!$A$88,'Données projet'!$B$88,BD98+BC99-BL98)))</f>
        <v>198.39999999999995</v>
      </c>
      <c r="BE99" s="14">
        <f>BD99*VLOOKUP('Données projet'!$B$11,Paramètres!$A$1:$I$88,3,0)*VLOOKUP('Données projet'!$B$11,Paramètres!$A$1:$I$88,5,0)</f>
        <v>201.17759999999998</v>
      </c>
      <c r="BF99" s="14">
        <f t="shared" si="91"/>
        <v>50.002880070410733</v>
      </c>
      <c r="BG99" s="22">
        <f t="shared" si="61"/>
        <v>437.47266945596533</v>
      </c>
      <c r="BH99" s="60">
        <f t="shared" si="62"/>
        <v>713.7217216523527</v>
      </c>
      <c r="BI99" s="60">
        <f ca="1">AVERAGE(OFFSET($BH$3,0,0,'Données projet'!$E$11+1,1))-AVERAGE(OFFSET($H$3,0,0,'Données projet'!$E$11+1,1))</f>
        <v>108.30434106718693</v>
      </c>
      <c r="BJ99" s="60">
        <f t="shared" si="92"/>
        <v>67.653808657585842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35.50216047063428</v>
      </c>
      <c r="BQ99" s="23">
        <f>EXP(-LN(2)/25)*BQ98+(1-EXP(-LN(2)/25))/(LN(2)/25)*Calculateur!BL99*Calculateur!BN99*VLOOKUP('Données projet'!$B$11,Paramètres!$A$1:$I$88,3,0)*0.475*44/12</f>
        <v>0</v>
      </c>
      <c r="BR99" s="23">
        <f>EXP(-LN(2)/2)*BR98+(1-EXP(-LN(2)/2))/(LN(2)/2)*BL99*BO99*VLOOKUP('Données projet'!$B$11,Paramètres!$A$1:$I$88,3,0)*0.475*44/12</f>
        <v>0</v>
      </c>
      <c r="BS99" s="24">
        <f t="shared" si="63"/>
        <v>35.50216047063428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projet'!$B$12,Paramètres!$A$1:$I$88,3,0)*VLOOKUP('Données projet'!$B$12,Paramètres!$A$1:$I$88,5,0)</f>
        <v>0</v>
      </c>
      <c r="CA99" s="14" t="e">
        <f t="shared" si="93"/>
        <v>#NUM!</v>
      </c>
      <c r="CB99" s="22" t="e">
        <f t="shared" si="64"/>
        <v>#NUM!</v>
      </c>
      <c r="CC99" s="60" t="e">
        <f t="shared" si="65"/>
        <v>#NUM!</v>
      </c>
      <c r="CD99" s="60">
        <f ca="1">AVERAGE(OFFSET($CC$3,0,0,'Données projet'!$E$12+1,1))-AVERAGE(OFFSET($H$3,0,0,'Données projet'!$E$12+1,1))</f>
        <v>171.08593400758221</v>
      </c>
      <c r="CE99" s="60">
        <f t="shared" si="94"/>
        <v>201.9528484086932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projet'!$B$12,Paramètres!$A$1:$I$88,3,0)*0.475*44/12</f>
        <v>35.929830310095106</v>
      </c>
      <c r="CL99" s="23">
        <f>EXP(-LN(2)/25)*CL98+(1-EXP(-LN(2)/25))/(LN(2)/25)*Calculateur!CG99*Calculateur!CI99*VLOOKUP('Données projet'!$B$12,Paramètres!$A$1:$I$88,3,0)*0.475*44/12</f>
        <v>15.729537926061559</v>
      </c>
      <c r="CM99" s="23">
        <f>EXP(-LN(2)/2)*CM98+(1-EXP(-LN(2)/2))/(LN(2)/2)*CG99*CJ99*VLOOKUP('Données projet'!$B$12,Paramètres!$A$1:$I$88,3,0)*0.475*44/12</f>
        <v>0</v>
      </c>
      <c r="CN99" s="24">
        <f t="shared" si="66"/>
        <v>51.659368236156666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5.2</v>
      </c>
      <c r="CT99" s="13">
        <f>IF('Données projet'!$A$140&gt;35,CT98+CS99-DB98,IF(A99&lt;'Données projet'!$A$140,$CQ$205^A99,IF(A99='Données projet'!$A$140,'Données projet'!$B$140,CT98+CS99-DB98)))</f>
        <v>409.19999999999993</v>
      </c>
      <c r="CU99" s="18">
        <f>CT99*VLOOKUP('Données projet'!$B$13,Paramètres!$A$1:$I$88,3,0)*VLOOKUP('Données projet'!$B$13,Paramètres!$A$1:$I$88,5,0)</f>
        <v>274.49135999999993</v>
      </c>
      <c r="CV99" s="14">
        <f t="shared" si="95"/>
        <v>65.801532087530177</v>
      </c>
      <c r="CW99" s="22">
        <f t="shared" si="67"/>
        <v>592.67678705244816</v>
      </c>
      <c r="CX99" s="60">
        <f t="shared" si="68"/>
        <v>868.92583924883559</v>
      </c>
      <c r="CY99" s="60">
        <f ca="1">AVERAGE(OFFSET($CX$3,0,0,'Données projet'!$E$13+1,1))-AVERAGE(OFFSET($H$3,0,0,'Données projet'!$E$13+1,1))</f>
        <v>283.66646124753868</v>
      </c>
      <c r="CZ99" s="60">
        <f t="shared" si="96"/>
        <v>331.61926649572797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projet'!$B$13,Paramètres!$A$1:$I$88,3,0)*0.475*44/12</f>
        <v>29.56348128811916</v>
      </c>
      <c r="DG99" s="23">
        <f>EXP(-LN(2)/25)*DG98+(1-EXP(-LN(2)/25))/(LN(2)/25)*Calculateur!DB99*Calculateur!DD99*VLOOKUP('Données projet'!$B$13,Paramètres!$A$1:$I$88,3,0)*0.475*44/12</f>
        <v>0</v>
      </c>
      <c r="DH99" s="23">
        <f>EXP(-LN(2)/2)*DH98+(1-EXP(-LN(2)/2))/(LN(2)/2)*DB99*DE99*VLOOKUP('Données projet'!$B$13,Paramètres!$A$1:$I$88,3,0)*0.475*44/12</f>
        <v>0</v>
      </c>
      <c r="DI99" s="24">
        <f t="shared" si="69"/>
        <v>29.56348128811916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1.1368683772161603E-13</v>
      </c>
      <c r="DP99" s="18">
        <f>DO99*VLOOKUP('Données projet'!$B$14,Paramètres!$A$1:$I$88,3,0)*VLOOKUP('Données projet'!$B$14,Paramètres!$A$1:$I$88,5,0)</f>
        <v>8.3355189417488869E-14</v>
      </c>
      <c r="DQ99" s="14">
        <f t="shared" si="97"/>
        <v>1.2790518435140618E-12</v>
      </c>
      <c r="DR99" s="22">
        <f t="shared" si="70"/>
        <v>2.3728589156891171E-12</v>
      </c>
      <c r="DS99" s="60">
        <f t="shared" si="71"/>
        <v>276.24905219638981</v>
      </c>
      <c r="DT99" s="60">
        <f ca="1">AVERAGE(OFFSET($DS$3,0,0,'Données projet'!$E$14+1,1))-AVERAGE(OFFSET($H$3,0,0,'Données projet'!$E$14+1,1))</f>
        <v>212.77458587586861</v>
      </c>
      <c r="DU99" s="60">
        <f t="shared" si="98"/>
        <v>260.45879589483513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projet'!$B$14,Paramètres!$A$1:$I$88,3,0)*0.475*44/12</f>
        <v>17.593714675846389</v>
      </c>
      <c r="EB99" s="23">
        <f>EXP(-LN(2)/25)*EB98+(1-EXP(-LN(2)/25))/(LN(2)/25)*Calculateur!DW99*Calculateur!DY99*VLOOKUP('Données projet'!$B$14,Paramètres!$A$1:$I$88,3,0)*0.475*44/12</f>
        <v>7.4672579403996044</v>
      </c>
      <c r="EC99" s="23">
        <f>EXP(-LN(2)/2)*EC98+(1-EXP(-LN(2)/2))/(LN(2)/2)*DW99*DZ99*VLOOKUP('Données projet'!$B$14,Paramètres!$A$1:$I$88,3,0)*0.475*44/12</f>
        <v>0</v>
      </c>
      <c r="ED99" s="24">
        <f t="shared" si="72"/>
        <v>25.060972616245994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5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8">
        <f t="shared" si="56"/>
        <v>183.33333333333334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3.4106051316484809E-13</v>
      </c>
      <c r="O100" s="14">
        <f>N100*VLOOKUP('Données projet'!$B$9,Paramètres!$A$1:$I$88,3,0)*VLOOKUP('Données projet'!$B$9,Paramètres!$A$1:$I$88,5,0)</f>
        <v>1.9065282685915009E-13</v>
      </c>
      <c r="P100" s="14">
        <f t="shared" si="87"/>
        <v>2.6568987209435707E-12</v>
      </c>
      <c r="Q100" s="22">
        <f t="shared" si="107"/>
        <v>4.959485612423072E-12</v>
      </c>
      <c r="R100" s="60">
        <f t="shared" si="55"/>
        <v>276.54542627938775</v>
      </c>
      <c r="S100" s="60">
        <f ca="1">AVERAGE(OFFSET($R$3,0,0,'Données projet'!$E$9+1,1))-AVERAGE(OFFSET($H$3,0,0,'Données projet'!$E$9+1,1))</f>
        <v>366.29380214443631</v>
      </c>
      <c r="T100" s="60">
        <f t="shared" si="88"/>
        <v>413.14502442862897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115.15988371378333</v>
      </c>
      <c r="AA100" s="23">
        <f>EXP(-LN(2)/25)*AA99+(1-EXP(-LN(2)/25))/(LN(2)/25)*Calculateur!V100*Calculateur!X100*VLOOKUP('Données projet'!$B$9,Paramètres!$A$1:$I$88,3,0)*0.475*44/12</f>
        <v>47.50850326902745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162.66838698281077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452.49999999999989</v>
      </c>
      <c r="AJ100" s="14">
        <f>AI100*VLOOKUP('Données projet'!$B$10,Paramètres!$A$1:$I$88,3,0)*VLOOKUP('Données projet'!$B$10,Paramètres!$A$1:$I$88,5,0)</f>
        <v>395.30399999999992</v>
      </c>
      <c r="AK100" s="14">
        <f t="shared" si="89"/>
        <v>90.823969929029445</v>
      </c>
      <c r="AL100" s="22">
        <f t="shared" si="58"/>
        <v>846.67288095972606</v>
      </c>
      <c r="AM100" s="60">
        <f t="shared" si="59"/>
        <v>1123.218307239109</v>
      </c>
      <c r="AN100" s="60">
        <f ca="1">AVERAGE(OFFSET($AM$3,0,0,'Données projet'!$E$10+1,1))-AVERAGE(OFFSET($H$3,0,0,'Données projet'!$E$10+1,1))</f>
        <v>436.5217771315057</v>
      </c>
      <c r="AO100" s="60">
        <f t="shared" si="90"/>
        <v>308.97310256098365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29.462352040829966</v>
      </c>
      <c r="AV100" s="23">
        <f>EXP(-LN(2)/25)*AV99+(1-EXP(-LN(2)/25))/(LN(2)/25)*Calculateur!AQ100*Calculateur!AS100*VLOOKUP('Données projet'!$B$10,Paramètres!$A$1:$I$88,3,0)*0.475*44/12</f>
        <v>11.893292325595457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41.355644366425423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5.4</v>
      </c>
      <c r="BD100" s="13">
        <f>IF('Données projet'!$A$88&gt;35,BD99+BC100-BL99,IF(A100&lt;'Données projet'!$A$88,$BA$205^A100,IF(A100='Données projet'!$A$88,'Données projet'!$B$88,BD99+BC100-BL99)))</f>
        <v>203.79999999999995</v>
      </c>
      <c r="BE100" s="14">
        <f>BD100*VLOOKUP('Données projet'!$B$11,Paramètres!$A$1:$I$88,3,0)*VLOOKUP('Données projet'!$B$11,Paramètres!$A$1:$I$88,5,0)</f>
        <v>206.65319999999997</v>
      </c>
      <c r="BF100" s="14">
        <f t="shared" si="91"/>
        <v>51.203543269642587</v>
      </c>
      <c r="BG100" s="22">
        <f t="shared" si="61"/>
        <v>449.10049452796073</v>
      </c>
      <c r="BH100" s="60">
        <f t="shared" si="62"/>
        <v>725.6459208073436</v>
      </c>
      <c r="BI100" s="60">
        <f ca="1">AVERAGE(OFFSET($BH$3,0,0,'Données projet'!$E$11+1,1))-AVERAGE(OFFSET($H$3,0,0,'Données projet'!$E$11+1,1))</f>
        <v>108.30434106718693</v>
      </c>
      <c r="BJ100" s="60">
        <f t="shared" si="92"/>
        <v>67.653808657585842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34.805984757984859</v>
      </c>
      <c r="BQ100" s="23">
        <f>EXP(-LN(2)/25)*BQ99+(1-EXP(-LN(2)/25))/(LN(2)/25)*Calculateur!BL100*Calculateur!BN100*VLOOKUP('Données projet'!$B$11,Paramètres!$A$1:$I$88,3,0)*0.475*44/12</f>
        <v>0</v>
      </c>
      <c r="BR100" s="23">
        <f>EXP(-LN(2)/2)*BR99+(1-EXP(-LN(2)/2))/(LN(2)/2)*BL100*BO100*VLOOKUP('Données projet'!$B$11,Paramètres!$A$1:$I$88,3,0)*0.475*44/12</f>
        <v>0</v>
      </c>
      <c r="BS100" s="24">
        <f t="shared" si="63"/>
        <v>34.805984757984859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projet'!$B$12,Paramètres!$A$1:$I$88,3,0)*VLOOKUP('Données projet'!$B$12,Paramètres!$A$1:$I$88,5,0)</f>
        <v>0</v>
      </c>
      <c r="CA100" s="14" t="e">
        <f t="shared" si="93"/>
        <v>#NUM!</v>
      </c>
      <c r="CB100" s="22" t="e">
        <f t="shared" si="64"/>
        <v>#NUM!</v>
      </c>
      <c r="CC100" s="60" t="e">
        <f t="shared" si="65"/>
        <v>#NUM!</v>
      </c>
      <c r="CD100" s="60">
        <f ca="1">AVERAGE(OFFSET($CC$3,0,0,'Données projet'!$E$12+1,1))-AVERAGE(OFFSET($H$3,0,0,'Données projet'!$E$12+1,1))</f>
        <v>171.08593400758221</v>
      </c>
      <c r="CE100" s="60">
        <f t="shared" si="94"/>
        <v>201.9528484086932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projet'!$B$12,Paramètres!$A$1:$I$88,3,0)*0.475*44/12</f>
        <v>35.225268252746702</v>
      </c>
      <c r="CL100" s="23">
        <f>EXP(-LN(2)/25)*CL99+(1-EXP(-LN(2)/25))/(LN(2)/25)*Calculateur!CG100*Calculateur!CI100*VLOOKUP('Données projet'!$B$12,Paramètres!$A$1:$I$88,3,0)*0.475*44/12</f>
        <v>15.299412884292956</v>
      </c>
      <c r="CM100" s="23">
        <f>EXP(-LN(2)/2)*CM99+(1-EXP(-LN(2)/2))/(LN(2)/2)*CG100*CJ100*VLOOKUP('Données projet'!$B$12,Paramètres!$A$1:$I$88,3,0)*0.475*44/12</f>
        <v>0</v>
      </c>
      <c r="CN100" s="24">
        <f t="shared" si="66"/>
        <v>50.524681137039657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5.2</v>
      </c>
      <c r="CT100" s="13">
        <f>IF('Données projet'!$A$140&gt;35,CT99+CS100-DB99,IF(A100&lt;'Données projet'!$A$140,$CQ$205^A100,IF(A100='Données projet'!$A$140,'Données projet'!$B$140,CT99+CS100-DB99)))</f>
        <v>414.39999999999992</v>
      </c>
      <c r="CU100" s="18">
        <f>CT100*VLOOKUP('Données projet'!$B$13,Paramètres!$A$1:$I$88,3,0)*VLOOKUP('Données projet'!$B$13,Paramètres!$A$1:$I$88,5,0)</f>
        <v>277.97951999999992</v>
      </c>
      <c r="CV100" s="14">
        <f t="shared" si="95"/>
        <v>66.539843570185354</v>
      </c>
      <c r="CW100" s="22">
        <f t="shared" si="67"/>
        <v>600.03789155140601</v>
      </c>
      <c r="CX100" s="60">
        <f t="shared" si="68"/>
        <v>876.58331783078881</v>
      </c>
      <c r="CY100" s="60">
        <f ca="1">AVERAGE(OFFSET($CX$3,0,0,'Données projet'!$E$13+1,1))-AVERAGE(OFFSET($H$3,0,0,'Données projet'!$E$13+1,1))</f>
        <v>283.66646124753868</v>
      </c>
      <c r="CZ100" s="60">
        <f t="shared" si="96"/>
        <v>331.61926649572797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projet'!$B$13,Paramètres!$A$1:$I$88,3,0)*0.475*44/12</f>
        <v>28.983759452002221</v>
      </c>
      <c r="DG100" s="23">
        <f>EXP(-LN(2)/25)*DG99+(1-EXP(-LN(2)/25))/(LN(2)/25)*Calculateur!DB100*Calculateur!DD100*VLOOKUP('Données projet'!$B$13,Paramètres!$A$1:$I$88,3,0)*0.475*44/12</f>
        <v>0</v>
      </c>
      <c r="DH100" s="23">
        <f>EXP(-LN(2)/2)*DH99+(1-EXP(-LN(2)/2))/(LN(2)/2)*DB100*DE100*VLOOKUP('Données projet'!$B$13,Paramètres!$A$1:$I$88,3,0)*0.475*44/12</f>
        <v>0</v>
      </c>
      <c r="DI100" s="24">
        <f t="shared" si="69"/>
        <v>28.983759452002221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1.1368683772161603E-13</v>
      </c>
      <c r="DP100" s="18">
        <f>DO100*VLOOKUP('Données projet'!$B$14,Paramètres!$A$1:$I$88,3,0)*VLOOKUP('Données projet'!$B$14,Paramètres!$A$1:$I$88,5,0)</f>
        <v>8.3355189417488869E-14</v>
      </c>
      <c r="DQ100" s="14">
        <f t="shared" si="97"/>
        <v>1.2790518435140618E-12</v>
      </c>
      <c r="DR100" s="22">
        <f t="shared" si="70"/>
        <v>2.3728589156891171E-12</v>
      </c>
      <c r="DS100" s="60">
        <f t="shared" si="71"/>
        <v>276.5454262793852</v>
      </c>
      <c r="DT100" s="60">
        <f ca="1">AVERAGE(OFFSET($DS$3,0,0,'Données projet'!$E$14+1,1))-AVERAGE(OFFSET($H$3,0,0,'Données projet'!$E$14+1,1))</f>
        <v>212.77458587586861</v>
      </c>
      <c r="DU100" s="60">
        <f t="shared" si="98"/>
        <v>260.45879589483513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projet'!$B$14,Paramètres!$A$1:$I$88,3,0)*0.475*44/12</f>
        <v>17.248712662159384</v>
      </c>
      <c r="EB100" s="23">
        <f>EXP(-LN(2)/25)*EB99+(1-EXP(-LN(2)/25))/(LN(2)/25)*Calculateur!DW100*Calculateur!DY100*VLOOKUP('Données projet'!$B$14,Paramètres!$A$1:$I$88,3,0)*0.475*44/12</f>
        <v>7.2630653793333488</v>
      </c>
      <c r="EC100" s="23">
        <f>EXP(-LN(2)/2)*EC99+(1-EXP(-LN(2)/2))/(LN(2)/2)*DW100*DZ100*VLOOKUP('Données projet'!$B$14,Paramètres!$A$1:$I$88,3,0)*0.475*44/12</f>
        <v>0</v>
      </c>
      <c r="ED100" s="24">
        <f t="shared" si="72"/>
        <v>24.511778041492732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5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8">
        <f t="shared" si="56"/>
        <v>183.33333333333334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3.4106051316484809E-13</v>
      </c>
      <c r="O101" s="14">
        <f>N101*VLOOKUP('Données projet'!$B$9,Paramètres!$A$1:$I$88,3,0)*VLOOKUP('Données projet'!$B$9,Paramètres!$A$1:$I$88,5,0)</f>
        <v>1.9065282685915009E-13</v>
      </c>
      <c r="P101" s="14">
        <f t="shared" si="87"/>
        <v>2.6568987209435707E-12</v>
      </c>
      <c r="Q101" s="22">
        <f t="shared" si="107"/>
        <v>4.959485612423072E-12</v>
      </c>
      <c r="R101" s="60">
        <f t="shared" si="55"/>
        <v>276.83665893463632</v>
      </c>
      <c r="S101" s="60">
        <f ca="1">AVERAGE(OFFSET($R$3,0,0,'Données projet'!$E$9+1,1))-AVERAGE(OFFSET($H$3,0,0,'Données projet'!$E$9+1,1))</f>
        <v>366.29380214443631</v>
      </c>
      <c r="T101" s="60">
        <f t="shared" si="88"/>
        <v>413.14502442862897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112.90166863474943</v>
      </c>
      <c r="AA101" s="23">
        <f>EXP(-LN(2)/25)*AA100+(1-EXP(-LN(2)/25))/(LN(2)/25)*Calculateur!V101*Calculateur!X101*VLOOKUP('Données projet'!$B$9,Paramètres!$A$1:$I$88,3,0)*0.475*44/12</f>
        <v>46.20938074877229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159.11104938352173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452.49999999999989</v>
      </c>
      <c r="AJ101" s="14">
        <f>AI101*VLOOKUP('Données projet'!$B$10,Paramètres!$A$1:$I$88,3,0)*VLOOKUP('Données projet'!$B$10,Paramètres!$A$1:$I$88,5,0)</f>
        <v>395.30399999999992</v>
      </c>
      <c r="AK101" s="14">
        <f t="shared" si="89"/>
        <v>90.823969929029445</v>
      </c>
      <c r="AL101" s="22">
        <f t="shared" si="58"/>
        <v>846.67288095972606</v>
      </c>
      <c r="AM101" s="60">
        <f t="shared" si="59"/>
        <v>1123.5095398943574</v>
      </c>
      <c r="AN101" s="60">
        <f ca="1">AVERAGE(OFFSET($AM$3,0,0,'Données projet'!$E$10+1,1))-AVERAGE(OFFSET($H$3,0,0,'Données projet'!$E$10+1,1))</f>
        <v>436.5217771315057</v>
      </c>
      <c r="AO101" s="60">
        <f t="shared" si="90"/>
        <v>308.97310256098365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28.884613287569621</v>
      </c>
      <c r="AV101" s="23">
        <f>EXP(-LN(2)/25)*AV100+(1-EXP(-LN(2)/25))/(LN(2)/25)*Calculateur!AQ101*Calculateur!AS101*VLOOKUP('Données projet'!$B$10,Paramètres!$A$1:$I$88,3,0)*0.475*44/12</f>
        <v>11.568069621510988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40.452682909080607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5.4</v>
      </c>
      <c r="BD101" s="13">
        <f>IF('Données projet'!$A$88&gt;35,BD100+BC101-BL100,IF(A101&lt;'Données projet'!$A$88,$BA$205^A101,IF(A101='Données projet'!$A$88,'Données projet'!$B$88,BD100+BC101-BL100)))</f>
        <v>209.19999999999996</v>
      </c>
      <c r="BE101" s="14">
        <f>BD101*VLOOKUP('Données projet'!$B$11,Paramètres!$A$1:$I$88,3,0)*VLOOKUP('Données projet'!$B$11,Paramètres!$A$1:$I$88,5,0)</f>
        <v>212.12879999999998</v>
      </c>
      <c r="BF101" s="14">
        <f t="shared" si="91"/>
        <v>52.400508630618717</v>
      </c>
      <c r="BG101" s="22">
        <f t="shared" si="61"/>
        <v>460.72187919832754</v>
      </c>
      <c r="BH101" s="60">
        <f t="shared" si="62"/>
        <v>737.55853813295892</v>
      </c>
      <c r="BI101" s="60">
        <f ca="1">AVERAGE(OFFSET($BH$3,0,0,'Données projet'!$E$11+1,1))-AVERAGE(OFFSET($H$3,0,0,'Données projet'!$E$11+1,1))</f>
        <v>108.30434106718693</v>
      </c>
      <c r="BJ101" s="60">
        <f t="shared" si="92"/>
        <v>67.653808657585842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34.123460626435232</v>
      </c>
      <c r="BQ101" s="23">
        <f>EXP(-LN(2)/25)*BQ100+(1-EXP(-LN(2)/25))/(LN(2)/25)*Calculateur!BL101*Calculateur!BN101*VLOOKUP('Données projet'!$B$11,Paramètres!$A$1:$I$88,3,0)*0.475*44/12</f>
        <v>0</v>
      </c>
      <c r="BR101" s="23">
        <f>EXP(-LN(2)/2)*BR100+(1-EXP(-LN(2)/2))/(LN(2)/2)*BL101*BO101*VLOOKUP('Données projet'!$B$11,Paramètres!$A$1:$I$88,3,0)*0.475*44/12</f>
        <v>0</v>
      </c>
      <c r="BS101" s="24">
        <f t="shared" si="63"/>
        <v>34.123460626435232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projet'!$B$12,Paramètres!$A$1:$I$88,3,0)*VLOOKUP('Données projet'!$B$12,Paramètres!$A$1:$I$88,5,0)</f>
        <v>0</v>
      </c>
      <c r="CA101" s="14" t="e">
        <f t="shared" si="93"/>
        <v>#NUM!</v>
      </c>
      <c r="CB101" s="22" t="e">
        <f t="shared" si="64"/>
        <v>#NUM!</v>
      </c>
      <c r="CC101" s="60" t="e">
        <f t="shared" si="65"/>
        <v>#NUM!</v>
      </c>
      <c r="CD101" s="60">
        <f ca="1">AVERAGE(OFFSET($CC$3,0,0,'Données projet'!$E$12+1,1))-AVERAGE(OFFSET($H$3,0,0,'Données projet'!$E$12+1,1))</f>
        <v>171.08593400758221</v>
      </c>
      <c r="CE101" s="60">
        <f t="shared" si="94"/>
        <v>201.9528484086932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projet'!$B$12,Paramètres!$A$1:$I$88,3,0)*0.475*44/12</f>
        <v>34.53452222760248</v>
      </c>
      <c r="CL101" s="23">
        <f>EXP(-LN(2)/25)*CL100+(1-EXP(-LN(2)/25))/(LN(2)/25)*Calculateur!CG101*Calculateur!CI101*VLOOKUP('Données projet'!$B$12,Paramètres!$A$1:$I$88,3,0)*0.475*44/12</f>
        <v>14.881049634410809</v>
      </c>
      <c r="CM101" s="23">
        <f>EXP(-LN(2)/2)*CM100+(1-EXP(-LN(2)/2))/(LN(2)/2)*CG101*CJ101*VLOOKUP('Données projet'!$B$12,Paramètres!$A$1:$I$88,3,0)*0.475*44/12</f>
        <v>0</v>
      </c>
      <c r="CN101" s="24">
        <f t="shared" si="66"/>
        <v>49.415571862013287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5.2</v>
      </c>
      <c r="CT101" s="13">
        <f>IF('Données projet'!$A$140&gt;35,CT100+CS101-DB100,IF(A101&lt;'Données projet'!$A$140,$CQ$205^A101,IF(A101='Données projet'!$A$140,'Données projet'!$B$140,CT100+CS101-DB100)))</f>
        <v>419.59999999999991</v>
      </c>
      <c r="CU101" s="18">
        <f>CT101*VLOOKUP('Données projet'!$B$13,Paramètres!$A$1:$I$88,3,0)*VLOOKUP('Données projet'!$B$13,Paramètres!$A$1:$I$88,5,0)</f>
        <v>281.46767999999997</v>
      </c>
      <c r="CV101" s="14">
        <f t="shared" si="95"/>
        <v>67.277077419245458</v>
      </c>
      <c r="CW101" s="22">
        <f t="shared" si="67"/>
        <v>607.39711917185241</v>
      </c>
      <c r="CX101" s="60">
        <f t="shared" si="68"/>
        <v>884.23377810648378</v>
      </c>
      <c r="CY101" s="60">
        <f ca="1">AVERAGE(OFFSET($CX$3,0,0,'Données projet'!$E$13+1,1))-AVERAGE(OFFSET($H$3,0,0,'Données projet'!$E$13+1,1))</f>
        <v>283.66646124753868</v>
      </c>
      <c r="CZ101" s="60">
        <f t="shared" si="96"/>
        <v>331.61926649572797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projet'!$B$13,Paramètres!$A$1:$I$88,3,0)*0.475*44/12</f>
        <v>28.415405607496133</v>
      </c>
      <c r="DG101" s="23">
        <f>EXP(-LN(2)/25)*DG100+(1-EXP(-LN(2)/25))/(LN(2)/25)*Calculateur!DB101*Calculateur!DD101*VLOOKUP('Données projet'!$B$13,Paramètres!$A$1:$I$88,3,0)*0.475*44/12</f>
        <v>0</v>
      </c>
      <c r="DH101" s="23">
        <f>EXP(-LN(2)/2)*DH100+(1-EXP(-LN(2)/2))/(LN(2)/2)*DB101*DE101*VLOOKUP('Données projet'!$B$13,Paramètres!$A$1:$I$88,3,0)*0.475*44/12</f>
        <v>0</v>
      </c>
      <c r="DI101" s="24">
        <f t="shared" si="69"/>
        <v>28.415405607496133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1.1368683772161603E-13</v>
      </c>
      <c r="DP101" s="18">
        <f>DO101*VLOOKUP('Données projet'!$B$14,Paramètres!$A$1:$I$88,3,0)*VLOOKUP('Données projet'!$B$14,Paramètres!$A$1:$I$88,5,0)</f>
        <v>8.3355189417488869E-14</v>
      </c>
      <c r="DQ101" s="14">
        <f t="shared" si="97"/>
        <v>1.2790518435140618E-12</v>
      </c>
      <c r="DR101" s="22">
        <f t="shared" si="70"/>
        <v>2.3728589156891171E-12</v>
      </c>
      <c r="DS101" s="60">
        <f t="shared" si="71"/>
        <v>276.83665893463376</v>
      </c>
      <c r="DT101" s="60">
        <f ca="1">AVERAGE(OFFSET($DS$3,0,0,'Données projet'!$E$14+1,1))-AVERAGE(OFFSET($H$3,0,0,'Données projet'!$E$14+1,1))</f>
        <v>212.77458587586861</v>
      </c>
      <c r="DU101" s="60">
        <f t="shared" si="98"/>
        <v>260.45879589483513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projet'!$B$14,Paramètres!$A$1:$I$88,3,0)*0.475*44/12</f>
        <v>16.910475927530332</v>
      </c>
      <c r="EB101" s="23">
        <f>EXP(-LN(2)/25)*EB100+(1-EXP(-LN(2)/25))/(LN(2)/25)*Calculateur!DW101*Calculateur!DY101*VLOOKUP('Données projet'!$B$14,Paramètres!$A$1:$I$88,3,0)*0.475*44/12</f>
        <v>7.0644564745874705</v>
      </c>
      <c r="EC101" s="23">
        <f>EXP(-LN(2)/2)*EC100+(1-EXP(-LN(2)/2))/(LN(2)/2)*DW101*DZ101*VLOOKUP('Données projet'!$B$14,Paramètres!$A$1:$I$88,3,0)*0.475*44/12</f>
        <v>0</v>
      </c>
      <c r="ED101" s="24">
        <f t="shared" si="72"/>
        <v>23.974932402117801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5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8">
        <f t="shared" si="56"/>
        <v>183.33333333333334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3.4106051316484809E-13</v>
      </c>
      <c r="O102" s="14">
        <f>N102*VLOOKUP('Données projet'!$B$9,Paramètres!$A$1:$I$88,3,0)*VLOOKUP('Données projet'!$B$9,Paramètres!$A$1:$I$88,5,0)</f>
        <v>1.9065282685915009E-13</v>
      </c>
      <c r="P102" s="14">
        <f t="shared" si="87"/>
        <v>2.6568987209435707E-12</v>
      </c>
      <c r="Q102" s="22">
        <f t="shared" si="107"/>
        <v>4.959485612423072E-12</v>
      </c>
      <c r="R102" s="60">
        <f t="shared" si="55"/>
        <v>277.12283935441508</v>
      </c>
      <c r="S102" s="60">
        <f ca="1">AVERAGE(OFFSET($R$3,0,0,'Données projet'!$E$9+1,1))-AVERAGE(OFFSET($H$3,0,0,'Données projet'!$E$9+1,1))</f>
        <v>366.29380214443631</v>
      </c>
      <c r="T102" s="60">
        <f t="shared" si="88"/>
        <v>413.14502442862897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110.68773577604018</v>
      </c>
      <c r="AA102" s="23">
        <f>EXP(-LN(2)/25)*AA101+(1-EXP(-LN(2)/25))/(LN(2)/25)*Calculateur!V102*Calculateur!X102*VLOOKUP('Données projet'!$B$9,Paramètres!$A$1:$I$88,3,0)*0.475*44/12</f>
        <v>44.945782802151392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155.63351857819157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452.49999999999989</v>
      </c>
      <c r="AJ102" s="14">
        <f>AI102*VLOOKUP('Données projet'!$B$10,Paramètres!$A$1:$I$88,3,0)*VLOOKUP('Données projet'!$B$10,Paramètres!$A$1:$I$88,5,0)</f>
        <v>395.30399999999992</v>
      </c>
      <c r="AK102" s="14">
        <f t="shared" si="89"/>
        <v>90.823969929029445</v>
      </c>
      <c r="AL102" s="22">
        <f t="shared" si="58"/>
        <v>846.67288095972606</v>
      </c>
      <c r="AM102" s="60">
        <f t="shared" si="59"/>
        <v>1123.7957203141361</v>
      </c>
      <c r="AN102" s="60">
        <f ca="1">AVERAGE(OFFSET($AM$3,0,0,'Données projet'!$E$10+1,1))-AVERAGE(OFFSET($H$3,0,0,'Données projet'!$E$10+1,1))</f>
        <v>436.5217771315057</v>
      </c>
      <c r="AO102" s="60">
        <f t="shared" si="90"/>
        <v>308.97310256098365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28.318203638874866</v>
      </c>
      <c r="AV102" s="23">
        <f>EXP(-LN(2)/25)*AV101+(1-EXP(-LN(2)/25))/(LN(2)/25)*Calculateur!AQ102*Calculateur!AS102*VLOOKUP('Données projet'!$B$10,Paramètres!$A$1:$I$88,3,0)*0.475*44/12</f>
        <v>11.251740149372427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39.569943788247294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5.4</v>
      </c>
      <c r="BD102" s="13">
        <f>IF('Données projet'!$A$88&gt;35,BD101+BC102-BL101,IF(A102&lt;'Données projet'!$A$88,$BA$205^A102,IF(A102='Données projet'!$A$88,'Données projet'!$B$88,BD101+BC102-BL101)))</f>
        <v>214.59999999999997</v>
      </c>
      <c r="BE102" s="14">
        <f>BD102*VLOOKUP('Données projet'!$B$11,Paramètres!$A$1:$I$88,3,0)*VLOOKUP('Données projet'!$B$11,Paramètres!$A$1:$I$88,5,0)</f>
        <v>217.60439999999997</v>
      </c>
      <c r="BF102" s="14">
        <f t="shared" si="91"/>
        <v>53.593882578706356</v>
      </c>
      <c r="BG102" s="22">
        <f t="shared" si="61"/>
        <v>472.33700882458015</v>
      </c>
      <c r="BH102" s="60">
        <f t="shared" si="62"/>
        <v>749.45984817899034</v>
      </c>
      <c r="BI102" s="60">
        <f ca="1">AVERAGE(OFFSET($BH$3,0,0,'Données projet'!$E$11+1,1))-AVERAGE(OFFSET($H$3,0,0,'Données projet'!$E$11+1,1))</f>
        <v>108.30434106718693</v>
      </c>
      <c r="BJ102" s="60">
        <f t="shared" si="92"/>
        <v>67.653808657585842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33.454320376806685</v>
      </c>
      <c r="BQ102" s="23">
        <f>EXP(-LN(2)/25)*BQ101+(1-EXP(-LN(2)/25))/(LN(2)/25)*Calculateur!BL102*Calculateur!BN102*VLOOKUP('Données projet'!$B$11,Paramètres!$A$1:$I$88,3,0)*0.475*44/12</f>
        <v>0</v>
      </c>
      <c r="BR102" s="23">
        <f>EXP(-LN(2)/2)*BR101+(1-EXP(-LN(2)/2))/(LN(2)/2)*BL102*BO102*VLOOKUP('Données projet'!$B$11,Paramètres!$A$1:$I$88,3,0)*0.475*44/12</f>
        <v>0</v>
      </c>
      <c r="BS102" s="24">
        <f t="shared" si="63"/>
        <v>33.454320376806685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projet'!$B$12,Paramètres!$A$1:$I$88,3,0)*VLOOKUP('Données projet'!$B$12,Paramètres!$A$1:$I$88,5,0)</f>
        <v>0</v>
      </c>
      <c r="CA102" s="14" t="e">
        <f t="shared" si="93"/>
        <v>#NUM!</v>
      </c>
      <c r="CB102" s="22" t="e">
        <f t="shared" si="64"/>
        <v>#NUM!</v>
      </c>
      <c r="CC102" s="60" t="e">
        <f t="shared" si="65"/>
        <v>#NUM!</v>
      </c>
      <c r="CD102" s="60">
        <f ca="1">AVERAGE(OFFSET($CC$3,0,0,'Données projet'!$E$12+1,1))-AVERAGE(OFFSET($H$3,0,0,'Données projet'!$E$12+1,1))</f>
        <v>171.08593400758221</v>
      </c>
      <c r="CE102" s="60">
        <f t="shared" si="94"/>
        <v>201.9528484086932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projet'!$B$12,Paramètres!$A$1:$I$88,3,0)*0.475*44/12</f>
        <v>33.857321310697856</v>
      </c>
      <c r="CL102" s="23">
        <f>EXP(-LN(2)/25)*CL101+(1-EXP(-LN(2)/25))/(LN(2)/25)*Calculateur!CG102*Calculateur!CI102*VLOOKUP('Données projet'!$B$12,Paramètres!$A$1:$I$88,3,0)*0.475*44/12</f>
        <v>14.474126549597456</v>
      </c>
      <c r="CM102" s="23">
        <f>EXP(-LN(2)/2)*CM101+(1-EXP(-LN(2)/2))/(LN(2)/2)*CG102*CJ102*VLOOKUP('Données projet'!$B$12,Paramètres!$A$1:$I$88,3,0)*0.475*44/12</f>
        <v>0</v>
      </c>
      <c r="CN102" s="24">
        <f t="shared" si="66"/>
        <v>48.331447860295313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5.2</v>
      </c>
      <c r="CT102" s="13">
        <f>IF('Données projet'!$A$140&gt;35,CT101+CS102-DB101,IF(A102&lt;'Données projet'!$A$140,$CQ$205^A102,IF(A102='Données projet'!$A$140,'Données projet'!$B$140,CT101+CS102-DB101)))</f>
        <v>424.7999999999999</v>
      </c>
      <c r="CU102" s="18">
        <f>CT102*VLOOKUP('Données projet'!$B$13,Paramètres!$A$1:$I$88,3,0)*VLOOKUP('Données projet'!$B$13,Paramètres!$A$1:$I$88,5,0)</f>
        <v>284.95583999999997</v>
      </c>
      <c r="CV102" s="14">
        <f t="shared" si="95"/>
        <v>68.013248534082862</v>
      </c>
      <c r="CW102" s="22">
        <f t="shared" si="67"/>
        <v>614.75449586352761</v>
      </c>
      <c r="CX102" s="60">
        <f t="shared" si="68"/>
        <v>891.8773352179378</v>
      </c>
      <c r="CY102" s="60">
        <f ca="1">AVERAGE(OFFSET($CX$3,0,0,'Données projet'!$E$13+1,1))-AVERAGE(OFFSET($H$3,0,0,'Données projet'!$E$13+1,1))</f>
        <v>283.66646124753868</v>
      </c>
      <c r="CZ102" s="60">
        <f t="shared" si="96"/>
        <v>331.61926649572797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projet'!$B$13,Paramètres!$A$1:$I$88,3,0)*0.475*44/12</f>
        <v>27.858196835219193</v>
      </c>
      <c r="DG102" s="23">
        <f>EXP(-LN(2)/25)*DG101+(1-EXP(-LN(2)/25))/(LN(2)/25)*Calculateur!DB102*Calculateur!DD102*VLOOKUP('Données projet'!$B$13,Paramètres!$A$1:$I$88,3,0)*0.475*44/12</f>
        <v>0</v>
      </c>
      <c r="DH102" s="23">
        <f>EXP(-LN(2)/2)*DH101+(1-EXP(-LN(2)/2))/(LN(2)/2)*DB102*DE102*VLOOKUP('Données projet'!$B$13,Paramètres!$A$1:$I$88,3,0)*0.475*44/12</f>
        <v>0</v>
      </c>
      <c r="DI102" s="24">
        <f t="shared" si="69"/>
        <v>27.858196835219193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1.1368683772161603E-13</v>
      </c>
      <c r="DP102" s="18">
        <f>DO102*VLOOKUP('Données projet'!$B$14,Paramètres!$A$1:$I$88,3,0)*VLOOKUP('Données projet'!$B$14,Paramètres!$A$1:$I$88,5,0)</f>
        <v>8.3355189417488869E-14</v>
      </c>
      <c r="DQ102" s="14">
        <f t="shared" si="97"/>
        <v>1.2790518435140618E-12</v>
      </c>
      <c r="DR102" s="22">
        <f t="shared" si="70"/>
        <v>2.3728589156891171E-12</v>
      </c>
      <c r="DS102" s="60">
        <f t="shared" si="71"/>
        <v>277.12283935441252</v>
      </c>
      <c r="DT102" s="60">
        <f ca="1">AVERAGE(OFFSET($DS$3,0,0,'Données projet'!$E$14+1,1))-AVERAGE(OFFSET($H$3,0,0,'Données projet'!$E$14+1,1))</f>
        <v>212.77458587586861</v>
      </c>
      <c r="DU102" s="60">
        <f t="shared" si="98"/>
        <v>260.45879589483513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projet'!$B$14,Paramètres!$A$1:$I$88,3,0)*0.475*44/12</f>
        <v>16.578871808963317</v>
      </c>
      <c r="EB102" s="23">
        <f>EXP(-LN(2)/25)*EB101+(1-EXP(-LN(2)/25))/(LN(2)/25)*Calculateur!DW102*Calculateur!DY102*VLOOKUP('Données projet'!$B$14,Paramètres!$A$1:$I$88,3,0)*0.475*44/12</f>
        <v>6.871278540786256</v>
      </c>
      <c r="EC102" s="23">
        <f>EXP(-LN(2)/2)*EC101+(1-EXP(-LN(2)/2))/(LN(2)/2)*DW102*DZ102*VLOOKUP('Données projet'!$B$14,Paramètres!$A$1:$I$88,3,0)*0.475*44/12</f>
        <v>0</v>
      </c>
      <c r="ED102" s="24">
        <f t="shared" si="72"/>
        <v>23.450150349749574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5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8">
        <f t="shared" si="56"/>
        <v>183.33333333333334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3.4106051316484809E-13</v>
      </c>
      <c r="O103" s="14">
        <f>N103*VLOOKUP('Données projet'!$B$9,Paramètres!$A$1:$I$88,3,0)*VLOOKUP('Données projet'!$B$9,Paramètres!$A$1:$I$88,5,0)</f>
        <v>1.9065282685915009E-13</v>
      </c>
      <c r="P103" s="14">
        <f t="shared" si="87"/>
        <v>2.6568987209435707E-12</v>
      </c>
      <c r="Q103" s="22">
        <f t="shared" si="107"/>
        <v>4.959485612423072E-12</v>
      </c>
      <c r="R103" s="60">
        <f t="shared" si="55"/>
        <v>277.40405518371415</v>
      </c>
      <c r="S103" s="60">
        <f ca="1">AVERAGE(OFFSET($R$3,0,0,'Données projet'!$E$9+1,1))-AVERAGE(OFFSET($H$3,0,0,'Données projet'!$E$9+1,1))</f>
        <v>366.29380214443631</v>
      </c>
      <c r="T103" s="60">
        <f t="shared" si="88"/>
        <v>413.14502442862897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108.51721679032453</v>
      </c>
      <c r="AA103" s="23">
        <f>EXP(-LN(2)/25)*AA102+(1-EXP(-LN(2)/25))/(LN(2)/25)*Calculateur!V103*Calculateur!X103*VLOOKUP('Données projet'!$B$9,Paramètres!$A$1:$I$88,3,0)*0.475*44/12</f>
        <v>43.716738007830571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152.23395479815508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452.49999999999989</v>
      </c>
      <c r="AJ103" s="14">
        <f>AI103*VLOOKUP('Données projet'!$B$10,Paramètres!$A$1:$I$88,3,0)*VLOOKUP('Données projet'!$B$10,Paramètres!$A$1:$I$88,5,0)</f>
        <v>395.30399999999992</v>
      </c>
      <c r="AK103" s="14">
        <f t="shared" si="89"/>
        <v>90.823969929029445</v>
      </c>
      <c r="AL103" s="22">
        <f t="shared" si="58"/>
        <v>846.67288095972606</v>
      </c>
      <c r="AM103" s="60">
        <f t="shared" si="59"/>
        <v>1124.0769361434352</v>
      </c>
      <c r="AN103" s="60">
        <f ca="1">AVERAGE(OFFSET($AM$3,0,0,'Données projet'!$E$10+1,1))-AVERAGE(OFFSET($H$3,0,0,'Données projet'!$E$10+1,1))</f>
        <v>436.5217771315057</v>
      </c>
      <c r="AO103" s="60">
        <f t="shared" si="90"/>
        <v>308.97310256098365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27.762900937915241</v>
      </c>
      <c r="AV103" s="23">
        <f>EXP(-LN(2)/25)*AV102+(1-EXP(-LN(2)/25))/(LN(2)/25)*Calculateur!AQ103*Calculateur!AS103*VLOOKUP('Données projet'!$B$10,Paramètres!$A$1:$I$88,3,0)*0.475*44/12</f>
        <v>10.94406072328454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38.706961661199784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5.4</v>
      </c>
      <c r="BD103" s="13">
        <f>IF('Données projet'!$A$88&gt;35,BD102+BC103-BL102,IF(A103&lt;'Données projet'!$A$88,$BA$205^A103,IF(A103='Données projet'!$A$88,'Données projet'!$B$88,BD102+BC103-BL102)))</f>
        <v>219.99999999999997</v>
      </c>
      <c r="BE103" s="14">
        <f>BD103*VLOOKUP('Données projet'!$B$11,Paramètres!$A$1:$I$88,3,0)*VLOOKUP('Données projet'!$B$11,Paramètres!$A$1:$I$88,5,0)</f>
        <v>223.08</v>
      </c>
      <c r="BF103" s="14">
        <f t="shared" si="91"/>
        <v>54.783765878062667</v>
      </c>
      <c r="BG103" s="22">
        <f t="shared" si="61"/>
        <v>483.94605890429244</v>
      </c>
      <c r="BH103" s="60">
        <f t="shared" si="62"/>
        <v>761.35011408800165</v>
      </c>
      <c r="BI103" s="60">
        <f ca="1">AVERAGE(OFFSET($BH$3,0,0,'Données projet'!$E$11+1,1))-AVERAGE(OFFSET($H$3,0,0,'Données projet'!$E$11+1,1))</f>
        <v>108.30434106718693</v>
      </c>
      <c r="BJ103" s="60">
        <f t="shared" si="92"/>
        <v>67.653808657585842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32.7983015593381</v>
      </c>
      <c r="BQ103" s="23">
        <f>EXP(-LN(2)/25)*BQ102+(1-EXP(-LN(2)/25))/(LN(2)/25)*Calculateur!BL103*Calculateur!BN103*VLOOKUP('Données projet'!$B$11,Paramètres!$A$1:$I$88,3,0)*0.475*44/12</f>
        <v>0</v>
      </c>
      <c r="BR103" s="23">
        <f>EXP(-LN(2)/2)*BR102+(1-EXP(-LN(2)/2))/(LN(2)/2)*BL103*BO103*VLOOKUP('Données projet'!$B$11,Paramètres!$A$1:$I$88,3,0)*0.475*44/12</f>
        <v>0</v>
      </c>
      <c r="BS103" s="24">
        <f t="shared" si="63"/>
        <v>32.7983015593381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projet'!$B$12,Paramètres!$A$1:$I$88,3,0)*VLOOKUP('Données projet'!$B$12,Paramètres!$A$1:$I$88,5,0)</f>
        <v>0</v>
      </c>
      <c r="CA103" s="14" t="e">
        <f t="shared" si="93"/>
        <v>#NUM!</v>
      </c>
      <c r="CB103" s="22" t="e">
        <f t="shared" si="64"/>
        <v>#NUM!</v>
      </c>
      <c r="CC103" s="60" t="e">
        <f t="shared" si="65"/>
        <v>#NUM!</v>
      </c>
      <c r="CD103" s="60">
        <f ca="1">AVERAGE(OFFSET($CC$3,0,0,'Données projet'!$E$12+1,1))-AVERAGE(OFFSET($H$3,0,0,'Données projet'!$E$12+1,1))</f>
        <v>171.08593400758221</v>
      </c>
      <c r="CE103" s="60">
        <f t="shared" si="94"/>
        <v>201.9528484086932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projet'!$B$12,Paramètres!$A$1:$I$88,3,0)*0.475*44/12</f>
        <v>33.193399890721963</v>
      </c>
      <c r="CL103" s="23">
        <f>EXP(-LN(2)/25)*CL102+(1-EXP(-LN(2)/25))/(LN(2)/25)*Calculateur!CG103*Calculateur!CI103*VLOOKUP('Données projet'!$B$12,Paramètres!$A$1:$I$88,3,0)*0.475*44/12</f>
        <v>14.078330797937479</v>
      </c>
      <c r="CM103" s="23">
        <f>EXP(-LN(2)/2)*CM102+(1-EXP(-LN(2)/2))/(LN(2)/2)*CG103*CJ103*VLOOKUP('Données projet'!$B$12,Paramètres!$A$1:$I$88,3,0)*0.475*44/12</f>
        <v>0</v>
      </c>
      <c r="CN103" s="24">
        <f t="shared" si="66"/>
        <v>47.271730688659446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430</v>
      </c>
      <c r="CR103" s="13">
        <f>VLOOKUP(A103,'Données projet'!$A$139:$I$159,9,0)</f>
        <v>5.2</v>
      </c>
      <c r="CS103" s="13">
        <f t="array" ref="CS103">INDEX(CR:CR,MIN(IF(ISNUMBER(CR103:CR299),ROW(CR103:CR299),"")))</f>
        <v>5.2</v>
      </c>
      <c r="CT103" s="13">
        <f>IF('Données projet'!$A$140&gt;35,CT102+CS103-DB102,IF(A103&lt;'Données projet'!$A$140,$CQ$205^A103,IF(A103='Données projet'!$A$140,'Données projet'!$B$140,CT102+CS103-DB102)))</f>
        <v>429.99999999999989</v>
      </c>
      <c r="CU103" s="18">
        <f>CT103*VLOOKUP('Données projet'!$B$13,Paramètres!$A$1:$I$88,3,0)*VLOOKUP('Données projet'!$B$13,Paramètres!$A$1:$I$88,5,0)</f>
        <v>288.4439999999999</v>
      </c>
      <c r="CV103" s="14">
        <f t="shared" si="95"/>
        <v>68.748371428318265</v>
      </c>
      <c r="CW103" s="22">
        <f t="shared" si="67"/>
        <v>622.11004690432071</v>
      </c>
      <c r="CX103" s="60">
        <f t="shared" si="68"/>
        <v>899.51410208802986</v>
      </c>
      <c r="CY103" s="60">
        <f ca="1">AVERAGE(OFFSET($CX$3,0,0,'Données projet'!$E$13+1,1))-AVERAGE(OFFSET($H$3,0,0,'Données projet'!$E$13+1,1))</f>
        <v>283.66646124753868</v>
      </c>
      <c r="CZ103" s="60">
        <f t="shared" si="96"/>
        <v>331.61926649572797</v>
      </c>
      <c r="DA103" s="16">
        <f>IF(ISNA(VLOOKUP(A103,'Données projet'!$A$139:$I$159,3,0)),0,VLOOKUP(A103,'Données projet'!$A$139:$I$159,3,0))</f>
        <v>18</v>
      </c>
      <c r="DB103" s="16">
        <f>IF(ISNA(VLOOKUP(A103,'Données projet'!$A$139:$I$159,4,0)),0,VLOOKUP(A103,'Données projet'!$A$139:$I$159,4,0))</f>
        <v>16</v>
      </c>
      <c r="DC103" s="17">
        <f>IF(ISNA(VLOOKUP(A103,'Données projet'!$A$139:$I$159,5,0)),0%,VLOOKUP(A103,'Données projet'!$A$139:$I$159,5,0)*VLOOKUP('Données projet'!$B$13,Paramètres!$A$1:$I$88,7,0))</f>
        <v>0.318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projet'!$B$13,Paramètres!$A$1:$I$88,3,0)*0.475*44/12</f>
        <v>31.08491859874831</v>
      </c>
      <c r="DG103" s="23">
        <f>EXP(-LN(2)/25)*DG102+(1-EXP(-LN(2)/25))/(LN(2)/25)*Calculateur!DB103*Calculateur!DD103*VLOOKUP('Données projet'!$B$13,Paramètres!$A$1:$I$88,3,0)*0.475*44/12</f>
        <v>0</v>
      </c>
      <c r="DH103" s="23">
        <f>EXP(-LN(2)/2)*DH102+(1-EXP(-LN(2)/2))/(LN(2)/2)*DB103*DE103*VLOOKUP('Données projet'!$B$13,Paramètres!$A$1:$I$88,3,0)*0.475*44/12</f>
        <v>0</v>
      </c>
      <c r="DI103" s="24">
        <f t="shared" si="69"/>
        <v>31.08491859874831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1.1368683772161603E-13</v>
      </c>
      <c r="DP103" s="18">
        <f>DO103*VLOOKUP('Données projet'!$B$14,Paramètres!$A$1:$I$88,3,0)*VLOOKUP('Données projet'!$B$14,Paramètres!$A$1:$I$88,5,0)</f>
        <v>8.3355189417488869E-14</v>
      </c>
      <c r="DQ103" s="14">
        <f t="shared" si="97"/>
        <v>1.2790518435140618E-12</v>
      </c>
      <c r="DR103" s="22">
        <f t="shared" si="70"/>
        <v>2.3728589156891171E-12</v>
      </c>
      <c r="DS103" s="60">
        <f t="shared" si="71"/>
        <v>277.40405518371159</v>
      </c>
      <c r="DT103" s="60">
        <f ca="1">AVERAGE(OFFSET($DS$3,0,0,'Données projet'!$E$14+1,1))-AVERAGE(OFFSET($H$3,0,0,'Données projet'!$E$14+1,1))</f>
        <v>212.77458587586861</v>
      </c>
      <c r="DU103" s="60">
        <f t="shared" si="98"/>
        <v>260.45879589483513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projet'!$B$14,Paramètres!$A$1:$I$88,3,0)*0.475*44/12</f>
        <v>16.25377024490286</v>
      </c>
      <c r="EB103" s="23">
        <f>EXP(-LN(2)/25)*EB102+(1-EXP(-LN(2)/25))/(LN(2)/25)*Calculateur!DW103*Calculateur!DY103*VLOOKUP('Données projet'!$B$14,Paramètres!$A$1:$I$88,3,0)*0.475*44/12</f>
        <v>6.6833830677436215</v>
      </c>
      <c r="EC103" s="23">
        <f>EXP(-LN(2)/2)*EC102+(1-EXP(-LN(2)/2))/(LN(2)/2)*DW103*DZ103*VLOOKUP('Données projet'!$B$14,Paramètres!$A$1:$I$88,3,0)*0.475*44/12</f>
        <v>0</v>
      </c>
      <c r="ED103" s="24">
        <f t="shared" si="72"/>
        <v>22.93715331264648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5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8">
        <f t="shared" si="56"/>
        <v>183.33333333333334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3.4106051316484809E-13</v>
      </c>
      <c r="O104" s="14">
        <f>N104*VLOOKUP('Données projet'!$B$9,Paramètres!$A$1:$I$88,3,0)*VLOOKUP('Données projet'!$B$9,Paramètres!$A$1:$I$88,5,0)</f>
        <v>1.9065282685915009E-13</v>
      </c>
      <c r="P104" s="14">
        <f t="shared" si="87"/>
        <v>2.6568987209435707E-12</v>
      </c>
      <c r="Q104" s="22">
        <f t="shared" si="107"/>
        <v>4.959485612423072E-12</v>
      </c>
      <c r="R104" s="60">
        <f t="shared" si="55"/>
        <v>277.68039254707935</v>
      </c>
      <c r="S104" s="60">
        <f ca="1">AVERAGE(OFFSET($R$3,0,0,'Données projet'!$E$9+1,1))-AVERAGE(OFFSET($H$3,0,0,'Données projet'!$E$9+1,1))</f>
        <v>366.29380214443631</v>
      </c>
      <c r="T104" s="60">
        <f t="shared" si="88"/>
        <v>413.14502442862897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106.38926035803289</v>
      </c>
      <c r="AA104" s="23">
        <f>EXP(-LN(2)/25)*AA103+(1-EXP(-LN(2)/25))/(LN(2)/25)*Calculateur!V104*Calculateur!X104*VLOOKUP('Données projet'!$B$9,Paramètres!$A$1:$I$88,3,0)*0.475*44/12</f>
        <v>42.521301508043109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148.91056186607599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452.49999999999989</v>
      </c>
      <c r="AJ104" s="14">
        <f>AI104*VLOOKUP('Données projet'!$B$10,Paramètres!$A$1:$I$88,3,0)*VLOOKUP('Données projet'!$B$10,Paramètres!$A$1:$I$88,5,0)</f>
        <v>395.30399999999992</v>
      </c>
      <c r="AK104" s="14">
        <f t="shared" si="89"/>
        <v>90.823969929029445</v>
      </c>
      <c r="AL104" s="22">
        <f t="shared" si="58"/>
        <v>846.67288095972606</v>
      </c>
      <c r="AM104" s="60">
        <f t="shared" si="59"/>
        <v>1124.3532735068004</v>
      </c>
      <c r="AN104" s="60">
        <f ca="1">AVERAGE(OFFSET($AM$3,0,0,'Données projet'!$E$10+1,1))-AVERAGE(OFFSET($H$3,0,0,'Données projet'!$E$10+1,1))</f>
        <v>436.5217771315057</v>
      </c>
      <c r="AO104" s="60">
        <f t="shared" si="90"/>
        <v>308.97310256098365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27.218487384220232</v>
      </c>
      <c r="AV104" s="23">
        <f>EXP(-LN(2)/25)*AV103+(1-EXP(-LN(2)/25))/(LN(2)/25)*Calculateur!AQ104*Calculateur!AS104*VLOOKUP('Données projet'!$B$10,Paramètres!$A$1:$I$88,3,0)*0.475*44/12</f>
        <v>10.644794807283184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37.863282191503416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5.4</v>
      </c>
      <c r="BD104" s="13">
        <f>IF('Données projet'!$A$88&gt;35,BD103+BC104-BL103,IF(A104&lt;'Données projet'!$A$88,$BA$205^A104,IF(A104='Données projet'!$A$88,'Données projet'!$B$88,BD103+BC104-BL103)))</f>
        <v>225.39999999999998</v>
      </c>
      <c r="BE104" s="14">
        <f>BD104*VLOOKUP('Données projet'!$B$11,Paramètres!$A$1:$I$88,3,0)*VLOOKUP('Données projet'!$B$11,Paramètres!$A$1:$I$88,5,0)</f>
        <v>228.5556</v>
      </c>
      <c r="BF104" s="14">
        <f t="shared" si="91"/>
        <v>55.970254064236521</v>
      </c>
      <c r="BG104" s="22">
        <f t="shared" si="61"/>
        <v>495.54919582854524</v>
      </c>
      <c r="BH104" s="60">
        <f t="shared" si="62"/>
        <v>773.22958837561964</v>
      </c>
      <c r="BI104" s="60">
        <f ca="1">AVERAGE(OFFSET($BH$3,0,0,'Données projet'!$E$11+1,1))-AVERAGE(OFFSET($H$3,0,0,'Données projet'!$E$11+1,1))</f>
        <v>108.30434106718693</v>
      </c>
      <c r="BJ104" s="60">
        <f t="shared" si="92"/>
        <v>67.653808657585842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32.155146870748105</v>
      </c>
      <c r="BQ104" s="23">
        <f>EXP(-LN(2)/25)*BQ103+(1-EXP(-LN(2)/25))/(LN(2)/25)*Calculateur!BL104*Calculateur!BN104*VLOOKUP('Données projet'!$B$11,Paramètres!$A$1:$I$88,3,0)*0.475*44/12</f>
        <v>0</v>
      </c>
      <c r="BR104" s="23">
        <f>EXP(-LN(2)/2)*BR103+(1-EXP(-LN(2)/2))/(LN(2)/2)*BL104*BO104*VLOOKUP('Données projet'!$B$11,Paramètres!$A$1:$I$88,3,0)*0.475*44/12</f>
        <v>0</v>
      </c>
      <c r="BS104" s="24">
        <f t="shared" si="63"/>
        <v>32.155146870748105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projet'!$B$12,Paramètres!$A$1:$I$88,3,0)*VLOOKUP('Données projet'!$B$12,Paramètres!$A$1:$I$88,5,0)</f>
        <v>0</v>
      </c>
      <c r="CA104" s="14" t="e">
        <f t="shared" si="93"/>
        <v>#NUM!</v>
      </c>
      <c r="CB104" s="22" t="e">
        <f t="shared" si="64"/>
        <v>#NUM!</v>
      </c>
      <c r="CC104" s="60" t="e">
        <f t="shared" si="65"/>
        <v>#NUM!</v>
      </c>
      <c r="CD104" s="60">
        <f ca="1">AVERAGE(OFFSET($CC$3,0,0,'Données projet'!$E$12+1,1))-AVERAGE(OFFSET($H$3,0,0,'Données projet'!$E$12+1,1))</f>
        <v>171.08593400758221</v>
      </c>
      <c r="CE104" s="60">
        <f t="shared" si="94"/>
        <v>201.9528484086932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projet'!$B$12,Paramètres!$A$1:$I$88,3,0)*0.475*44/12</f>
        <v>32.542497564839714</v>
      </c>
      <c r="CL104" s="23">
        <f>EXP(-LN(2)/25)*CL103+(1-EXP(-LN(2)/25))/(LN(2)/25)*Calculateur!CG104*Calculateur!CI104*VLOOKUP('Données projet'!$B$12,Paramètres!$A$1:$I$88,3,0)*0.475*44/12</f>
        <v>13.693358101920639</v>
      </c>
      <c r="CM104" s="23">
        <f>EXP(-LN(2)/2)*CM103+(1-EXP(-LN(2)/2))/(LN(2)/2)*CG104*CJ104*VLOOKUP('Données projet'!$B$12,Paramètres!$A$1:$I$88,3,0)*0.475*44/12</f>
        <v>0</v>
      </c>
      <c r="CN104" s="24">
        <f t="shared" si="66"/>
        <v>46.235855666760351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4.8</v>
      </c>
      <c r="CT104" s="13">
        <f>IF('Données projet'!$A$140&gt;35,CT103+CS104-DB103,IF(A104&lt;'Données projet'!$A$140,$CQ$205^A104,IF(A104='Données projet'!$A$140,'Données projet'!$B$140,CT103+CS104-DB103)))</f>
        <v>418.7999999999999</v>
      </c>
      <c r="CU104" s="18">
        <f>CT104*VLOOKUP('Données projet'!$B$13,Paramètres!$A$1:$I$88,3,0)*VLOOKUP('Données projet'!$B$13,Paramètres!$A$1:$I$88,5,0)</f>
        <v>280.93103999999994</v>
      </c>
      <c r="CV104" s="14">
        <f t="shared" si="95"/>
        <v>67.163726367594052</v>
      </c>
      <c r="CW104" s="22">
        <f t="shared" si="67"/>
        <v>606.2650514235595</v>
      </c>
      <c r="CX104" s="60">
        <f t="shared" si="68"/>
        <v>883.94544397063396</v>
      </c>
      <c r="CY104" s="60">
        <f ca="1">AVERAGE(OFFSET($CX$3,0,0,'Données projet'!$E$13+1,1))-AVERAGE(OFFSET($H$3,0,0,'Données projet'!$E$13+1,1))</f>
        <v>283.66646124753868</v>
      </c>
      <c r="CZ104" s="60">
        <f t="shared" si="96"/>
        <v>331.61926649572797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projet'!$B$13,Paramètres!$A$1:$I$88,3,0)*0.475*44/12</f>
        <v>30.475362304955063</v>
      </c>
      <c r="DG104" s="23">
        <f>EXP(-LN(2)/25)*DG103+(1-EXP(-LN(2)/25))/(LN(2)/25)*Calculateur!DB104*Calculateur!DD104*VLOOKUP('Données projet'!$B$13,Paramètres!$A$1:$I$88,3,0)*0.475*44/12</f>
        <v>0</v>
      </c>
      <c r="DH104" s="23">
        <f>EXP(-LN(2)/2)*DH103+(1-EXP(-LN(2)/2))/(LN(2)/2)*DB104*DE104*VLOOKUP('Données projet'!$B$13,Paramètres!$A$1:$I$88,3,0)*0.475*44/12</f>
        <v>0</v>
      </c>
      <c r="DI104" s="24">
        <f t="shared" si="69"/>
        <v>30.475362304955063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1.1368683772161603E-13</v>
      </c>
      <c r="DP104" s="18">
        <f>DO104*VLOOKUP('Données projet'!$B$14,Paramètres!$A$1:$I$88,3,0)*VLOOKUP('Données projet'!$B$14,Paramètres!$A$1:$I$88,5,0)</f>
        <v>8.3355189417488869E-14</v>
      </c>
      <c r="DQ104" s="14">
        <f t="shared" si="97"/>
        <v>1.2790518435140618E-12</v>
      </c>
      <c r="DR104" s="22">
        <f t="shared" si="70"/>
        <v>2.3728589156891171E-12</v>
      </c>
      <c r="DS104" s="60">
        <f t="shared" si="71"/>
        <v>277.68039254707679</v>
      </c>
      <c r="DT104" s="60">
        <f ca="1">AVERAGE(OFFSET($DS$3,0,0,'Données projet'!$E$14+1,1))-AVERAGE(OFFSET($H$3,0,0,'Données projet'!$E$14+1,1))</f>
        <v>212.77458587586861</v>
      </c>
      <c r="DU104" s="60">
        <f t="shared" si="98"/>
        <v>260.45879589483513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projet'!$B$14,Paramètres!$A$1:$I$88,3,0)*0.475*44/12</f>
        <v>15.935043724221256</v>
      </c>
      <c r="EB104" s="23">
        <f>EXP(-LN(2)/25)*EB103+(1-EXP(-LN(2)/25))/(LN(2)/25)*Calculateur!DW104*Calculateur!DY104*VLOOKUP('Données projet'!$B$14,Paramètres!$A$1:$I$88,3,0)*0.475*44/12</f>
        <v>6.5006256062923313</v>
      </c>
      <c r="EC104" s="23">
        <f>EXP(-LN(2)/2)*EC103+(1-EXP(-LN(2)/2))/(LN(2)/2)*DW104*DZ104*VLOOKUP('Données projet'!$B$14,Paramètres!$A$1:$I$88,3,0)*0.475*44/12</f>
        <v>0</v>
      </c>
      <c r="ED104" s="24">
        <f t="shared" si="72"/>
        <v>22.435669330513587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5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8">
        <f t="shared" si="56"/>
        <v>183.33333333333334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3.4106051316484809E-13</v>
      </c>
      <c r="O105" s="14">
        <f>N105*VLOOKUP('Données projet'!$B$9,Paramètres!$A$1:$I$88,3,0)*VLOOKUP('Données projet'!$B$9,Paramètres!$A$1:$I$88,5,0)</f>
        <v>1.9065282685915009E-13</v>
      </c>
      <c r="P105" s="14">
        <f t="shared" si="87"/>
        <v>2.6568987209435707E-12</v>
      </c>
      <c r="Q105" s="22">
        <f t="shared" si="107"/>
        <v>4.959485612423072E-12</v>
      </c>
      <c r="R105" s="60">
        <f t="shared" si="55"/>
        <v>277.95193607498788</v>
      </c>
      <c r="S105" s="60">
        <f ca="1">AVERAGE(OFFSET($R$3,0,0,'Données projet'!$E$9+1,1))-AVERAGE(OFFSET($H$3,0,0,'Données projet'!$E$9+1,1))</f>
        <v>366.29380214443631</v>
      </c>
      <c r="T105" s="60">
        <f t="shared" si="88"/>
        <v>413.14502442862897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104.30303185345322</v>
      </c>
      <c r="AA105" s="23">
        <f>EXP(-LN(2)/25)*AA104+(1-EXP(-LN(2)/25))/(LN(2)/25)*Calculateur!V105*Calculateur!X105*VLOOKUP('Données projet'!$B$9,Paramètres!$A$1:$I$88,3,0)*0.475*44/12</f>
        <v>41.358554282207606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145.66158613566083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452.49999999999989</v>
      </c>
      <c r="AJ105" s="14">
        <f>AI105*VLOOKUP('Données projet'!$B$10,Paramètres!$A$1:$I$88,3,0)*VLOOKUP('Données projet'!$B$10,Paramètres!$A$1:$I$88,5,0)</f>
        <v>395.30399999999992</v>
      </c>
      <c r="AK105" s="14">
        <f t="shared" si="89"/>
        <v>90.823969929029445</v>
      </c>
      <c r="AL105" s="22">
        <f t="shared" si="58"/>
        <v>846.67288095972606</v>
      </c>
      <c r="AM105" s="60">
        <f t="shared" si="59"/>
        <v>1124.6248170347089</v>
      </c>
      <c r="AN105" s="60">
        <f ca="1">AVERAGE(OFFSET($AM$3,0,0,'Données projet'!$E$10+1,1))-AVERAGE(OFFSET($H$3,0,0,'Données projet'!$E$10+1,1))</f>
        <v>436.5217771315057</v>
      </c>
      <c r="AO105" s="60">
        <f t="shared" si="90"/>
        <v>308.97310256098365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26.684749448253701</v>
      </c>
      <c r="AV105" s="23">
        <f>EXP(-LN(2)/25)*AV104+(1-EXP(-LN(2)/25))/(LN(2)/25)*Calculateur!AQ105*Calculateur!AS105*VLOOKUP('Données projet'!$B$10,Paramètres!$A$1:$I$88,3,0)*0.475*44/12</f>
        <v>10.353712333492595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37.038461781746292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5.4</v>
      </c>
      <c r="BD105" s="13">
        <f>IF('Données projet'!$A$88&gt;35,BD104+BC105-BL104,IF(A105&lt;'Données projet'!$A$88,$BA$205^A105,IF(A105='Données projet'!$A$88,'Données projet'!$B$88,BD104+BC105-BL104)))</f>
        <v>230.79999999999998</v>
      </c>
      <c r="BE105" s="14">
        <f>BD105*VLOOKUP('Données projet'!$B$11,Paramètres!$A$1:$I$88,3,0)*VLOOKUP('Données projet'!$B$11,Paramètres!$A$1:$I$88,5,0)</f>
        <v>234.03119999999998</v>
      </c>
      <c r="BF105" s="14">
        <f t="shared" si="91"/>
        <v>57.153437834148072</v>
      </c>
      <c r="BG105" s="22">
        <f t="shared" si="61"/>
        <v>507.14657756114116</v>
      </c>
      <c r="BH105" s="60">
        <f t="shared" si="62"/>
        <v>785.09851363612415</v>
      </c>
      <c r="BI105" s="60">
        <f ca="1">AVERAGE(OFFSET($BH$3,0,0,'Données projet'!$E$11+1,1))-AVERAGE(OFFSET($H$3,0,0,'Données projet'!$E$11+1,1))</f>
        <v>108.30434106718693</v>
      </c>
      <c r="BJ105" s="60">
        <f t="shared" si="92"/>
        <v>67.653808657585842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31.524604053315731</v>
      </c>
      <c r="BQ105" s="23">
        <f>EXP(-LN(2)/25)*BQ104+(1-EXP(-LN(2)/25))/(LN(2)/25)*Calculateur!BL105*Calculateur!BN105*VLOOKUP('Données projet'!$B$11,Paramètres!$A$1:$I$88,3,0)*0.475*44/12</f>
        <v>0</v>
      </c>
      <c r="BR105" s="23">
        <f>EXP(-LN(2)/2)*BR104+(1-EXP(-LN(2)/2))/(LN(2)/2)*BL105*BO105*VLOOKUP('Données projet'!$B$11,Paramètres!$A$1:$I$88,3,0)*0.475*44/12</f>
        <v>0</v>
      </c>
      <c r="BS105" s="24">
        <f t="shared" si="63"/>
        <v>31.524604053315731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projet'!$B$12,Paramètres!$A$1:$I$88,3,0)*VLOOKUP('Données projet'!$B$12,Paramètres!$A$1:$I$88,5,0)</f>
        <v>0</v>
      </c>
      <c r="CA105" s="14" t="e">
        <f t="shared" si="93"/>
        <v>#NUM!</v>
      </c>
      <c r="CB105" s="22" t="e">
        <f t="shared" si="64"/>
        <v>#NUM!</v>
      </c>
      <c r="CC105" s="60" t="e">
        <f t="shared" si="65"/>
        <v>#NUM!</v>
      </c>
      <c r="CD105" s="60">
        <f ca="1">AVERAGE(OFFSET($CC$3,0,0,'Données projet'!$E$12+1,1))-AVERAGE(OFFSET($H$3,0,0,'Données projet'!$E$12+1,1))</f>
        <v>171.08593400758221</v>
      </c>
      <c r="CE105" s="60">
        <f t="shared" si="94"/>
        <v>201.9528484086932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projet'!$B$12,Paramètres!$A$1:$I$88,3,0)*0.475*44/12</f>
        <v>31.904359036556798</v>
      </c>
      <c r="CL105" s="23">
        <f>EXP(-LN(2)/25)*CL104+(1-EXP(-LN(2)/25))/(LN(2)/25)*Calculateur!CG105*Calculateur!CI105*VLOOKUP('Données projet'!$B$12,Paramètres!$A$1:$I$88,3,0)*0.475*44/12</f>
        <v>13.318912504521213</v>
      </c>
      <c r="CM105" s="23">
        <f>EXP(-LN(2)/2)*CM104+(1-EXP(-LN(2)/2))/(LN(2)/2)*CG105*CJ105*VLOOKUP('Données projet'!$B$12,Paramètres!$A$1:$I$88,3,0)*0.475*44/12</f>
        <v>0</v>
      </c>
      <c r="CN105" s="24">
        <f t="shared" si="66"/>
        <v>45.223271541078013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4.8</v>
      </c>
      <c r="CT105" s="13">
        <f>IF('Données projet'!$A$140&gt;35,CT104+CS105-DB104,IF(A105&lt;'Données projet'!$A$140,$CQ$205^A105,IF(A105='Données projet'!$A$140,'Données projet'!$B$140,CT104+CS105-DB104)))</f>
        <v>423.59999999999991</v>
      </c>
      <c r="CU105" s="18">
        <f>CT105*VLOOKUP('Données projet'!$B$13,Paramètres!$A$1:$I$88,3,0)*VLOOKUP('Données projet'!$B$13,Paramètres!$A$1:$I$88,5,0)</f>
        <v>284.15087999999997</v>
      </c>
      <c r="CV105" s="14">
        <f t="shared" si="95"/>
        <v>67.843456451936703</v>
      </c>
      <c r="CW105" s="22">
        <f t="shared" si="67"/>
        <v>613.05680265378953</v>
      </c>
      <c r="CX105" s="60">
        <f t="shared" si="68"/>
        <v>891.00873872877241</v>
      </c>
      <c r="CY105" s="60">
        <f ca="1">AVERAGE(OFFSET($CX$3,0,0,'Données projet'!$E$13+1,1))-AVERAGE(OFFSET($H$3,0,0,'Données projet'!$E$13+1,1))</f>
        <v>283.66646124753868</v>
      </c>
      <c r="CZ105" s="60">
        <f t="shared" si="96"/>
        <v>331.61926649572797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projet'!$B$13,Paramètres!$A$1:$I$88,3,0)*0.475*44/12</f>
        <v>29.877759038290474</v>
      </c>
      <c r="DG105" s="23">
        <f>EXP(-LN(2)/25)*DG104+(1-EXP(-LN(2)/25))/(LN(2)/25)*Calculateur!DB105*Calculateur!DD105*VLOOKUP('Données projet'!$B$13,Paramètres!$A$1:$I$88,3,0)*0.475*44/12</f>
        <v>0</v>
      </c>
      <c r="DH105" s="23">
        <f>EXP(-LN(2)/2)*DH104+(1-EXP(-LN(2)/2))/(LN(2)/2)*DB105*DE105*VLOOKUP('Données projet'!$B$13,Paramètres!$A$1:$I$88,3,0)*0.475*44/12</f>
        <v>0</v>
      </c>
      <c r="DI105" s="24">
        <f t="shared" si="69"/>
        <v>29.877759038290474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1.1368683772161603E-13</v>
      </c>
      <c r="DP105" s="18">
        <f>DO105*VLOOKUP('Données projet'!$B$14,Paramètres!$A$1:$I$88,3,0)*VLOOKUP('Données projet'!$B$14,Paramètres!$A$1:$I$88,5,0)</f>
        <v>8.3355189417488869E-14</v>
      </c>
      <c r="DQ105" s="14">
        <f t="shared" si="97"/>
        <v>1.2790518435140618E-12</v>
      </c>
      <c r="DR105" s="22">
        <f t="shared" si="70"/>
        <v>2.3728589156891171E-12</v>
      </c>
      <c r="DS105" s="60">
        <f t="shared" si="71"/>
        <v>277.95193607498533</v>
      </c>
      <c r="DT105" s="60">
        <f ca="1">AVERAGE(OFFSET($DS$3,0,0,'Données projet'!$E$14+1,1))-AVERAGE(OFFSET($H$3,0,0,'Données projet'!$E$14+1,1))</f>
        <v>212.77458587586861</v>
      </c>
      <c r="DU105" s="60">
        <f t="shared" si="98"/>
        <v>260.45879589483513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projet'!$B$14,Paramètres!$A$1:$I$88,3,0)*0.475*44/12</f>
        <v>15.622567236206235</v>
      </c>
      <c r="EB105" s="23">
        <f>EXP(-LN(2)/25)*EB104+(1-EXP(-LN(2)/25))/(LN(2)/25)*Calculateur!DW105*Calculateur!DY105*VLOOKUP('Données projet'!$B$14,Paramètres!$A$1:$I$88,3,0)*0.475*44/12</f>
        <v>6.3228656572352246</v>
      </c>
      <c r="EC105" s="23">
        <f>EXP(-LN(2)/2)*EC104+(1-EXP(-LN(2)/2))/(LN(2)/2)*DW105*DZ105*VLOOKUP('Données projet'!$B$14,Paramètres!$A$1:$I$88,3,0)*0.475*44/12</f>
        <v>0</v>
      </c>
      <c r="ED105" s="24">
        <f t="shared" si="72"/>
        <v>21.94543289344146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5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8">
        <f t="shared" si="56"/>
        <v>183.33333333333334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3.4106051316484809E-13</v>
      </c>
      <c r="O106" s="14">
        <f>N106*VLOOKUP('Données projet'!$B$9,Paramètres!$A$1:$I$88,3,0)*VLOOKUP('Données projet'!$B$9,Paramètres!$A$1:$I$88,5,0)</f>
        <v>1.9065282685915009E-13</v>
      </c>
      <c r="P106" s="14">
        <f t="shared" si="87"/>
        <v>2.6568987209435707E-12</v>
      </c>
      <c r="Q106" s="22">
        <f t="shared" si="107"/>
        <v>4.959485612423072E-12</v>
      </c>
      <c r="R106" s="60">
        <f t="shared" si="55"/>
        <v>278.21876892976763</v>
      </c>
      <c r="S106" s="60">
        <f ca="1">AVERAGE(OFFSET($R$3,0,0,'Données projet'!$E$9+1,1))-AVERAGE(OFFSET($H$3,0,0,'Données projet'!$E$9+1,1))</f>
        <v>366.29380214443631</v>
      </c>
      <c r="T106" s="60">
        <f t="shared" si="88"/>
        <v>413.14502442862897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102.25771301737463</v>
      </c>
      <c r="AA106" s="23">
        <f>EXP(-LN(2)/25)*AA105+(1-EXP(-LN(2)/25))/(LN(2)/25)*Calculateur!V106*Calculateur!X106*VLOOKUP('Données projet'!$B$9,Paramètres!$A$1:$I$88,3,0)*0.475*44/12</f>
        <v>40.227602440408795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142.48531545778343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452.49999999999989</v>
      </c>
      <c r="AJ106" s="14">
        <f>AI106*VLOOKUP('Données projet'!$B$10,Paramètres!$A$1:$I$88,3,0)*VLOOKUP('Données projet'!$B$10,Paramètres!$A$1:$I$88,5,0)</f>
        <v>395.30399999999992</v>
      </c>
      <c r="AK106" s="14">
        <f t="shared" si="89"/>
        <v>90.823969929029445</v>
      </c>
      <c r="AL106" s="22">
        <f t="shared" si="58"/>
        <v>846.67288095972606</v>
      </c>
      <c r="AM106" s="60">
        <f t="shared" si="59"/>
        <v>1124.8916498894887</v>
      </c>
      <c r="AN106" s="60">
        <f ca="1">AVERAGE(OFFSET($AM$3,0,0,'Données projet'!$E$10+1,1))-AVERAGE(OFFSET($H$3,0,0,'Données projet'!$E$10+1,1))</f>
        <v>436.5217771315057</v>
      </c>
      <c r="AO106" s="60">
        <f t="shared" si="90"/>
        <v>308.97310256098365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26.161477787663479</v>
      </c>
      <c r="AV106" s="23">
        <f>EXP(-LN(2)/25)*AV105+(1-EXP(-LN(2)/25))/(LN(2)/25)*Calculateur!AQ106*Calculateur!AS106*VLOOKUP('Données projet'!$B$10,Paramètres!$A$1:$I$88,3,0)*0.475*44/12</f>
        <v>10.070589525255173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36.232067312918652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5.4</v>
      </c>
      <c r="BD106" s="13">
        <f>IF('Données projet'!$A$88&gt;35,BD105+BC106-BL105,IF(A106&lt;'Données projet'!$A$88,$BA$205^A106,IF(A106='Données projet'!$A$88,'Données projet'!$B$88,BD105+BC106-BL105)))</f>
        <v>236.2</v>
      </c>
      <c r="BE106" s="14">
        <f>BD106*VLOOKUP('Données projet'!$B$11,Paramètres!$A$1:$I$88,3,0)*VLOOKUP('Données projet'!$B$11,Paramètres!$A$1:$I$88,5,0)</f>
        <v>239.5068</v>
      </c>
      <c r="BF106" s="14">
        <f t="shared" si="91"/>
        <v>58.333403398541655</v>
      </c>
      <c r="BG106" s="22">
        <f t="shared" si="61"/>
        <v>518.73835425246</v>
      </c>
      <c r="BH106" s="60">
        <f t="shared" si="62"/>
        <v>796.95712318222263</v>
      </c>
      <c r="BI106" s="60">
        <f ca="1">AVERAGE(OFFSET($BH$3,0,0,'Données projet'!$E$11+1,1))-AVERAGE(OFFSET($H$3,0,0,'Données projet'!$E$11+1,1))</f>
        <v>108.30434106718693</v>
      </c>
      <c r="BJ106" s="60">
        <f t="shared" si="92"/>
        <v>67.653808657585842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30.906425795940063</v>
      </c>
      <c r="BQ106" s="23">
        <f>EXP(-LN(2)/25)*BQ105+(1-EXP(-LN(2)/25))/(LN(2)/25)*Calculateur!BL106*Calculateur!BN106*VLOOKUP('Données projet'!$B$11,Paramètres!$A$1:$I$88,3,0)*0.475*44/12</f>
        <v>0</v>
      </c>
      <c r="BR106" s="23">
        <f>EXP(-LN(2)/2)*BR105+(1-EXP(-LN(2)/2))/(LN(2)/2)*BL106*BO106*VLOOKUP('Données projet'!$B$11,Paramètres!$A$1:$I$88,3,0)*0.475*44/12</f>
        <v>0</v>
      </c>
      <c r="BS106" s="24">
        <f t="shared" si="63"/>
        <v>30.906425795940063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projet'!$B$12,Paramètres!$A$1:$I$88,3,0)*VLOOKUP('Données projet'!$B$12,Paramètres!$A$1:$I$88,5,0)</f>
        <v>0</v>
      </c>
      <c r="CA106" s="14" t="e">
        <f t="shared" si="93"/>
        <v>#NUM!</v>
      </c>
      <c r="CB106" s="22" t="e">
        <f t="shared" si="64"/>
        <v>#NUM!</v>
      </c>
      <c r="CC106" s="60" t="e">
        <f t="shared" si="65"/>
        <v>#NUM!</v>
      </c>
      <c r="CD106" s="60">
        <f ca="1">AVERAGE(OFFSET($CC$3,0,0,'Données projet'!$E$12+1,1))-AVERAGE(OFFSET($H$3,0,0,'Données projet'!$E$12+1,1))</f>
        <v>171.08593400758221</v>
      </c>
      <c r="CE106" s="60">
        <f t="shared" si="94"/>
        <v>201.9528484086932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projet'!$B$12,Paramètres!$A$1:$I$88,3,0)*0.475*44/12</f>
        <v>31.278734015587442</v>
      </c>
      <c r="CL106" s="23">
        <f>EXP(-LN(2)/25)*CL105+(1-EXP(-LN(2)/25))/(LN(2)/25)*Calculateur!CG106*Calculateur!CI106*VLOOKUP('Données projet'!$B$12,Paramètres!$A$1:$I$88,3,0)*0.475*44/12</f>
        <v>12.954706141673913</v>
      </c>
      <c r="CM106" s="23">
        <f>EXP(-LN(2)/2)*CM105+(1-EXP(-LN(2)/2))/(LN(2)/2)*CG106*CJ106*VLOOKUP('Données projet'!$B$12,Paramètres!$A$1:$I$88,3,0)*0.475*44/12</f>
        <v>0</v>
      </c>
      <c r="CN106" s="24">
        <f t="shared" si="66"/>
        <v>44.233440157261356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4.8</v>
      </c>
      <c r="CT106" s="13">
        <f>IF('Données projet'!$A$140&gt;35,CT105+CS106-DB105,IF(A106&lt;'Données projet'!$A$140,$CQ$205^A106,IF(A106='Données projet'!$A$140,'Données projet'!$B$140,CT105+CS106-DB105)))</f>
        <v>428.39999999999992</v>
      </c>
      <c r="CU106" s="18">
        <f>CT106*VLOOKUP('Données projet'!$B$13,Paramètres!$A$1:$I$88,3,0)*VLOOKUP('Données projet'!$B$13,Paramètres!$A$1:$I$88,5,0)</f>
        <v>287.37071999999995</v>
      </c>
      <c r="CV106" s="14">
        <f t="shared" si="95"/>
        <v>68.522290556506064</v>
      </c>
      <c r="CW106" s="22">
        <f t="shared" si="67"/>
        <v>619.84699338591463</v>
      </c>
      <c r="CX106" s="60">
        <f t="shared" si="68"/>
        <v>898.06576231567738</v>
      </c>
      <c r="CY106" s="60">
        <f ca="1">AVERAGE(OFFSET($CX$3,0,0,'Données projet'!$E$13+1,1))-AVERAGE(OFFSET($H$3,0,0,'Données projet'!$E$13+1,1))</f>
        <v>283.66646124753868</v>
      </c>
      <c r="CZ106" s="60">
        <f t="shared" si="96"/>
        <v>331.61926649572797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projet'!$B$13,Paramètres!$A$1:$I$88,3,0)*0.475*44/12</f>
        <v>29.291874407183176</v>
      </c>
      <c r="DG106" s="23">
        <f>EXP(-LN(2)/25)*DG105+(1-EXP(-LN(2)/25))/(LN(2)/25)*Calculateur!DB106*Calculateur!DD106*VLOOKUP('Données projet'!$B$13,Paramètres!$A$1:$I$88,3,0)*0.475*44/12</f>
        <v>0</v>
      </c>
      <c r="DH106" s="23">
        <f>EXP(-LN(2)/2)*DH105+(1-EXP(-LN(2)/2))/(LN(2)/2)*DB106*DE106*VLOOKUP('Données projet'!$B$13,Paramètres!$A$1:$I$88,3,0)*0.475*44/12</f>
        <v>0</v>
      </c>
      <c r="DI106" s="24">
        <f t="shared" si="69"/>
        <v>29.291874407183176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1.1368683772161603E-13</v>
      </c>
      <c r="DP106" s="18">
        <f>DO106*VLOOKUP('Données projet'!$B$14,Paramètres!$A$1:$I$88,3,0)*VLOOKUP('Données projet'!$B$14,Paramètres!$A$1:$I$88,5,0)</f>
        <v>8.3355189417488869E-14</v>
      </c>
      <c r="DQ106" s="14">
        <f t="shared" si="97"/>
        <v>1.2790518435140618E-12</v>
      </c>
      <c r="DR106" s="22">
        <f t="shared" si="70"/>
        <v>2.3728589156891171E-12</v>
      </c>
      <c r="DS106" s="60">
        <f t="shared" si="71"/>
        <v>278.21876892976508</v>
      </c>
      <c r="DT106" s="60">
        <f ca="1">AVERAGE(OFFSET($DS$3,0,0,'Données projet'!$E$14+1,1))-AVERAGE(OFFSET($H$3,0,0,'Données projet'!$E$14+1,1))</f>
        <v>212.77458587586861</v>
      </c>
      <c r="DU106" s="60">
        <f t="shared" si="98"/>
        <v>260.45879589483513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projet'!$B$14,Paramètres!$A$1:$I$88,3,0)*0.475*44/12</f>
        <v>15.316218221529352</v>
      </c>
      <c r="EB106" s="23">
        <f>EXP(-LN(2)/25)*EB105+(1-EXP(-LN(2)/25))/(LN(2)/25)*Calculateur!DW106*Calculateur!DY106*VLOOKUP('Données projet'!$B$14,Paramètres!$A$1:$I$88,3,0)*0.475*44/12</f>
        <v>6.1499665633330736</v>
      </c>
      <c r="EC106" s="23">
        <f>EXP(-LN(2)/2)*EC105+(1-EXP(-LN(2)/2))/(LN(2)/2)*DW106*DZ106*VLOOKUP('Données projet'!$B$14,Paramètres!$A$1:$I$88,3,0)*0.475*44/12</f>
        <v>0</v>
      </c>
      <c r="ED106" s="24">
        <f t="shared" si="72"/>
        <v>21.466184784862428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5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8">
        <f t="shared" si="56"/>
        <v>183.33333333333334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3.4106051316484809E-13</v>
      </c>
      <c r="O107" s="14">
        <f>N107*VLOOKUP('Données projet'!$B$9,Paramètres!$A$1:$I$88,3,0)*VLOOKUP('Données projet'!$B$9,Paramètres!$A$1:$I$88,5,0)</f>
        <v>1.9065282685915009E-13</v>
      </c>
      <c r="P107" s="14">
        <f t="shared" si="87"/>
        <v>2.6568987209435707E-12</v>
      </c>
      <c r="Q107" s="22">
        <f t="shared" si="107"/>
        <v>4.959485612423072E-12</v>
      </c>
      <c r="R107" s="60">
        <f t="shared" si="55"/>
        <v>278.48097283106586</v>
      </c>
      <c r="S107" s="60">
        <f ca="1">AVERAGE(OFFSET($R$3,0,0,'Données projet'!$E$9+1,1))-AVERAGE(OFFSET($H$3,0,0,'Données projet'!$E$9+1,1))</f>
        <v>366.29380214443631</v>
      </c>
      <c r="T107" s="60">
        <f t="shared" si="88"/>
        <v>413.14502442862897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100.25250163615023</v>
      </c>
      <c r="AA107" s="23">
        <f>EXP(-LN(2)/25)*AA106+(1-EXP(-LN(2)/25))/(LN(2)/25)*Calculateur!V107*Calculateur!X107*VLOOKUP('Données projet'!$B$9,Paramètres!$A$1:$I$88,3,0)*0.475*44/12</f>
        <v>39.127576536198148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139.38007817234836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452.49999999999989</v>
      </c>
      <c r="AJ107" s="14">
        <f>AI107*VLOOKUP('Données projet'!$B$10,Paramètres!$A$1:$I$88,3,0)*VLOOKUP('Données projet'!$B$10,Paramètres!$A$1:$I$88,5,0)</f>
        <v>395.30399999999992</v>
      </c>
      <c r="AK107" s="14">
        <f t="shared" si="89"/>
        <v>90.823969929029445</v>
      </c>
      <c r="AL107" s="22">
        <f t="shared" si="58"/>
        <v>846.67288095972606</v>
      </c>
      <c r="AM107" s="60">
        <f t="shared" si="59"/>
        <v>1125.153853790787</v>
      </c>
      <c r="AN107" s="60">
        <f ca="1">AVERAGE(OFFSET($AM$3,0,0,'Données projet'!$E$10+1,1))-AVERAGE(OFFSET($H$3,0,0,'Données projet'!$E$10+1,1))</f>
        <v>436.5217771315057</v>
      </c>
      <c r="AO107" s="60">
        <f t="shared" si="90"/>
        <v>308.97310256098365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25.648467165173233</v>
      </c>
      <c r="AV107" s="23">
        <f>EXP(-LN(2)/25)*AV106+(1-EXP(-LN(2)/25))/(LN(2)/25)*Calculateur!AQ107*Calculateur!AS107*VLOOKUP('Données projet'!$B$10,Paramètres!$A$1:$I$88,3,0)*0.475*44/12</f>
        <v>9.7952087250977833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35.443675890271017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5.4</v>
      </c>
      <c r="BD107" s="13">
        <f>IF('Données projet'!$A$88&gt;35,BD106+BC107-BL106,IF(A107&lt;'Données projet'!$A$88,$BA$205^A107,IF(A107='Données projet'!$A$88,'Données projet'!$B$88,BD106+BC107-BL106)))</f>
        <v>241.6</v>
      </c>
      <c r="BE107" s="14">
        <f>BD107*VLOOKUP('Données projet'!$B$11,Paramètres!$A$1:$I$88,3,0)*VLOOKUP('Données projet'!$B$11,Paramètres!$A$1:$I$88,5,0)</f>
        <v>244.98239999999998</v>
      </c>
      <c r="BF107" s="14">
        <f t="shared" si="91"/>
        <v>59.510232801299644</v>
      </c>
      <c r="BG107" s="22">
        <f t="shared" si="61"/>
        <v>530.32466879559684</v>
      </c>
      <c r="BH107" s="60">
        <f t="shared" si="62"/>
        <v>808.80564162665769</v>
      </c>
      <c r="BI107" s="60">
        <f ca="1">AVERAGE(OFFSET($BH$3,0,0,'Données projet'!$E$11+1,1))-AVERAGE(OFFSET($H$3,0,0,'Données projet'!$E$11+1,1))</f>
        <v>108.30434106718693</v>
      </c>
      <c r="BJ107" s="60">
        <f t="shared" si="92"/>
        <v>67.653808657585842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30.300369637140026</v>
      </c>
      <c r="BQ107" s="23">
        <f>EXP(-LN(2)/25)*BQ106+(1-EXP(-LN(2)/25))/(LN(2)/25)*Calculateur!BL107*Calculateur!BN107*VLOOKUP('Données projet'!$B$11,Paramètres!$A$1:$I$88,3,0)*0.475*44/12</f>
        <v>0</v>
      </c>
      <c r="BR107" s="23">
        <f>EXP(-LN(2)/2)*BR106+(1-EXP(-LN(2)/2))/(LN(2)/2)*BL107*BO107*VLOOKUP('Données projet'!$B$11,Paramètres!$A$1:$I$88,3,0)*0.475*44/12</f>
        <v>0</v>
      </c>
      <c r="BS107" s="24">
        <f t="shared" si="63"/>
        <v>30.300369637140026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projet'!$B$12,Paramètres!$A$1:$I$88,3,0)*VLOOKUP('Données projet'!$B$12,Paramètres!$A$1:$I$88,5,0)</f>
        <v>0</v>
      </c>
      <c r="CA107" s="14" t="e">
        <f t="shared" si="93"/>
        <v>#NUM!</v>
      </c>
      <c r="CB107" s="22" t="e">
        <f t="shared" si="64"/>
        <v>#NUM!</v>
      </c>
      <c r="CC107" s="60" t="e">
        <f t="shared" si="65"/>
        <v>#NUM!</v>
      </c>
      <c r="CD107" s="60">
        <f ca="1">AVERAGE(OFFSET($CC$3,0,0,'Données projet'!$E$12+1,1))-AVERAGE(OFFSET($H$3,0,0,'Données projet'!$E$12+1,1))</f>
        <v>171.08593400758221</v>
      </c>
      <c r="CE107" s="60">
        <f t="shared" si="94"/>
        <v>201.9528484086932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projet'!$B$12,Paramètres!$A$1:$I$88,3,0)*0.475*44/12</f>
        <v>30.665377119685711</v>
      </c>
      <c r="CL107" s="23">
        <f>EXP(-LN(2)/25)*CL106+(1-EXP(-LN(2)/25))/(LN(2)/25)*Calculateur!CG107*Calculateur!CI107*VLOOKUP('Données projet'!$B$12,Paramètres!$A$1:$I$88,3,0)*0.475*44/12</f>
        <v>12.600459020971453</v>
      </c>
      <c r="CM107" s="23">
        <f>EXP(-LN(2)/2)*CM106+(1-EXP(-LN(2)/2))/(LN(2)/2)*CG107*CJ107*VLOOKUP('Données projet'!$B$12,Paramètres!$A$1:$I$88,3,0)*0.475*44/12</f>
        <v>0</v>
      </c>
      <c r="CN107" s="24">
        <f t="shared" si="66"/>
        <v>43.265836140657164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4.8</v>
      </c>
      <c r="CT107" s="13">
        <f>IF('Données projet'!$A$140&gt;35,CT106+CS107-DB106,IF(A107&lt;'Données projet'!$A$140,$CQ$205^A107,IF(A107='Données projet'!$A$140,'Données projet'!$B$140,CT106+CS107-DB106)))</f>
        <v>433.19999999999993</v>
      </c>
      <c r="CU107" s="18">
        <f>CT107*VLOOKUP('Données projet'!$B$13,Paramètres!$A$1:$I$88,3,0)*VLOOKUP('Données projet'!$B$13,Paramètres!$A$1:$I$88,5,0)</f>
        <v>290.59055999999993</v>
      </c>
      <c r="CV107" s="14">
        <f t="shared" si="95"/>
        <v>69.200239881995387</v>
      </c>
      <c r="CW107" s="22">
        <f t="shared" si="67"/>
        <v>626.63564312780852</v>
      </c>
      <c r="CX107" s="60">
        <f t="shared" si="68"/>
        <v>905.11661595886949</v>
      </c>
      <c r="CY107" s="60">
        <f ca="1">AVERAGE(OFFSET($CX$3,0,0,'Données projet'!$E$13+1,1))-AVERAGE(OFFSET($H$3,0,0,'Données projet'!$E$13+1,1))</f>
        <v>283.66646124753868</v>
      </c>
      <c r="CZ107" s="60">
        <f t="shared" si="96"/>
        <v>331.61926649572797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projet'!$B$13,Paramètres!$A$1:$I$88,3,0)*0.475*44/12</f>
        <v>28.717478616337555</v>
      </c>
      <c r="DG107" s="23">
        <f>EXP(-LN(2)/25)*DG106+(1-EXP(-LN(2)/25))/(LN(2)/25)*Calculateur!DB107*Calculateur!DD107*VLOOKUP('Données projet'!$B$13,Paramètres!$A$1:$I$88,3,0)*0.475*44/12</f>
        <v>0</v>
      </c>
      <c r="DH107" s="23">
        <f>EXP(-LN(2)/2)*DH106+(1-EXP(-LN(2)/2))/(LN(2)/2)*DB107*DE107*VLOOKUP('Données projet'!$B$13,Paramètres!$A$1:$I$88,3,0)*0.475*44/12</f>
        <v>0</v>
      </c>
      <c r="DI107" s="24">
        <f t="shared" si="69"/>
        <v>28.717478616337555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1.1368683772161603E-13</v>
      </c>
      <c r="DP107" s="18">
        <f>DO107*VLOOKUP('Données projet'!$B$14,Paramètres!$A$1:$I$88,3,0)*VLOOKUP('Données projet'!$B$14,Paramètres!$A$1:$I$88,5,0)</f>
        <v>8.3355189417488869E-14</v>
      </c>
      <c r="DQ107" s="14">
        <f t="shared" si="97"/>
        <v>1.2790518435140618E-12</v>
      </c>
      <c r="DR107" s="22">
        <f t="shared" si="70"/>
        <v>2.3728589156891171E-12</v>
      </c>
      <c r="DS107" s="60">
        <f t="shared" si="71"/>
        <v>278.4809728310633</v>
      </c>
      <c r="DT107" s="60">
        <f ca="1">AVERAGE(OFFSET($DS$3,0,0,'Données projet'!$E$14+1,1))-AVERAGE(OFFSET($H$3,0,0,'Données projet'!$E$14+1,1))</f>
        <v>212.77458587586861</v>
      </c>
      <c r="DU107" s="60">
        <f t="shared" si="98"/>
        <v>260.45879589483513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projet'!$B$14,Paramètres!$A$1:$I$88,3,0)*0.475*44/12</f>
        <v>15.015876524175834</v>
      </c>
      <c r="EB107" s="23">
        <f>EXP(-LN(2)/25)*EB106+(1-EXP(-LN(2)/25))/(LN(2)/25)*Calculateur!DW107*Calculateur!DY107*VLOOKUP('Données projet'!$B$14,Paramètres!$A$1:$I$88,3,0)*0.475*44/12</f>
        <v>5.9817954042460446</v>
      </c>
      <c r="EC107" s="23">
        <f>EXP(-LN(2)/2)*EC106+(1-EXP(-LN(2)/2))/(LN(2)/2)*DW107*DZ107*VLOOKUP('Données projet'!$B$14,Paramètres!$A$1:$I$88,3,0)*0.475*44/12</f>
        <v>0</v>
      </c>
      <c r="ED107" s="24">
        <f t="shared" si="72"/>
        <v>20.99767192842188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5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8">
        <f t="shared" si="56"/>
        <v>183.33333333333334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3.4106051316484809E-13</v>
      </c>
      <c r="O108" s="14">
        <f>N108*VLOOKUP('Données projet'!$B$9,Paramètres!$A$1:$I$88,3,0)*VLOOKUP('Données projet'!$B$9,Paramètres!$A$1:$I$88,5,0)</f>
        <v>1.9065282685915009E-13</v>
      </c>
      <c r="P108" s="14">
        <f t="shared" si="87"/>
        <v>2.6568987209435707E-12</v>
      </c>
      <c r="Q108" s="22">
        <f t="shared" si="107"/>
        <v>4.959485612423072E-12</v>
      </c>
      <c r="R108" s="60">
        <f t="shared" si="55"/>
        <v>278.73862808087671</v>
      </c>
      <c r="S108" s="60">
        <f ca="1">AVERAGE(OFFSET($R$3,0,0,'Données projet'!$E$9+1,1))-AVERAGE(OFFSET($H$3,0,0,'Données projet'!$E$9+1,1))</f>
        <v>366.29380214443631</v>
      </c>
      <c r="T108" s="60">
        <f t="shared" si="88"/>
        <v>413.14502442862897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98.286611227053456</v>
      </c>
      <c r="AA108" s="23">
        <f>EXP(-LN(2)/25)*AA107+(1-EXP(-LN(2)/25))/(LN(2)/25)*Calculateur!V108*Calculateur!X108*VLOOKUP('Données projet'!$B$9,Paramètres!$A$1:$I$88,3,0)*0.475*44/12</f>
        <v>38.057630898185984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136.34424212523945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452.49999999999989</v>
      </c>
      <c r="AJ108" s="14">
        <f>AI108*VLOOKUP('Données projet'!$B$10,Paramètres!$A$1:$I$88,3,0)*VLOOKUP('Données projet'!$B$10,Paramètres!$A$1:$I$88,5,0)</f>
        <v>395.30399999999992</v>
      </c>
      <c r="AK108" s="14">
        <f t="shared" si="89"/>
        <v>90.823969929029445</v>
      </c>
      <c r="AL108" s="22">
        <f t="shared" si="58"/>
        <v>846.67288095972606</v>
      </c>
      <c r="AM108" s="60">
        <f t="shared" si="59"/>
        <v>1125.4115090405978</v>
      </c>
      <c r="AN108" s="60">
        <f ca="1">AVERAGE(OFFSET($AM$3,0,0,'Données projet'!$E$10+1,1))-AVERAGE(OFFSET($H$3,0,0,'Données projet'!$E$10+1,1))</f>
        <v>436.5217771315057</v>
      </c>
      <c r="AO108" s="60">
        <f t="shared" si="90"/>
        <v>308.97310256098365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25.14551636808444</v>
      </c>
      <c r="AV108" s="23">
        <f>EXP(-LN(2)/25)*AV107+(1-EXP(-LN(2)/25))/(LN(2)/25)*Calculateur!AQ108*Calculateur!AS108*VLOOKUP('Données projet'!$B$10,Paramètres!$A$1:$I$88,3,0)*0.475*44/12</f>
        <v>9.5273582274023454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34.672874595486789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247</v>
      </c>
      <c r="BB108" s="13">
        <f>VLOOKUP(A108,'Données projet'!$A$87:$I$107,9,0)</f>
        <v>5.4</v>
      </c>
      <c r="BC108" s="13">
        <f t="array" ref="BC108">INDEX(BB:BB,MIN(IF(ISNUMBER(BB108:BB304),ROW(BB108:BB304),"")))</f>
        <v>5.4</v>
      </c>
      <c r="BD108" s="13">
        <f>IF('Données projet'!$A$88&gt;35,BD107+BC108-BL107,IF(A108&lt;'Données projet'!$A$88,$BA$205^A108,IF(A108='Données projet'!$A$88,'Données projet'!$B$88,BD107+BC108-BL107)))</f>
        <v>247</v>
      </c>
      <c r="BE108" s="14">
        <f>BD108*VLOOKUP('Données projet'!$B$11,Paramètres!$A$1:$I$88,3,0)*VLOOKUP('Données projet'!$B$11,Paramètres!$A$1:$I$88,5,0)</f>
        <v>250.45800000000003</v>
      </c>
      <c r="BF108" s="14">
        <f t="shared" si="91"/>
        <v>60.684004209403788</v>
      </c>
      <c r="BG108" s="22">
        <f t="shared" si="61"/>
        <v>541.90565733137828</v>
      </c>
      <c r="BH108" s="60">
        <f t="shared" si="62"/>
        <v>820.64428541225004</v>
      </c>
      <c r="BI108" s="60">
        <f ca="1">AVERAGE(OFFSET($BH$3,0,0,'Données projet'!$E$11+1,1))-AVERAGE(OFFSET($H$3,0,0,'Données projet'!$E$11+1,1))</f>
        <v>108.30434106718693</v>
      </c>
      <c r="BJ108" s="60">
        <f t="shared" si="92"/>
        <v>67.653808657585842</v>
      </c>
      <c r="BK108" s="16">
        <f>IF(ISNA(VLOOKUP(A108,'Données projet'!$A$87:$I$107,3,0)),0,VLOOKUP(A108,'Données projet'!$A$87:$I$107,3,0))</f>
        <v>9</v>
      </c>
      <c r="BL108" s="16">
        <f>IF(ISNA(VLOOKUP(A108,'Données projet'!$A$87:$I$107,4,0)),0,VLOOKUP(A108,'Données projet'!$A$87:$I$107,4,0))</f>
        <v>32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29.706197869956302</v>
      </c>
      <c r="BQ108" s="23">
        <f>EXP(-LN(2)/25)*BQ107+(1-EXP(-LN(2)/25))/(LN(2)/25)*Calculateur!BL108*Calculateur!BN108*VLOOKUP('Données projet'!$B$11,Paramètres!$A$1:$I$88,3,0)*0.475*44/12</f>
        <v>0</v>
      </c>
      <c r="BR108" s="23">
        <f>EXP(-LN(2)/2)*BR107+(1-EXP(-LN(2)/2))/(LN(2)/2)*BL108*BO108*VLOOKUP('Données projet'!$B$11,Paramètres!$A$1:$I$88,3,0)*0.475*44/12</f>
        <v>0</v>
      </c>
      <c r="BS108" s="24">
        <f t="shared" si="63"/>
        <v>29.706197869956302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projet'!$B$12,Paramètres!$A$1:$I$88,3,0)*VLOOKUP('Données projet'!$B$12,Paramètres!$A$1:$I$88,5,0)</f>
        <v>0</v>
      </c>
      <c r="CA108" s="14" t="e">
        <f t="shared" si="93"/>
        <v>#NUM!</v>
      </c>
      <c r="CB108" s="22" t="e">
        <f t="shared" si="64"/>
        <v>#NUM!</v>
      </c>
      <c r="CC108" s="60" t="e">
        <f t="shared" si="65"/>
        <v>#NUM!</v>
      </c>
      <c r="CD108" s="60">
        <f ca="1">AVERAGE(OFFSET($CC$3,0,0,'Données projet'!$E$12+1,1))-AVERAGE(OFFSET($H$3,0,0,'Données projet'!$E$12+1,1))</f>
        <v>171.08593400758221</v>
      </c>
      <c r="CE108" s="60">
        <f t="shared" si="94"/>
        <v>201.9528484086932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projet'!$B$12,Paramètres!$A$1:$I$88,3,0)*0.475*44/12</f>
        <v>30.064047778401847</v>
      </c>
      <c r="CL108" s="23">
        <f>EXP(-LN(2)/25)*CL107+(1-EXP(-LN(2)/25))/(LN(2)/25)*Calculateur!CG108*Calculateur!CI108*VLOOKUP('Données projet'!$B$12,Paramètres!$A$1:$I$88,3,0)*0.475*44/12</f>
        <v>12.255898806413647</v>
      </c>
      <c r="CM108" s="23">
        <f>EXP(-LN(2)/2)*CM107+(1-EXP(-LN(2)/2))/(LN(2)/2)*CG108*CJ108*VLOOKUP('Données projet'!$B$12,Paramètres!$A$1:$I$88,3,0)*0.475*44/12</f>
        <v>0</v>
      </c>
      <c r="CN108" s="24">
        <f t="shared" si="66"/>
        <v>42.319946584815497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438</v>
      </c>
      <c r="CR108" s="13">
        <f>VLOOKUP(A108,'Données projet'!$A$139:$I$159,9,0)</f>
        <v>4.8</v>
      </c>
      <c r="CS108" s="13">
        <f t="array" ref="CS108">INDEX(CR:CR,MIN(IF(ISNUMBER(CR108:CR304),ROW(CR108:CR304),"")))</f>
        <v>4.8</v>
      </c>
      <c r="CT108" s="13">
        <f>IF('Données projet'!$A$140&gt;35,CT107+CS108-DB107,IF(A108&lt;'Données projet'!$A$140,$CQ$205^A108,IF(A108='Données projet'!$A$140,'Données projet'!$B$140,CT107+CS108-DB107)))</f>
        <v>437.99999999999994</v>
      </c>
      <c r="CU108" s="18">
        <f>CT108*VLOOKUP('Données projet'!$B$13,Paramètres!$A$1:$I$88,3,0)*VLOOKUP('Données projet'!$B$13,Paramètres!$A$1:$I$88,5,0)</f>
        <v>293.81039999999996</v>
      </c>
      <c r="CV108" s="14">
        <f t="shared" si="95"/>
        <v>69.877315366590224</v>
      </c>
      <c r="CW108" s="22">
        <f t="shared" si="67"/>
        <v>633.42277093014445</v>
      </c>
      <c r="CX108" s="60">
        <f t="shared" si="68"/>
        <v>912.16139901101621</v>
      </c>
      <c r="CY108" s="60">
        <f ca="1">AVERAGE(OFFSET($CX$3,0,0,'Données projet'!$E$13+1,1))-AVERAGE(OFFSET($H$3,0,0,'Données projet'!$E$13+1,1))</f>
        <v>283.66646124753868</v>
      </c>
      <c r="CZ108" s="60">
        <f t="shared" si="96"/>
        <v>331.61926649572797</v>
      </c>
      <c r="DA108" s="16">
        <f>IF(ISNA(VLOOKUP(A108,'Données projet'!$A$139:$I$159,3,0)),0,VLOOKUP(A108,'Données projet'!$A$139:$I$159,3,0))</f>
        <v>19</v>
      </c>
      <c r="DB108" s="16">
        <f>IF(ISNA(VLOOKUP(A108,'Données projet'!$A$139:$I$159,4,0)),0,VLOOKUP(A108,'Données projet'!$A$139:$I$159,4,0))</f>
        <v>16</v>
      </c>
      <c r="DC108" s="17">
        <f>IF(ISNA(VLOOKUP(A108,'Données projet'!$A$139:$I$159,5,0)),0%,VLOOKUP(A108,'Données projet'!$A$139:$I$159,5,0)*VLOOKUP('Données projet'!$B$13,Paramètres!$A$1:$I$88,7,0))</f>
        <v>0.318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projet'!$B$13,Paramètres!$A$1:$I$88,3,0)*0.475*44/12</f>
        <v>31.927350388249074</v>
      </c>
      <c r="DG108" s="23">
        <f>EXP(-LN(2)/25)*DG107+(1-EXP(-LN(2)/25))/(LN(2)/25)*Calculateur!DB108*Calculateur!DD108*VLOOKUP('Données projet'!$B$13,Paramètres!$A$1:$I$88,3,0)*0.475*44/12</f>
        <v>0</v>
      </c>
      <c r="DH108" s="23">
        <f>EXP(-LN(2)/2)*DH107+(1-EXP(-LN(2)/2))/(LN(2)/2)*DB108*DE108*VLOOKUP('Données projet'!$B$13,Paramètres!$A$1:$I$88,3,0)*0.475*44/12</f>
        <v>0</v>
      </c>
      <c r="DI108" s="24">
        <f t="shared" si="69"/>
        <v>31.927350388249074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1.1368683772161603E-13</v>
      </c>
      <c r="DP108" s="18">
        <f>DO108*VLOOKUP('Données projet'!$B$14,Paramètres!$A$1:$I$88,3,0)*VLOOKUP('Données projet'!$B$14,Paramètres!$A$1:$I$88,5,0)</f>
        <v>8.3355189417488869E-14</v>
      </c>
      <c r="DQ108" s="14">
        <f t="shared" si="97"/>
        <v>1.2790518435140618E-12</v>
      </c>
      <c r="DR108" s="22">
        <f t="shared" si="70"/>
        <v>2.3728589156891171E-12</v>
      </c>
      <c r="DS108" s="60">
        <f t="shared" si="71"/>
        <v>278.73862808087415</v>
      </c>
      <c r="DT108" s="60">
        <f ca="1">AVERAGE(OFFSET($DS$3,0,0,'Données projet'!$E$14+1,1))-AVERAGE(OFFSET($H$3,0,0,'Données projet'!$E$14+1,1))</f>
        <v>212.77458587586861</v>
      </c>
      <c r="DU108" s="60">
        <f t="shared" si="98"/>
        <v>260.45879589483513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projet'!$B$14,Paramètres!$A$1:$I$88,3,0)*0.475*44/12</f>
        <v>14.721424344317072</v>
      </c>
      <c r="EB108" s="23">
        <f>EXP(-LN(2)/25)*EB107+(1-EXP(-LN(2)/25))/(LN(2)/25)*Calculateur!DW108*Calculateur!DY108*VLOOKUP('Données projet'!$B$14,Paramètres!$A$1:$I$88,3,0)*0.475*44/12</f>
        <v>5.8182228943479881</v>
      </c>
      <c r="EC108" s="23">
        <f>EXP(-LN(2)/2)*EC107+(1-EXP(-LN(2)/2))/(LN(2)/2)*DW108*DZ108*VLOOKUP('Données projet'!$B$14,Paramètres!$A$1:$I$88,3,0)*0.475*44/12</f>
        <v>0</v>
      </c>
      <c r="ED108" s="24">
        <f t="shared" si="72"/>
        <v>20.539647238665061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5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8">
        <f t="shared" si="56"/>
        <v>183.33333333333334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3.4106051316484809E-13</v>
      </c>
      <c r="O109" s="14">
        <f>N109*VLOOKUP('Données projet'!$B$9,Paramètres!$A$1:$I$88,3,0)*VLOOKUP('Données projet'!$B$9,Paramètres!$A$1:$I$88,5,0)</f>
        <v>1.9065282685915009E-13</v>
      </c>
      <c r="P109" s="14">
        <f t="shared" si="87"/>
        <v>2.6568987209435707E-12</v>
      </c>
      <c r="Q109" s="22">
        <f t="shared" si="107"/>
        <v>4.959485612423072E-12</v>
      </c>
      <c r="R109" s="60">
        <f t="shared" si="55"/>
        <v>278.99181358813405</v>
      </c>
      <c r="S109" s="60">
        <f ca="1">AVERAGE(OFFSET($R$3,0,0,'Données projet'!$E$9+1,1))-AVERAGE(OFFSET($H$3,0,0,'Données projet'!$E$9+1,1))</f>
        <v>366.29380214443631</v>
      </c>
      <c r="T109" s="60">
        <f t="shared" si="88"/>
        <v>413.14502442862897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96.359270729804322</v>
      </c>
      <c r="AA109" s="23">
        <f>EXP(-LN(2)/25)*AA108+(1-EXP(-LN(2)/25))/(LN(2)/25)*Calculateur!V109*Calculateur!X109*VLOOKUP('Données projet'!$B$9,Paramètres!$A$1:$I$88,3,0)*0.475*44/12</f>
        <v>37.016942979911263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133.37621370971559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452.49999999999989</v>
      </c>
      <c r="AJ109" s="14">
        <f>AI109*VLOOKUP('Données projet'!$B$10,Paramètres!$A$1:$I$88,3,0)*VLOOKUP('Données projet'!$B$10,Paramètres!$A$1:$I$88,5,0)</f>
        <v>395.30399999999992</v>
      </c>
      <c r="AK109" s="14">
        <f t="shared" si="89"/>
        <v>90.823969929029445</v>
      </c>
      <c r="AL109" s="22">
        <f t="shared" si="58"/>
        <v>846.67288095972606</v>
      </c>
      <c r="AM109" s="60">
        <f t="shared" si="59"/>
        <v>1125.6646945478551</v>
      </c>
      <c r="AN109" s="60">
        <f ca="1">AVERAGE(OFFSET($AM$3,0,0,'Données projet'!$E$10+1,1))-AVERAGE(OFFSET($H$3,0,0,'Données projet'!$E$10+1,1))</f>
        <v>436.5217771315057</v>
      </c>
      <c r="AO109" s="60">
        <f t="shared" si="90"/>
        <v>308.97310256098365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24.65242812935686</v>
      </c>
      <c r="AV109" s="23">
        <f>EXP(-LN(2)/25)*AV108+(1-EXP(-LN(2)/25))/(LN(2)/25)*Calculateur!AQ109*Calculateur!AS109*VLOOKUP('Données projet'!$B$10,Paramètres!$A$1:$I$88,3,0)*0.475*44/12</f>
        <v>9.2668321156520346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33.919260245008893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5.4</v>
      </c>
      <c r="BD109" s="13">
        <f>IF('Données projet'!$A$88&gt;35,BD108+BC109-BL108,IF(A109&lt;'Données projet'!$A$88,$BA$205^A109,IF(A109='Données projet'!$A$88,'Données projet'!$B$88,BD108+BC109-BL108)))</f>
        <v>220.4</v>
      </c>
      <c r="BE109" s="14">
        <f>BD109*VLOOKUP('Données projet'!$B$11,Paramètres!$A$1:$I$88,3,0)*VLOOKUP('Données projet'!$B$11,Paramètres!$A$1:$I$88,5,0)</f>
        <v>223.48560000000003</v>
      </c>
      <c r="BF109" s="14">
        <f t="shared" si="91"/>
        <v>54.87176918107798</v>
      </c>
      <c r="BG109" s="22">
        <f t="shared" si="61"/>
        <v>484.80575132371087</v>
      </c>
      <c r="BH109" s="60">
        <f t="shared" si="62"/>
        <v>763.79756491184003</v>
      </c>
      <c r="BI109" s="60">
        <f ca="1">AVERAGE(OFFSET($BH$3,0,0,'Données projet'!$E$11+1,1))-AVERAGE(OFFSET($H$3,0,0,'Données projet'!$E$11+1,1))</f>
        <v>108.30434106718693</v>
      </c>
      <c r="BJ109" s="60">
        <f t="shared" si="92"/>
        <v>67.653808657585842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29.123677448718059</v>
      </c>
      <c r="BQ109" s="23">
        <f>EXP(-LN(2)/25)*BQ108+(1-EXP(-LN(2)/25))/(LN(2)/25)*Calculateur!BL109*Calculateur!BN109*VLOOKUP('Données projet'!$B$11,Paramètres!$A$1:$I$88,3,0)*0.475*44/12</f>
        <v>0</v>
      </c>
      <c r="BR109" s="23">
        <f>EXP(-LN(2)/2)*BR108+(1-EXP(-LN(2)/2))/(LN(2)/2)*BL109*BO109*VLOOKUP('Données projet'!$B$11,Paramètres!$A$1:$I$88,3,0)*0.475*44/12</f>
        <v>0</v>
      </c>
      <c r="BS109" s="24">
        <f t="shared" si="63"/>
        <v>29.123677448718059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projet'!$B$12,Paramètres!$A$1:$I$88,3,0)*VLOOKUP('Données projet'!$B$12,Paramètres!$A$1:$I$88,5,0)</f>
        <v>0</v>
      </c>
      <c r="CA109" s="14" t="e">
        <f t="shared" si="93"/>
        <v>#NUM!</v>
      </c>
      <c r="CB109" s="22" t="e">
        <f t="shared" si="64"/>
        <v>#NUM!</v>
      </c>
      <c r="CC109" s="60" t="e">
        <f t="shared" si="65"/>
        <v>#NUM!</v>
      </c>
      <c r="CD109" s="60">
        <f ca="1">AVERAGE(OFFSET($CC$3,0,0,'Données projet'!$E$12+1,1))-AVERAGE(OFFSET($H$3,0,0,'Données projet'!$E$12+1,1))</f>
        <v>171.08593400758221</v>
      </c>
      <c r="CE109" s="60">
        <f t="shared" si="94"/>
        <v>201.9528484086932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projet'!$B$12,Paramètres!$A$1:$I$88,3,0)*0.475*44/12</f>
        <v>29.474510138725876</v>
      </c>
      <c r="CL109" s="23">
        <f>EXP(-LN(2)/25)*CL108+(1-EXP(-LN(2)/25))/(LN(2)/25)*Calculateur!CG109*Calculateur!CI109*VLOOKUP('Données projet'!$B$12,Paramètres!$A$1:$I$88,3,0)*0.475*44/12</f>
        <v>11.920760609042558</v>
      </c>
      <c r="CM109" s="23">
        <f>EXP(-LN(2)/2)*CM108+(1-EXP(-LN(2)/2))/(LN(2)/2)*CG109*CJ109*VLOOKUP('Données projet'!$B$12,Paramètres!$A$1:$I$88,3,0)*0.475*44/12</f>
        <v>0</v>
      </c>
      <c r="CN109" s="24">
        <f t="shared" si="66"/>
        <v>41.395270747768436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4.8</v>
      </c>
      <c r="CT109" s="13">
        <f>IF('Données projet'!$A$140&gt;35,CT108+CS109-DB108,IF(A109&lt;'Données projet'!$A$140,$CQ$205^A109,IF(A109='Données projet'!$A$140,'Données projet'!$B$140,CT108+CS109-DB108)))</f>
        <v>426.79999999999995</v>
      </c>
      <c r="CU109" s="18">
        <f>CT109*VLOOKUP('Données projet'!$B$13,Paramètres!$A$1:$I$88,3,0)*VLOOKUP('Données projet'!$B$13,Paramètres!$A$1:$I$88,5,0)</f>
        <v>286.29743999999999</v>
      </c>
      <c r="CV109" s="14">
        <f t="shared" si="95"/>
        <v>68.296111378067351</v>
      </c>
      <c r="CW109" s="22">
        <f t="shared" si="67"/>
        <v>617.58376865013395</v>
      </c>
      <c r="CX109" s="60">
        <f t="shared" si="68"/>
        <v>896.575582238263</v>
      </c>
      <c r="CY109" s="60">
        <f ca="1">AVERAGE(OFFSET($CX$3,0,0,'Données projet'!$E$13+1,1))-AVERAGE(OFFSET($H$3,0,0,'Données projet'!$E$13+1,1))</f>
        <v>283.66646124753868</v>
      </c>
      <c r="CZ109" s="60">
        <f t="shared" si="96"/>
        <v>331.61926649572797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projet'!$B$13,Paramètres!$A$1:$I$88,3,0)*0.475*44/12</f>
        <v>31.301274520896374</v>
      </c>
      <c r="DG109" s="23">
        <f>EXP(-LN(2)/25)*DG108+(1-EXP(-LN(2)/25))/(LN(2)/25)*Calculateur!DB109*Calculateur!DD109*VLOOKUP('Données projet'!$B$13,Paramètres!$A$1:$I$88,3,0)*0.475*44/12</f>
        <v>0</v>
      </c>
      <c r="DH109" s="23">
        <f>EXP(-LN(2)/2)*DH108+(1-EXP(-LN(2)/2))/(LN(2)/2)*DB109*DE109*VLOOKUP('Données projet'!$B$13,Paramètres!$A$1:$I$88,3,0)*0.475*44/12</f>
        <v>0</v>
      </c>
      <c r="DI109" s="24">
        <f t="shared" si="69"/>
        <v>31.301274520896374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1.1368683772161603E-13</v>
      </c>
      <c r="DP109" s="18">
        <f>DO109*VLOOKUP('Données projet'!$B$14,Paramètres!$A$1:$I$88,3,0)*VLOOKUP('Données projet'!$B$14,Paramètres!$A$1:$I$88,5,0)</f>
        <v>8.3355189417488869E-14</v>
      </c>
      <c r="DQ109" s="14">
        <f t="shared" si="97"/>
        <v>1.2790518435140618E-12</v>
      </c>
      <c r="DR109" s="22">
        <f t="shared" si="70"/>
        <v>2.3728589156891171E-12</v>
      </c>
      <c r="DS109" s="60">
        <f t="shared" si="71"/>
        <v>278.99181358813149</v>
      </c>
      <c r="DT109" s="60">
        <f ca="1">AVERAGE(OFFSET($DS$3,0,0,'Données projet'!$E$14+1,1))-AVERAGE(OFFSET($H$3,0,0,'Données projet'!$E$14+1,1))</f>
        <v>212.77458587586861</v>
      </c>
      <c r="DU109" s="60">
        <f t="shared" si="98"/>
        <v>260.45879589483513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projet'!$B$14,Paramètres!$A$1:$I$88,3,0)*0.475*44/12</f>
        <v>14.432746192107244</v>
      </c>
      <c r="EB109" s="23">
        <f>EXP(-LN(2)/25)*EB108+(1-EXP(-LN(2)/25))/(LN(2)/25)*Calculateur!DW109*Calculateur!DY109*VLOOKUP('Données projet'!$B$14,Paramètres!$A$1:$I$88,3,0)*0.475*44/12</f>
        <v>5.6591232833349983</v>
      </c>
      <c r="EC109" s="23">
        <f>EXP(-LN(2)/2)*EC108+(1-EXP(-LN(2)/2))/(LN(2)/2)*DW109*DZ109*VLOOKUP('Données projet'!$B$14,Paramètres!$A$1:$I$88,3,0)*0.475*44/12</f>
        <v>0</v>
      </c>
      <c r="ED109" s="24">
        <f t="shared" si="72"/>
        <v>20.091869475442241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5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8">
        <f t="shared" si="56"/>
        <v>183.33333333333334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3.4106051316484809E-13</v>
      </c>
      <c r="O110" s="14">
        <f>N110*VLOOKUP('Données projet'!$B$9,Paramètres!$A$1:$I$88,3,0)*VLOOKUP('Données projet'!$B$9,Paramètres!$A$1:$I$88,5,0)</f>
        <v>1.9065282685915009E-13</v>
      </c>
      <c r="P110" s="14">
        <f t="shared" si="87"/>
        <v>2.6568987209435707E-12</v>
      </c>
      <c r="Q110" s="22">
        <f t="shared" si="107"/>
        <v>4.959485612423072E-12</v>
      </c>
      <c r="R110" s="60">
        <f t="shared" si="55"/>
        <v>279.24060689287859</v>
      </c>
      <c r="S110" s="60">
        <f ca="1">AVERAGE(OFFSET($R$3,0,0,'Données projet'!$E$9+1,1))-AVERAGE(OFFSET($H$3,0,0,'Données projet'!$E$9+1,1))</f>
        <v>366.29380214443631</v>
      </c>
      <c r="T110" s="60">
        <f t="shared" si="88"/>
        <v>413.14502442862897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94.469724204144612</v>
      </c>
      <c r="AA110" s="23">
        <f>EXP(-LN(2)/25)*AA109+(1-EXP(-LN(2)/25))/(LN(2)/25)*Calculateur!V110*Calculateur!X110*VLOOKUP('Données projet'!$B$9,Paramètres!$A$1:$I$88,3,0)*0.475*44/12</f>
        <v>36.004712727489164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130.47443693163376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452.49999999999989</v>
      </c>
      <c r="AJ110" s="14">
        <f>AI110*VLOOKUP('Données projet'!$B$10,Paramètres!$A$1:$I$88,3,0)*VLOOKUP('Données projet'!$B$10,Paramètres!$A$1:$I$88,5,0)</f>
        <v>395.30399999999992</v>
      </c>
      <c r="AK110" s="14">
        <f t="shared" si="89"/>
        <v>90.823969929029445</v>
      </c>
      <c r="AL110" s="22">
        <f t="shared" si="58"/>
        <v>846.67288095972606</v>
      </c>
      <c r="AM110" s="60">
        <f t="shared" si="59"/>
        <v>1125.9134878525997</v>
      </c>
      <c r="AN110" s="60">
        <f ca="1">AVERAGE(OFFSET($AM$3,0,0,'Données projet'!$E$10+1,1))-AVERAGE(OFFSET($H$3,0,0,'Données projet'!$E$10+1,1))</f>
        <v>436.5217771315057</v>
      </c>
      <c r="AO110" s="60">
        <f t="shared" si="90"/>
        <v>308.97310256098365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24.1690090502366</v>
      </c>
      <c r="AV110" s="23">
        <f>EXP(-LN(2)/25)*AV109+(1-EXP(-LN(2)/25))/(LN(2)/25)*Calculateur!AQ110*Calculateur!AS110*VLOOKUP('Données projet'!$B$10,Paramètres!$A$1:$I$88,3,0)*0.475*44/12</f>
        <v>9.0134301041280089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33.182439154364609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5.4</v>
      </c>
      <c r="BD110" s="13">
        <f>IF('Données projet'!$A$88&gt;35,BD109+BC110-BL109,IF(A110&lt;'Données projet'!$A$88,$BA$205^A110,IF(A110='Données projet'!$A$88,'Données projet'!$B$88,BD109+BC110-BL109)))</f>
        <v>225.8</v>
      </c>
      <c r="BE110" s="14">
        <f>BD110*VLOOKUP('Données projet'!$B$11,Paramètres!$A$1:$I$88,3,0)*VLOOKUP('Données projet'!$B$11,Paramètres!$A$1:$I$88,5,0)</f>
        <v>228.96120000000002</v>
      </c>
      <c r="BF110" s="14">
        <f t="shared" si="91"/>
        <v>56.058009542435627</v>
      </c>
      <c r="BG110" s="22">
        <f t="shared" si="61"/>
        <v>496.40845661974208</v>
      </c>
      <c r="BH110" s="60">
        <f t="shared" si="62"/>
        <v>775.64906351261573</v>
      </c>
      <c r="BI110" s="60">
        <f ca="1">AVERAGE(OFFSET($BH$3,0,0,'Données projet'!$E$11+1,1))-AVERAGE(OFFSET($H$3,0,0,'Données projet'!$E$11+1,1))</f>
        <v>108.30434106718693</v>
      </c>
      <c r="BJ110" s="60">
        <f t="shared" si="92"/>
        <v>67.653808657585842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28.552579897637923</v>
      </c>
      <c r="BQ110" s="23">
        <f>EXP(-LN(2)/25)*BQ109+(1-EXP(-LN(2)/25))/(LN(2)/25)*Calculateur!BL110*Calculateur!BN110*VLOOKUP('Données projet'!$B$11,Paramètres!$A$1:$I$88,3,0)*0.475*44/12</f>
        <v>0</v>
      </c>
      <c r="BR110" s="23">
        <f>EXP(-LN(2)/2)*BR109+(1-EXP(-LN(2)/2))/(LN(2)/2)*BL110*BO110*VLOOKUP('Données projet'!$B$11,Paramètres!$A$1:$I$88,3,0)*0.475*44/12</f>
        <v>0</v>
      </c>
      <c r="BS110" s="24">
        <f t="shared" si="63"/>
        <v>28.552579897637923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projet'!$B$12,Paramètres!$A$1:$I$88,3,0)*VLOOKUP('Données projet'!$B$12,Paramètres!$A$1:$I$88,5,0)</f>
        <v>0</v>
      </c>
      <c r="CA110" s="14" t="e">
        <f t="shared" si="93"/>
        <v>#NUM!</v>
      </c>
      <c r="CB110" s="22" t="e">
        <f t="shared" si="64"/>
        <v>#NUM!</v>
      </c>
      <c r="CC110" s="60" t="e">
        <f t="shared" si="65"/>
        <v>#NUM!</v>
      </c>
      <c r="CD110" s="60">
        <f ca="1">AVERAGE(OFFSET($CC$3,0,0,'Données projet'!$E$12+1,1))-AVERAGE(OFFSET($H$3,0,0,'Données projet'!$E$12+1,1))</f>
        <v>171.08593400758221</v>
      </c>
      <c r="CE110" s="60">
        <f t="shared" si="94"/>
        <v>201.9528484086932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projet'!$B$12,Paramètres!$A$1:$I$88,3,0)*0.475*44/12</f>
        <v>28.896532972581497</v>
      </c>
      <c r="CL110" s="23">
        <f>EXP(-LN(2)/25)*CL109+(1-EXP(-LN(2)/25))/(LN(2)/25)*Calculateur!CG110*Calculateur!CI110*VLOOKUP('Données projet'!$B$12,Paramètres!$A$1:$I$88,3,0)*0.475*44/12</f>
        <v>11.594786783302734</v>
      </c>
      <c r="CM110" s="23">
        <f>EXP(-LN(2)/2)*CM109+(1-EXP(-LN(2)/2))/(LN(2)/2)*CG110*CJ110*VLOOKUP('Données projet'!$B$12,Paramètres!$A$1:$I$88,3,0)*0.475*44/12</f>
        <v>0</v>
      </c>
      <c r="CN110" s="24">
        <f t="shared" si="66"/>
        <v>40.491319755884234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4.8</v>
      </c>
      <c r="CT110" s="13">
        <f>IF('Données projet'!$A$140&gt;35,CT109+CS110-DB109,IF(A110&lt;'Données projet'!$A$140,$CQ$205^A110,IF(A110='Données projet'!$A$140,'Données projet'!$B$140,CT109+CS110-DB109)))</f>
        <v>431.59999999999997</v>
      </c>
      <c r="CU110" s="18">
        <f>CT110*VLOOKUP('Données projet'!$B$13,Paramètres!$A$1:$I$88,3,0)*VLOOKUP('Données projet'!$B$13,Paramètres!$A$1:$I$88,5,0)</f>
        <v>289.51728000000003</v>
      </c>
      <c r="CV110" s="14">
        <f t="shared" si="95"/>
        <v>68.974354401787721</v>
      </c>
      <c r="CW110" s="22">
        <f t="shared" si="67"/>
        <v>624.37292991644688</v>
      </c>
      <c r="CX110" s="60">
        <f t="shared" si="68"/>
        <v>903.61353680932052</v>
      </c>
      <c r="CY110" s="60">
        <f ca="1">AVERAGE(OFFSET($CX$3,0,0,'Données projet'!$E$13+1,1))-AVERAGE(OFFSET($H$3,0,0,'Données projet'!$E$13+1,1))</f>
        <v>283.66646124753868</v>
      </c>
      <c r="CZ110" s="60">
        <f t="shared" si="96"/>
        <v>331.61926649572797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projet'!$B$13,Paramètres!$A$1:$I$88,3,0)*0.475*44/12</f>
        <v>30.687475619433886</v>
      </c>
      <c r="DG110" s="23">
        <f>EXP(-LN(2)/25)*DG109+(1-EXP(-LN(2)/25))/(LN(2)/25)*Calculateur!DB110*Calculateur!DD110*VLOOKUP('Données projet'!$B$13,Paramètres!$A$1:$I$88,3,0)*0.475*44/12</f>
        <v>0</v>
      </c>
      <c r="DH110" s="23">
        <f>EXP(-LN(2)/2)*DH109+(1-EXP(-LN(2)/2))/(LN(2)/2)*DB110*DE110*VLOOKUP('Données projet'!$B$13,Paramètres!$A$1:$I$88,3,0)*0.475*44/12</f>
        <v>0</v>
      </c>
      <c r="DI110" s="24">
        <f t="shared" si="69"/>
        <v>30.687475619433886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1.1368683772161603E-13</v>
      </c>
      <c r="DP110" s="18">
        <f>DO110*VLOOKUP('Données projet'!$B$14,Paramètres!$A$1:$I$88,3,0)*VLOOKUP('Données projet'!$B$14,Paramètres!$A$1:$I$88,5,0)</f>
        <v>8.3355189417488869E-14</v>
      </c>
      <c r="DQ110" s="14">
        <f t="shared" si="97"/>
        <v>1.2790518435140618E-12</v>
      </c>
      <c r="DR110" s="22">
        <f t="shared" si="70"/>
        <v>2.3728589156891171E-12</v>
      </c>
      <c r="DS110" s="60">
        <f t="shared" si="71"/>
        <v>279.24060689287603</v>
      </c>
      <c r="DT110" s="60">
        <f ca="1">AVERAGE(OFFSET($DS$3,0,0,'Données projet'!$E$14+1,1))-AVERAGE(OFFSET($H$3,0,0,'Données projet'!$E$14+1,1))</f>
        <v>212.77458587586861</v>
      </c>
      <c r="DU110" s="60">
        <f t="shared" si="98"/>
        <v>260.45879589483513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projet'!$B$14,Paramètres!$A$1:$I$88,3,0)*0.475*44/12</f>
        <v>14.149728842385963</v>
      </c>
      <c r="EB110" s="23">
        <f>EXP(-LN(2)/25)*EB109+(1-EXP(-LN(2)/25))/(LN(2)/25)*Calculateur!DW110*Calculateur!DY110*VLOOKUP('Données projet'!$B$14,Paramètres!$A$1:$I$88,3,0)*0.475*44/12</f>
        <v>5.5043742595518435</v>
      </c>
      <c r="EC110" s="23">
        <f>EXP(-LN(2)/2)*EC109+(1-EXP(-LN(2)/2))/(LN(2)/2)*DW110*DZ110*VLOOKUP('Données projet'!$B$14,Paramètres!$A$1:$I$88,3,0)*0.475*44/12</f>
        <v>0</v>
      </c>
      <c r="ED110" s="24">
        <f t="shared" si="72"/>
        <v>19.654103101937807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5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8">
        <f t="shared" si="56"/>
        <v>183.33333333333334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3.4106051316484809E-13</v>
      </c>
      <c r="O111" s="14">
        <f>N111*VLOOKUP('Données projet'!$B$9,Paramètres!$A$1:$I$88,3,0)*VLOOKUP('Données projet'!$B$9,Paramètres!$A$1:$I$88,5,0)</f>
        <v>1.9065282685915009E-13</v>
      </c>
      <c r="P111" s="14">
        <f t="shared" si="87"/>
        <v>2.6568987209435707E-12</v>
      </c>
      <c r="Q111" s="22">
        <f t="shared" si="107"/>
        <v>4.959485612423072E-12</v>
      </c>
      <c r="R111" s="60">
        <f t="shared" si="55"/>
        <v>279.48508419000427</v>
      </c>
      <c r="S111" s="60">
        <f ca="1">AVERAGE(OFFSET($R$3,0,0,'Données projet'!$E$9+1,1))-AVERAGE(OFFSET($H$3,0,0,'Données projet'!$E$9+1,1))</f>
        <v>366.29380214443631</v>
      </c>
      <c r="T111" s="60">
        <f t="shared" si="88"/>
        <v>413.14502442862897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92.617230533343516</v>
      </c>
      <c r="AA111" s="23">
        <f>EXP(-LN(2)/25)*AA110+(1-EXP(-LN(2)/25))/(LN(2)/25)*Calculateur!V111*Calculateur!X111*VLOOKUP('Données projet'!$B$9,Paramètres!$A$1:$I$88,3,0)*0.475*44/12</f>
        <v>35.020161964550418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127.63739249789393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452.49999999999989</v>
      </c>
      <c r="AJ111" s="14">
        <f>AI111*VLOOKUP('Données projet'!$B$10,Paramètres!$A$1:$I$88,3,0)*VLOOKUP('Données projet'!$B$10,Paramètres!$A$1:$I$88,5,0)</f>
        <v>395.30399999999992</v>
      </c>
      <c r="AK111" s="14">
        <f t="shared" si="89"/>
        <v>90.823969929029445</v>
      </c>
      <c r="AL111" s="22">
        <f t="shared" si="58"/>
        <v>846.67288095972606</v>
      </c>
      <c r="AM111" s="60">
        <f t="shared" si="59"/>
        <v>1126.1579651497254</v>
      </c>
      <c r="AN111" s="60">
        <f ca="1">AVERAGE(OFFSET($AM$3,0,0,'Données projet'!$E$10+1,1))-AVERAGE(OFFSET($H$3,0,0,'Données projet'!$E$10+1,1))</f>
        <v>436.5217771315057</v>
      </c>
      <c r="AO111" s="60">
        <f t="shared" si="90"/>
        <v>308.97310256098365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23.695069524401365</v>
      </c>
      <c r="AV111" s="23">
        <f>EXP(-LN(2)/25)*AV110+(1-EXP(-LN(2)/25))/(LN(2)/25)*Calculateur!AQ111*Calculateur!AS111*VLOOKUP('Données projet'!$B$10,Paramètres!$A$1:$I$88,3,0)*0.475*44/12</f>
        <v>8.7669573839349404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32.462026908336306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5.4</v>
      </c>
      <c r="BD111" s="13">
        <f>IF('Données projet'!$A$88&gt;35,BD110+BC111-BL110,IF(A111&lt;'Données projet'!$A$88,$BA$205^A111,IF(A111='Données projet'!$A$88,'Données projet'!$B$88,BD110+BC111-BL110)))</f>
        <v>231.20000000000002</v>
      </c>
      <c r="BE111" s="14">
        <f>BD111*VLOOKUP('Données projet'!$B$11,Paramètres!$A$1:$I$88,3,0)*VLOOKUP('Données projet'!$B$11,Paramètres!$A$1:$I$88,5,0)</f>
        <v>234.43680000000006</v>
      </c>
      <c r="BF111" s="14">
        <f t="shared" si="91"/>
        <v>57.240952023252405</v>
      </c>
      <c r="BG111" s="22">
        <f t="shared" si="61"/>
        <v>508.00541810716476</v>
      </c>
      <c r="BH111" s="60">
        <f t="shared" si="62"/>
        <v>787.49050229716408</v>
      </c>
      <c r="BI111" s="60">
        <f ca="1">AVERAGE(OFFSET($BH$3,0,0,'Données projet'!$E$11+1,1))-AVERAGE(OFFSET($H$3,0,0,'Données projet'!$E$11+1,1))</f>
        <v>108.30434106718693</v>
      </c>
      <c r="BJ111" s="60">
        <f t="shared" si="92"/>
        <v>67.653808657585842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27.992681221199359</v>
      </c>
      <c r="BQ111" s="23">
        <f>EXP(-LN(2)/25)*BQ110+(1-EXP(-LN(2)/25))/(LN(2)/25)*Calculateur!BL111*Calculateur!BN111*VLOOKUP('Données projet'!$B$11,Paramètres!$A$1:$I$88,3,0)*0.475*44/12</f>
        <v>0</v>
      </c>
      <c r="BR111" s="23">
        <f>EXP(-LN(2)/2)*BR110+(1-EXP(-LN(2)/2))/(LN(2)/2)*BL111*BO111*VLOOKUP('Données projet'!$B$11,Paramètres!$A$1:$I$88,3,0)*0.475*44/12</f>
        <v>0</v>
      </c>
      <c r="BS111" s="24">
        <f t="shared" si="63"/>
        <v>27.992681221199359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projet'!$B$12,Paramètres!$A$1:$I$88,3,0)*VLOOKUP('Données projet'!$B$12,Paramètres!$A$1:$I$88,5,0)</f>
        <v>0</v>
      </c>
      <c r="CA111" s="14" t="e">
        <f t="shared" si="93"/>
        <v>#NUM!</v>
      </c>
      <c r="CB111" s="22" t="e">
        <f t="shared" si="64"/>
        <v>#NUM!</v>
      </c>
      <c r="CC111" s="60" t="e">
        <f t="shared" si="65"/>
        <v>#NUM!</v>
      </c>
      <c r="CD111" s="60">
        <f ca="1">AVERAGE(OFFSET($CC$3,0,0,'Données projet'!$E$12+1,1))-AVERAGE(OFFSET($H$3,0,0,'Données projet'!$E$12+1,1))</f>
        <v>171.08593400758221</v>
      </c>
      <c r="CE111" s="60">
        <f t="shared" si="94"/>
        <v>201.9528484086932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projet'!$B$12,Paramètres!$A$1:$I$88,3,0)*0.475*44/12</f>
        <v>28.329889586133948</v>
      </c>
      <c r="CL111" s="23">
        <f>EXP(-LN(2)/25)*CL110+(1-EXP(-LN(2)/25))/(LN(2)/25)*Calculateur!CG111*Calculateur!CI111*VLOOKUP('Données projet'!$B$12,Paramètres!$A$1:$I$88,3,0)*0.475*44/12</f>
        <v>11.277726728969984</v>
      </c>
      <c r="CM111" s="23">
        <f>EXP(-LN(2)/2)*CM110+(1-EXP(-LN(2)/2))/(LN(2)/2)*CG111*CJ111*VLOOKUP('Données projet'!$B$12,Paramètres!$A$1:$I$88,3,0)*0.475*44/12</f>
        <v>0</v>
      </c>
      <c r="CN111" s="24">
        <f t="shared" si="66"/>
        <v>39.607616315103932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4.8</v>
      </c>
      <c r="CT111" s="13">
        <f>IF('Données projet'!$A$140&gt;35,CT110+CS111-DB110,IF(A111&lt;'Données projet'!$A$140,$CQ$205^A111,IF(A111='Données projet'!$A$140,'Données projet'!$B$140,CT110+CS111-DB110)))</f>
        <v>436.4</v>
      </c>
      <c r="CU111" s="18">
        <f>CT111*VLOOKUP('Données projet'!$B$13,Paramètres!$A$1:$I$88,3,0)*VLOOKUP('Données projet'!$B$13,Paramètres!$A$1:$I$88,5,0)</f>
        <v>292.73712</v>
      </c>
      <c r="CV111" s="14">
        <f t="shared" si="95"/>
        <v>69.651719967157689</v>
      </c>
      <c r="CW111" s="22">
        <f t="shared" si="67"/>
        <v>631.16056294279963</v>
      </c>
      <c r="CX111" s="60">
        <f t="shared" si="68"/>
        <v>910.64564713279901</v>
      </c>
      <c r="CY111" s="60">
        <f ca="1">AVERAGE(OFFSET($CX$3,0,0,'Données projet'!$E$13+1,1))-AVERAGE(OFFSET($H$3,0,0,'Données projet'!$E$13+1,1))</f>
        <v>283.66646124753868</v>
      </c>
      <c r="CZ111" s="60">
        <f t="shared" si="96"/>
        <v>331.61926649572797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projet'!$B$13,Paramètres!$A$1:$I$88,3,0)*0.475*44/12</f>
        <v>30.085712940048715</v>
      </c>
      <c r="DG111" s="23">
        <f>EXP(-LN(2)/25)*DG110+(1-EXP(-LN(2)/25))/(LN(2)/25)*Calculateur!DB111*Calculateur!DD111*VLOOKUP('Données projet'!$B$13,Paramètres!$A$1:$I$88,3,0)*0.475*44/12</f>
        <v>0</v>
      </c>
      <c r="DH111" s="23">
        <f>EXP(-LN(2)/2)*DH110+(1-EXP(-LN(2)/2))/(LN(2)/2)*DB111*DE111*VLOOKUP('Données projet'!$B$13,Paramètres!$A$1:$I$88,3,0)*0.475*44/12</f>
        <v>0</v>
      </c>
      <c r="DI111" s="24">
        <f t="shared" si="69"/>
        <v>30.085712940048715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1.1368683772161603E-13</v>
      </c>
      <c r="DP111" s="18">
        <f>DO111*VLOOKUP('Données projet'!$B$14,Paramètres!$A$1:$I$88,3,0)*VLOOKUP('Données projet'!$B$14,Paramètres!$A$1:$I$88,5,0)</f>
        <v>8.3355189417488869E-14</v>
      </c>
      <c r="DQ111" s="14">
        <f t="shared" si="97"/>
        <v>1.2790518435140618E-12</v>
      </c>
      <c r="DR111" s="22">
        <f t="shared" si="70"/>
        <v>2.3728589156891171E-12</v>
      </c>
      <c r="DS111" s="60">
        <f t="shared" si="71"/>
        <v>279.48508419000171</v>
      </c>
      <c r="DT111" s="60">
        <f ca="1">AVERAGE(OFFSET($DS$3,0,0,'Données projet'!$E$14+1,1))-AVERAGE(OFFSET($H$3,0,0,'Données projet'!$E$14+1,1))</f>
        <v>212.77458587586861</v>
      </c>
      <c r="DU111" s="60">
        <f t="shared" si="98"/>
        <v>260.45879589483513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projet'!$B$14,Paramètres!$A$1:$I$88,3,0)*0.475*44/12</f>
        <v>13.872261290269179</v>
      </c>
      <c r="EB111" s="23">
        <f>EXP(-LN(2)/25)*EB110+(1-EXP(-LN(2)/25))/(LN(2)/25)*Calculateur!DW111*Calculateur!DY111*VLOOKUP('Données projet'!$B$14,Paramètres!$A$1:$I$88,3,0)*0.475*44/12</f>
        <v>5.3538568559619364</v>
      </c>
      <c r="EC111" s="23">
        <f>EXP(-LN(2)/2)*EC110+(1-EXP(-LN(2)/2))/(LN(2)/2)*DW111*DZ111*VLOOKUP('Données projet'!$B$14,Paramètres!$A$1:$I$88,3,0)*0.475*44/12</f>
        <v>0</v>
      </c>
      <c r="ED111" s="24">
        <f t="shared" si="72"/>
        <v>19.226118146231116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5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8">
        <f t="shared" si="56"/>
        <v>183.33333333333334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3.4106051316484809E-13</v>
      </c>
      <c r="O112" s="14">
        <f>N112*VLOOKUP('Données projet'!$B$9,Paramètres!$A$1:$I$88,3,0)*VLOOKUP('Données projet'!$B$9,Paramètres!$A$1:$I$88,5,0)</f>
        <v>1.9065282685915009E-13</v>
      </c>
      <c r="P112" s="14">
        <f t="shared" si="87"/>
        <v>2.6568987209435707E-12</v>
      </c>
      <c r="Q112" s="22">
        <f t="shared" si="107"/>
        <v>4.959485612423072E-12</v>
      </c>
      <c r="R112" s="60">
        <f t="shared" si="55"/>
        <v>279.72532035259422</v>
      </c>
      <c r="S112" s="60">
        <f ca="1">AVERAGE(OFFSET($R$3,0,0,'Données projet'!$E$9+1,1))-AVERAGE(OFFSET($H$3,0,0,'Données projet'!$E$9+1,1))</f>
        <v>366.29380214443631</v>
      </c>
      <c r="T112" s="60">
        <f t="shared" si="88"/>
        <v>413.14502442862897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90.80106313351726</v>
      </c>
      <c r="AA112" s="23">
        <f>EXP(-LN(2)/25)*AA111+(1-EXP(-LN(2)/25))/(LN(2)/25)*Calculateur!V112*Calculateur!X112*VLOOKUP('Données projet'!$B$9,Paramètres!$A$1:$I$88,3,0)*0.475*44/12</f>
        <v>34.062533793999506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124.86359692751677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452.49999999999989</v>
      </c>
      <c r="AJ112" s="14">
        <f>AI112*VLOOKUP('Données projet'!$B$10,Paramètres!$A$1:$I$88,3,0)*VLOOKUP('Données projet'!$B$10,Paramètres!$A$1:$I$88,5,0)</f>
        <v>395.30399999999992</v>
      </c>
      <c r="AK112" s="14">
        <f t="shared" si="89"/>
        <v>90.823969929029445</v>
      </c>
      <c r="AL112" s="22">
        <f t="shared" si="58"/>
        <v>846.67288095972606</v>
      </c>
      <c r="AM112" s="60">
        <f t="shared" si="59"/>
        <v>1126.3982013123155</v>
      </c>
      <c r="AN112" s="60">
        <f ca="1">AVERAGE(OFFSET($AM$3,0,0,'Données projet'!$E$10+1,1))-AVERAGE(OFFSET($H$3,0,0,'Données projet'!$E$10+1,1))</f>
        <v>436.5217771315057</v>
      </c>
      <c r="AO112" s="60">
        <f t="shared" si="90"/>
        <v>308.97310256098365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23.230423663593193</v>
      </c>
      <c r="AV112" s="23">
        <f>EXP(-LN(2)/25)*AV111+(1-EXP(-LN(2)/25))/(LN(2)/25)*Calculateur!AQ112*Calculateur!AS112*VLOOKUP('Données projet'!$B$10,Paramètres!$A$1:$I$88,3,0)*0.475*44/12</f>
        <v>8.5272244732369877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31.757648136830181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5.4</v>
      </c>
      <c r="BD112" s="13">
        <f>IF('Données projet'!$A$88&gt;35,BD111+BC112-BL111,IF(A112&lt;'Données projet'!$A$88,$BA$205^A112,IF(A112='Données projet'!$A$88,'Données projet'!$B$88,BD111+BC112-BL111)))</f>
        <v>236.60000000000002</v>
      </c>
      <c r="BE112" s="14">
        <f>BD112*VLOOKUP('Données projet'!$B$11,Paramètres!$A$1:$I$88,3,0)*VLOOKUP('Données projet'!$B$11,Paramètres!$A$1:$I$88,5,0)</f>
        <v>239.91240000000005</v>
      </c>
      <c r="BF112" s="14">
        <f t="shared" si="91"/>
        <v>58.420682515047339</v>
      </c>
      <c r="BG112" s="22">
        <f t="shared" si="61"/>
        <v>519.59678538037429</v>
      </c>
      <c r="BH112" s="60">
        <f t="shared" si="62"/>
        <v>799.32210573296356</v>
      </c>
      <c r="BI112" s="60">
        <f ca="1">AVERAGE(OFFSET($BH$3,0,0,'Données projet'!$E$11+1,1))-AVERAGE(OFFSET($H$3,0,0,'Données projet'!$E$11+1,1))</f>
        <v>108.30434106718693</v>
      </c>
      <c r="BJ112" s="60">
        <f t="shared" si="92"/>
        <v>67.653808657585842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27.443761816301283</v>
      </c>
      <c r="BQ112" s="23">
        <f>EXP(-LN(2)/25)*BQ111+(1-EXP(-LN(2)/25))/(LN(2)/25)*Calculateur!BL112*Calculateur!BN112*VLOOKUP('Données projet'!$B$11,Paramètres!$A$1:$I$88,3,0)*0.475*44/12</f>
        <v>0</v>
      </c>
      <c r="BR112" s="23">
        <f>EXP(-LN(2)/2)*BR111+(1-EXP(-LN(2)/2))/(LN(2)/2)*BL112*BO112*VLOOKUP('Données projet'!$B$11,Paramètres!$A$1:$I$88,3,0)*0.475*44/12</f>
        <v>0</v>
      </c>
      <c r="BS112" s="24">
        <f t="shared" si="63"/>
        <v>27.443761816301283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projet'!$B$12,Paramètres!$A$1:$I$88,3,0)*VLOOKUP('Données projet'!$B$12,Paramètres!$A$1:$I$88,5,0)</f>
        <v>0</v>
      </c>
      <c r="CA112" s="14" t="e">
        <f t="shared" si="93"/>
        <v>#NUM!</v>
      </c>
      <c r="CB112" s="22" t="e">
        <f t="shared" si="64"/>
        <v>#NUM!</v>
      </c>
      <c r="CC112" s="60" t="e">
        <f t="shared" si="65"/>
        <v>#NUM!</v>
      </c>
      <c r="CD112" s="60">
        <f ca="1">AVERAGE(OFFSET($CC$3,0,0,'Données projet'!$E$12+1,1))-AVERAGE(OFFSET($H$3,0,0,'Données projet'!$E$12+1,1))</f>
        <v>171.08593400758221</v>
      </c>
      <c r="CE112" s="60">
        <f t="shared" si="94"/>
        <v>201.9528484086932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projet'!$B$12,Paramètres!$A$1:$I$88,3,0)*0.475*44/12</f>
        <v>27.774357730876297</v>
      </c>
      <c r="CL112" s="23">
        <f>EXP(-LN(2)/25)*CL111+(1-EXP(-LN(2)/25))/(LN(2)/25)*Calculateur!CG112*Calculateur!CI112*VLOOKUP('Données projet'!$B$12,Paramètres!$A$1:$I$88,3,0)*0.475*44/12</f>
        <v>10.969336698496427</v>
      </c>
      <c r="CM112" s="23">
        <f>EXP(-LN(2)/2)*CM111+(1-EXP(-LN(2)/2))/(LN(2)/2)*CG112*CJ112*VLOOKUP('Données projet'!$B$12,Paramètres!$A$1:$I$88,3,0)*0.475*44/12</f>
        <v>0</v>
      </c>
      <c r="CN112" s="24">
        <f t="shared" si="66"/>
        <v>38.743694429372724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4.8</v>
      </c>
      <c r="CT112" s="13">
        <f>IF('Données projet'!$A$140&gt;35,CT111+CS112-DB111,IF(A112&lt;'Données projet'!$A$140,$CQ$205^A112,IF(A112='Données projet'!$A$140,'Données projet'!$B$140,CT111+CS112-DB111)))</f>
        <v>441.2</v>
      </c>
      <c r="CU112" s="18">
        <f>CT112*VLOOKUP('Données projet'!$B$13,Paramètres!$A$1:$I$88,3,0)*VLOOKUP('Données projet'!$B$13,Paramètres!$A$1:$I$88,5,0)</f>
        <v>295.95695999999998</v>
      </c>
      <c r="CV112" s="14">
        <f t="shared" si="95"/>
        <v>70.328218842360883</v>
      </c>
      <c r="CW112" s="22">
        <f t="shared" si="67"/>
        <v>637.94668648377854</v>
      </c>
      <c r="CX112" s="60">
        <f t="shared" si="68"/>
        <v>917.67200683636781</v>
      </c>
      <c r="CY112" s="60">
        <f ca="1">AVERAGE(OFFSET($CX$3,0,0,'Données projet'!$E$13+1,1))-AVERAGE(OFFSET($H$3,0,0,'Données projet'!$E$13+1,1))</f>
        <v>283.66646124753868</v>
      </c>
      <c r="CZ112" s="60">
        <f t="shared" si="96"/>
        <v>331.61926649572797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projet'!$B$13,Paramètres!$A$1:$I$88,3,0)*0.475*44/12</f>
        <v>29.495750459767294</v>
      </c>
      <c r="DG112" s="23">
        <f>EXP(-LN(2)/25)*DG111+(1-EXP(-LN(2)/25))/(LN(2)/25)*Calculateur!DB112*Calculateur!DD112*VLOOKUP('Données projet'!$B$13,Paramètres!$A$1:$I$88,3,0)*0.475*44/12</f>
        <v>0</v>
      </c>
      <c r="DH112" s="23">
        <f>EXP(-LN(2)/2)*DH111+(1-EXP(-LN(2)/2))/(LN(2)/2)*DB112*DE112*VLOOKUP('Données projet'!$B$13,Paramètres!$A$1:$I$88,3,0)*0.475*44/12</f>
        <v>0</v>
      </c>
      <c r="DI112" s="24">
        <f t="shared" si="69"/>
        <v>29.495750459767294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1.1368683772161603E-13</v>
      </c>
      <c r="DP112" s="18">
        <f>DO112*VLOOKUP('Données projet'!$B$14,Paramètres!$A$1:$I$88,3,0)*VLOOKUP('Données projet'!$B$14,Paramètres!$A$1:$I$88,5,0)</f>
        <v>8.3355189417488869E-14</v>
      </c>
      <c r="DQ112" s="14">
        <f t="shared" si="97"/>
        <v>1.2790518435140618E-12</v>
      </c>
      <c r="DR112" s="22">
        <f t="shared" si="70"/>
        <v>2.3728589156891171E-12</v>
      </c>
      <c r="DS112" s="60">
        <f t="shared" si="71"/>
        <v>279.72532035259167</v>
      </c>
      <c r="DT112" s="60">
        <f ca="1">AVERAGE(OFFSET($DS$3,0,0,'Données projet'!$E$14+1,1))-AVERAGE(OFFSET($H$3,0,0,'Données projet'!$E$14+1,1))</f>
        <v>212.77458587586861</v>
      </c>
      <c r="DU112" s="60">
        <f t="shared" si="98"/>
        <v>260.45879589483513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projet'!$B$14,Paramètres!$A$1:$I$88,3,0)*0.475*44/12</f>
        <v>13.600234707610909</v>
      </c>
      <c r="EB112" s="23">
        <f>EXP(-LN(2)/25)*EB111+(1-EXP(-LN(2)/25))/(LN(2)/25)*Calculateur!DW112*Calculateur!DY112*VLOOKUP('Données projet'!$B$14,Paramètres!$A$1:$I$88,3,0)*0.475*44/12</f>
        <v>5.2074553586885619</v>
      </c>
      <c r="EC112" s="23">
        <f>EXP(-LN(2)/2)*EC111+(1-EXP(-LN(2)/2))/(LN(2)/2)*DW112*DZ112*VLOOKUP('Données projet'!$B$14,Paramètres!$A$1:$I$88,3,0)*0.475*44/12</f>
        <v>0</v>
      </c>
      <c r="ED112" s="24">
        <f t="shared" si="72"/>
        <v>18.807690066299472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5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8">
        <f t="shared" si="56"/>
        <v>183.33333333333334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3.4106051316484809E-13</v>
      </c>
      <c r="O113" s="14">
        <f>N113*VLOOKUP('Données projet'!$B$9,Paramètres!$A$1:$I$88,3,0)*VLOOKUP('Données projet'!$B$9,Paramètres!$A$1:$I$88,5,0)</f>
        <v>1.9065282685915009E-13</v>
      </c>
      <c r="P113" s="14">
        <f t="shared" si="87"/>
        <v>2.6568987209435707E-12</v>
      </c>
      <c r="Q113" s="22">
        <f t="shared" si="107"/>
        <v>4.959485612423072E-12</v>
      </c>
      <c r="R113" s="60">
        <f t="shared" si="55"/>
        <v>279.9613889548508</v>
      </c>
      <c r="S113" s="60">
        <f ca="1">AVERAGE(OFFSET($R$3,0,0,'Données projet'!$E$9+1,1))-AVERAGE(OFFSET($H$3,0,0,'Données projet'!$E$9+1,1))</f>
        <v>366.29380214443631</v>
      </c>
      <c r="T113" s="60">
        <f t="shared" si="88"/>
        <v>413.14502442862897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89.02050966864887</v>
      </c>
      <c r="AA113" s="23">
        <f>EXP(-LN(2)/25)*AA112+(1-EXP(-LN(2)/25))/(LN(2)/25)*Calculateur!V113*Calculateur!X113*VLOOKUP('Données projet'!$B$9,Paramètres!$A$1:$I$88,3,0)*0.475*44/12</f>
        <v>33.131092016131788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122.15160168478066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452.49999999999989</v>
      </c>
      <c r="AJ113" s="14">
        <f>AI113*VLOOKUP('Données projet'!$B$10,Paramètres!$A$1:$I$88,3,0)*VLOOKUP('Données projet'!$B$10,Paramètres!$A$1:$I$88,5,0)</f>
        <v>395.30399999999992</v>
      </c>
      <c r="AK113" s="14">
        <f t="shared" si="89"/>
        <v>90.823969929029445</v>
      </c>
      <c r="AL113" s="22">
        <f t="shared" si="58"/>
        <v>846.67288095972606</v>
      </c>
      <c r="AM113" s="60">
        <f t="shared" si="59"/>
        <v>1126.6342699145719</v>
      </c>
      <c r="AN113" s="60">
        <f ca="1">AVERAGE(OFFSET($AM$3,0,0,'Données projet'!$E$10+1,1))-AVERAGE(OFFSET($H$3,0,0,'Données projet'!$E$10+1,1))</f>
        <v>436.5217771315057</v>
      </c>
      <c r="AO113" s="60">
        <f t="shared" si="90"/>
        <v>308.97310256098365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22.774889224709476</v>
      </c>
      <c r="AV113" s="23">
        <f>EXP(-LN(2)/25)*AV112+(1-EXP(-LN(2)/25))/(LN(2)/25)*Calculateur!AQ113*Calculateur!AS113*VLOOKUP('Données projet'!$B$10,Paramètres!$A$1:$I$88,3,0)*0.475*44/12</f>
        <v>8.2940470715890768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31.068936296298553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5.4</v>
      </c>
      <c r="BD113" s="13">
        <f>IF('Données projet'!$A$88&gt;35,BD112+BC113-BL112,IF(A113&lt;'Données projet'!$A$88,$BA$205^A113,IF(A113='Données projet'!$A$88,'Données projet'!$B$88,BD112+BC113-BL112)))</f>
        <v>242.00000000000003</v>
      </c>
      <c r="BE113" s="14">
        <f>BD113*VLOOKUP('Données projet'!$B$11,Paramètres!$A$1:$I$88,3,0)*VLOOKUP('Données projet'!$B$11,Paramètres!$A$1:$I$88,5,0)</f>
        <v>245.38800000000003</v>
      </c>
      <c r="BF113" s="14">
        <f t="shared" si="91"/>
        <v>59.597282764919569</v>
      </c>
      <c r="BG113" s="22">
        <f t="shared" si="61"/>
        <v>531.18270081556818</v>
      </c>
      <c r="BH113" s="60">
        <f t="shared" si="62"/>
        <v>811.14408977041398</v>
      </c>
      <c r="BI113" s="60">
        <f ca="1">AVERAGE(OFFSET($BH$3,0,0,'Données projet'!$E$11+1,1))-AVERAGE(OFFSET($H$3,0,0,'Données projet'!$E$11+1,1))</f>
        <v>108.30434106718693</v>
      </c>
      <c r="BJ113" s="60">
        <f t="shared" si="92"/>
        <v>67.653808657585842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26.905606386125481</v>
      </c>
      <c r="BQ113" s="23">
        <f>EXP(-LN(2)/25)*BQ112+(1-EXP(-LN(2)/25))/(LN(2)/25)*Calculateur!BL113*Calculateur!BN113*VLOOKUP('Données projet'!$B$11,Paramètres!$A$1:$I$88,3,0)*0.475*44/12</f>
        <v>0</v>
      </c>
      <c r="BR113" s="23">
        <f>EXP(-LN(2)/2)*BR112+(1-EXP(-LN(2)/2))/(LN(2)/2)*BL113*BO113*VLOOKUP('Données projet'!$B$11,Paramètres!$A$1:$I$88,3,0)*0.475*44/12</f>
        <v>0</v>
      </c>
      <c r="BS113" s="24">
        <f t="shared" si="63"/>
        <v>26.905606386125481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projet'!$B$12,Paramètres!$A$1:$I$88,3,0)*VLOOKUP('Données projet'!$B$12,Paramètres!$A$1:$I$88,5,0)</f>
        <v>0</v>
      </c>
      <c r="CA113" s="14" t="e">
        <f t="shared" si="93"/>
        <v>#NUM!</v>
      </c>
      <c r="CB113" s="22" t="e">
        <f t="shared" si="64"/>
        <v>#NUM!</v>
      </c>
      <c r="CC113" s="60" t="e">
        <f t="shared" si="65"/>
        <v>#NUM!</v>
      </c>
      <c r="CD113" s="60">
        <f ca="1">AVERAGE(OFFSET($CC$3,0,0,'Données projet'!$E$12+1,1))-AVERAGE(OFFSET($H$3,0,0,'Données projet'!$E$12+1,1))</f>
        <v>171.08593400758221</v>
      </c>
      <c r="CE113" s="60">
        <f t="shared" si="94"/>
        <v>201.9528484086932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projet'!$B$12,Paramètres!$A$1:$I$88,3,0)*0.475*44/12</f>
        <v>27.229719516459273</v>
      </c>
      <c r="CL113" s="23">
        <f>EXP(-LN(2)/25)*CL112+(1-EXP(-LN(2)/25))/(LN(2)/25)*Calculateur!CG113*Calculateur!CI113*VLOOKUP('Données projet'!$B$12,Paramètres!$A$1:$I$88,3,0)*0.475*44/12</f>
        <v>10.669379609623697</v>
      </c>
      <c r="CM113" s="23">
        <f>EXP(-LN(2)/2)*CM112+(1-EXP(-LN(2)/2))/(LN(2)/2)*CG113*CJ113*VLOOKUP('Données projet'!$B$12,Paramètres!$A$1:$I$88,3,0)*0.475*44/12</f>
        <v>0</v>
      </c>
      <c r="CN113" s="24">
        <f t="shared" si="66"/>
        <v>37.899099126082973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446</v>
      </c>
      <c r="CR113" s="13">
        <f>VLOOKUP(A113,'Données projet'!$A$139:$I$159,9,0)</f>
        <v>4.8</v>
      </c>
      <c r="CS113" s="13">
        <f t="array" ref="CS113">INDEX(CR:CR,MIN(IF(ISNUMBER(CR113:CR309),ROW(CR113:CR309),"")))</f>
        <v>4.8</v>
      </c>
      <c r="CT113" s="13">
        <f>IF('Données projet'!$A$140&gt;35,CT112+CS113-DB112,IF(A113&lt;'Données projet'!$A$140,$CQ$205^A113,IF(A113='Données projet'!$A$140,'Données projet'!$B$140,CT112+CS113-DB112)))</f>
        <v>446</v>
      </c>
      <c r="CU113" s="18">
        <f>CT113*VLOOKUP('Données projet'!$B$13,Paramètres!$A$1:$I$88,3,0)*VLOOKUP('Données projet'!$B$13,Paramètres!$A$1:$I$88,5,0)</f>
        <v>299.17680000000001</v>
      </c>
      <c r="CV113" s="14">
        <f t="shared" si="95"/>
        <v>71.003861547783757</v>
      </c>
      <c r="CW113" s="22">
        <f t="shared" si="67"/>
        <v>644.73131886239014</v>
      </c>
      <c r="CX113" s="60">
        <f t="shared" si="68"/>
        <v>924.69270781723594</v>
      </c>
      <c r="CY113" s="60">
        <f ca="1">AVERAGE(OFFSET($CX$3,0,0,'Données projet'!$E$13+1,1))-AVERAGE(OFFSET($H$3,0,0,'Données projet'!$E$13+1,1))</f>
        <v>283.66646124753868</v>
      </c>
      <c r="CZ113" s="60">
        <f t="shared" si="96"/>
        <v>331.61926649572797</v>
      </c>
      <c r="DA113" s="16">
        <f>IF(ISNA(VLOOKUP(A113,'Données projet'!$A$139:$I$159,3,0)),0,VLOOKUP(A113,'Données projet'!$A$139:$I$159,3,0))</f>
        <v>20</v>
      </c>
      <c r="DB113" s="16">
        <f>IF(ISNA(VLOOKUP(A113,'Données projet'!$A$139:$I$159,4,0)),0,VLOOKUP(A113,'Données projet'!$A$139:$I$159,4,0))</f>
        <v>446</v>
      </c>
      <c r="DC113" s="17">
        <f>IF(ISNA(VLOOKUP(A113,'Données projet'!$A$139:$I$159,5,0)),0%,VLOOKUP(A113,'Données projet'!$A$139:$I$159,5,0)*VLOOKUP('Données projet'!$B$13,Paramètres!$A$1:$I$88,7,0))</f>
        <v>0.318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projet'!$B$13,Paramètres!$A$1:$I$88,3,0)*0.475*44/12</f>
        <v>134.08984360850081</v>
      </c>
      <c r="DG113" s="23">
        <f>EXP(-LN(2)/25)*DG112+(1-EXP(-LN(2)/25))/(LN(2)/25)*Calculateur!DB113*Calculateur!DD113*VLOOKUP('Données projet'!$B$13,Paramètres!$A$1:$I$88,3,0)*0.475*44/12</f>
        <v>0</v>
      </c>
      <c r="DH113" s="23">
        <f>EXP(-LN(2)/2)*DH112+(1-EXP(-LN(2)/2))/(LN(2)/2)*DB113*DE113*VLOOKUP('Données projet'!$B$13,Paramètres!$A$1:$I$88,3,0)*0.475*44/12</f>
        <v>0</v>
      </c>
      <c r="DI113" s="24">
        <f t="shared" si="69"/>
        <v>134.08984360850081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1.1368683772161603E-13</v>
      </c>
      <c r="DP113" s="18">
        <f>DO113*VLOOKUP('Données projet'!$B$14,Paramètres!$A$1:$I$88,3,0)*VLOOKUP('Données projet'!$B$14,Paramètres!$A$1:$I$88,5,0)</f>
        <v>8.3355189417488869E-14</v>
      </c>
      <c r="DQ113" s="14">
        <f t="shared" si="97"/>
        <v>1.2790518435140618E-12</v>
      </c>
      <c r="DR113" s="22">
        <f t="shared" si="70"/>
        <v>2.3728589156891171E-12</v>
      </c>
      <c r="DS113" s="60">
        <f t="shared" si="71"/>
        <v>279.96138895484825</v>
      </c>
      <c r="DT113" s="60">
        <f ca="1">AVERAGE(OFFSET($DS$3,0,0,'Données projet'!$E$14+1,1))-AVERAGE(OFFSET($H$3,0,0,'Données projet'!$E$14+1,1))</f>
        <v>212.77458587586861</v>
      </c>
      <c r="DU113" s="60">
        <f t="shared" si="98"/>
        <v>260.45879589483513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projet'!$B$14,Paramètres!$A$1:$I$88,3,0)*0.475*44/12</f>
        <v>13.333542400318736</v>
      </c>
      <c r="EB113" s="23">
        <f>EXP(-LN(2)/25)*EB112+(1-EXP(-LN(2)/25))/(LN(2)/25)*Calculateur!DW113*Calculateur!DY113*VLOOKUP('Données projet'!$B$14,Paramètres!$A$1:$I$88,3,0)*0.475*44/12</f>
        <v>5.0650572180570475</v>
      </c>
      <c r="EC113" s="23">
        <f>EXP(-LN(2)/2)*EC112+(1-EXP(-LN(2)/2))/(LN(2)/2)*DW113*DZ113*VLOOKUP('Données projet'!$B$14,Paramètres!$A$1:$I$88,3,0)*0.475*44/12</f>
        <v>0</v>
      </c>
      <c r="ED113" s="24">
        <f t="shared" si="72"/>
        <v>18.398599618375783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5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8">
        <f t="shared" si="56"/>
        <v>183.33333333333334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3.4106051316484809E-13</v>
      </c>
      <c r="O114" s="14">
        <f>N114*VLOOKUP('Données projet'!$B$9,Paramètres!$A$1:$I$88,3,0)*VLOOKUP('Données projet'!$B$9,Paramètres!$A$1:$I$88,5,0)</f>
        <v>1.9065282685915009E-13</v>
      </c>
      <c r="P114" s="14">
        <f t="shared" si="87"/>
        <v>2.6568987209435707E-12</v>
      </c>
      <c r="Q114" s="22">
        <f t="shared" si="107"/>
        <v>4.959485612423072E-12</v>
      </c>
      <c r="R114" s="60">
        <f t="shared" si="55"/>
        <v>280.19336229462851</v>
      </c>
      <c r="S114" s="60">
        <f ca="1">AVERAGE(OFFSET($R$3,0,0,'Données projet'!$E$9+1,1))-AVERAGE(OFFSET($H$3,0,0,'Données projet'!$E$9+1,1))</f>
        <v>366.29380214443631</v>
      </c>
      <c r="T114" s="60">
        <f t="shared" si="88"/>
        <v>413.14502442862897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87.27487177119616</v>
      </c>
      <c r="AA114" s="23">
        <f>EXP(-LN(2)/25)*AA113+(1-EXP(-LN(2)/25))/(LN(2)/25)*Calculateur!V114*Calculateur!X114*VLOOKUP('Données projet'!$B$9,Paramètres!$A$1:$I$88,3,0)*0.475*44/12</f>
        <v>32.225120562662255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119.49999233385842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452.49999999999989</v>
      </c>
      <c r="AJ114" s="14">
        <f>AI114*VLOOKUP('Données projet'!$B$10,Paramètres!$A$1:$I$88,3,0)*VLOOKUP('Données projet'!$B$10,Paramètres!$A$1:$I$88,5,0)</f>
        <v>395.30399999999992</v>
      </c>
      <c r="AK114" s="14">
        <f t="shared" si="89"/>
        <v>90.823969929029445</v>
      </c>
      <c r="AL114" s="22">
        <f t="shared" si="58"/>
        <v>846.67288095972606</v>
      </c>
      <c r="AM114" s="60">
        <f t="shared" si="59"/>
        <v>1126.8662432543497</v>
      </c>
      <c r="AN114" s="60">
        <f ca="1">AVERAGE(OFFSET($AM$3,0,0,'Données projet'!$E$10+1,1))-AVERAGE(OFFSET($H$3,0,0,'Données projet'!$E$10+1,1))</f>
        <v>436.5217771315057</v>
      </c>
      <c r="AO114" s="60">
        <f t="shared" si="90"/>
        <v>308.97310256098365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22.328287538323696</v>
      </c>
      <c r="AV114" s="23">
        <f>EXP(-LN(2)/25)*AV113+(1-EXP(-LN(2)/25))/(LN(2)/25)*Calculateur!AQ114*Calculateur!AS114*VLOOKUP('Données projet'!$B$10,Paramètres!$A$1:$I$88,3,0)*0.475*44/12</f>
        <v>8.0672459182514942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30.39553345657519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5.4</v>
      </c>
      <c r="BD114" s="13">
        <f>IF('Données projet'!$A$88&gt;35,BD113+BC114-BL113,IF(A114&lt;'Données projet'!$A$88,$BA$205^A114,IF(A114='Données projet'!$A$88,'Données projet'!$B$88,BD113+BC114-BL113)))</f>
        <v>247.40000000000003</v>
      </c>
      <c r="BE114" s="14">
        <f>BD114*VLOOKUP('Données projet'!$B$11,Paramètres!$A$1:$I$88,3,0)*VLOOKUP('Données projet'!$B$11,Paramètres!$A$1:$I$88,5,0)</f>
        <v>250.86360000000005</v>
      </c>
      <c r="BF114" s="14">
        <f t="shared" si="91"/>
        <v>60.770830663471486</v>
      </c>
      <c r="BG114" s="22">
        <f t="shared" si="61"/>
        <v>542.76330007221293</v>
      </c>
      <c r="BH114" s="60">
        <f t="shared" si="62"/>
        <v>822.95666236683655</v>
      </c>
      <c r="BI114" s="60">
        <f ca="1">AVERAGE(OFFSET($BH$3,0,0,'Données projet'!$E$11+1,1))-AVERAGE(OFFSET($H$3,0,0,'Données projet'!$E$11+1,1))</f>
        <v>108.30434106718693</v>
      </c>
      <c r="BJ114" s="60">
        <f t="shared" si="92"/>
        <v>67.653808657585842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26.378003855693024</v>
      </c>
      <c r="BQ114" s="23">
        <f>EXP(-LN(2)/25)*BQ113+(1-EXP(-LN(2)/25))/(LN(2)/25)*Calculateur!BL114*Calculateur!BN114*VLOOKUP('Données projet'!$B$11,Paramètres!$A$1:$I$88,3,0)*0.475*44/12</f>
        <v>0</v>
      </c>
      <c r="BR114" s="23">
        <f>EXP(-LN(2)/2)*BR113+(1-EXP(-LN(2)/2))/(LN(2)/2)*BL114*BO114*VLOOKUP('Données projet'!$B$11,Paramètres!$A$1:$I$88,3,0)*0.475*44/12</f>
        <v>0</v>
      </c>
      <c r="BS114" s="24">
        <f t="shared" si="63"/>
        <v>26.378003855693024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projet'!$B$12,Paramètres!$A$1:$I$88,3,0)*VLOOKUP('Données projet'!$B$12,Paramètres!$A$1:$I$88,5,0)</f>
        <v>0</v>
      </c>
      <c r="CA114" s="14" t="e">
        <f t="shared" si="93"/>
        <v>#NUM!</v>
      </c>
      <c r="CB114" s="22" t="e">
        <f t="shared" si="64"/>
        <v>#NUM!</v>
      </c>
      <c r="CC114" s="60" t="e">
        <f t="shared" si="65"/>
        <v>#NUM!</v>
      </c>
      <c r="CD114" s="60">
        <f ca="1">AVERAGE(OFFSET($CC$3,0,0,'Données projet'!$E$12+1,1))-AVERAGE(OFFSET($H$3,0,0,'Données projet'!$E$12+1,1))</f>
        <v>171.08593400758221</v>
      </c>
      <c r="CE114" s="60">
        <f t="shared" si="94"/>
        <v>201.9528484086932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projet'!$B$12,Paramètres!$A$1:$I$88,3,0)*0.475*44/12</f>
        <v>26.69576132523046</v>
      </c>
      <c r="CL114" s="23">
        <f>EXP(-LN(2)/25)*CL113+(1-EXP(-LN(2)/25))/(LN(2)/25)*Calculateur!CG114*Calculateur!CI114*VLOOKUP('Données projet'!$B$12,Paramètres!$A$1:$I$88,3,0)*0.475*44/12</f>
        <v>10.377624863120248</v>
      </c>
      <c r="CM114" s="23">
        <f>EXP(-LN(2)/2)*CM113+(1-EXP(-LN(2)/2))/(LN(2)/2)*CG114*CJ114*VLOOKUP('Données projet'!$B$12,Paramètres!$A$1:$I$88,3,0)*0.475*44/12</f>
        <v>0</v>
      </c>
      <c r="CN114" s="24">
        <f t="shared" si="66"/>
        <v>37.07338618835071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projet'!$B$13,Paramètres!$A$1:$I$88,3,0)*VLOOKUP('Données projet'!$B$13,Paramètres!$A$1:$I$88,5,0)</f>
        <v>0</v>
      </c>
      <c r="CV114" s="14" t="e">
        <f t="shared" si="95"/>
        <v>#NUM!</v>
      </c>
      <c r="CW114" s="22" t="e">
        <f t="shared" si="67"/>
        <v>#NUM!</v>
      </c>
      <c r="CX114" s="60" t="e">
        <f t="shared" si="68"/>
        <v>#NUM!</v>
      </c>
      <c r="CY114" s="60">
        <f ca="1">AVERAGE(OFFSET($CX$3,0,0,'Données projet'!$E$13+1,1))-AVERAGE(OFFSET($H$3,0,0,'Données projet'!$E$13+1,1))</f>
        <v>283.66646124753868</v>
      </c>
      <c r="CZ114" s="60">
        <f t="shared" si="96"/>
        <v>331.61926649572797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projet'!$B$13,Paramètres!$A$1:$I$88,3,0)*0.475*44/12</f>
        <v>131.46042356206695</v>
      </c>
      <c r="DG114" s="23">
        <f>EXP(-LN(2)/25)*DG113+(1-EXP(-LN(2)/25))/(LN(2)/25)*Calculateur!DB114*Calculateur!DD114*VLOOKUP('Données projet'!$B$13,Paramètres!$A$1:$I$88,3,0)*0.475*44/12</f>
        <v>0</v>
      </c>
      <c r="DH114" s="23">
        <f>EXP(-LN(2)/2)*DH113+(1-EXP(-LN(2)/2))/(LN(2)/2)*DB114*DE114*VLOOKUP('Données projet'!$B$13,Paramètres!$A$1:$I$88,3,0)*0.475*44/12</f>
        <v>0</v>
      </c>
      <c r="DI114" s="24">
        <f t="shared" si="69"/>
        <v>131.46042356206695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1.1368683772161603E-13</v>
      </c>
      <c r="DP114" s="18">
        <f>DO114*VLOOKUP('Données projet'!$B$14,Paramètres!$A$1:$I$88,3,0)*VLOOKUP('Données projet'!$B$14,Paramètres!$A$1:$I$88,5,0)</f>
        <v>8.3355189417488869E-14</v>
      </c>
      <c r="DQ114" s="14">
        <f t="shared" si="97"/>
        <v>1.2790518435140618E-12</v>
      </c>
      <c r="DR114" s="22">
        <f t="shared" si="70"/>
        <v>2.3728589156891171E-12</v>
      </c>
      <c r="DS114" s="60">
        <f t="shared" si="71"/>
        <v>280.19336229462596</v>
      </c>
      <c r="DT114" s="60">
        <f ca="1">AVERAGE(OFFSET($DS$3,0,0,'Données projet'!$E$14+1,1))-AVERAGE(OFFSET($H$3,0,0,'Données projet'!$E$14+1,1))</f>
        <v>212.77458587586861</v>
      </c>
      <c r="DU114" s="60">
        <f t="shared" si="98"/>
        <v>260.45879589483513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projet'!$B$14,Paramètres!$A$1:$I$88,3,0)*0.475*44/12</f>
        <v>13.072079766506317</v>
      </c>
      <c r="EB114" s="23">
        <f>EXP(-LN(2)/25)*EB113+(1-EXP(-LN(2)/25))/(LN(2)/25)*Calculateur!DW114*Calculateur!DY114*VLOOKUP('Données projet'!$B$14,Paramètres!$A$1:$I$88,3,0)*0.475*44/12</f>
        <v>4.9265529620694943</v>
      </c>
      <c r="EC114" s="23">
        <f>EXP(-LN(2)/2)*EC113+(1-EXP(-LN(2)/2))/(LN(2)/2)*DW114*DZ114*VLOOKUP('Données projet'!$B$14,Paramètres!$A$1:$I$88,3,0)*0.475*44/12</f>
        <v>0</v>
      </c>
      <c r="ED114" s="24">
        <f t="shared" si="72"/>
        <v>17.99863272857581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5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8">
        <f t="shared" si="56"/>
        <v>183.33333333333334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3.4106051316484809E-13</v>
      </c>
      <c r="O115" s="14">
        <f>N115*VLOOKUP('Données projet'!$B$9,Paramètres!$A$1:$I$88,3,0)*VLOOKUP('Données projet'!$B$9,Paramètres!$A$1:$I$88,5,0)</f>
        <v>1.9065282685915009E-13</v>
      </c>
      <c r="P115" s="14">
        <f t="shared" si="87"/>
        <v>2.6568987209435707E-12</v>
      </c>
      <c r="Q115" s="22">
        <f t="shared" si="107"/>
        <v>4.959485612423072E-12</v>
      </c>
      <c r="R115" s="60">
        <f t="shared" si="55"/>
        <v>280.42131141557581</v>
      </c>
      <c r="S115" s="60">
        <f ca="1">AVERAGE(OFFSET($R$3,0,0,'Données projet'!$E$9+1,1))-AVERAGE(OFFSET($H$3,0,0,'Données projet'!$E$9+1,1))</f>
        <v>366.29380214443631</v>
      </c>
      <c r="T115" s="60">
        <f t="shared" si="88"/>
        <v>413.14502442862897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85.56346476817852</v>
      </c>
      <c r="AA115" s="23">
        <f>EXP(-LN(2)/25)*AA114+(1-EXP(-LN(2)/25))/(LN(2)/25)*Calculateur!V115*Calculateur!X115*VLOOKUP('Données projet'!$B$9,Paramètres!$A$1:$I$88,3,0)*0.475*44/12</f>
        <v>31.343922946230816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116.90738771440934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452.49999999999989</v>
      </c>
      <c r="AJ115" s="14">
        <f>AI115*VLOOKUP('Données projet'!$B$10,Paramètres!$A$1:$I$88,3,0)*VLOOKUP('Données projet'!$B$10,Paramètres!$A$1:$I$88,5,0)</f>
        <v>395.30399999999992</v>
      </c>
      <c r="AK115" s="14">
        <f t="shared" si="89"/>
        <v>90.823969929029445</v>
      </c>
      <c r="AL115" s="22">
        <f t="shared" si="58"/>
        <v>846.67288095972606</v>
      </c>
      <c r="AM115" s="60">
        <f t="shared" si="59"/>
        <v>1127.0941923752969</v>
      </c>
      <c r="AN115" s="60">
        <f ca="1">AVERAGE(OFFSET($AM$3,0,0,'Données projet'!$E$10+1,1))-AVERAGE(OFFSET($H$3,0,0,'Données projet'!$E$10+1,1))</f>
        <v>436.5217771315057</v>
      </c>
      <c r="AO115" s="60">
        <f t="shared" si="90"/>
        <v>308.97310256098365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21.890443438607811</v>
      </c>
      <c r="AV115" s="23">
        <f>EXP(-LN(2)/25)*AV114+(1-EXP(-LN(2)/25))/(LN(2)/25)*Calculateur!AQ115*Calculateur!AS115*VLOOKUP('Données projet'!$B$10,Paramètres!$A$1:$I$88,3,0)*0.475*44/12</f>
        <v>7.8466466543788824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29.737090092986694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5.4</v>
      </c>
      <c r="BD115" s="13">
        <f>IF('Données projet'!$A$88&gt;35,BD114+BC115-BL114,IF(A115&lt;'Données projet'!$A$88,$BA$205^A115,IF(A115='Données projet'!$A$88,'Données projet'!$B$88,BD114+BC115-BL114)))</f>
        <v>252.80000000000004</v>
      </c>
      <c r="BE115" s="14">
        <f>BD115*VLOOKUP('Données projet'!$B$11,Paramètres!$A$1:$I$88,3,0)*VLOOKUP('Données projet'!$B$11,Paramètres!$A$1:$I$88,5,0)</f>
        <v>256.33920000000006</v>
      </c>
      <c r="BF115" s="14">
        <f t="shared" si="91"/>
        <v>61.941400506884484</v>
      </c>
      <c r="BG115" s="22">
        <f t="shared" si="61"/>
        <v>554.33871254949054</v>
      </c>
      <c r="BH115" s="60">
        <f t="shared" si="62"/>
        <v>834.76002396506146</v>
      </c>
      <c r="BI115" s="60">
        <f ca="1">AVERAGE(OFFSET($BH$3,0,0,'Données projet'!$E$11+1,1))-AVERAGE(OFFSET($H$3,0,0,'Données projet'!$E$11+1,1))</f>
        <v>108.30434106718693</v>
      </c>
      <c r="BJ115" s="60">
        <f t="shared" si="92"/>
        <v>67.653808657585842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25.860747289076578</v>
      </c>
      <c r="BQ115" s="23">
        <f>EXP(-LN(2)/25)*BQ114+(1-EXP(-LN(2)/25))/(LN(2)/25)*Calculateur!BL115*Calculateur!BN115*VLOOKUP('Données projet'!$B$11,Paramètres!$A$1:$I$88,3,0)*0.475*44/12</f>
        <v>0</v>
      </c>
      <c r="BR115" s="23">
        <f>EXP(-LN(2)/2)*BR114+(1-EXP(-LN(2)/2))/(LN(2)/2)*BL115*BO115*VLOOKUP('Données projet'!$B$11,Paramètres!$A$1:$I$88,3,0)*0.475*44/12</f>
        <v>0</v>
      </c>
      <c r="BS115" s="24">
        <f t="shared" si="63"/>
        <v>25.860747289076578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projet'!$B$12,Paramètres!$A$1:$I$88,3,0)*VLOOKUP('Données projet'!$B$12,Paramètres!$A$1:$I$88,5,0)</f>
        <v>0</v>
      </c>
      <c r="CA115" s="14" t="e">
        <f t="shared" si="93"/>
        <v>#NUM!</v>
      </c>
      <c r="CB115" s="22" t="e">
        <f t="shared" si="64"/>
        <v>#NUM!</v>
      </c>
      <c r="CC115" s="60" t="e">
        <f t="shared" si="65"/>
        <v>#NUM!</v>
      </c>
      <c r="CD115" s="60">
        <f ca="1">AVERAGE(OFFSET($CC$3,0,0,'Données projet'!$E$12+1,1))-AVERAGE(OFFSET($H$3,0,0,'Données projet'!$E$12+1,1))</f>
        <v>171.08593400758221</v>
      </c>
      <c r="CE115" s="60">
        <f t="shared" si="94"/>
        <v>201.9528484086932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projet'!$B$12,Paramètres!$A$1:$I$88,3,0)*0.475*44/12</f>
        <v>26.172273728449305</v>
      </c>
      <c r="CL115" s="23">
        <f>EXP(-LN(2)/25)*CL114+(1-EXP(-LN(2)/25))/(LN(2)/25)*Calculateur!CG115*Calculateur!CI115*VLOOKUP('Données projet'!$B$12,Paramètres!$A$1:$I$88,3,0)*0.475*44/12</f>
        <v>10.093848165502651</v>
      </c>
      <c r="CM115" s="23">
        <f>EXP(-LN(2)/2)*CM114+(1-EXP(-LN(2)/2))/(LN(2)/2)*CG115*CJ115*VLOOKUP('Données projet'!$B$12,Paramètres!$A$1:$I$88,3,0)*0.475*44/12</f>
        <v>0</v>
      </c>
      <c r="CN115" s="24">
        <f t="shared" si="66"/>
        <v>36.266121893951954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projet'!$B$13,Paramètres!$A$1:$I$88,3,0)*VLOOKUP('Données projet'!$B$13,Paramètres!$A$1:$I$88,5,0)</f>
        <v>0</v>
      </c>
      <c r="CV115" s="14" t="e">
        <f t="shared" si="95"/>
        <v>#NUM!</v>
      </c>
      <c r="CW115" s="22" t="e">
        <f t="shared" si="67"/>
        <v>#NUM!</v>
      </c>
      <c r="CX115" s="60" t="e">
        <f t="shared" si="68"/>
        <v>#NUM!</v>
      </c>
      <c r="CY115" s="60">
        <f ca="1">AVERAGE(OFFSET($CX$3,0,0,'Données projet'!$E$13+1,1))-AVERAGE(OFFSET($H$3,0,0,'Données projet'!$E$13+1,1))</f>
        <v>283.66646124753868</v>
      </c>
      <c r="CZ115" s="60">
        <f t="shared" si="96"/>
        <v>331.61926649572797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projet'!$B$13,Paramètres!$A$1:$I$88,3,0)*0.475*44/12</f>
        <v>128.88256483895577</v>
      </c>
      <c r="DG115" s="23">
        <f>EXP(-LN(2)/25)*DG114+(1-EXP(-LN(2)/25))/(LN(2)/25)*Calculateur!DB115*Calculateur!DD115*VLOOKUP('Données projet'!$B$13,Paramètres!$A$1:$I$88,3,0)*0.475*44/12</f>
        <v>0</v>
      </c>
      <c r="DH115" s="23">
        <f>EXP(-LN(2)/2)*DH114+(1-EXP(-LN(2)/2))/(LN(2)/2)*DB115*DE115*VLOOKUP('Données projet'!$B$13,Paramètres!$A$1:$I$88,3,0)*0.475*44/12</f>
        <v>0</v>
      </c>
      <c r="DI115" s="24">
        <f t="shared" si="69"/>
        <v>128.88256483895577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1.1368683772161603E-13</v>
      </c>
      <c r="DP115" s="18">
        <f>DO115*VLOOKUP('Données projet'!$B$14,Paramètres!$A$1:$I$88,3,0)*VLOOKUP('Données projet'!$B$14,Paramètres!$A$1:$I$88,5,0)</f>
        <v>8.3355189417488869E-14</v>
      </c>
      <c r="DQ115" s="14">
        <f t="shared" si="97"/>
        <v>1.2790518435140618E-12</v>
      </c>
      <c r="DR115" s="22">
        <f t="shared" si="70"/>
        <v>2.3728589156891171E-12</v>
      </c>
      <c r="DS115" s="60">
        <f t="shared" si="71"/>
        <v>280.42131141557326</v>
      </c>
      <c r="DT115" s="60">
        <f ca="1">AVERAGE(OFFSET($DS$3,0,0,'Données projet'!$E$14+1,1))-AVERAGE(OFFSET($H$3,0,0,'Données projet'!$E$14+1,1))</f>
        <v>212.77458587586861</v>
      </c>
      <c r="DU115" s="60">
        <f t="shared" si="98"/>
        <v>260.45879589483513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projet'!$B$14,Paramètres!$A$1:$I$88,3,0)*0.475*44/12</f>
        <v>12.815744255466498</v>
      </c>
      <c r="EB115" s="23">
        <f>EXP(-LN(2)/25)*EB114+(1-EXP(-LN(2)/25))/(LN(2)/25)*Calculateur!DW115*Calculateur!DY115*VLOOKUP('Données projet'!$B$14,Paramètres!$A$1:$I$88,3,0)*0.475*44/12</f>
        <v>4.7918361122455435</v>
      </c>
      <c r="EC115" s="23">
        <f>EXP(-LN(2)/2)*EC114+(1-EXP(-LN(2)/2))/(LN(2)/2)*DW115*DZ115*VLOOKUP('Données projet'!$B$14,Paramètres!$A$1:$I$88,3,0)*0.475*44/12</f>
        <v>0</v>
      </c>
      <c r="ED115" s="24">
        <f t="shared" si="72"/>
        <v>17.607580367712043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5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8">
        <f t="shared" si="56"/>
        <v>183.33333333333334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3.4106051316484809E-13</v>
      </c>
      <c r="O116" s="14">
        <f>N116*VLOOKUP('Données projet'!$B$9,Paramètres!$A$1:$I$88,3,0)*VLOOKUP('Données projet'!$B$9,Paramètres!$A$1:$I$88,5,0)</f>
        <v>1.9065282685915009E-13</v>
      </c>
      <c r="P116" s="14">
        <f t="shared" si="87"/>
        <v>2.6568987209435707E-12</v>
      </c>
      <c r="Q116" s="22">
        <f t="shared" si="107"/>
        <v>4.959485612423072E-12</v>
      </c>
      <c r="R116" s="60">
        <f t="shared" si="55"/>
        <v>280.64530612889257</v>
      </c>
      <c r="S116" s="60">
        <f ca="1">AVERAGE(OFFSET($R$3,0,0,'Données projet'!$E$9+1,1))-AVERAGE(OFFSET($H$3,0,0,'Données projet'!$E$9+1,1))</f>
        <v>366.29380214443631</v>
      </c>
      <c r="T116" s="60">
        <f t="shared" si="88"/>
        <v>413.14502442862897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83.885617412634858</v>
      </c>
      <c r="AA116" s="23">
        <f>EXP(-LN(2)/25)*AA115+(1-EXP(-LN(2)/25))/(LN(2)/25)*Calculateur!V116*Calculateur!X116*VLOOKUP('Données projet'!$B$9,Paramètres!$A$1:$I$88,3,0)*0.475*44/12</f>
        <v>30.486821724960862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114.37243913759572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452.49999999999989</v>
      </c>
      <c r="AJ116" s="14">
        <f>AI116*VLOOKUP('Données projet'!$B$10,Paramètres!$A$1:$I$88,3,0)*VLOOKUP('Données projet'!$B$10,Paramètres!$A$1:$I$88,5,0)</f>
        <v>395.30399999999992</v>
      </c>
      <c r="AK116" s="14">
        <f t="shared" si="89"/>
        <v>90.823969929029445</v>
      </c>
      <c r="AL116" s="22">
        <f t="shared" si="58"/>
        <v>846.67288095972606</v>
      </c>
      <c r="AM116" s="60">
        <f t="shared" si="59"/>
        <v>1127.3181870886137</v>
      </c>
      <c r="AN116" s="60">
        <f ca="1">AVERAGE(OFFSET($AM$3,0,0,'Données projet'!$E$10+1,1))-AVERAGE(OFFSET($H$3,0,0,'Données projet'!$E$10+1,1))</f>
        <v>436.5217771315057</v>
      </c>
      <c r="AO116" s="60">
        <f t="shared" si="90"/>
        <v>308.97310256098365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21.461185194628822</v>
      </c>
      <c r="AV116" s="23">
        <f>EXP(-LN(2)/25)*AV115+(1-EXP(-LN(2)/25))/(LN(2)/25)*Calculateur!AQ116*Calculateur!AS116*VLOOKUP('Données projet'!$B$10,Paramètres!$A$1:$I$88,3,0)*0.475*44/12</f>
        <v>7.6320796889776785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29.093264883606501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5.4</v>
      </c>
      <c r="BD116" s="13">
        <f>IF('Données projet'!$A$88&gt;35,BD115+BC116-BL115,IF(A116&lt;'Données projet'!$A$88,$BA$205^A116,IF(A116='Données projet'!$A$88,'Données projet'!$B$88,BD115+BC116-BL115)))</f>
        <v>258.20000000000005</v>
      </c>
      <c r="BE116" s="14">
        <f>BD116*VLOOKUP('Données projet'!$B$11,Paramètres!$A$1:$I$88,3,0)*VLOOKUP('Données projet'!$B$11,Paramètres!$A$1:$I$88,5,0)</f>
        <v>261.81480000000005</v>
      </c>
      <c r="BF116" s="14">
        <f t="shared" si="91"/>
        <v>63.109063235970666</v>
      </c>
      <c r="BG116" s="22">
        <f t="shared" si="61"/>
        <v>565.90906180264903</v>
      </c>
      <c r="BH116" s="60">
        <f t="shared" si="62"/>
        <v>846.55436793153672</v>
      </c>
      <c r="BI116" s="60">
        <f ca="1">AVERAGE(OFFSET($BH$3,0,0,'Données projet'!$E$11+1,1))-AVERAGE(OFFSET($H$3,0,0,'Données projet'!$E$11+1,1))</f>
        <v>108.30434106718693</v>
      </c>
      <c r="BJ116" s="60">
        <f t="shared" si="92"/>
        <v>67.653808657585842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25.353633808236129</v>
      </c>
      <c r="BQ116" s="23">
        <f>EXP(-LN(2)/25)*BQ115+(1-EXP(-LN(2)/25))/(LN(2)/25)*Calculateur!BL116*Calculateur!BN116*VLOOKUP('Données projet'!$B$11,Paramètres!$A$1:$I$88,3,0)*0.475*44/12</f>
        <v>0</v>
      </c>
      <c r="BR116" s="23">
        <f>EXP(-LN(2)/2)*BR115+(1-EXP(-LN(2)/2))/(LN(2)/2)*BL116*BO116*VLOOKUP('Données projet'!$B$11,Paramètres!$A$1:$I$88,3,0)*0.475*44/12</f>
        <v>0</v>
      </c>
      <c r="BS116" s="24">
        <f t="shared" si="63"/>
        <v>25.353633808236129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projet'!$B$12,Paramètres!$A$1:$I$88,3,0)*VLOOKUP('Données projet'!$B$12,Paramètres!$A$1:$I$88,5,0)</f>
        <v>0</v>
      </c>
      <c r="CA116" s="14" t="e">
        <f t="shared" si="93"/>
        <v>#NUM!</v>
      </c>
      <c r="CB116" s="22" t="e">
        <f t="shared" si="64"/>
        <v>#NUM!</v>
      </c>
      <c r="CC116" s="60" t="e">
        <f t="shared" si="65"/>
        <v>#NUM!</v>
      </c>
      <c r="CD116" s="60">
        <f ca="1">AVERAGE(OFFSET($CC$3,0,0,'Données projet'!$E$12+1,1))-AVERAGE(OFFSET($H$3,0,0,'Données projet'!$E$12+1,1))</f>
        <v>171.08593400758221</v>
      </c>
      <c r="CE116" s="60">
        <f t="shared" si="94"/>
        <v>201.9528484086932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projet'!$B$12,Paramètres!$A$1:$I$88,3,0)*0.475*44/12</f>
        <v>25.659051404145124</v>
      </c>
      <c r="CL116" s="23">
        <f>EXP(-LN(2)/25)*CL115+(1-EXP(-LN(2)/25))/(LN(2)/25)*Calculateur!CG116*Calculateur!CI116*VLOOKUP('Données projet'!$B$12,Paramètres!$A$1:$I$88,3,0)*0.475*44/12</f>
        <v>9.8178313566045752</v>
      </c>
      <c r="CM116" s="23">
        <f>EXP(-LN(2)/2)*CM115+(1-EXP(-LN(2)/2))/(LN(2)/2)*CG116*CJ116*VLOOKUP('Données projet'!$B$12,Paramètres!$A$1:$I$88,3,0)*0.475*44/12</f>
        <v>0</v>
      </c>
      <c r="CN116" s="24">
        <f t="shared" si="66"/>
        <v>35.476882760749703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projet'!$B$13,Paramètres!$A$1:$I$88,3,0)*VLOOKUP('Données projet'!$B$13,Paramètres!$A$1:$I$88,5,0)</f>
        <v>0</v>
      </c>
      <c r="CV116" s="14" t="e">
        <f t="shared" si="95"/>
        <v>#NUM!</v>
      </c>
      <c r="CW116" s="22" t="e">
        <f t="shared" si="67"/>
        <v>#NUM!</v>
      </c>
      <c r="CX116" s="60" t="e">
        <f t="shared" si="68"/>
        <v>#NUM!</v>
      </c>
      <c r="CY116" s="60">
        <f ca="1">AVERAGE(OFFSET($CX$3,0,0,'Données projet'!$E$13+1,1))-AVERAGE(OFFSET($H$3,0,0,'Données projet'!$E$13+1,1))</f>
        <v>283.66646124753868</v>
      </c>
      <c r="CZ116" s="60">
        <f t="shared" si="96"/>
        <v>331.61926649572797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projet'!$B$13,Paramètres!$A$1:$I$88,3,0)*0.475*44/12</f>
        <v>126.35525635306625</v>
      </c>
      <c r="DG116" s="23">
        <f>EXP(-LN(2)/25)*DG115+(1-EXP(-LN(2)/25))/(LN(2)/25)*Calculateur!DB116*Calculateur!DD116*VLOOKUP('Données projet'!$B$13,Paramètres!$A$1:$I$88,3,0)*0.475*44/12</f>
        <v>0</v>
      </c>
      <c r="DH116" s="23">
        <f>EXP(-LN(2)/2)*DH115+(1-EXP(-LN(2)/2))/(LN(2)/2)*DB116*DE116*VLOOKUP('Données projet'!$B$13,Paramètres!$A$1:$I$88,3,0)*0.475*44/12</f>
        <v>0</v>
      </c>
      <c r="DI116" s="24">
        <f t="shared" si="69"/>
        <v>126.35525635306625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1.1368683772161603E-13</v>
      </c>
      <c r="DP116" s="18">
        <f>DO116*VLOOKUP('Données projet'!$B$14,Paramètres!$A$1:$I$88,3,0)*VLOOKUP('Données projet'!$B$14,Paramètres!$A$1:$I$88,5,0)</f>
        <v>8.3355189417488869E-14</v>
      </c>
      <c r="DQ116" s="14">
        <f t="shared" si="97"/>
        <v>1.2790518435140618E-12</v>
      </c>
      <c r="DR116" s="22">
        <f t="shared" si="70"/>
        <v>2.3728589156891171E-12</v>
      </c>
      <c r="DS116" s="60">
        <f t="shared" si="71"/>
        <v>280.64530612889001</v>
      </c>
      <c r="DT116" s="60">
        <f ca="1">AVERAGE(OFFSET($DS$3,0,0,'Données projet'!$E$14+1,1))-AVERAGE(OFFSET($H$3,0,0,'Données projet'!$E$14+1,1))</f>
        <v>212.77458587586861</v>
      </c>
      <c r="DU116" s="60">
        <f t="shared" si="98"/>
        <v>260.45879589483513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projet'!$B$14,Paramètres!$A$1:$I$88,3,0)*0.475*44/12</f>
        <v>12.564435327448948</v>
      </c>
      <c r="EB116" s="23">
        <f>EXP(-LN(2)/25)*EB115+(1-EXP(-LN(2)/25))/(LN(2)/25)*Calculateur!DW116*Calculateur!DY116*VLOOKUP('Données projet'!$B$14,Paramètres!$A$1:$I$88,3,0)*0.475*44/12</f>
        <v>4.66080310176448</v>
      </c>
      <c r="EC116" s="23">
        <f>EXP(-LN(2)/2)*EC115+(1-EXP(-LN(2)/2))/(LN(2)/2)*DW116*DZ116*VLOOKUP('Données projet'!$B$14,Paramètres!$A$1:$I$88,3,0)*0.475*44/12</f>
        <v>0</v>
      </c>
      <c r="ED116" s="24">
        <f t="shared" si="72"/>
        <v>17.225238429213427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5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8">
        <f t="shared" si="56"/>
        <v>183.33333333333334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3.4106051316484809E-13</v>
      </c>
      <c r="O117" s="14">
        <f>N117*VLOOKUP('Données projet'!$B$9,Paramètres!$A$1:$I$88,3,0)*VLOOKUP('Données projet'!$B$9,Paramètres!$A$1:$I$88,5,0)</f>
        <v>1.9065282685915009E-13</v>
      </c>
      <c r="P117" s="14">
        <f t="shared" si="87"/>
        <v>2.6568987209435707E-12</v>
      </c>
      <c r="Q117" s="22">
        <f t="shared" si="107"/>
        <v>4.959485612423072E-12</v>
      </c>
      <c r="R117" s="60">
        <f t="shared" si="55"/>
        <v>280.8654150347104</v>
      </c>
      <c r="S117" s="60">
        <f ca="1">AVERAGE(OFFSET($R$3,0,0,'Données projet'!$E$9+1,1))-AVERAGE(OFFSET($H$3,0,0,'Données projet'!$E$9+1,1))</f>
        <v>366.29380214443631</v>
      </c>
      <c r="T117" s="60">
        <f t="shared" si="88"/>
        <v>413.14502442862897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82.24067162034757</v>
      </c>
      <c r="AA117" s="23">
        <f>EXP(-LN(2)/25)*AA116+(1-EXP(-LN(2)/25))/(LN(2)/25)*Calculateur!V117*Calculateur!X117*VLOOKUP('Données projet'!$B$9,Paramètres!$A$1:$I$88,3,0)*0.475*44/12</f>
        <v>29.653157981659533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111.8938296020071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452.49999999999989</v>
      </c>
      <c r="AJ117" s="14">
        <f>AI117*VLOOKUP('Données projet'!$B$10,Paramètres!$A$1:$I$88,3,0)*VLOOKUP('Données projet'!$B$10,Paramètres!$A$1:$I$88,5,0)</f>
        <v>395.30399999999992</v>
      </c>
      <c r="AK117" s="14">
        <f t="shared" si="89"/>
        <v>90.823969929029445</v>
      </c>
      <c r="AL117" s="22">
        <f t="shared" si="58"/>
        <v>846.67288095972606</v>
      </c>
      <c r="AM117" s="60">
        <f t="shared" si="59"/>
        <v>1127.5382959944316</v>
      </c>
      <c r="AN117" s="60">
        <f ca="1">AVERAGE(OFFSET($AM$3,0,0,'Données projet'!$E$10+1,1))-AVERAGE(OFFSET($H$3,0,0,'Données projet'!$E$10+1,1))</f>
        <v>436.5217771315057</v>
      </c>
      <c r="AO117" s="60">
        <f t="shared" si="90"/>
        <v>308.97310256098365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21.040344442992588</v>
      </c>
      <c r="AV117" s="23">
        <f>EXP(-LN(2)/25)*AV116+(1-EXP(-LN(2)/25))/(LN(2)/25)*Calculateur!AQ117*Calculateur!AS117*VLOOKUP('Données projet'!$B$10,Paramètres!$A$1:$I$88,3,0)*0.475*44/12</f>
        <v>7.4233800685289566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28.463724511521544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5.4</v>
      </c>
      <c r="BD117" s="13">
        <f>IF('Données projet'!$A$88&gt;35,BD116+BC117-BL116,IF(A117&lt;'Données projet'!$A$88,$BA$205^A117,IF(A117='Données projet'!$A$88,'Données projet'!$B$88,BD116+BC117-BL116)))</f>
        <v>263.60000000000002</v>
      </c>
      <c r="BE117" s="14">
        <f>BD117*VLOOKUP('Données projet'!$B$11,Paramètres!$A$1:$I$88,3,0)*VLOOKUP('Données projet'!$B$11,Paramètres!$A$1:$I$88,5,0)</f>
        <v>267.29040000000003</v>
      </c>
      <c r="BF117" s="14">
        <f t="shared" si="91"/>
        <v>64.273886654661382</v>
      </c>
      <c r="BG117" s="22">
        <f t="shared" si="61"/>
        <v>577.47446592353538</v>
      </c>
      <c r="BH117" s="60">
        <f t="shared" si="62"/>
        <v>858.33988095824088</v>
      </c>
      <c r="BI117" s="60">
        <f ca="1">AVERAGE(OFFSET($BH$3,0,0,'Données projet'!$E$11+1,1))-AVERAGE(OFFSET($H$3,0,0,'Données projet'!$E$11+1,1))</f>
        <v>108.30434106718693</v>
      </c>
      <c r="BJ117" s="60">
        <f t="shared" si="92"/>
        <v>67.653808657585842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24.85646451344628</v>
      </c>
      <c r="BQ117" s="23">
        <f>EXP(-LN(2)/25)*BQ116+(1-EXP(-LN(2)/25))/(LN(2)/25)*Calculateur!BL117*Calculateur!BN117*VLOOKUP('Données projet'!$B$11,Paramètres!$A$1:$I$88,3,0)*0.475*44/12</f>
        <v>0</v>
      </c>
      <c r="BR117" s="23">
        <f>EXP(-LN(2)/2)*BR116+(1-EXP(-LN(2)/2))/(LN(2)/2)*BL117*BO117*VLOOKUP('Données projet'!$B$11,Paramètres!$A$1:$I$88,3,0)*0.475*44/12</f>
        <v>0</v>
      </c>
      <c r="BS117" s="24">
        <f t="shared" si="63"/>
        <v>24.85646451344628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projet'!$B$12,Paramètres!$A$1:$I$88,3,0)*VLOOKUP('Données projet'!$B$12,Paramètres!$A$1:$I$88,5,0)</f>
        <v>0</v>
      </c>
      <c r="CA117" s="14" t="e">
        <f t="shared" si="93"/>
        <v>#NUM!</v>
      </c>
      <c r="CB117" s="22" t="e">
        <f t="shared" si="64"/>
        <v>#NUM!</v>
      </c>
      <c r="CC117" s="60" t="e">
        <f t="shared" si="65"/>
        <v>#NUM!</v>
      </c>
      <c r="CD117" s="60">
        <f ca="1">AVERAGE(OFFSET($CC$3,0,0,'Données projet'!$E$12+1,1))-AVERAGE(OFFSET($H$3,0,0,'Données projet'!$E$12+1,1))</f>
        <v>171.08593400758221</v>
      </c>
      <c r="CE117" s="60">
        <f t="shared" si="94"/>
        <v>201.9528484086932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projet'!$B$12,Paramètres!$A$1:$I$88,3,0)*0.475*44/12</f>
        <v>25.155893056585839</v>
      </c>
      <c r="CL117" s="23">
        <f>EXP(-LN(2)/25)*CL116+(1-EXP(-LN(2)/25))/(LN(2)/25)*Calculateur!CG117*Calculateur!CI117*VLOOKUP('Données projet'!$B$12,Paramètres!$A$1:$I$88,3,0)*0.475*44/12</f>
        <v>9.5493622418609103</v>
      </c>
      <c r="CM117" s="23">
        <f>EXP(-LN(2)/2)*CM116+(1-EXP(-LN(2)/2))/(LN(2)/2)*CG117*CJ117*VLOOKUP('Données projet'!$B$12,Paramètres!$A$1:$I$88,3,0)*0.475*44/12</f>
        <v>0</v>
      </c>
      <c r="CN117" s="24">
        <f t="shared" si="66"/>
        <v>34.705255298446751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projet'!$B$13,Paramètres!$A$1:$I$88,3,0)*VLOOKUP('Données projet'!$B$13,Paramètres!$A$1:$I$88,5,0)</f>
        <v>0</v>
      </c>
      <c r="CV117" s="14" t="e">
        <f t="shared" si="95"/>
        <v>#NUM!</v>
      </c>
      <c r="CW117" s="22" t="e">
        <f t="shared" si="67"/>
        <v>#NUM!</v>
      </c>
      <c r="CX117" s="60" t="e">
        <f t="shared" si="68"/>
        <v>#NUM!</v>
      </c>
      <c r="CY117" s="60">
        <f ca="1">AVERAGE(OFFSET($CX$3,0,0,'Données projet'!$E$13+1,1))-AVERAGE(OFFSET($H$3,0,0,'Données projet'!$E$13+1,1))</f>
        <v>283.66646124753868</v>
      </c>
      <c r="CZ117" s="60">
        <f t="shared" si="96"/>
        <v>331.61926649572797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projet'!$B$13,Paramètres!$A$1:$I$88,3,0)*0.475*44/12</f>
        <v>123.87750684507905</v>
      </c>
      <c r="DG117" s="23">
        <f>EXP(-LN(2)/25)*DG116+(1-EXP(-LN(2)/25))/(LN(2)/25)*Calculateur!DB117*Calculateur!DD117*VLOOKUP('Données projet'!$B$13,Paramètres!$A$1:$I$88,3,0)*0.475*44/12</f>
        <v>0</v>
      </c>
      <c r="DH117" s="23">
        <f>EXP(-LN(2)/2)*DH116+(1-EXP(-LN(2)/2))/(LN(2)/2)*DB117*DE117*VLOOKUP('Données projet'!$B$13,Paramètres!$A$1:$I$88,3,0)*0.475*44/12</f>
        <v>0</v>
      </c>
      <c r="DI117" s="24">
        <f t="shared" si="69"/>
        <v>123.87750684507905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1.1368683772161603E-13</v>
      </c>
      <c r="DP117" s="18">
        <f>DO117*VLOOKUP('Données projet'!$B$14,Paramètres!$A$1:$I$88,3,0)*VLOOKUP('Données projet'!$B$14,Paramètres!$A$1:$I$88,5,0)</f>
        <v>8.3355189417488869E-14</v>
      </c>
      <c r="DQ117" s="14">
        <f t="shared" si="97"/>
        <v>1.2790518435140618E-12</v>
      </c>
      <c r="DR117" s="22">
        <f t="shared" si="70"/>
        <v>2.3728589156891171E-12</v>
      </c>
      <c r="DS117" s="60">
        <f t="shared" si="71"/>
        <v>280.86541503470784</v>
      </c>
      <c r="DT117" s="60">
        <f ca="1">AVERAGE(OFFSET($DS$3,0,0,'Données projet'!$E$14+1,1))-AVERAGE(OFFSET($H$3,0,0,'Données projet'!$E$14+1,1))</f>
        <v>212.77458587586861</v>
      </c>
      <c r="DU117" s="60">
        <f t="shared" si="98"/>
        <v>260.45879589483513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projet'!$B$14,Paramètres!$A$1:$I$88,3,0)*0.475*44/12</f>
        <v>12.318054414226511</v>
      </c>
      <c r="EB117" s="23">
        <f>EXP(-LN(2)/25)*EB116+(1-EXP(-LN(2)/25))/(LN(2)/25)*Calculateur!DW117*Calculateur!DY117*VLOOKUP('Données projet'!$B$14,Paramètres!$A$1:$I$88,3,0)*0.475*44/12</f>
        <v>4.5333531958457476</v>
      </c>
      <c r="EC117" s="23">
        <f>EXP(-LN(2)/2)*EC116+(1-EXP(-LN(2)/2))/(LN(2)/2)*DW117*DZ117*VLOOKUP('Données projet'!$B$14,Paramètres!$A$1:$I$88,3,0)*0.475*44/12</f>
        <v>0</v>
      </c>
      <c r="ED117" s="24">
        <f t="shared" si="72"/>
        <v>16.851407610072258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5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8">
        <f t="shared" si="56"/>
        <v>183.33333333333334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3.4106051316484809E-13</v>
      </c>
      <c r="O118" s="14">
        <f>N118*VLOOKUP('Données projet'!$B$9,Paramètres!$A$1:$I$88,3,0)*VLOOKUP('Données projet'!$B$9,Paramètres!$A$1:$I$88,5,0)</f>
        <v>1.9065282685915009E-13</v>
      </c>
      <c r="P118" s="14">
        <f t="shared" si="87"/>
        <v>2.6568987209435707E-12</v>
      </c>
      <c r="Q118" s="22">
        <f t="shared" si="107"/>
        <v>4.959485612423072E-12</v>
      </c>
      <c r="R118" s="60">
        <f t="shared" si="55"/>
        <v>281.0817055431022</v>
      </c>
      <c r="S118" s="60">
        <f ca="1">AVERAGE(OFFSET($R$3,0,0,'Données projet'!$E$9+1,1))-AVERAGE(OFFSET($H$3,0,0,'Données projet'!$E$9+1,1))</f>
        <v>366.29380214443631</v>
      </c>
      <c r="T118" s="60">
        <f t="shared" si="88"/>
        <v>413.14502442862897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80.627982211729176</v>
      </c>
      <c r="AA118" s="23">
        <f>EXP(-LN(2)/25)*AA117+(1-EXP(-LN(2)/25))/(LN(2)/25)*Calculateur!V118*Calculateur!X118*VLOOKUP('Données projet'!$B$9,Paramètres!$A$1:$I$88,3,0)*0.475*44/12</f>
        <v>28.842290817259247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109.47027302898843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452.49999999999989</v>
      </c>
      <c r="AJ118" s="14">
        <f>AI118*VLOOKUP('Données projet'!$B$10,Paramètres!$A$1:$I$88,3,0)*VLOOKUP('Données projet'!$B$10,Paramètres!$A$1:$I$88,5,0)</f>
        <v>395.30399999999992</v>
      </c>
      <c r="AK118" s="14">
        <f t="shared" si="89"/>
        <v>90.823969929029445</v>
      </c>
      <c r="AL118" s="22">
        <f t="shared" si="58"/>
        <v>846.67288095972606</v>
      </c>
      <c r="AM118" s="60">
        <f t="shared" si="59"/>
        <v>1127.7545865028233</v>
      </c>
      <c r="AN118" s="60">
        <f ca="1">AVERAGE(OFFSET($AM$3,0,0,'Données projet'!$E$10+1,1))-AVERAGE(OFFSET($H$3,0,0,'Données projet'!$E$10+1,1))</f>
        <v>436.5217771315057</v>
      </c>
      <c r="AO118" s="60">
        <f t="shared" si="90"/>
        <v>308.97310256098365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20.627756121808424</v>
      </c>
      <c r="AV118" s="23">
        <f>EXP(-LN(2)/25)*AV117+(1-EXP(-LN(2)/25))/(LN(2)/25)*Calculateur!AQ118*Calculateur!AS118*VLOOKUP('Données projet'!$B$10,Paramètres!$A$1:$I$88,3,0)*0.475*44/12</f>
        <v>7.2203873501764404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27.848143471984866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269</v>
      </c>
      <c r="BB118" s="13">
        <f>VLOOKUP(A118,'Données projet'!$A$87:$I$107,9,0)</f>
        <v>5.4</v>
      </c>
      <c r="BC118" s="13">
        <f t="array" ref="BC118">INDEX(BB:BB,MIN(IF(ISNUMBER(BB118:BB314),ROW(BB118:BB314),"")))</f>
        <v>5.4</v>
      </c>
      <c r="BD118" s="13">
        <f>IF('Données projet'!$A$88&gt;35,BD117+BC118-BL117,IF(A118&lt;'Données projet'!$A$88,$BA$205^A118,IF(A118='Données projet'!$A$88,'Données projet'!$B$88,BD117+BC118-BL117)))</f>
        <v>269</v>
      </c>
      <c r="BE118" s="14">
        <f>BD118*VLOOKUP('Données projet'!$B$11,Paramètres!$A$1:$I$88,3,0)*VLOOKUP('Données projet'!$B$11,Paramètres!$A$1:$I$88,5,0)</f>
        <v>272.76600000000002</v>
      </c>
      <c r="BF118" s="14">
        <f t="shared" si="91"/>
        <v>65.43593563008757</v>
      </c>
      <c r="BG118" s="22">
        <f t="shared" si="61"/>
        <v>589.03503788906914</v>
      </c>
      <c r="BH118" s="60">
        <f t="shared" si="62"/>
        <v>870.11674343216646</v>
      </c>
      <c r="BI118" s="60">
        <f ca="1">AVERAGE(OFFSET($BH$3,0,0,'Données projet'!$E$11+1,1))-AVERAGE(OFFSET($H$3,0,0,'Données projet'!$E$11+1,1))</f>
        <v>108.30434106718693</v>
      </c>
      <c r="BJ118" s="60">
        <f t="shared" si="92"/>
        <v>67.653808657585842</v>
      </c>
      <c r="BK118" s="16">
        <f>IF(ISNA(VLOOKUP(A118,'Données projet'!$A$87:$I$107,3,0)),0,VLOOKUP(A118,'Données projet'!$A$87:$I$107,3,0))</f>
        <v>10</v>
      </c>
      <c r="BL118" s="16">
        <f>IF(ISNA(VLOOKUP(A118,'Données projet'!$A$87:$I$107,4,0)),0,VLOOKUP(A118,'Données projet'!$A$87:$I$107,4,0))</f>
        <v>37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24.369044405283933</v>
      </c>
      <c r="BQ118" s="23">
        <f>EXP(-LN(2)/25)*BQ117+(1-EXP(-LN(2)/25))/(LN(2)/25)*Calculateur!BL118*Calculateur!BN118*VLOOKUP('Données projet'!$B$11,Paramètres!$A$1:$I$88,3,0)*0.475*44/12</f>
        <v>0</v>
      </c>
      <c r="BR118" s="23">
        <f>EXP(-LN(2)/2)*BR117+(1-EXP(-LN(2)/2))/(LN(2)/2)*BL118*BO118*VLOOKUP('Données projet'!$B$11,Paramètres!$A$1:$I$88,3,0)*0.475*44/12</f>
        <v>0</v>
      </c>
      <c r="BS118" s="24">
        <f t="shared" si="63"/>
        <v>24.369044405283933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projet'!$B$12,Paramètres!$A$1:$I$88,3,0)*VLOOKUP('Données projet'!$B$12,Paramètres!$A$1:$I$88,5,0)</f>
        <v>0</v>
      </c>
      <c r="CA118" s="14" t="e">
        <f t="shared" si="93"/>
        <v>#NUM!</v>
      </c>
      <c r="CB118" s="22" t="e">
        <f t="shared" si="64"/>
        <v>#NUM!</v>
      </c>
      <c r="CC118" s="60" t="e">
        <f t="shared" si="65"/>
        <v>#NUM!</v>
      </c>
      <c r="CD118" s="60">
        <f ca="1">AVERAGE(OFFSET($CC$3,0,0,'Données projet'!$E$12+1,1))-AVERAGE(OFFSET($H$3,0,0,'Données projet'!$E$12+1,1))</f>
        <v>171.08593400758221</v>
      </c>
      <c r="CE118" s="60">
        <f t="shared" si="94"/>
        <v>201.9528484086932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projet'!$B$12,Paramètres!$A$1:$I$88,3,0)*0.475*44/12</f>
        <v>24.662601337325903</v>
      </c>
      <c r="CL118" s="23">
        <f>EXP(-LN(2)/25)*CL117+(1-EXP(-LN(2)/25))/(LN(2)/25)*Calculateur!CG118*Calculateur!CI118*VLOOKUP('Données projet'!$B$12,Paramètres!$A$1:$I$88,3,0)*0.475*44/12</f>
        <v>9.2882344291780896</v>
      </c>
      <c r="CM118" s="23">
        <f>EXP(-LN(2)/2)*CM117+(1-EXP(-LN(2)/2))/(LN(2)/2)*CG118*CJ118*VLOOKUP('Données projet'!$B$12,Paramètres!$A$1:$I$88,3,0)*0.475*44/12</f>
        <v>0</v>
      </c>
      <c r="CN118" s="24">
        <f t="shared" si="66"/>
        <v>33.950835766503992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projet'!$B$13,Paramètres!$A$1:$I$88,3,0)*VLOOKUP('Données projet'!$B$13,Paramètres!$A$1:$I$88,5,0)</f>
        <v>0</v>
      </c>
      <c r="CV118" s="14" t="e">
        <f t="shared" si="95"/>
        <v>#NUM!</v>
      </c>
      <c r="CW118" s="22" t="e">
        <f t="shared" si="67"/>
        <v>#NUM!</v>
      </c>
      <c r="CX118" s="60" t="e">
        <f t="shared" si="68"/>
        <v>#NUM!</v>
      </c>
      <c r="CY118" s="60">
        <f ca="1">AVERAGE(OFFSET($CX$3,0,0,'Données projet'!$E$13+1,1))-AVERAGE(OFFSET($H$3,0,0,'Données projet'!$E$13+1,1))</f>
        <v>283.66646124753868</v>
      </c>
      <c r="CZ118" s="60">
        <f t="shared" si="96"/>
        <v>331.61926649572797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projet'!$B$13,Paramètres!$A$1:$I$88,3,0)*0.475*44/12</f>
        <v>121.44834449366552</v>
      </c>
      <c r="DG118" s="23">
        <f>EXP(-LN(2)/25)*DG117+(1-EXP(-LN(2)/25))/(LN(2)/25)*Calculateur!DB118*Calculateur!DD118*VLOOKUP('Données projet'!$B$13,Paramètres!$A$1:$I$88,3,0)*0.475*44/12</f>
        <v>0</v>
      </c>
      <c r="DH118" s="23">
        <f>EXP(-LN(2)/2)*DH117+(1-EXP(-LN(2)/2))/(LN(2)/2)*DB118*DE118*VLOOKUP('Données projet'!$B$13,Paramètres!$A$1:$I$88,3,0)*0.475*44/12</f>
        <v>0</v>
      </c>
      <c r="DI118" s="24">
        <f t="shared" si="69"/>
        <v>121.44834449366552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1.1368683772161603E-13</v>
      </c>
      <c r="DP118" s="18">
        <f>DO118*VLOOKUP('Données projet'!$B$14,Paramètres!$A$1:$I$88,3,0)*VLOOKUP('Données projet'!$B$14,Paramètres!$A$1:$I$88,5,0)</f>
        <v>8.3355189417488869E-14</v>
      </c>
      <c r="DQ118" s="14">
        <f t="shared" si="97"/>
        <v>1.2790518435140618E-12</v>
      </c>
      <c r="DR118" s="22">
        <f t="shared" si="70"/>
        <v>2.3728589156891171E-12</v>
      </c>
      <c r="DS118" s="60">
        <f t="shared" si="71"/>
        <v>281.08170554309964</v>
      </c>
      <c r="DT118" s="60">
        <f ca="1">AVERAGE(OFFSET($DS$3,0,0,'Données projet'!$E$14+1,1))-AVERAGE(OFFSET($H$3,0,0,'Données projet'!$E$14+1,1))</f>
        <v>212.77458587586861</v>
      </c>
      <c r="DU118" s="60">
        <f t="shared" si="98"/>
        <v>260.45879589483513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projet'!$B$14,Paramètres!$A$1:$I$88,3,0)*0.475*44/12</f>
        <v>12.076504880434848</v>
      </c>
      <c r="EB118" s="23">
        <f>EXP(-LN(2)/25)*EB117+(1-EXP(-LN(2)/25))/(LN(2)/25)*Calculateur!DW118*Calculateur!DY118*VLOOKUP('Données projet'!$B$14,Paramètres!$A$1:$I$88,3,0)*0.475*44/12</f>
        <v>4.4093884143066617</v>
      </c>
      <c r="EC118" s="23">
        <f>EXP(-LN(2)/2)*EC117+(1-EXP(-LN(2)/2))/(LN(2)/2)*DW118*DZ118*VLOOKUP('Données projet'!$B$14,Paramètres!$A$1:$I$88,3,0)*0.475*44/12</f>
        <v>0</v>
      </c>
      <c r="ED118" s="24">
        <f t="shared" si="72"/>
        <v>16.485893294741508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5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8">
        <f t="shared" si="56"/>
        <v>183.33333333333334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3.4106051316484809E-13</v>
      </c>
      <c r="O119" s="14">
        <f>N119*VLOOKUP('Données projet'!$B$9,Paramètres!$A$1:$I$88,3,0)*VLOOKUP('Données projet'!$B$9,Paramètres!$A$1:$I$88,5,0)</f>
        <v>1.9065282685915009E-13</v>
      </c>
      <c r="P119" s="14">
        <f t="shared" si="87"/>
        <v>2.6568987209435707E-12</v>
      </c>
      <c r="Q119" s="22">
        <f t="shared" si="107"/>
        <v>4.959485612423072E-12</v>
      </c>
      <c r="R119" s="60">
        <f t="shared" si="55"/>
        <v>281.29424389472643</v>
      </c>
      <c r="S119" s="60">
        <f ca="1">AVERAGE(OFFSET($R$3,0,0,'Données projet'!$E$9+1,1))-AVERAGE(OFFSET($H$3,0,0,'Données projet'!$E$9+1,1))</f>
        <v>366.29380214443631</v>
      </c>
      <c r="T119" s="60">
        <f t="shared" si="88"/>
        <v>413.14502442862897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79.046916658770371</v>
      </c>
      <c r="AA119" s="23">
        <f>EXP(-LN(2)/25)*AA118+(1-EXP(-LN(2)/25))/(LN(2)/25)*Calculateur!V119*Calculateur!X119*VLOOKUP('Données projet'!$B$9,Paramètres!$A$1:$I$88,3,0)*0.475*44/12</f>
        <v>28.053596858111138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107.10051351688151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452.49999999999989</v>
      </c>
      <c r="AJ119" s="14">
        <f>AI119*VLOOKUP('Données projet'!$B$10,Paramètres!$A$1:$I$88,3,0)*VLOOKUP('Données projet'!$B$10,Paramètres!$A$1:$I$88,5,0)</f>
        <v>395.30399999999992</v>
      </c>
      <c r="AK119" s="14">
        <f t="shared" si="89"/>
        <v>90.823969929029445</v>
      </c>
      <c r="AL119" s="22">
        <f t="shared" si="58"/>
        <v>846.67288095972606</v>
      </c>
      <c r="AM119" s="60">
        <f t="shared" si="59"/>
        <v>1127.9671248544475</v>
      </c>
      <c r="AN119" s="60">
        <f ca="1">AVERAGE(OFFSET($AM$3,0,0,'Données projet'!$E$10+1,1))-AVERAGE(OFFSET($H$3,0,0,'Données projet'!$E$10+1,1))</f>
        <v>436.5217771315057</v>
      </c>
      <c r="AO119" s="60">
        <f t="shared" si="90"/>
        <v>308.97310256098365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20.223258405948656</v>
      </c>
      <c r="AV119" s="23">
        <f>EXP(-LN(2)/25)*AV118+(1-EXP(-LN(2)/25))/(LN(2)/25)*Calculateur!AQ119*Calculateur!AS119*VLOOKUP('Données projet'!$B$10,Paramètres!$A$1:$I$88,3,0)*0.475*44/12</f>
        <v>7.022945478382197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27.246203884330853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5.5</v>
      </c>
      <c r="BD119" s="13">
        <f>IF('Données projet'!$A$88&gt;35,BD118+BC119-BL118,IF(A119&lt;'Données projet'!$A$88,$BA$205^A119,IF(A119='Données projet'!$A$88,'Données projet'!$B$88,BD118+BC119-BL118)))</f>
        <v>237.5</v>
      </c>
      <c r="BE119" s="14">
        <f>BD119*VLOOKUP('Données projet'!$B$11,Paramètres!$A$1:$I$88,3,0)*VLOOKUP('Données projet'!$B$11,Paramètres!$A$1:$I$88,5,0)</f>
        <v>240.82500000000002</v>
      </c>
      <c r="BF119" s="14">
        <f t="shared" si="91"/>
        <v>58.616997784809556</v>
      </c>
      <c r="BG119" s="22">
        <f t="shared" si="61"/>
        <v>521.52814614187662</v>
      </c>
      <c r="BH119" s="60">
        <f t="shared" si="62"/>
        <v>802.82239003659811</v>
      </c>
      <c r="BI119" s="60">
        <f ca="1">AVERAGE(OFFSET($BH$3,0,0,'Données projet'!$E$11+1,1))-AVERAGE(OFFSET($H$3,0,0,'Données projet'!$E$11+1,1))</f>
        <v>108.30434106718693</v>
      </c>
      <c r="BJ119" s="60">
        <f t="shared" si="92"/>
        <v>67.653808657585842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23.891182308145741</v>
      </c>
      <c r="BQ119" s="23">
        <f>EXP(-LN(2)/25)*BQ118+(1-EXP(-LN(2)/25))/(LN(2)/25)*Calculateur!BL119*Calculateur!BN119*VLOOKUP('Données projet'!$B$11,Paramètres!$A$1:$I$88,3,0)*0.475*44/12</f>
        <v>0</v>
      </c>
      <c r="BR119" s="23">
        <f>EXP(-LN(2)/2)*BR118+(1-EXP(-LN(2)/2))/(LN(2)/2)*BL119*BO119*VLOOKUP('Données projet'!$B$11,Paramètres!$A$1:$I$88,3,0)*0.475*44/12</f>
        <v>0</v>
      </c>
      <c r="BS119" s="24">
        <f t="shared" si="63"/>
        <v>23.891182308145741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projet'!$B$12,Paramètres!$A$1:$I$88,3,0)*VLOOKUP('Données projet'!$B$12,Paramètres!$A$1:$I$88,5,0)</f>
        <v>0</v>
      </c>
      <c r="CA119" s="14" t="e">
        <f t="shared" si="93"/>
        <v>#NUM!</v>
      </c>
      <c r="CB119" s="22" t="e">
        <f t="shared" si="64"/>
        <v>#NUM!</v>
      </c>
      <c r="CC119" s="60" t="e">
        <f t="shared" si="65"/>
        <v>#NUM!</v>
      </c>
      <c r="CD119" s="60">
        <f ca="1">AVERAGE(OFFSET($CC$3,0,0,'Données projet'!$E$12+1,1))-AVERAGE(OFFSET($H$3,0,0,'Données projet'!$E$12+1,1))</f>
        <v>171.08593400758221</v>
      </c>
      <c r="CE119" s="60">
        <f t="shared" si="94"/>
        <v>201.9528484086932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projet'!$B$12,Paramètres!$A$1:$I$88,3,0)*0.475*44/12</f>
        <v>24.178982767802413</v>
      </c>
      <c r="CL119" s="23">
        <f>EXP(-LN(2)/25)*CL118+(1-EXP(-LN(2)/25))/(LN(2)/25)*Calculateur!CG119*Calculateur!CI119*VLOOKUP('Données projet'!$B$12,Paramètres!$A$1:$I$88,3,0)*0.475*44/12</f>
        <v>9.0342471702651945</v>
      </c>
      <c r="CM119" s="23">
        <f>EXP(-LN(2)/2)*CM118+(1-EXP(-LN(2)/2))/(LN(2)/2)*CG119*CJ119*VLOOKUP('Données projet'!$B$12,Paramètres!$A$1:$I$88,3,0)*0.475*44/12</f>
        <v>0</v>
      </c>
      <c r="CN119" s="24">
        <f t="shared" si="66"/>
        <v>33.213229938067606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projet'!$B$13,Paramètres!$A$1:$I$88,3,0)*VLOOKUP('Données projet'!$B$13,Paramètres!$A$1:$I$88,5,0)</f>
        <v>0</v>
      </c>
      <c r="CV119" s="14" t="e">
        <f t="shared" si="95"/>
        <v>#NUM!</v>
      </c>
      <c r="CW119" s="22" t="e">
        <f t="shared" si="67"/>
        <v>#NUM!</v>
      </c>
      <c r="CX119" s="60" t="e">
        <f t="shared" si="68"/>
        <v>#NUM!</v>
      </c>
      <c r="CY119" s="60">
        <f ca="1">AVERAGE(OFFSET($CX$3,0,0,'Données projet'!$E$13+1,1))-AVERAGE(OFFSET($H$3,0,0,'Données projet'!$E$13+1,1))</f>
        <v>283.66646124753868</v>
      </c>
      <c r="CZ119" s="60">
        <f t="shared" si="96"/>
        <v>331.61926649572797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projet'!$B$13,Paramètres!$A$1:$I$88,3,0)*0.475*44/12</f>
        <v>119.06681653432047</v>
      </c>
      <c r="DG119" s="23">
        <f>EXP(-LN(2)/25)*DG118+(1-EXP(-LN(2)/25))/(LN(2)/25)*Calculateur!DB119*Calculateur!DD119*VLOOKUP('Données projet'!$B$13,Paramètres!$A$1:$I$88,3,0)*0.475*44/12</f>
        <v>0</v>
      </c>
      <c r="DH119" s="23">
        <f>EXP(-LN(2)/2)*DH118+(1-EXP(-LN(2)/2))/(LN(2)/2)*DB119*DE119*VLOOKUP('Données projet'!$B$13,Paramètres!$A$1:$I$88,3,0)*0.475*44/12</f>
        <v>0</v>
      </c>
      <c r="DI119" s="24">
        <f t="shared" si="69"/>
        <v>119.06681653432047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1.1368683772161603E-13</v>
      </c>
      <c r="DP119" s="18">
        <f>DO119*VLOOKUP('Données projet'!$B$14,Paramètres!$A$1:$I$88,3,0)*VLOOKUP('Données projet'!$B$14,Paramètres!$A$1:$I$88,5,0)</f>
        <v>8.3355189417488869E-14</v>
      </c>
      <c r="DQ119" s="14">
        <f t="shared" si="97"/>
        <v>1.2790518435140618E-12</v>
      </c>
      <c r="DR119" s="22">
        <f t="shared" si="70"/>
        <v>2.3728589156891171E-12</v>
      </c>
      <c r="DS119" s="60">
        <f t="shared" si="71"/>
        <v>281.29424389472388</v>
      </c>
      <c r="DT119" s="60">
        <f ca="1">AVERAGE(OFFSET($DS$3,0,0,'Données projet'!$E$14+1,1))-AVERAGE(OFFSET($H$3,0,0,'Données projet'!$E$14+1,1))</f>
        <v>212.77458587586861</v>
      </c>
      <c r="DU119" s="60">
        <f t="shared" si="98"/>
        <v>260.45879589483513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projet'!$B$14,Paramètres!$A$1:$I$88,3,0)*0.475*44/12</f>
        <v>11.839691985670171</v>
      </c>
      <c r="EB119" s="23">
        <f>EXP(-LN(2)/25)*EB118+(1-EXP(-LN(2)/25))/(LN(2)/25)*Calculateur!DW119*Calculateur!DY119*VLOOKUP('Données projet'!$B$14,Paramètres!$A$1:$I$88,3,0)*0.475*44/12</f>
        <v>4.2888134562377873</v>
      </c>
      <c r="EC119" s="23">
        <f>EXP(-LN(2)/2)*EC118+(1-EXP(-LN(2)/2))/(LN(2)/2)*DW119*DZ119*VLOOKUP('Données projet'!$B$14,Paramètres!$A$1:$I$88,3,0)*0.475*44/12</f>
        <v>0</v>
      </c>
      <c r="ED119" s="24">
        <f t="shared" si="72"/>
        <v>16.128505441907958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5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8">
        <f t="shared" si="56"/>
        <v>183.33333333333334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3.4106051316484809E-13</v>
      </c>
      <c r="O120" s="14">
        <f>N120*VLOOKUP('Données projet'!$B$9,Paramètres!$A$1:$I$88,3,0)*VLOOKUP('Données projet'!$B$9,Paramètres!$A$1:$I$88,5,0)</f>
        <v>1.9065282685915009E-13</v>
      </c>
      <c r="P120" s="14">
        <f t="shared" si="87"/>
        <v>2.6568987209435707E-12</v>
      </c>
      <c r="Q120" s="22">
        <f t="shared" si="107"/>
        <v>4.959485612423072E-12</v>
      </c>
      <c r="R120" s="60">
        <f t="shared" si="55"/>
        <v>281.50309518111459</v>
      </c>
      <c r="S120" s="60">
        <f ca="1">AVERAGE(OFFSET($R$3,0,0,'Données projet'!$E$9+1,1))-AVERAGE(OFFSET($H$3,0,0,'Données projet'!$E$9+1,1))</f>
        <v>366.29380214443631</v>
      </c>
      <c r="T120" s="60">
        <f t="shared" si="88"/>
        <v>413.14502442862897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77.49685483695032</v>
      </c>
      <c r="AA120" s="23">
        <f>EXP(-LN(2)/25)*AA119+(1-EXP(-LN(2)/25))/(LN(2)/25)*Calculateur!V120*Calculateur!X120*VLOOKUP('Données projet'!$B$9,Paramètres!$A$1:$I$88,3,0)*0.475*44/12</f>
        <v>27.286469776751549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104.78332461370186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452.49999999999989</v>
      </c>
      <c r="AJ120" s="14">
        <f>AI120*VLOOKUP('Données projet'!$B$10,Paramètres!$A$1:$I$88,3,0)*VLOOKUP('Données projet'!$B$10,Paramètres!$A$1:$I$88,5,0)</f>
        <v>395.30399999999992</v>
      </c>
      <c r="AK120" s="14">
        <f t="shared" si="89"/>
        <v>90.823969929029445</v>
      </c>
      <c r="AL120" s="22">
        <f t="shared" si="58"/>
        <v>846.67288095972606</v>
      </c>
      <c r="AM120" s="60">
        <f t="shared" si="59"/>
        <v>1128.1759761408357</v>
      </c>
      <c r="AN120" s="60">
        <f ca="1">AVERAGE(OFFSET($AM$3,0,0,'Données projet'!$E$10+1,1))-AVERAGE(OFFSET($H$3,0,0,'Données projet'!$E$10+1,1))</f>
        <v>436.5217771315057</v>
      </c>
      <c r="AO120" s="60">
        <f t="shared" si="90"/>
        <v>308.97310256098365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19.826692643577655</v>
      </c>
      <c r="AV120" s="23">
        <f>EXP(-LN(2)/25)*AV119+(1-EXP(-LN(2)/25))/(LN(2)/25)*Calculateur!AQ120*Calculateur!AS120*VLOOKUP('Données projet'!$B$10,Paramètres!$A$1:$I$88,3,0)*0.475*44/12</f>
        <v>6.8309026649551843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26.657595308532841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5.5</v>
      </c>
      <c r="BD120" s="13">
        <f>IF('Données projet'!$A$88&gt;35,BD119+BC120-BL119,IF(A120&lt;'Données projet'!$A$88,$BA$205^A120,IF(A120='Données projet'!$A$88,'Données projet'!$B$88,BD119+BC120-BL119)))</f>
        <v>243</v>
      </c>
      <c r="BE120" s="14">
        <f>BD120*VLOOKUP('Données projet'!$B$11,Paramètres!$A$1:$I$88,3,0)*VLOOKUP('Données projet'!$B$11,Paramètres!$A$1:$I$88,5,0)</f>
        <v>246.40200000000004</v>
      </c>
      <c r="BF120" s="14">
        <f t="shared" si="91"/>
        <v>59.814834475385524</v>
      </c>
      <c r="BG120" s="22">
        <f t="shared" si="61"/>
        <v>533.3276533779632</v>
      </c>
      <c r="BH120" s="60">
        <f t="shared" si="62"/>
        <v>814.83074855907284</v>
      </c>
      <c r="BI120" s="60">
        <f ca="1">AVERAGE(OFFSET($BH$3,0,0,'Données projet'!$E$11+1,1))-AVERAGE(OFFSET($H$3,0,0,'Données projet'!$E$11+1,1))</f>
        <v>108.30434106718693</v>
      </c>
      <c r="BJ120" s="60">
        <f t="shared" si="92"/>
        <v>67.653808657585842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23.422690795265328</v>
      </c>
      <c r="BQ120" s="23">
        <f>EXP(-LN(2)/25)*BQ119+(1-EXP(-LN(2)/25))/(LN(2)/25)*Calculateur!BL120*Calculateur!BN120*VLOOKUP('Données projet'!$B$11,Paramètres!$A$1:$I$88,3,0)*0.475*44/12</f>
        <v>0</v>
      </c>
      <c r="BR120" s="23">
        <f>EXP(-LN(2)/2)*BR119+(1-EXP(-LN(2)/2))/(LN(2)/2)*BL120*BO120*VLOOKUP('Données projet'!$B$11,Paramètres!$A$1:$I$88,3,0)*0.475*44/12</f>
        <v>0</v>
      </c>
      <c r="BS120" s="24">
        <f t="shared" si="63"/>
        <v>23.422690795265328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projet'!$B$12,Paramètres!$A$1:$I$88,3,0)*VLOOKUP('Données projet'!$B$12,Paramètres!$A$1:$I$88,5,0)</f>
        <v>0</v>
      </c>
      <c r="CA120" s="14" t="e">
        <f t="shared" si="93"/>
        <v>#NUM!</v>
      </c>
      <c r="CB120" s="22" t="e">
        <f t="shared" si="64"/>
        <v>#NUM!</v>
      </c>
      <c r="CC120" s="60" t="e">
        <f t="shared" si="65"/>
        <v>#NUM!</v>
      </c>
      <c r="CD120" s="60">
        <f ca="1">AVERAGE(OFFSET($CC$3,0,0,'Données projet'!$E$12+1,1))-AVERAGE(OFFSET($H$3,0,0,'Données projet'!$E$12+1,1))</f>
        <v>171.08593400758221</v>
      </c>
      <c r="CE120" s="60">
        <f t="shared" si="94"/>
        <v>201.9528484086932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projet'!$B$12,Paramètres!$A$1:$I$88,3,0)*0.475*44/12</f>
        <v>23.70484766344908</v>
      </c>
      <c r="CL120" s="23">
        <f>EXP(-LN(2)/25)*CL119+(1-EXP(-LN(2)/25))/(LN(2)/25)*Calculateur!CG120*Calculateur!CI120*VLOOKUP('Données projet'!$B$12,Paramètres!$A$1:$I$88,3,0)*0.475*44/12</f>
        <v>8.7872052063038826</v>
      </c>
      <c r="CM120" s="23">
        <f>EXP(-LN(2)/2)*CM119+(1-EXP(-LN(2)/2))/(LN(2)/2)*CG120*CJ120*VLOOKUP('Données projet'!$B$12,Paramètres!$A$1:$I$88,3,0)*0.475*44/12</f>
        <v>0</v>
      </c>
      <c r="CN120" s="24">
        <f t="shared" si="66"/>
        <v>32.49205286975296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projet'!$B$13,Paramètres!$A$1:$I$88,3,0)*VLOOKUP('Données projet'!$B$13,Paramètres!$A$1:$I$88,5,0)</f>
        <v>0</v>
      </c>
      <c r="CV120" s="14" t="e">
        <f t="shared" si="95"/>
        <v>#NUM!</v>
      </c>
      <c r="CW120" s="22" t="e">
        <f t="shared" si="67"/>
        <v>#NUM!</v>
      </c>
      <c r="CX120" s="60" t="e">
        <f t="shared" si="68"/>
        <v>#NUM!</v>
      </c>
      <c r="CY120" s="60">
        <f ca="1">AVERAGE(OFFSET($CX$3,0,0,'Données projet'!$E$13+1,1))-AVERAGE(OFFSET($H$3,0,0,'Données projet'!$E$13+1,1))</f>
        <v>283.66646124753868</v>
      </c>
      <c r="CZ120" s="60">
        <f t="shared" si="96"/>
        <v>331.61926649572797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projet'!$B$13,Paramètres!$A$1:$I$88,3,0)*0.475*44/12</f>
        <v>116.73198888566955</v>
      </c>
      <c r="DG120" s="23">
        <f>EXP(-LN(2)/25)*DG119+(1-EXP(-LN(2)/25))/(LN(2)/25)*Calculateur!DB120*Calculateur!DD120*VLOOKUP('Données projet'!$B$13,Paramètres!$A$1:$I$88,3,0)*0.475*44/12</f>
        <v>0</v>
      </c>
      <c r="DH120" s="23">
        <f>EXP(-LN(2)/2)*DH119+(1-EXP(-LN(2)/2))/(LN(2)/2)*DB120*DE120*VLOOKUP('Données projet'!$B$13,Paramètres!$A$1:$I$88,3,0)*0.475*44/12</f>
        <v>0</v>
      </c>
      <c r="DI120" s="24">
        <f t="shared" si="69"/>
        <v>116.73198888566955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1.1368683772161603E-13</v>
      </c>
      <c r="DP120" s="18">
        <f>DO120*VLOOKUP('Données projet'!$B$14,Paramètres!$A$1:$I$88,3,0)*VLOOKUP('Données projet'!$B$14,Paramètres!$A$1:$I$88,5,0)</f>
        <v>8.3355189417488869E-14</v>
      </c>
      <c r="DQ120" s="14">
        <f t="shared" si="97"/>
        <v>1.2790518435140618E-12</v>
      </c>
      <c r="DR120" s="22">
        <f t="shared" si="70"/>
        <v>2.3728589156891171E-12</v>
      </c>
      <c r="DS120" s="60">
        <f t="shared" si="71"/>
        <v>281.50309518111203</v>
      </c>
      <c r="DT120" s="60">
        <f ca="1">AVERAGE(OFFSET($DS$3,0,0,'Données projet'!$E$14+1,1))-AVERAGE(OFFSET($H$3,0,0,'Données projet'!$E$14+1,1))</f>
        <v>212.77458587586861</v>
      </c>
      <c r="DU120" s="60">
        <f t="shared" si="98"/>
        <v>260.45879589483513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projet'!$B$14,Paramètres!$A$1:$I$88,3,0)*0.475*44/12</f>
        <v>11.607522847330227</v>
      </c>
      <c r="EB120" s="23">
        <f>EXP(-LN(2)/25)*EB119+(1-EXP(-LN(2)/25))/(LN(2)/25)*Calculateur!DW120*Calculateur!DY120*VLOOKUP('Données projet'!$B$14,Paramètres!$A$1:$I$88,3,0)*0.475*44/12</f>
        <v>4.1715356267380672</v>
      </c>
      <c r="EC120" s="23">
        <f>EXP(-LN(2)/2)*EC119+(1-EXP(-LN(2)/2))/(LN(2)/2)*DW120*DZ120*VLOOKUP('Données projet'!$B$14,Paramètres!$A$1:$I$88,3,0)*0.475*44/12</f>
        <v>0</v>
      </c>
      <c r="ED120" s="24">
        <f t="shared" si="72"/>
        <v>15.779058474068293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5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8">
        <f t="shared" si="56"/>
        <v>183.33333333333334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3.4106051316484809E-13</v>
      </c>
      <c r="O121" s="14">
        <f>N121*VLOOKUP('Données projet'!$B$9,Paramètres!$A$1:$I$88,3,0)*VLOOKUP('Données projet'!$B$9,Paramètres!$A$1:$I$88,5,0)</f>
        <v>1.9065282685915009E-13</v>
      </c>
      <c r="P121" s="14">
        <f t="shared" si="87"/>
        <v>2.6568987209435707E-12</v>
      </c>
      <c r="Q121" s="22">
        <f t="shared" si="107"/>
        <v>4.959485612423072E-12</v>
      </c>
      <c r="R121" s="60">
        <f t="shared" si="55"/>
        <v>281.70832336460535</v>
      </c>
      <c r="S121" s="60">
        <f ca="1">AVERAGE(OFFSET($R$3,0,0,'Données projet'!$E$9+1,1))-AVERAGE(OFFSET($H$3,0,0,'Données projet'!$E$9+1,1))</f>
        <v>366.29380214443631</v>
      </c>
      <c r="T121" s="60">
        <f t="shared" si="88"/>
        <v>413.14502442862897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75.977188782011808</v>
      </c>
      <c r="AA121" s="23">
        <f>EXP(-LN(2)/25)*AA120+(1-EXP(-LN(2)/25))/(LN(2)/25)*Calculateur!V121*Calculateur!X121*VLOOKUP('Données projet'!$B$9,Paramètres!$A$1:$I$88,3,0)*0.475*44/12</f>
        <v>26.540319825773196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102.517508607785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452.49999999999989</v>
      </c>
      <c r="AJ121" s="14">
        <f>AI121*VLOOKUP('Données projet'!$B$10,Paramètres!$A$1:$I$88,3,0)*VLOOKUP('Données projet'!$B$10,Paramètres!$A$1:$I$88,5,0)</f>
        <v>395.30399999999992</v>
      </c>
      <c r="AK121" s="14">
        <f t="shared" si="89"/>
        <v>90.823969929029445</v>
      </c>
      <c r="AL121" s="22">
        <f t="shared" si="58"/>
        <v>846.67288095972606</v>
      </c>
      <c r="AM121" s="60">
        <f t="shared" si="59"/>
        <v>1128.3812043243265</v>
      </c>
      <c r="AN121" s="60">
        <f ca="1">AVERAGE(OFFSET($AM$3,0,0,'Données projet'!$E$10+1,1))-AVERAGE(OFFSET($H$3,0,0,'Données projet'!$E$10+1,1))</f>
        <v>436.5217771315057</v>
      </c>
      <c r="AO121" s="60">
        <f t="shared" si="90"/>
        <v>308.97310256098365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19.437903293925515</v>
      </c>
      <c r="AV121" s="23">
        <f>EXP(-LN(2)/25)*AV120+(1-EXP(-LN(2)/25))/(LN(2)/25)*Calculateur!AQ121*Calculateur!AS121*VLOOKUP('Données projet'!$B$10,Paramètres!$A$1:$I$88,3,0)*0.475*44/12</f>
        <v>6.6441112723604254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26.082014566285942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5.5</v>
      </c>
      <c r="BD121" s="13">
        <f>IF('Données projet'!$A$88&gt;35,BD120+BC121-BL120,IF(A121&lt;'Données projet'!$A$88,$BA$205^A121,IF(A121='Données projet'!$A$88,'Données projet'!$B$88,BD120+BC121-BL120)))</f>
        <v>248.5</v>
      </c>
      <c r="BE121" s="14">
        <f>BD121*VLOOKUP('Données projet'!$B$11,Paramètres!$A$1:$I$88,3,0)*VLOOKUP('Données projet'!$B$11,Paramètres!$A$1:$I$88,5,0)</f>
        <v>251.97900000000001</v>
      </c>
      <c r="BF121" s="14">
        <f t="shared" si="91"/>
        <v>61.009519252841891</v>
      </c>
      <c r="BG121" s="22">
        <f t="shared" si="61"/>
        <v>545.12167103203296</v>
      </c>
      <c r="BH121" s="60">
        <f t="shared" si="62"/>
        <v>826.82999439663331</v>
      </c>
      <c r="BI121" s="60">
        <f ca="1">AVERAGE(OFFSET($BH$3,0,0,'Données projet'!$E$11+1,1))-AVERAGE(OFFSET($H$3,0,0,'Données projet'!$E$11+1,1))</f>
        <v>108.30434106718693</v>
      </c>
      <c r="BJ121" s="60">
        <f t="shared" si="92"/>
        <v>67.653808657585842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22.963386115200894</v>
      </c>
      <c r="BQ121" s="23">
        <f>EXP(-LN(2)/25)*BQ120+(1-EXP(-LN(2)/25))/(LN(2)/25)*Calculateur!BL121*Calculateur!BN121*VLOOKUP('Données projet'!$B$11,Paramètres!$A$1:$I$88,3,0)*0.475*44/12</f>
        <v>0</v>
      </c>
      <c r="BR121" s="23">
        <f>EXP(-LN(2)/2)*BR120+(1-EXP(-LN(2)/2))/(LN(2)/2)*BL121*BO121*VLOOKUP('Données projet'!$B$11,Paramètres!$A$1:$I$88,3,0)*0.475*44/12</f>
        <v>0</v>
      </c>
      <c r="BS121" s="24">
        <f t="shared" si="63"/>
        <v>22.963386115200894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projet'!$B$12,Paramètres!$A$1:$I$88,3,0)*VLOOKUP('Données projet'!$B$12,Paramètres!$A$1:$I$88,5,0)</f>
        <v>0</v>
      </c>
      <c r="CA121" s="14" t="e">
        <f t="shared" si="93"/>
        <v>#NUM!</v>
      </c>
      <c r="CB121" s="22" t="e">
        <f t="shared" si="64"/>
        <v>#NUM!</v>
      </c>
      <c r="CC121" s="60" t="e">
        <f t="shared" si="65"/>
        <v>#NUM!</v>
      </c>
      <c r="CD121" s="60">
        <f ca="1">AVERAGE(OFFSET($CC$3,0,0,'Données projet'!$E$12+1,1))-AVERAGE(OFFSET($H$3,0,0,'Données projet'!$E$12+1,1))</f>
        <v>171.08593400758221</v>
      </c>
      <c r="CE121" s="60">
        <f t="shared" si="94"/>
        <v>201.9528484086932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projet'!$B$12,Paramètres!$A$1:$I$88,3,0)*0.475*44/12</f>
        <v>23.240010059298257</v>
      </c>
      <c r="CL121" s="23">
        <f>EXP(-LN(2)/25)*CL120+(1-EXP(-LN(2)/25))/(LN(2)/25)*Calculateur!CG121*Calculateur!CI121*VLOOKUP('Données projet'!$B$12,Paramètres!$A$1:$I$88,3,0)*0.475*44/12</f>
        <v>8.5469186178384646</v>
      </c>
      <c r="CM121" s="23">
        <f>EXP(-LN(2)/2)*CM120+(1-EXP(-LN(2)/2))/(LN(2)/2)*CG121*CJ121*VLOOKUP('Données projet'!$B$12,Paramètres!$A$1:$I$88,3,0)*0.475*44/12</f>
        <v>0</v>
      </c>
      <c r="CN121" s="24">
        <f t="shared" si="66"/>
        <v>31.786928677136721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projet'!$B$13,Paramètres!$A$1:$I$88,3,0)*VLOOKUP('Données projet'!$B$13,Paramètres!$A$1:$I$88,5,0)</f>
        <v>0</v>
      </c>
      <c r="CV121" s="14" t="e">
        <f t="shared" si="95"/>
        <v>#NUM!</v>
      </c>
      <c r="CW121" s="22" t="e">
        <f t="shared" si="67"/>
        <v>#NUM!</v>
      </c>
      <c r="CX121" s="60" t="e">
        <f t="shared" si="68"/>
        <v>#NUM!</v>
      </c>
      <c r="CY121" s="60">
        <f ca="1">AVERAGE(OFFSET($CX$3,0,0,'Données projet'!$E$13+1,1))-AVERAGE(OFFSET($H$3,0,0,'Données projet'!$E$13+1,1))</f>
        <v>283.66646124753868</v>
      </c>
      <c r="CZ121" s="60">
        <f t="shared" si="96"/>
        <v>331.61926649572797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projet'!$B$13,Paramètres!$A$1:$I$88,3,0)*0.475*44/12</f>
        <v>114.44294578310442</v>
      </c>
      <c r="DG121" s="23">
        <f>EXP(-LN(2)/25)*DG120+(1-EXP(-LN(2)/25))/(LN(2)/25)*Calculateur!DB121*Calculateur!DD121*VLOOKUP('Données projet'!$B$13,Paramètres!$A$1:$I$88,3,0)*0.475*44/12</f>
        <v>0</v>
      </c>
      <c r="DH121" s="23">
        <f>EXP(-LN(2)/2)*DH120+(1-EXP(-LN(2)/2))/(LN(2)/2)*DB121*DE121*VLOOKUP('Données projet'!$B$13,Paramètres!$A$1:$I$88,3,0)*0.475*44/12</f>
        <v>0</v>
      </c>
      <c r="DI121" s="24">
        <f t="shared" si="69"/>
        <v>114.44294578310442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1.1368683772161603E-13</v>
      </c>
      <c r="DP121" s="18">
        <f>DO121*VLOOKUP('Données projet'!$B$14,Paramètres!$A$1:$I$88,3,0)*VLOOKUP('Données projet'!$B$14,Paramètres!$A$1:$I$88,5,0)</f>
        <v>8.3355189417488869E-14</v>
      </c>
      <c r="DQ121" s="14">
        <f t="shared" si="97"/>
        <v>1.2790518435140618E-12</v>
      </c>
      <c r="DR121" s="22">
        <f t="shared" si="70"/>
        <v>2.3728589156891171E-12</v>
      </c>
      <c r="DS121" s="60">
        <f t="shared" si="71"/>
        <v>281.70832336460279</v>
      </c>
      <c r="DT121" s="60">
        <f ca="1">AVERAGE(OFFSET($DS$3,0,0,'Données projet'!$E$14+1,1))-AVERAGE(OFFSET($H$3,0,0,'Données projet'!$E$14+1,1))</f>
        <v>212.77458587586861</v>
      </c>
      <c r="DU121" s="60">
        <f t="shared" si="98"/>
        <v>260.45879589483513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projet'!$B$14,Paramètres!$A$1:$I$88,3,0)*0.475*44/12</f>
        <v>11.379906404183936</v>
      </c>
      <c r="EB121" s="23">
        <f>EXP(-LN(2)/25)*EB120+(1-EXP(-LN(2)/25))/(LN(2)/25)*Calculateur!DW121*Calculateur!DY121*VLOOKUP('Données projet'!$B$14,Paramètres!$A$1:$I$88,3,0)*0.475*44/12</f>
        <v>4.05746476565339</v>
      </c>
      <c r="EC121" s="23">
        <f>EXP(-LN(2)/2)*EC120+(1-EXP(-LN(2)/2))/(LN(2)/2)*DW121*DZ121*VLOOKUP('Données projet'!$B$14,Paramètres!$A$1:$I$88,3,0)*0.475*44/12</f>
        <v>0</v>
      </c>
      <c r="ED121" s="24">
        <f t="shared" si="72"/>
        <v>15.437371169837327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5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8">
        <f t="shared" si="56"/>
        <v>183.33333333333334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3.4106051316484809E-13</v>
      </c>
      <c r="O122" s="14">
        <f>N122*VLOOKUP('Données projet'!$B$9,Paramètres!$A$1:$I$88,3,0)*VLOOKUP('Données projet'!$B$9,Paramètres!$A$1:$I$88,5,0)</f>
        <v>1.9065282685915009E-13</v>
      </c>
      <c r="P122" s="14">
        <f t="shared" si="87"/>
        <v>2.6568987209435707E-12</v>
      </c>
      <c r="Q122" s="22">
        <f t="shared" si="107"/>
        <v>4.959485612423072E-12</v>
      </c>
      <c r="R122" s="60">
        <f t="shared" si="55"/>
        <v>281.90999129793408</v>
      </c>
      <c r="S122" s="60">
        <f ca="1">AVERAGE(OFFSET($R$3,0,0,'Données projet'!$E$9+1,1))-AVERAGE(OFFSET($H$3,0,0,'Données projet'!$E$9+1,1))</f>
        <v>366.29380214443631</v>
      </c>
      <c r="T122" s="60">
        <f t="shared" si="88"/>
        <v>413.14502442862897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74.487322451505875</v>
      </c>
      <c r="AA122" s="23">
        <f>EXP(-LN(2)/25)*AA121+(1-EXP(-LN(2)/25))/(LN(2)/25)*Calculateur!V122*Calculateur!X122*VLOOKUP('Données projet'!$B$9,Paramètres!$A$1:$I$88,3,0)*0.475*44/12</f>
        <v>25.814573384442667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100.30189583594854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452.49999999999989</v>
      </c>
      <c r="AJ122" s="14">
        <f>AI122*VLOOKUP('Données projet'!$B$10,Paramètres!$A$1:$I$88,3,0)*VLOOKUP('Données projet'!$B$10,Paramètres!$A$1:$I$88,5,0)</f>
        <v>395.30399999999992</v>
      </c>
      <c r="AK122" s="14">
        <f t="shared" si="89"/>
        <v>90.823969929029445</v>
      </c>
      <c r="AL122" s="22">
        <f t="shared" si="58"/>
        <v>846.67288095972606</v>
      </c>
      <c r="AM122" s="60">
        <f t="shared" si="59"/>
        <v>1128.5828722576553</v>
      </c>
      <c r="AN122" s="60">
        <f ca="1">AVERAGE(OFFSET($AM$3,0,0,'Données projet'!$E$10+1,1))-AVERAGE(OFFSET($H$3,0,0,'Données projet'!$E$10+1,1))</f>
        <v>436.5217771315057</v>
      </c>
      <c r="AO122" s="60">
        <f t="shared" si="90"/>
        <v>308.97310256098365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19.056737866281967</v>
      </c>
      <c r="AV122" s="23">
        <f>EXP(-LN(2)/25)*AV121+(1-EXP(-LN(2)/25))/(LN(2)/25)*Calculateur!AQ122*Calculateur!AS122*VLOOKUP('Données projet'!$B$10,Paramètres!$A$1:$I$88,3,0)*0.475*44/12</f>
        <v>6.4624277002191031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25.519165566501069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5.5</v>
      </c>
      <c r="BD122" s="13">
        <f>IF('Données projet'!$A$88&gt;35,BD121+BC122-BL121,IF(A122&lt;'Données projet'!$A$88,$BA$205^A122,IF(A122='Données projet'!$A$88,'Données projet'!$B$88,BD121+BC122-BL121)))</f>
        <v>254</v>
      </c>
      <c r="BE122" s="14">
        <f>BD122*VLOOKUP('Données projet'!$B$11,Paramètres!$A$1:$I$88,3,0)*VLOOKUP('Données projet'!$B$11,Paramètres!$A$1:$I$88,5,0)</f>
        <v>257.55599999999998</v>
      </c>
      <c r="BF122" s="14">
        <f t="shared" si="91"/>
        <v>62.201129910568184</v>
      </c>
      <c r="BG122" s="22">
        <f t="shared" si="61"/>
        <v>556.91033459423954</v>
      </c>
      <c r="BH122" s="60">
        <f t="shared" si="62"/>
        <v>838.82032589216874</v>
      </c>
      <c r="BI122" s="60">
        <f ca="1">AVERAGE(OFFSET($BH$3,0,0,'Données projet'!$E$11+1,1))-AVERAGE(OFFSET($H$3,0,0,'Données projet'!$E$11+1,1))</f>
        <v>108.30434106718693</v>
      </c>
      <c r="BJ122" s="60">
        <f t="shared" si="92"/>
        <v>67.653808657585842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22.51308811976433</v>
      </c>
      <c r="BQ122" s="23">
        <f>EXP(-LN(2)/25)*BQ121+(1-EXP(-LN(2)/25))/(LN(2)/25)*Calculateur!BL122*Calculateur!BN122*VLOOKUP('Données projet'!$B$11,Paramètres!$A$1:$I$88,3,0)*0.475*44/12</f>
        <v>0</v>
      </c>
      <c r="BR122" s="23">
        <f>EXP(-LN(2)/2)*BR121+(1-EXP(-LN(2)/2))/(LN(2)/2)*BL122*BO122*VLOOKUP('Données projet'!$B$11,Paramètres!$A$1:$I$88,3,0)*0.475*44/12</f>
        <v>0</v>
      </c>
      <c r="BS122" s="24">
        <f t="shared" si="63"/>
        <v>22.51308811976433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projet'!$B$12,Paramètres!$A$1:$I$88,3,0)*VLOOKUP('Données projet'!$B$12,Paramètres!$A$1:$I$88,5,0)</f>
        <v>0</v>
      </c>
      <c r="CA122" s="14" t="e">
        <f t="shared" si="93"/>
        <v>#NUM!</v>
      </c>
      <c r="CB122" s="22" t="e">
        <f t="shared" si="64"/>
        <v>#NUM!</v>
      </c>
      <c r="CC122" s="60" t="e">
        <f t="shared" si="65"/>
        <v>#NUM!</v>
      </c>
      <c r="CD122" s="60">
        <f ca="1">AVERAGE(OFFSET($CC$3,0,0,'Données projet'!$E$12+1,1))-AVERAGE(OFFSET($H$3,0,0,'Données projet'!$E$12+1,1))</f>
        <v>171.08593400758221</v>
      </c>
      <c r="CE122" s="60">
        <f t="shared" si="94"/>
        <v>201.9528484086932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projet'!$B$12,Paramètres!$A$1:$I$88,3,0)*0.475*44/12</f>
        <v>22.784287637041889</v>
      </c>
      <c r="CL122" s="23">
        <f>EXP(-LN(2)/25)*CL121+(1-EXP(-LN(2)/25))/(LN(2)/25)*Calculateur!CG122*Calculateur!CI122*VLOOKUP('Données projet'!$B$12,Paramètres!$A$1:$I$88,3,0)*0.475*44/12</f>
        <v>8.3132026787707556</v>
      </c>
      <c r="CM122" s="23">
        <f>EXP(-LN(2)/2)*CM121+(1-EXP(-LN(2)/2))/(LN(2)/2)*CG122*CJ122*VLOOKUP('Données projet'!$B$12,Paramètres!$A$1:$I$88,3,0)*0.475*44/12</f>
        <v>0</v>
      </c>
      <c r="CN122" s="24">
        <f t="shared" si="66"/>
        <v>31.097490315812642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projet'!$B$13,Paramètres!$A$1:$I$88,3,0)*VLOOKUP('Données projet'!$B$13,Paramètres!$A$1:$I$88,5,0)</f>
        <v>0</v>
      </c>
      <c r="CV122" s="14" t="e">
        <f t="shared" si="95"/>
        <v>#NUM!</v>
      </c>
      <c r="CW122" s="22" t="e">
        <f t="shared" si="67"/>
        <v>#NUM!</v>
      </c>
      <c r="CX122" s="60" t="e">
        <f t="shared" si="68"/>
        <v>#NUM!</v>
      </c>
      <c r="CY122" s="60">
        <f ca="1">AVERAGE(OFFSET($CX$3,0,0,'Données projet'!$E$13+1,1))-AVERAGE(OFFSET($H$3,0,0,'Données projet'!$E$13+1,1))</f>
        <v>283.66646124753868</v>
      </c>
      <c r="CZ122" s="60">
        <f t="shared" si="96"/>
        <v>331.61926649572797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projet'!$B$13,Paramètres!$A$1:$I$88,3,0)*0.475*44/12</f>
        <v>112.19878941960216</v>
      </c>
      <c r="DG122" s="23">
        <f>EXP(-LN(2)/25)*DG121+(1-EXP(-LN(2)/25))/(LN(2)/25)*Calculateur!DB122*Calculateur!DD122*VLOOKUP('Données projet'!$B$13,Paramètres!$A$1:$I$88,3,0)*0.475*44/12</f>
        <v>0</v>
      </c>
      <c r="DH122" s="23">
        <f>EXP(-LN(2)/2)*DH121+(1-EXP(-LN(2)/2))/(LN(2)/2)*DB122*DE122*VLOOKUP('Données projet'!$B$13,Paramètres!$A$1:$I$88,3,0)*0.475*44/12</f>
        <v>0</v>
      </c>
      <c r="DI122" s="24">
        <f t="shared" si="69"/>
        <v>112.19878941960216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1.1368683772161603E-13</v>
      </c>
      <c r="DP122" s="18">
        <f>DO122*VLOOKUP('Données projet'!$B$14,Paramètres!$A$1:$I$88,3,0)*VLOOKUP('Données projet'!$B$14,Paramètres!$A$1:$I$88,5,0)</f>
        <v>8.3355189417488869E-14</v>
      </c>
      <c r="DQ122" s="14">
        <f t="shared" si="97"/>
        <v>1.2790518435140618E-12</v>
      </c>
      <c r="DR122" s="22">
        <f t="shared" si="70"/>
        <v>2.3728589156891171E-12</v>
      </c>
      <c r="DS122" s="60">
        <f t="shared" si="71"/>
        <v>281.90999129793153</v>
      </c>
      <c r="DT122" s="60">
        <f ca="1">AVERAGE(OFFSET($DS$3,0,0,'Données projet'!$E$14+1,1))-AVERAGE(OFFSET($H$3,0,0,'Données projet'!$E$14+1,1))</f>
        <v>212.77458587586861</v>
      </c>
      <c r="DU122" s="60">
        <f t="shared" si="98"/>
        <v>260.45879589483513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projet'!$B$14,Paramètres!$A$1:$I$88,3,0)*0.475*44/12</f>
        <v>11.156753380655424</v>
      </c>
      <c r="EB122" s="23">
        <f>EXP(-LN(2)/25)*EB121+(1-EXP(-LN(2)/25))/(LN(2)/25)*Calculateur!DW122*Calculateur!DY122*VLOOKUP('Données projet'!$B$14,Paramètres!$A$1:$I$88,3,0)*0.475*44/12</f>
        <v>3.9465131782637997</v>
      </c>
      <c r="EC122" s="23">
        <f>EXP(-LN(2)/2)*EC121+(1-EXP(-LN(2)/2))/(LN(2)/2)*DW122*DZ122*VLOOKUP('Données projet'!$B$14,Paramètres!$A$1:$I$88,3,0)*0.475*44/12</f>
        <v>0</v>
      </c>
      <c r="ED122" s="24">
        <f t="shared" si="72"/>
        <v>15.103266558919223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5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8">
        <f t="shared" si="56"/>
        <v>183.33333333333334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3.4106051316484809E-13</v>
      </c>
      <c r="O123" s="14">
        <f>N123*VLOOKUP('Données projet'!$B$9,Paramètres!$A$1:$I$88,3,0)*VLOOKUP('Données projet'!$B$9,Paramètres!$A$1:$I$88,5,0)</f>
        <v>1.9065282685915009E-13</v>
      </c>
      <c r="P123" s="14">
        <f t="shared" si="87"/>
        <v>2.6568987209435707E-12</v>
      </c>
      <c r="Q123" s="22">
        <f t="shared" si="107"/>
        <v>4.959485612423072E-12</v>
      </c>
      <c r="R123" s="60">
        <f t="shared" si="55"/>
        <v>282.10816074348156</v>
      </c>
      <c r="S123" s="60">
        <f ca="1">AVERAGE(OFFSET($R$3,0,0,'Données projet'!$E$9+1,1))-AVERAGE(OFFSET($H$3,0,0,'Données projet'!$E$9+1,1))</f>
        <v>366.29380214443631</v>
      </c>
      <c r="T123" s="60">
        <f t="shared" si="88"/>
        <v>413.14502442862897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73.026671491012422</v>
      </c>
      <c r="AA123" s="23">
        <f>EXP(-LN(2)/25)*AA122+(1-EXP(-LN(2)/25))/(LN(2)/25)*Calculateur!V123*Calculateur!X123*VLOOKUP('Données projet'!$B$9,Paramètres!$A$1:$I$88,3,0)*0.475*44/12</f>
        <v>25.108672517715668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98.135344008728083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452.49999999999989</v>
      </c>
      <c r="AJ123" s="14">
        <f>AI123*VLOOKUP('Données projet'!$B$10,Paramètres!$A$1:$I$88,3,0)*VLOOKUP('Données projet'!$B$10,Paramètres!$A$1:$I$88,5,0)</f>
        <v>395.30399999999992</v>
      </c>
      <c r="AK123" s="14">
        <f t="shared" si="89"/>
        <v>90.823969929029445</v>
      </c>
      <c r="AL123" s="22">
        <f t="shared" si="58"/>
        <v>846.67288095972606</v>
      </c>
      <c r="AM123" s="60">
        <f t="shared" si="59"/>
        <v>1128.7810417032026</v>
      </c>
      <c r="AN123" s="60">
        <f ca="1">AVERAGE(OFFSET($AM$3,0,0,'Données projet'!$E$10+1,1))-AVERAGE(OFFSET($H$3,0,0,'Données projet'!$E$10+1,1))</f>
        <v>436.5217771315057</v>
      </c>
      <c r="AO123" s="60">
        <f t="shared" si="90"/>
        <v>308.97310256098365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18.683046860186554</v>
      </c>
      <c r="AV123" s="23">
        <f>EXP(-LN(2)/25)*AV122+(1-EXP(-LN(2)/25))/(LN(2)/25)*Calculateur!AQ123*Calculateur!AS123*VLOOKUP('Données projet'!$B$10,Paramètres!$A$1:$I$88,3,0)*0.475*44/12</f>
        <v>6.2857122749123091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24.968759135098864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5.5</v>
      </c>
      <c r="BD123" s="13">
        <f>IF('Données projet'!$A$88&gt;35,BD122+BC123-BL122,IF(A123&lt;'Données projet'!$A$88,$BA$205^A123,IF(A123='Données projet'!$A$88,'Données projet'!$B$88,BD122+BC123-BL122)))</f>
        <v>259.5</v>
      </c>
      <c r="BE123" s="14">
        <f>BD123*VLOOKUP('Données projet'!$B$11,Paramètres!$A$1:$I$88,3,0)*VLOOKUP('Données projet'!$B$11,Paramètres!$A$1:$I$88,5,0)</f>
        <v>263.13300000000004</v>
      </c>
      <c r="BF123" s="14">
        <f t="shared" si="91"/>
        <v>63.389740680525662</v>
      </c>
      <c r="BG123" s="22">
        <f t="shared" si="61"/>
        <v>568.69377335191564</v>
      </c>
      <c r="BH123" s="60">
        <f t="shared" si="62"/>
        <v>850.8019340953922</v>
      </c>
      <c r="BI123" s="60">
        <f ca="1">AVERAGE(OFFSET($BH$3,0,0,'Données projet'!$E$11+1,1))-AVERAGE(OFFSET($H$3,0,0,'Données projet'!$E$11+1,1))</f>
        <v>108.30434106718693</v>
      </c>
      <c r="BJ123" s="60">
        <f t="shared" si="92"/>
        <v>67.653808657585842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22.071620193363618</v>
      </c>
      <c r="BQ123" s="23">
        <f>EXP(-LN(2)/25)*BQ122+(1-EXP(-LN(2)/25))/(LN(2)/25)*Calculateur!BL123*Calculateur!BN123*VLOOKUP('Données projet'!$B$11,Paramètres!$A$1:$I$88,3,0)*0.475*44/12</f>
        <v>0</v>
      </c>
      <c r="BR123" s="23">
        <f>EXP(-LN(2)/2)*BR122+(1-EXP(-LN(2)/2))/(LN(2)/2)*BL123*BO123*VLOOKUP('Données projet'!$B$11,Paramètres!$A$1:$I$88,3,0)*0.475*44/12</f>
        <v>0</v>
      </c>
      <c r="BS123" s="24">
        <f t="shared" si="63"/>
        <v>22.071620193363618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projet'!$B$12,Paramètres!$A$1:$I$88,3,0)*VLOOKUP('Données projet'!$B$12,Paramètres!$A$1:$I$88,5,0)</f>
        <v>0</v>
      </c>
      <c r="CA123" s="14" t="e">
        <f t="shared" si="93"/>
        <v>#NUM!</v>
      </c>
      <c r="CB123" s="22" t="e">
        <f t="shared" si="64"/>
        <v>#NUM!</v>
      </c>
      <c r="CC123" s="60" t="e">
        <f t="shared" si="65"/>
        <v>#NUM!</v>
      </c>
      <c r="CD123" s="60">
        <f ca="1">AVERAGE(OFFSET($CC$3,0,0,'Données projet'!$E$12+1,1))-AVERAGE(OFFSET($H$3,0,0,'Données projet'!$E$12+1,1))</f>
        <v>171.08593400758221</v>
      </c>
      <c r="CE123" s="60">
        <f t="shared" si="94"/>
        <v>201.9528484086932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projet'!$B$12,Paramètres!$A$1:$I$88,3,0)*0.475*44/12</f>
        <v>22.337501653522736</v>
      </c>
      <c r="CL123" s="23">
        <f>EXP(-LN(2)/25)*CL122+(1-EXP(-LN(2)/25))/(LN(2)/25)*Calculateur!CG123*Calculateur!CI123*VLOOKUP('Données projet'!$B$12,Paramètres!$A$1:$I$88,3,0)*0.475*44/12</f>
        <v>8.0858777143474398</v>
      </c>
      <c r="CM123" s="23">
        <f>EXP(-LN(2)/2)*CM122+(1-EXP(-LN(2)/2))/(LN(2)/2)*CG123*CJ123*VLOOKUP('Données projet'!$B$12,Paramètres!$A$1:$I$88,3,0)*0.475*44/12</f>
        <v>0</v>
      </c>
      <c r="CN123" s="24">
        <f t="shared" si="66"/>
        <v>30.423379367870176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projet'!$B$13,Paramètres!$A$1:$I$88,3,0)*VLOOKUP('Données projet'!$B$13,Paramètres!$A$1:$I$88,5,0)</f>
        <v>0</v>
      </c>
      <c r="CV123" s="14" t="e">
        <f t="shared" si="95"/>
        <v>#NUM!</v>
      </c>
      <c r="CW123" s="22" t="e">
        <f t="shared" si="67"/>
        <v>#NUM!</v>
      </c>
      <c r="CX123" s="60" t="e">
        <f t="shared" si="68"/>
        <v>#NUM!</v>
      </c>
      <c r="CY123" s="60">
        <f ca="1">AVERAGE(OFFSET($CX$3,0,0,'Données projet'!$E$13+1,1))-AVERAGE(OFFSET($H$3,0,0,'Données projet'!$E$13+1,1))</f>
        <v>283.66646124753868</v>
      </c>
      <c r="CZ123" s="60">
        <f t="shared" si="96"/>
        <v>331.61926649572797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projet'!$B$13,Paramètres!$A$1:$I$88,3,0)*0.475*44/12</f>
        <v>109.99863959358797</v>
      </c>
      <c r="DG123" s="23">
        <f>EXP(-LN(2)/25)*DG122+(1-EXP(-LN(2)/25))/(LN(2)/25)*Calculateur!DB123*Calculateur!DD123*VLOOKUP('Données projet'!$B$13,Paramètres!$A$1:$I$88,3,0)*0.475*44/12</f>
        <v>0</v>
      </c>
      <c r="DH123" s="23">
        <f>EXP(-LN(2)/2)*DH122+(1-EXP(-LN(2)/2))/(LN(2)/2)*DB123*DE123*VLOOKUP('Données projet'!$B$13,Paramètres!$A$1:$I$88,3,0)*0.475*44/12</f>
        <v>0</v>
      </c>
      <c r="DI123" s="24">
        <f t="shared" si="69"/>
        <v>109.99863959358797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1.1368683772161603E-13</v>
      </c>
      <c r="DP123" s="18">
        <f>DO123*VLOOKUP('Données projet'!$B$14,Paramètres!$A$1:$I$88,3,0)*VLOOKUP('Données projet'!$B$14,Paramètres!$A$1:$I$88,5,0)</f>
        <v>8.3355189417488869E-14</v>
      </c>
      <c r="DQ123" s="14">
        <f t="shared" si="97"/>
        <v>1.2790518435140618E-12</v>
      </c>
      <c r="DR123" s="22">
        <f t="shared" si="70"/>
        <v>2.3728589156891171E-12</v>
      </c>
      <c r="DS123" s="60">
        <f t="shared" si="71"/>
        <v>282.108160743479</v>
      </c>
      <c r="DT123" s="60">
        <f ca="1">AVERAGE(OFFSET($DS$3,0,0,'Données projet'!$E$14+1,1))-AVERAGE(OFFSET($H$3,0,0,'Données projet'!$E$14+1,1))</f>
        <v>212.77458587586861</v>
      </c>
      <c r="DU123" s="60">
        <f t="shared" si="98"/>
        <v>260.45879589483513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projet'!$B$14,Paramètres!$A$1:$I$88,3,0)*0.475*44/12</f>
        <v>10.937976251808401</v>
      </c>
      <c r="EB123" s="23">
        <f>EXP(-LN(2)/25)*EB122+(1-EXP(-LN(2)/25))/(LN(2)/25)*Calculateur!DW123*Calculateur!DY123*VLOOKUP('Données projet'!$B$14,Paramètres!$A$1:$I$88,3,0)*0.475*44/12</f>
        <v>3.8385955678660677</v>
      </c>
      <c r="EC123" s="23">
        <f>EXP(-LN(2)/2)*EC122+(1-EXP(-LN(2)/2))/(LN(2)/2)*DW123*DZ123*VLOOKUP('Données projet'!$B$14,Paramètres!$A$1:$I$88,3,0)*0.475*44/12</f>
        <v>0</v>
      </c>
      <c r="ED123" s="24">
        <f t="shared" si="72"/>
        <v>14.776571819674469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5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8">
        <f t="shared" si="56"/>
        <v>183.33333333333334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3.4106051316484809E-13</v>
      </c>
      <c r="O124" s="14">
        <f>N124*VLOOKUP('Données projet'!$B$9,Paramètres!$A$1:$I$88,3,0)*VLOOKUP('Données projet'!$B$9,Paramètres!$A$1:$I$88,5,0)</f>
        <v>1.9065282685915009E-13</v>
      </c>
      <c r="P124" s="14">
        <f t="shared" si="87"/>
        <v>2.6568987209435707E-12</v>
      </c>
      <c r="Q124" s="22">
        <f t="shared" si="107"/>
        <v>4.959485612423072E-12</v>
      </c>
      <c r="R124" s="60">
        <f t="shared" si="55"/>
        <v>282.30289239218934</v>
      </c>
      <c r="S124" s="60">
        <f ca="1">AVERAGE(OFFSET($R$3,0,0,'Données projet'!$E$9+1,1))-AVERAGE(OFFSET($H$3,0,0,'Données projet'!$E$9+1,1))</f>
        <v>366.29380214443631</v>
      </c>
      <c r="T124" s="60">
        <f t="shared" si="88"/>
        <v>413.14502442862897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71.594663004945133</v>
      </c>
      <c r="AA124" s="23">
        <f>EXP(-LN(2)/25)*AA123+(1-EXP(-LN(2)/25))/(LN(2)/25)*Calculateur!V124*Calculateur!X124*VLOOKUP('Données projet'!$B$9,Paramètres!$A$1:$I$88,3,0)*0.475*44/12</f>
        <v>24.422074547311031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96.01673755225616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452.49999999999989</v>
      </c>
      <c r="AJ124" s="14">
        <f>AI124*VLOOKUP('Données projet'!$B$10,Paramètres!$A$1:$I$88,3,0)*VLOOKUP('Données projet'!$B$10,Paramètres!$A$1:$I$88,5,0)</f>
        <v>395.30399999999992</v>
      </c>
      <c r="AK124" s="14">
        <f t="shared" si="89"/>
        <v>90.823969929029445</v>
      </c>
      <c r="AL124" s="22">
        <f t="shared" si="58"/>
        <v>846.67288095972606</v>
      </c>
      <c r="AM124" s="60">
        <f t="shared" si="59"/>
        <v>1128.9757733519104</v>
      </c>
      <c r="AN124" s="60">
        <f ca="1">AVERAGE(OFFSET($AM$3,0,0,'Données projet'!$E$10+1,1))-AVERAGE(OFFSET($H$3,0,0,'Données projet'!$E$10+1,1))</f>
        <v>436.5217771315057</v>
      </c>
      <c r="AO124" s="60">
        <f t="shared" si="90"/>
        <v>308.97310256098365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18.316683706791665</v>
      </c>
      <c r="AV124" s="23">
        <f>EXP(-LN(2)/25)*AV123+(1-EXP(-LN(2)/25))/(LN(2)/25)*Calculateur!AQ124*Calculateur!AS124*VLOOKUP('Données projet'!$B$10,Paramètres!$A$1:$I$88,3,0)*0.475*44/12</f>
        <v>6.1138291422035893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24.430512848995253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5.5</v>
      </c>
      <c r="BD124" s="13">
        <f>IF('Données projet'!$A$88&gt;35,BD123+BC124-BL123,IF(A124&lt;'Données projet'!$A$88,$BA$205^A124,IF(A124='Données projet'!$A$88,'Données projet'!$B$88,BD123+BC124-BL123)))</f>
        <v>265</v>
      </c>
      <c r="BE124" s="14">
        <f>BD124*VLOOKUP('Données projet'!$B$11,Paramètres!$A$1:$I$88,3,0)*VLOOKUP('Données projet'!$B$11,Paramètres!$A$1:$I$88,5,0)</f>
        <v>268.71000000000004</v>
      </c>
      <c r="BF124" s="14">
        <f t="shared" si="91"/>
        <v>64.575422468263369</v>
      </c>
      <c r="BG124" s="22">
        <f t="shared" si="61"/>
        <v>580.472110798892</v>
      </c>
      <c r="BH124" s="60">
        <f t="shared" si="62"/>
        <v>862.77500319107639</v>
      </c>
      <c r="BI124" s="60">
        <f ca="1">AVERAGE(OFFSET($BH$3,0,0,'Données projet'!$E$11+1,1))-AVERAGE(OFFSET($H$3,0,0,'Données projet'!$E$11+1,1))</f>
        <v>108.30434106718693</v>
      </c>
      <c r="BJ124" s="60">
        <f t="shared" si="92"/>
        <v>67.653808657585842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21.638809183730778</v>
      </c>
      <c r="BQ124" s="23">
        <f>EXP(-LN(2)/25)*BQ123+(1-EXP(-LN(2)/25))/(LN(2)/25)*Calculateur!BL124*Calculateur!BN124*VLOOKUP('Données projet'!$B$11,Paramètres!$A$1:$I$88,3,0)*0.475*44/12</f>
        <v>0</v>
      </c>
      <c r="BR124" s="23">
        <f>EXP(-LN(2)/2)*BR123+(1-EXP(-LN(2)/2))/(LN(2)/2)*BL124*BO124*VLOOKUP('Données projet'!$B$11,Paramètres!$A$1:$I$88,3,0)*0.475*44/12</f>
        <v>0</v>
      </c>
      <c r="BS124" s="24">
        <f t="shared" si="63"/>
        <v>21.638809183730778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projet'!$B$12,Paramètres!$A$1:$I$88,3,0)*VLOOKUP('Données projet'!$B$12,Paramètres!$A$1:$I$88,5,0)</f>
        <v>0</v>
      </c>
      <c r="CA124" s="14" t="e">
        <f t="shared" si="93"/>
        <v>#NUM!</v>
      </c>
      <c r="CB124" s="22" t="e">
        <f t="shared" si="64"/>
        <v>#NUM!</v>
      </c>
      <c r="CC124" s="60" t="e">
        <f t="shared" si="65"/>
        <v>#NUM!</v>
      </c>
      <c r="CD124" s="60">
        <f ca="1">AVERAGE(OFFSET($CC$3,0,0,'Données projet'!$E$12+1,1))-AVERAGE(OFFSET($H$3,0,0,'Données projet'!$E$12+1,1))</f>
        <v>171.08593400758221</v>
      </c>
      <c r="CE124" s="60">
        <f t="shared" si="94"/>
        <v>201.9528484086932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projet'!$B$12,Paramètres!$A$1:$I$88,3,0)*0.475*44/12</f>
        <v>21.899476870627854</v>
      </c>
      <c r="CL124" s="23">
        <f>EXP(-LN(2)/25)*CL123+(1-EXP(-LN(2)/25))/(LN(2)/25)*Calculateur!CG124*Calculateur!CI124*VLOOKUP('Données projet'!$B$12,Paramètres!$A$1:$I$88,3,0)*0.475*44/12</f>
        <v>7.8647689630307802</v>
      </c>
      <c r="CM124" s="23">
        <f>EXP(-LN(2)/2)*CM123+(1-EXP(-LN(2)/2))/(LN(2)/2)*CG124*CJ124*VLOOKUP('Données projet'!$B$12,Paramètres!$A$1:$I$88,3,0)*0.475*44/12</f>
        <v>0</v>
      </c>
      <c r="CN124" s="24">
        <f t="shared" si="66"/>
        <v>29.764245833658634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projet'!$B$13,Paramètres!$A$1:$I$88,3,0)*VLOOKUP('Données projet'!$B$13,Paramètres!$A$1:$I$88,5,0)</f>
        <v>0</v>
      </c>
      <c r="CV124" s="14" t="e">
        <f t="shared" si="95"/>
        <v>#NUM!</v>
      </c>
      <c r="CW124" s="22" t="e">
        <f t="shared" si="67"/>
        <v>#NUM!</v>
      </c>
      <c r="CX124" s="60" t="e">
        <f t="shared" si="68"/>
        <v>#NUM!</v>
      </c>
      <c r="CY124" s="60">
        <f ca="1">AVERAGE(OFFSET($CX$3,0,0,'Données projet'!$E$13+1,1))-AVERAGE(OFFSET($H$3,0,0,'Données projet'!$E$13+1,1))</f>
        <v>283.66646124753868</v>
      </c>
      <c r="CZ124" s="60">
        <f t="shared" si="96"/>
        <v>331.61926649572797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projet'!$B$13,Paramètres!$A$1:$I$88,3,0)*0.475*44/12</f>
        <v>107.84163336370302</v>
      </c>
      <c r="DG124" s="23">
        <f>EXP(-LN(2)/25)*DG123+(1-EXP(-LN(2)/25))/(LN(2)/25)*Calculateur!DB124*Calculateur!DD124*VLOOKUP('Données projet'!$B$13,Paramètres!$A$1:$I$88,3,0)*0.475*44/12</f>
        <v>0</v>
      </c>
      <c r="DH124" s="23">
        <f>EXP(-LN(2)/2)*DH123+(1-EXP(-LN(2)/2))/(LN(2)/2)*DB124*DE124*VLOOKUP('Données projet'!$B$13,Paramètres!$A$1:$I$88,3,0)*0.475*44/12</f>
        <v>0</v>
      </c>
      <c r="DI124" s="24">
        <f t="shared" si="69"/>
        <v>107.84163336370302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1.1368683772161603E-13</v>
      </c>
      <c r="DP124" s="18">
        <f>DO124*VLOOKUP('Données projet'!$B$14,Paramètres!$A$1:$I$88,3,0)*VLOOKUP('Données projet'!$B$14,Paramètres!$A$1:$I$88,5,0)</f>
        <v>8.3355189417488869E-14</v>
      </c>
      <c r="DQ124" s="14">
        <f t="shared" si="97"/>
        <v>1.2790518435140618E-12</v>
      </c>
      <c r="DR124" s="22">
        <f t="shared" si="70"/>
        <v>2.3728589156891171E-12</v>
      </c>
      <c r="DS124" s="60">
        <f t="shared" si="71"/>
        <v>282.30289239218678</v>
      </c>
      <c r="DT124" s="60">
        <f ca="1">AVERAGE(OFFSET($DS$3,0,0,'Données projet'!$E$14+1,1))-AVERAGE(OFFSET($H$3,0,0,'Données projet'!$E$14+1,1))</f>
        <v>212.77458587586861</v>
      </c>
      <c r="DU124" s="60">
        <f t="shared" si="98"/>
        <v>260.45879589483513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projet'!$B$14,Paramètres!$A$1:$I$88,3,0)*0.475*44/12</f>
        <v>10.723489209017195</v>
      </c>
      <c r="EB124" s="23">
        <f>EXP(-LN(2)/25)*EB123+(1-EXP(-LN(2)/25))/(LN(2)/25)*Calculateur!DW124*Calculateur!DY124*VLOOKUP('Données projet'!$B$14,Paramètres!$A$1:$I$88,3,0)*0.475*44/12</f>
        <v>3.7336289701998022</v>
      </c>
      <c r="EC124" s="23">
        <f>EXP(-LN(2)/2)*EC123+(1-EXP(-LN(2)/2))/(LN(2)/2)*DW124*DZ124*VLOOKUP('Données projet'!$B$14,Paramètres!$A$1:$I$88,3,0)*0.475*44/12</f>
        <v>0</v>
      </c>
      <c r="ED124" s="24">
        <f t="shared" si="72"/>
        <v>14.457118179216998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5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8">
        <f t="shared" si="56"/>
        <v>183.33333333333334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3.4106051316484809E-13</v>
      </c>
      <c r="O125" s="14">
        <f>N125*VLOOKUP('Données projet'!$B$9,Paramètres!$A$1:$I$88,3,0)*VLOOKUP('Données projet'!$B$9,Paramètres!$A$1:$I$88,5,0)</f>
        <v>1.9065282685915009E-13</v>
      </c>
      <c r="P125" s="14">
        <f t="shared" si="87"/>
        <v>2.6568987209435707E-12</v>
      </c>
      <c r="Q125" s="22">
        <f t="shared" si="107"/>
        <v>4.959485612423072E-12</v>
      </c>
      <c r="R125" s="60">
        <f t="shared" si="55"/>
        <v>282.49424588214674</v>
      </c>
      <c r="S125" s="60">
        <f ca="1">AVERAGE(OFFSET($R$3,0,0,'Données projet'!$E$9+1,1))-AVERAGE(OFFSET($H$3,0,0,'Données projet'!$E$9+1,1))</f>
        <v>366.29380214443631</v>
      </c>
      <c r="T125" s="60">
        <f t="shared" si="88"/>
        <v>413.14502442862897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70.190735331850689</v>
      </c>
      <c r="AA125" s="23">
        <f>EXP(-LN(2)/25)*AA124+(1-EXP(-LN(2)/25))/(LN(2)/25)*Calculateur!V125*Calculateur!X125*VLOOKUP('Données projet'!$B$9,Paramètres!$A$1:$I$88,3,0)*0.475*44/12</f>
        <v>23.754251634513729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93.944986966364411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452.49999999999989</v>
      </c>
      <c r="AJ125" s="14">
        <f>AI125*VLOOKUP('Données projet'!$B$10,Paramètres!$A$1:$I$88,3,0)*VLOOKUP('Données projet'!$B$10,Paramètres!$A$1:$I$88,5,0)</f>
        <v>395.30399999999992</v>
      </c>
      <c r="AK125" s="14">
        <f t="shared" si="89"/>
        <v>90.823969929029445</v>
      </c>
      <c r="AL125" s="22">
        <f t="shared" si="58"/>
        <v>846.67288095972606</v>
      </c>
      <c r="AM125" s="60">
        <f t="shared" si="59"/>
        <v>1129.1671268418679</v>
      </c>
      <c r="AN125" s="60">
        <f ca="1">AVERAGE(OFFSET($AM$3,0,0,'Données projet'!$E$10+1,1))-AVERAGE(OFFSET($H$3,0,0,'Données projet'!$E$10+1,1))</f>
        <v>436.5217771315057</v>
      </c>
      <c r="AO125" s="60">
        <f t="shared" si="90"/>
        <v>308.97310256098365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17.957504711375389</v>
      </c>
      <c r="AV125" s="23">
        <f>EXP(-LN(2)/25)*AV124+(1-EXP(-LN(2)/25))/(LN(2)/25)*Calculateur!AQ125*Calculateur!AS125*VLOOKUP('Données projet'!$B$10,Paramètres!$A$1:$I$88,3,0)*0.475*44/12</f>
        <v>5.9466461627977312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23.904150874173119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5.5</v>
      </c>
      <c r="BD125" s="13">
        <f>IF('Données projet'!$A$88&gt;35,BD124+BC125-BL124,IF(A125&lt;'Données projet'!$A$88,$BA$205^A125,IF(A125='Données projet'!$A$88,'Données projet'!$B$88,BD124+BC125-BL124)))</f>
        <v>270.5</v>
      </c>
      <c r="BE125" s="14">
        <f>BD125*VLOOKUP('Données projet'!$B$11,Paramètres!$A$1:$I$88,3,0)*VLOOKUP('Données projet'!$B$11,Paramètres!$A$1:$I$88,5,0)</f>
        <v>274.28700000000003</v>
      </c>
      <c r="BF125" s="14">
        <f t="shared" si="91"/>
        <v>65.758243067872485</v>
      </c>
      <c r="BG125" s="22">
        <f t="shared" si="61"/>
        <v>592.24546500987799</v>
      </c>
      <c r="BH125" s="60">
        <f t="shared" si="62"/>
        <v>874.73971089201973</v>
      </c>
      <c r="BI125" s="60">
        <f ca="1">AVERAGE(OFFSET($BH$3,0,0,'Données projet'!$E$11+1,1))-AVERAGE(OFFSET($H$3,0,0,'Données projet'!$E$11+1,1))</f>
        <v>108.30434106718693</v>
      </c>
      <c r="BJ125" s="60">
        <f t="shared" si="92"/>
        <v>67.653808657585842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21.214485334008188</v>
      </c>
      <c r="BQ125" s="23">
        <f>EXP(-LN(2)/25)*BQ124+(1-EXP(-LN(2)/25))/(LN(2)/25)*Calculateur!BL125*Calculateur!BN125*VLOOKUP('Données projet'!$B$11,Paramètres!$A$1:$I$88,3,0)*0.475*44/12</f>
        <v>0</v>
      </c>
      <c r="BR125" s="23">
        <f>EXP(-LN(2)/2)*BR124+(1-EXP(-LN(2)/2))/(LN(2)/2)*BL125*BO125*VLOOKUP('Données projet'!$B$11,Paramètres!$A$1:$I$88,3,0)*0.475*44/12</f>
        <v>0</v>
      </c>
      <c r="BS125" s="24">
        <f t="shared" si="63"/>
        <v>21.214485334008188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projet'!$B$12,Paramètres!$A$1:$I$88,3,0)*VLOOKUP('Données projet'!$B$12,Paramètres!$A$1:$I$88,5,0)</f>
        <v>0</v>
      </c>
      <c r="CA125" s="14" t="e">
        <f t="shared" si="93"/>
        <v>#NUM!</v>
      </c>
      <c r="CB125" s="22" t="e">
        <f t="shared" si="64"/>
        <v>#NUM!</v>
      </c>
      <c r="CC125" s="60" t="e">
        <f t="shared" si="65"/>
        <v>#NUM!</v>
      </c>
      <c r="CD125" s="60">
        <f ca="1">AVERAGE(OFFSET($CC$3,0,0,'Données projet'!$E$12+1,1))-AVERAGE(OFFSET($H$3,0,0,'Données projet'!$E$12+1,1))</f>
        <v>171.08593400758221</v>
      </c>
      <c r="CE125" s="60">
        <f t="shared" si="94"/>
        <v>201.9528484086932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projet'!$B$12,Paramètres!$A$1:$I$88,3,0)*0.475*44/12</f>
        <v>21.470041486556802</v>
      </c>
      <c r="CL125" s="23">
        <f>EXP(-LN(2)/25)*CL124+(1-EXP(-LN(2)/25))/(LN(2)/25)*Calculateur!CG125*Calculateur!CI125*VLOOKUP('Données projet'!$B$12,Paramètres!$A$1:$I$88,3,0)*0.475*44/12</f>
        <v>7.6497064421464787</v>
      </c>
      <c r="CM125" s="23">
        <f>EXP(-LN(2)/2)*CM124+(1-EXP(-LN(2)/2))/(LN(2)/2)*CG125*CJ125*VLOOKUP('Données projet'!$B$12,Paramètres!$A$1:$I$88,3,0)*0.475*44/12</f>
        <v>0</v>
      </c>
      <c r="CN125" s="24">
        <f t="shared" si="66"/>
        <v>29.11974792870328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projet'!$B$13,Paramètres!$A$1:$I$88,3,0)*VLOOKUP('Données projet'!$B$13,Paramètres!$A$1:$I$88,5,0)</f>
        <v>0</v>
      </c>
      <c r="CV125" s="14" t="e">
        <f t="shared" si="95"/>
        <v>#NUM!</v>
      </c>
      <c r="CW125" s="22" t="e">
        <f t="shared" si="67"/>
        <v>#NUM!</v>
      </c>
      <c r="CX125" s="60" t="e">
        <f t="shared" si="68"/>
        <v>#NUM!</v>
      </c>
      <c r="CY125" s="60">
        <f ca="1">AVERAGE(OFFSET($CX$3,0,0,'Données projet'!$E$13+1,1))-AVERAGE(OFFSET($H$3,0,0,'Données projet'!$E$13+1,1))</f>
        <v>283.66646124753868</v>
      </c>
      <c r="CZ125" s="60">
        <f t="shared" si="96"/>
        <v>331.61926649572797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projet'!$B$13,Paramètres!$A$1:$I$88,3,0)*0.475*44/12</f>
        <v>105.72692471034223</v>
      </c>
      <c r="DG125" s="23">
        <f>EXP(-LN(2)/25)*DG124+(1-EXP(-LN(2)/25))/(LN(2)/25)*Calculateur!DB125*Calculateur!DD125*VLOOKUP('Données projet'!$B$13,Paramètres!$A$1:$I$88,3,0)*0.475*44/12</f>
        <v>0</v>
      </c>
      <c r="DH125" s="23">
        <f>EXP(-LN(2)/2)*DH124+(1-EXP(-LN(2)/2))/(LN(2)/2)*DB125*DE125*VLOOKUP('Données projet'!$B$13,Paramètres!$A$1:$I$88,3,0)*0.475*44/12</f>
        <v>0</v>
      </c>
      <c r="DI125" s="24">
        <f t="shared" si="69"/>
        <v>105.72692471034223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1.1368683772161603E-13</v>
      </c>
      <c r="DP125" s="18">
        <f>DO125*VLOOKUP('Données projet'!$B$14,Paramètres!$A$1:$I$88,3,0)*VLOOKUP('Données projet'!$B$14,Paramètres!$A$1:$I$88,5,0)</f>
        <v>8.3355189417488869E-14</v>
      </c>
      <c r="DQ125" s="14">
        <f t="shared" si="97"/>
        <v>1.2790518435140618E-12</v>
      </c>
      <c r="DR125" s="22">
        <f t="shared" si="70"/>
        <v>2.3728589156891171E-12</v>
      </c>
      <c r="DS125" s="60">
        <f t="shared" si="71"/>
        <v>282.49424588214418</v>
      </c>
      <c r="DT125" s="60">
        <f ca="1">AVERAGE(OFFSET($DS$3,0,0,'Données projet'!$E$14+1,1))-AVERAGE(OFFSET($H$3,0,0,'Données projet'!$E$14+1,1))</f>
        <v>212.77458587586861</v>
      </c>
      <c r="DU125" s="60">
        <f t="shared" si="98"/>
        <v>260.45879589483513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projet'!$B$14,Paramètres!$A$1:$I$88,3,0)*0.475*44/12</f>
        <v>10.513208126310946</v>
      </c>
      <c r="EB125" s="23">
        <f>EXP(-LN(2)/25)*EB124+(1-EXP(-LN(2)/25))/(LN(2)/25)*Calculateur!DW125*Calculateur!DY125*VLOOKUP('Données projet'!$B$14,Paramètres!$A$1:$I$88,3,0)*0.475*44/12</f>
        <v>3.6315326896666744</v>
      </c>
      <c r="EC125" s="23">
        <f>EXP(-LN(2)/2)*EC124+(1-EXP(-LN(2)/2))/(LN(2)/2)*DW125*DZ125*VLOOKUP('Données projet'!$B$14,Paramètres!$A$1:$I$88,3,0)*0.475*44/12</f>
        <v>0</v>
      </c>
      <c r="ED125" s="24">
        <f t="shared" si="72"/>
        <v>14.14474081597762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5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8">
        <f t="shared" si="56"/>
        <v>183.33333333333334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3.4106051316484809E-13</v>
      </c>
      <c r="O126" s="14">
        <f>N126*VLOOKUP('Données projet'!$B$9,Paramètres!$A$1:$I$88,3,0)*VLOOKUP('Données projet'!$B$9,Paramètres!$A$1:$I$88,5,0)</f>
        <v>1.9065282685915009E-13</v>
      </c>
      <c r="P126" s="14">
        <f t="shared" si="87"/>
        <v>2.6568987209435707E-12</v>
      </c>
      <c r="Q126" s="22">
        <f t="shared" si="107"/>
        <v>4.959485612423072E-12</v>
      </c>
      <c r="R126" s="60">
        <f t="shared" si="55"/>
        <v>282.68227981685561</v>
      </c>
      <c r="S126" s="60">
        <f ca="1">AVERAGE(OFFSET($R$3,0,0,'Données projet'!$E$9+1,1))-AVERAGE(OFFSET($H$3,0,0,'Données projet'!$E$9+1,1))</f>
        <v>366.29380214443631</v>
      </c>
      <c r="T126" s="60">
        <f t="shared" si="88"/>
        <v>413.14502442862897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68.814337824114304</v>
      </c>
      <c r="AA126" s="23">
        <f>EXP(-LN(2)/25)*AA125+(1-EXP(-LN(2)/25))/(LN(2)/25)*Calculateur!V126*Calculateur!X126*VLOOKUP('Données projet'!$B$9,Paramètres!$A$1:$I$88,3,0)*0.475*44/12</f>
        <v>23.104690374386148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91.919028198500456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452.49999999999989</v>
      </c>
      <c r="AJ126" s="14">
        <f>AI126*VLOOKUP('Données projet'!$B$10,Paramètres!$A$1:$I$88,3,0)*VLOOKUP('Données projet'!$B$10,Paramètres!$A$1:$I$88,5,0)</f>
        <v>395.30399999999992</v>
      </c>
      <c r="AK126" s="14">
        <f t="shared" si="89"/>
        <v>90.823969929029445</v>
      </c>
      <c r="AL126" s="22">
        <f t="shared" si="58"/>
        <v>846.67288095972606</v>
      </c>
      <c r="AM126" s="60">
        <f t="shared" si="59"/>
        <v>1129.3551607765767</v>
      </c>
      <c r="AN126" s="60">
        <f ca="1">AVERAGE(OFFSET($AM$3,0,0,'Données projet'!$E$10+1,1))-AVERAGE(OFFSET($H$3,0,0,'Données projet'!$E$10+1,1))</f>
        <v>436.5217771315057</v>
      </c>
      <c r="AO126" s="60">
        <f t="shared" si="90"/>
        <v>308.97310256098365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17.605368996981674</v>
      </c>
      <c r="AV126" s="23">
        <f>EXP(-LN(2)/25)*AV125+(1-EXP(-LN(2)/25))/(LN(2)/25)*Calculateur!AQ126*Calculateur!AS126*VLOOKUP('Données projet'!$B$10,Paramètres!$A$1:$I$88,3,0)*0.475*44/12</f>
        <v>5.7840348107554966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23.389403807737171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5.5</v>
      </c>
      <c r="BD126" s="13">
        <f>IF('Données projet'!$A$88&gt;35,BD125+BC126-BL125,IF(A126&lt;'Données projet'!$A$88,$BA$205^A126,IF(A126='Données projet'!$A$88,'Données projet'!$B$88,BD125+BC126-BL125)))</f>
        <v>276</v>
      </c>
      <c r="BE126" s="14">
        <f>BD126*VLOOKUP('Données projet'!$B$11,Paramètres!$A$1:$I$88,3,0)*VLOOKUP('Données projet'!$B$11,Paramètres!$A$1:$I$88,5,0)</f>
        <v>279.86400000000003</v>
      </c>
      <c r="BF126" s="14">
        <f t="shared" si="91"/>
        <v>66.938267358965064</v>
      </c>
      <c r="BG126" s="22">
        <f t="shared" si="61"/>
        <v>604.01394898353078</v>
      </c>
      <c r="BH126" s="60">
        <f t="shared" si="62"/>
        <v>886.6962288003815</v>
      </c>
      <c r="BI126" s="60">
        <f ca="1">AVERAGE(OFFSET($BH$3,0,0,'Données projet'!$E$11+1,1))-AVERAGE(OFFSET($H$3,0,0,'Données projet'!$E$11+1,1))</f>
        <v>108.30434106718693</v>
      </c>
      <c r="BJ126" s="60">
        <f t="shared" si="92"/>
        <v>67.653808657585842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20.798482216166665</v>
      </c>
      <c r="BQ126" s="23">
        <f>EXP(-LN(2)/25)*BQ125+(1-EXP(-LN(2)/25))/(LN(2)/25)*Calculateur!BL126*Calculateur!BN126*VLOOKUP('Données projet'!$B$11,Paramètres!$A$1:$I$88,3,0)*0.475*44/12</f>
        <v>0</v>
      </c>
      <c r="BR126" s="23">
        <f>EXP(-LN(2)/2)*BR125+(1-EXP(-LN(2)/2))/(LN(2)/2)*BL126*BO126*VLOOKUP('Données projet'!$B$11,Paramètres!$A$1:$I$88,3,0)*0.475*44/12</f>
        <v>0</v>
      </c>
      <c r="BS126" s="24">
        <f t="shared" si="63"/>
        <v>20.798482216166665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projet'!$B$12,Paramètres!$A$1:$I$88,3,0)*VLOOKUP('Données projet'!$B$12,Paramètres!$A$1:$I$88,5,0)</f>
        <v>0</v>
      </c>
      <c r="CA126" s="14" t="e">
        <f t="shared" si="93"/>
        <v>#NUM!</v>
      </c>
      <c r="CB126" s="22" t="e">
        <f t="shared" si="64"/>
        <v>#NUM!</v>
      </c>
      <c r="CC126" s="60" t="e">
        <f t="shared" si="65"/>
        <v>#NUM!</v>
      </c>
      <c r="CD126" s="60">
        <f ca="1">AVERAGE(OFFSET($CC$3,0,0,'Données projet'!$E$12+1,1))-AVERAGE(OFFSET($H$3,0,0,'Données projet'!$E$12+1,1))</f>
        <v>171.08593400758221</v>
      </c>
      <c r="CE126" s="60">
        <f t="shared" si="94"/>
        <v>201.9528484086932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projet'!$B$12,Paramètres!$A$1:$I$88,3,0)*0.475*44/12</f>
        <v>21.049027068437663</v>
      </c>
      <c r="CL126" s="23">
        <f>EXP(-LN(2)/25)*CL125+(1-EXP(-LN(2)/25))/(LN(2)/25)*Calculateur!CG126*Calculateur!CI126*VLOOKUP('Données projet'!$B$12,Paramètres!$A$1:$I$88,3,0)*0.475*44/12</f>
        <v>7.4405248172054055</v>
      </c>
      <c r="CM126" s="23">
        <f>EXP(-LN(2)/2)*CM125+(1-EXP(-LN(2)/2))/(LN(2)/2)*CG126*CJ126*VLOOKUP('Données projet'!$B$12,Paramètres!$A$1:$I$88,3,0)*0.475*44/12</f>
        <v>0</v>
      </c>
      <c r="CN126" s="24">
        <f t="shared" si="66"/>
        <v>28.489551885643067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projet'!$B$13,Paramètres!$A$1:$I$88,3,0)*VLOOKUP('Données projet'!$B$13,Paramètres!$A$1:$I$88,5,0)</f>
        <v>0</v>
      </c>
      <c r="CV126" s="14" t="e">
        <f t="shared" si="95"/>
        <v>#NUM!</v>
      </c>
      <c r="CW126" s="22" t="e">
        <f t="shared" si="67"/>
        <v>#NUM!</v>
      </c>
      <c r="CX126" s="60" t="e">
        <f t="shared" si="68"/>
        <v>#NUM!</v>
      </c>
      <c r="CY126" s="60">
        <f ca="1">AVERAGE(OFFSET($CX$3,0,0,'Données projet'!$E$13+1,1))-AVERAGE(OFFSET($H$3,0,0,'Données projet'!$E$13+1,1))</f>
        <v>283.66646124753868</v>
      </c>
      <c r="CZ126" s="60">
        <f t="shared" si="96"/>
        <v>331.61926649572797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projet'!$B$13,Paramètres!$A$1:$I$88,3,0)*0.475*44/12</f>
        <v>103.65368420382893</v>
      </c>
      <c r="DG126" s="23">
        <f>EXP(-LN(2)/25)*DG125+(1-EXP(-LN(2)/25))/(LN(2)/25)*Calculateur!DB126*Calculateur!DD126*VLOOKUP('Données projet'!$B$13,Paramètres!$A$1:$I$88,3,0)*0.475*44/12</f>
        <v>0</v>
      </c>
      <c r="DH126" s="23">
        <f>EXP(-LN(2)/2)*DH125+(1-EXP(-LN(2)/2))/(LN(2)/2)*DB126*DE126*VLOOKUP('Données projet'!$B$13,Paramètres!$A$1:$I$88,3,0)*0.475*44/12</f>
        <v>0</v>
      </c>
      <c r="DI126" s="24">
        <f t="shared" si="69"/>
        <v>103.65368420382893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1.1368683772161603E-13</v>
      </c>
      <c r="DP126" s="18">
        <f>DO126*VLOOKUP('Données projet'!$B$14,Paramètres!$A$1:$I$88,3,0)*VLOOKUP('Données projet'!$B$14,Paramètres!$A$1:$I$88,5,0)</f>
        <v>8.3355189417488869E-14</v>
      </c>
      <c r="DQ126" s="14">
        <f t="shared" si="97"/>
        <v>1.2790518435140618E-12</v>
      </c>
      <c r="DR126" s="22">
        <f t="shared" si="70"/>
        <v>2.3728589156891171E-12</v>
      </c>
      <c r="DS126" s="60">
        <f t="shared" si="71"/>
        <v>282.68227981685305</v>
      </c>
      <c r="DT126" s="60">
        <f ca="1">AVERAGE(OFFSET($DS$3,0,0,'Données projet'!$E$14+1,1))-AVERAGE(OFFSET($H$3,0,0,'Données projet'!$E$14+1,1))</f>
        <v>212.77458587586861</v>
      </c>
      <c r="DU126" s="60">
        <f t="shared" si="98"/>
        <v>260.45879589483513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projet'!$B$14,Paramètres!$A$1:$I$88,3,0)*0.475*44/12</f>
        <v>10.307050527377772</v>
      </c>
      <c r="EB126" s="23">
        <f>EXP(-LN(2)/25)*EB125+(1-EXP(-LN(2)/25))/(LN(2)/25)*Calculateur!DW126*Calculateur!DY126*VLOOKUP('Données projet'!$B$14,Paramètres!$A$1:$I$88,3,0)*0.475*44/12</f>
        <v>3.5322282372937353</v>
      </c>
      <c r="EC126" s="23">
        <f>EXP(-LN(2)/2)*EC125+(1-EXP(-LN(2)/2))/(LN(2)/2)*DW126*DZ126*VLOOKUP('Données projet'!$B$14,Paramètres!$A$1:$I$88,3,0)*0.475*44/12</f>
        <v>0</v>
      </c>
      <c r="ED126" s="24">
        <f t="shared" si="72"/>
        <v>13.839278764671507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5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8">
        <f t="shared" si="56"/>
        <v>183.33333333333334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3.4106051316484809E-13</v>
      </c>
      <c r="O127" s="14">
        <f>N127*VLOOKUP('Données projet'!$B$9,Paramètres!$A$1:$I$88,3,0)*VLOOKUP('Données projet'!$B$9,Paramètres!$A$1:$I$88,5,0)</f>
        <v>1.9065282685915009E-13</v>
      </c>
      <c r="P127" s="14">
        <f t="shared" si="87"/>
        <v>2.6568987209435707E-12</v>
      </c>
      <c r="Q127" s="22">
        <f t="shared" si="107"/>
        <v>4.959485612423072E-12</v>
      </c>
      <c r="R127" s="60">
        <f t="shared" si="55"/>
        <v>282.86705178317828</v>
      </c>
      <c r="S127" s="60">
        <f ca="1">AVERAGE(OFFSET($R$3,0,0,'Données projet'!$E$9+1,1))-AVERAGE(OFFSET($H$3,0,0,'Données projet'!$E$9+1,1))</f>
        <v>366.29380214443631</v>
      </c>
      <c r="T127" s="60">
        <f t="shared" si="88"/>
        <v>413.14502442862897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67.464930631985041</v>
      </c>
      <c r="AA127" s="23">
        <f>EXP(-LN(2)/25)*AA126+(1-EXP(-LN(2)/25))/(LN(2)/25)*Calculateur!V127*Calculateur!X127*VLOOKUP('Données projet'!$B$9,Paramètres!$A$1:$I$88,3,0)*0.475*44/12</f>
        <v>22.472891401075699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89.937822033060741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452.49999999999989</v>
      </c>
      <c r="AJ127" s="14">
        <f>AI127*VLOOKUP('Données projet'!$B$10,Paramètres!$A$1:$I$88,3,0)*VLOOKUP('Données projet'!$B$10,Paramètres!$A$1:$I$88,5,0)</f>
        <v>395.30399999999992</v>
      </c>
      <c r="AK127" s="14">
        <f t="shared" si="89"/>
        <v>90.823969929029445</v>
      </c>
      <c r="AL127" s="22">
        <f t="shared" si="58"/>
        <v>846.67288095972606</v>
      </c>
      <c r="AM127" s="60">
        <f t="shared" si="59"/>
        <v>1129.5399327428995</v>
      </c>
      <c r="AN127" s="60">
        <f ca="1">AVERAGE(OFFSET($AM$3,0,0,'Données projet'!$E$10+1,1))-AVERAGE(OFFSET($H$3,0,0,'Données projet'!$E$10+1,1))</f>
        <v>436.5217771315057</v>
      </c>
      <c r="AO127" s="60">
        <f t="shared" si="90"/>
        <v>308.97310256098365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17.260138449165641</v>
      </c>
      <c r="AV127" s="23">
        <f>EXP(-LN(2)/25)*AV126+(1-EXP(-LN(2)/25))/(LN(2)/25)*Calculateur!AQ127*Calculateur!AS127*VLOOKUP('Données projet'!$B$10,Paramètres!$A$1:$I$88,3,0)*0.475*44/12</f>
        <v>5.6258700746862162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22.886008523851856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5.5</v>
      </c>
      <c r="BD127" s="13">
        <f>IF('Données projet'!$A$88&gt;35,BD126+BC127-BL126,IF(A127&lt;'Données projet'!$A$88,$BA$205^A127,IF(A127='Données projet'!$A$88,'Données projet'!$B$88,BD126+BC127-BL126)))</f>
        <v>281.5</v>
      </c>
      <c r="BE127" s="14">
        <f>BD127*VLOOKUP('Données projet'!$B$11,Paramètres!$A$1:$I$88,3,0)*VLOOKUP('Données projet'!$B$11,Paramètres!$A$1:$I$88,5,0)</f>
        <v>285.44099999999997</v>
      </c>
      <c r="BF127" s="14">
        <f t="shared" si="91"/>
        <v>68.115557487507161</v>
      </c>
      <c r="BG127" s="22">
        <f t="shared" si="61"/>
        <v>615.77767095740819</v>
      </c>
      <c r="BH127" s="60">
        <f t="shared" si="62"/>
        <v>898.64472274058153</v>
      </c>
      <c r="BI127" s="60">
        <f ca="1">AVERAGE(OFFSET($BH$3,0,0,'Données projet'!$E$11+1,1))-AVERAGE(OFFSET($H$3,0,0,'Données projet'!$E$11+1,1))</f>
        <v>108.30434106718693</v>
      </c>
      <c r="BJ127" s="60">
        <f t="shared" si="92"/>
        <v>67.653808657585842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20.390636665729168</v>
      </c>
      <c r="BQ127" s="23">
        <f>EXP(-LN(2)/25)*BQ126+(1-EXP(-LN(2)/25))/(LN(2)/25)*Calculateur!BL127*Calculateur!BN127*VLOOKUP('Données projet'!$B$11,Paramètres!$A$1:$I$88,3,0)*0.475*44/12</f>
        <v>0</v>
      </c>
      <c r="BR127" s="23">
        <f>EXP(-LN(2)/2)*BR126+(1-EXP(-LN(2)/2))/(LN(2)/2)*BL127*BO127*VLOOKUP('Données projet'!$B$11,Paramètres!$A$1:$I$88,3,0)*0.475*44/12</f>
        <v>0</v>
      </c>
      <c r="BS127" s="24">
        <f t="shared" si="63"/>
        <v>20.390636665729168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projet'!$B$12,Paramètres!$A$1:$I$88,3,0)*VLOOKUP('Données projet'!$B$12,Paramètres!$A$1:$I$88,5,0)</f>
        <v>0</v>
      </c>
      <c r="CA127" s="14" t="e">
        <f t="shared" si="93"/>
        <v>#NUM!</v>
      </c>
      <c r="CB127" s="22" t="e">
        <f t="shared" si="64"/>
        <v>#NUM!</v>
      </c>
      <c r="CC127" s="60" t="e">
        <f t="shared" si="65"/>
        <v>#NUM!</v>
      </c>
      <c r="CD127" s="60">
        <f ca="1">AVERAGE(OFFSET($CC$3,0,0,'Données projet'!$E$12+1,1))-AVERAGE(OFFSET($H$3,0,0,'Données projet'!$E$12+1,1))</f>
        <v>171.08593400758221</v>
      </c>
      <c r="CE127" s="60">
        <f t="shared" si="94"/>
        <v>201.9528484086932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projet'!$B$12,Paramètres!$A$1:$I$88,3,0)*0.475*44/12</f>
        <v>20.636268486264402</v>
      </c>
      <c r="CL127" s="23">
        <f>EXP(-LN(2)/25)*CL126+(1-EXP(-LN(2)/25))/(LN(2)/25)*Calculateur!CG127*Calculateur!CI127*VLOOKUP('Données projet'!$B$12,Paramètres!$A$1:$I$88,3,0)*0.475*44/12</f>
        <v>7.2370632747987287</v>
      </c>
      <c r="CM127" s="23">
        <f>EXP(-LN(2)/2)*CM126+(1-EXP(-LN(2)/2))/(LN(2)/2)*CG127*CJ127*VLOOKUP('Données projet'!$B$12,Paramètres!$A$1:$I$88,3,0)*0.475*44/12</f>
        <v>0</v>
      </c>
      <c r="CN127" s="24">
        <f t="shared" si="66"/>
        <v>27.873331761063131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projet'!$B$13,Paramètres!$A$1:$I$88,3,0)*VLOOKUP('Données projet'!$B$13,Paramètres!$A$1:$I$88,5,0)</f>
        <v>0</v>
      </c>
      <c r="CV127" s="14" t="e">
        <f t="shared" si="95"/>
        <v>#NUM!</v>
      </c>
      <c r="CW127" s="22" t="e">
        <f t="shared" si="67"/>
        <v>#NUM!</v>
      </c>
      <c r="CX127" s="60" t="e">
        <f t="shared" si="68"/>
        <v>#NUM!</v>
      </c>
      <c r="CY127" s="60">
        <f ca="1">AVERAGE(OFFSET($CX$3,0,0,'Données projet'!$E$13+1,1))-AVERAGE(OFFSET($H$3,0,0,'Données projet'!$E$13+1,1))</f>
        <v>283.66646124753868</v>
      </c>
      <c r="CZ127" s="60">
        <f t="shared" si="96"/>
        <v>331.61926649572797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projet'!$B$13,Paramètres!$A$1:$I$88,3,0)*0.475*44/12</f>
        <v>101.62109867909651</v>
      </c>
      <c r="DG127" s="23">
        <f>EXP(-LN(2)/25)*DG126+(1-EXP(-LN(2)/25))/(LN(2)/25)*Calculateur!DB127*Calculateur!DD127*VLOOKUP('Données projet'!$B$13,Paramètres!$A$1:$I$88,3,0)*0.475*44/12</f>
        <v>0</v>
      </c>
      <c r="DH127" s="23">
        <f>EXP(-LN(2)/2)*DH126+(1-EXP(-LN(2)/2))/(LN(2)/2)*DB127*DE127*VLOOKUP('Données projet'!$B$13,Paramètres!$A$1:$I$88,3,0)*0.475*44/12</f>
        <v>0</v>
      </c>
      <c r="DI127" s="24">
        <f t="shared" si="69"/>
        <v>101.62109867909651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1.1368683772161603E-13</v>
      </c>
      <c r="DP127" s="18">
        <f>DO127*VLOOKUP('Données projet'!$B$14,Paramètres!$A$1:$I$88,3,0)*VLOOKUP('Données projet'!$B$14,Paramètres!$A$1:$I$88,5,0)</f>
        <v>8.3355189417488869E-14</v>
      </c>
      <c r="DQ127" s="14">
        <f t="shared" si="97"/>
        <v>1.2790518435140618E-12</v>
      </c>
      <c r="DR127" s="22">
        <f t="shared" si="70"/>
        <v>2.3728589156891171E-12</v>
      </c>
      <c r="DS127" s="60">
        <f t="shared" si="71"/>
        <v>282.86705178317573</v>
      </c>
      <c r="DT127" s="60">
        <f ca="1">AVERAGE(OFFSET($DS$3,0,0,'Données projet'!$E$14+1,1))-AVERAGE(OFFSET($H$3,0,0,'Données projet'!$E$14+1,1))</f>
        <v>212.77458587586861</v>
      </c>
      <c r="DU127" s="60">
        <f t="shared" si="98"/>
        <v>260.45879589483513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projet'!$B$14,Paramètres!$A$1:$I$88,3,0)*0.475*44/12</f>
        <v>10.104935553215958</v>
      </c>
      <c r="EB127" s="23">
        <f>EXP(-LN(2)/25)*EB126+(1-EXP(-LN(2)/25))/(LN(2)/25)*Calculateur!DW127*Calculateur!DY127*VLOOKUP('Données projet'!$B$14,Paramètres!$A$1:$I$88,3,0)*0.475*44/12</f>
        <v>3.435639270393128</v>
      </c>
      <c r="EC127" s="23">
        <f>EXP(-LN(2)/2)*EC126+(1-EXP(-LN(2)/2))/(LN(2)/2)*DW127*DZ127*VLOOKUP('Données projet'!$B$14,Paramètres!$A$1:$I$88,3,0)*0.475*44/12</f>
        <v>0</v>
      </c>
      <c r="ED127" s="24">
        <f t="shared" si="72"/>
        <v>13.540574823609086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5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8">
        <f t="shared" si="56"/>
        <v>183.33333333333334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3.4106051316484809E-13</v>
      </c>
      <c r="O128" s="14">
        <f>N128*VLOOKUP('Données projet'!$B$9,Paramètres!$A$1:$I$88,3,0)*VLOOKUP('Données projet'!$B$9,Paramètres!$A$1:$I$88,5,0)</f>
        <v>1.9065282685915009E-13</v>
      </c>
      <c r="P128" s="14">
        <f t="shared" si="87"/>
        <v>2.6568987209435707E-12</v>
      </c>
      <c r="Q128" s="22">
        <f t="shared" si="107"/>
        <v>4.959485612423072E-12</v>
      </c>
      <c r="R128" s="60">
        <f t="shared" si="55"/>
        <v>283.04861836897345</v>
      </c>
      <c r="S128" s="60">
        <f ca="1">AVERAGE(OFFSET($R$3,0,0,'Données projet'!$E$9+1,1))-AVERAGE(OFFSET($H$3,0,0,'Données projet'!$E$9+1,1))</f>
        <v>366.29380214443631</v>
      </c>
      <c r="T128" s="60">
        <f t="shared" si="88"/>
        <v>413.14502442862897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66.141984491836325</v>
      </c>
      <c r="AA128" s="23">
        <f>EXP(-LN(2)/25)*AA127+(1-EXP(-LN(2)/25))/(LN(2)/25)*Calculateur!V128*Calculateur!X128*VLOOKUP('Données projet'!$B$9,Paramètres!$A$1:$I$88,3,0)*0.475*44/12</f>
        <v>21.858369003915289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88.000353495751611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452.49999999999989</v>
      </c>
      <c r="AJ128" s="14">
        <f>AI128*VLOOKUP('Données projet'!$B$10,Paramètres!$A$1:$I$88,3,0)*VLOOKUP('Données projet'!$B$10,Paramètres!$A$1:$I$88,5,0)</f>
        <v>395.30399999999992</v>
      </c>
      <c r="AK128" s="14">
        <f t="shared" si="89"/>
        <v>90.823969929029445</v>
      </c>
      <c r="AL128" s="22">
        <f t="shared" si="58"/>
        <v>846.67288095972606</v>
      </c>
      <c r="AM128" s="60">
        <f t="shared" si="59"/>
        <v>1129.7214993286946</v>
      </c>
      <c r="AN128" s="60">
        <f ca="1">AVERAGE(OFFSET($AM$3,0,0,'Données projet'!$E$10+1,1))-AVERAGE(OFFSET($H$3,0,0,'Données projet'!$E$10+1,1))</f>
        <v>436.5217771315057</v>
      </c>
      <c r="AO128" s="60">
        <f t="shared" si="90"/>
        <v>308.97310256098365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16.921677661822439</v>
      </c>
      <c r="AV128" s="23">
        <f>EXP(-LN(2)/25)*AV127+(1-EXP(-LN(2)/25))/(LN(2)/25)*Calculateur!AQ128*Calculateur!AS128*VLOOKUP('Données projet'!$B$10,Paramètres!$A$1:$I$88,3,0)*0.475*44/12</f>
        <v>5.4720303616422727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22.393708023464711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>
        <f>VLOOKUP(A128,'Données projet'!$A$87:$I$107,2,0)</f>
        <v>287</v>
      </c>
      <c r="BB128" s="13">
        <f>VLOOKUP(A128,'Données projet'!$A$87:$I$107,9,0)</f>
        <v>5.5</v>
      </c>
      <c r="BC128" s="13">
        <f t="array" ref="BC128">INDEX(BB:BB,MIN(IF(ISNUMBER(BB128:BB324),ROW(BB128:BB324),"")))</f>
        <v>5.5</v>
      </c>
      <c r="BD128" s="13">
        <f>IF('Données projet'!$A$88&gt;35,BD127+BC128-BL127,IF(A128&lt;'Données projet'!$A$88,$BA$205^A128,IF(A128='Données projet'!$A$88,'Données projet'!$B$88,BD127+BC128-BL127)))</f>
        <v>287</v>
      </c>
      <c r="BE128" s="14">
        <f>BD128*VLOOKUP('Données projet'!$B$11,Paramètres!$A$1:$I$88,3,0)*VLOOKUP('Données projet'!$B$11,Paramètres!$A$1:$I$88,5,0)</f>
        <v>291.01800000000003</v>
      </c>
      <c r="BF128" s="14">
        <f t="shared" si="91"/>
        <v>69.290173032120919</v>
      </c>
      <c r="BG128" s="22">
        <f t="shared" si="61"/>
        <v>627.53673469761077</v>
      </c>
      <c r="BH128" s="60">
        <f t="shared" si="62"/>
        <v>910.58535306657927</v>
      </c>
      <c r="BI128" s="60">
        <f ca="1">AVERAGE(OFFSET($BH$3,0,0,'Données projet'!$E$11+1,1))-AVERAGE(OFFSET($H$3,0,0,'Données projet'!$E$11+1,1))</f>
        <v>108.30434106718693</v>
      </c>
      <c r="BJ128" s="60">
        <f t="shared" si="92"/>
        <v>67.653808657585842</v>
      </c>
      <c r="BK128" s="16">
        <f>IF(ISNA(VLOOKUP(A128,'Données projet'!$A$87:$I$107,3,0)),0,VLOOKUP(A128,'Données projet'!$A$87:$I$107,3,0))</f>
        <v>11</v>
      </c>
      <c r="BL128" s="16">
        <f>IF(ISNA(VLOOKUP(A128,'Données projet'!$A$87:$I$107,4,0)),0,VLOOKUP(A128,'Données projet'!$A$87:$I$107,4,0))</f>
        <v>38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19.990788717774528</v>
      </c>
      <c r="BQ128" s="23">
        <f>EXP(-LN(2)/25)*BQ127+(1-EXP(-LN(2)/25))/(LN(2)/25)*Calculateur!BL128*Calculateur!BN128*VLOOKUP('Données projet'!$B$11,Paramètres!$A$1:$I$88,3,0)*0.475*44/12</f>
        <v>0</v>
      </c>
      <c r="BR128" s="23">
        <f>EXP(-LN(2)/2)*BR127+(1-EXP(-LN(2)/2))/(LN(2)/2)*BL128*BO128*VLOOKUP('Données projet'!$B$11,Paramètres!$A$1:$I$88,3,0)*0.475*44/12</f>
        <v>0</v>
      </c>
      <c r="BS128" s="24">
        <f t="shared" si="63"/>
        <v>19.990788717774528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projet'!$B$12,Paramètres!$A$1:$I$88,3,0)*VLOOKUP('Données projet'!$B$12,Paramètres!$A$1:$I$88,5,0)</f>
        <v>0</v>
      </c>
      <c r="CA128" s="14" t="e">
        <f t="shared" si="93"/>
        <v>#NUM!</v>
      </c>
      <c r="CB128" s="22" t="e">
        <f t="shared" si="64"/>
        <v>#NUM!</v>
      </c>
      <c r="CC128" s="60" t="e">
        <f t="shared" si="65"/>
        <v>#NUM!</v>
      </c>
      <c r="CD128" s="60">
        <f ca="1">AVERAGE(OFFSET($CC$3,0,0,'Données projet'!$E$12+1,1))-AVERAGE(OFFSET($H$3,0,0,'Données projet'!$E$12+1,1))</f>
        <v>171.08593400758221</v>
      </c>
      <c r="CE128" s="60">
        <f t="shared" si="94"/>
        <v>201.9528484086932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projet'!$B$12,Paramètres!$A$1:$I$88,3,0)*0.475*44/12</f>
        <v>20.231603848129684</v>
      </c>
      <c r="CL128" s="23">
        <f>EXP(-LN(2)/25)*CL127+(1-EXP(-LN(2)/25))/(LN(2)/25)*Calculateur!CG128*Calculateur!CI128*VLOOKUP('Données projet'!$B$12,Paramètres!$A$1:$I$88,3,0)*0.475*44/12</f>
        <v>7.0391653989687404</v>
      </c>
      <c r="CM128" s="23">
        <f>EXP(-LN(2)/2)*CM127+(1-EXP(-LN(2)/2))/(LN(2)/2)*CG128*CJ128*VLOOKUP('Données projet'!$B$12,Paramètres!$A$1:$I$88,3,0)*0.475*44/12</f>
        <v>0</v>
      </c>
      <c r="CN128" s="24">
        <f t="shared" si="66"/>
        <v>27.270769247098425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projet'!$B$13,Paramètres!$A$1:$I$88,3,0)*VLOOKUP('Données projet'!$B$13,Paramètres!$A$1:$I$88,5,0)</f>
        <v>0</v>
      </c>
      <c r="CV128" s="14" t="e">
        <f t="shared" si="95"/>
        <v>#NUM!</v>
      </c>
      <c r="CW128" s="22" t="e">
        <f t="shared" si="67"/>
        <v>#NUM!</v>
      </c>
      <c r="CX128" s="60" t="e">
        <f t="shared" si="68"/>
        <v>#NUM!</v>
      </c>
      <c r="CY128" s="60">
        <f ca="1">AVERAGE(OFFSET($CX$3,0,0,'Données projet'!$E$13+1,1))-AVERAGE(OFFSET($H$3,0,0,'Données projet'!$E$13+1,1))</f>
        <v>283.66646124753868</v>
      </c>
      <c r="CZ128" s="60">
        <f t="shared" si="96"/>
        <v>331.61926649572797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projet'!$B$13,Paramètres!$A$1:$I$88,3,0)*0.475*44/12</f>
        <v>99.628370916749333</v>
      </c>
      <c r="DG128" s="23">
        <f>EXP(-LN(2)/25)*DG127+(1-EXP(-LN(2)/25))/(LN(2)/25)*Calculateur!DB128*Calculateur!DD128*VLOOKUP('Données projet'!$B$13,Paramètres!$A$1:$I$88,3,0)*0.475*44/12</f>
        <v>0</v>
      </c>
      <c r="DH128" s="23">
        <f>EXP(-LN(2)/2)*DH127+(1-EXP(-LN(2)/2))/(LN(2)/2)*DB128*DE128*VLOOKUP('Données projet'!$B$13,Paramètres!$A$1:$I$88,3,0)*0.475*44/12</f>
        <v>0</v>
      </c>
      <c r="DI128" s="24">
        <f t="shared" si="69"/>
        <v>99.628370916749333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1.1368683772161603E-13</v>
      </c>
      <c r="DP128" s="18">
        <f>DO128*VLOOKUP('Données projet'!$B$14,Paramètres!$A$1:$I$88,3,0)*VLOOKUP('Données projet'!$B$14,Paramètres!$A$1:$I$88,5,0)</f>
        <v>8.3355189417488869E-14</v>
      </c>
      <c r="DQ128" s="14">
        <f t="shared" si="97"/>
        <v>1.2790518435140618E-12</v>
      </c>
      <c r="DR128" s="22">
        <f t="shared" si="70"/>
        <v>2.3728589156891171E-12</v>
      </c>
      <c r="DS128" s="60">
        <f t="shared" si="71"/>
        <v>283.04861836897089</v>
      </c>
      <c r="DT128" s="60">
        <f ca="1">AVERAGE(OFFSET($DS$3,0,0,'Données projet'!$E$14+1,1))-AVERAGE(OFFSET($H$3,0,0,'Données projet'!$E$14+1,1))</f>
        <v>212.77458587586861</v>
      </c>
      <c r="DU128" s="60">
        <f t="shared" si="98"/>
        <v>260.45879589483513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projet'!$B$14,Paramètres!$A$1:$I$88,3,0)*0.475*44/12</f>
        <v>9.9067839304194951</v>
      </c>
      <c r="EB128" s="23">
        <f>EXP(-LN(2)/25)*EB127+(1-EXP(-LN(2)/25))/(LN(2)/25)*Calculateur!DW128*Calculateur!DY128*VLOOKUP('Données projet'!$B$14,Paramètres!$A$1:$I$88,3,0)*0.475*44/12</f>
        <v>3.3416915338718107</v>
      </c>
      <c r="EC128" s="23">
        <f>EXP(-LN(2)/2)*EC127+(1-EXP(-LN(2)/2))/(LN(2)/2)*DW128*DZ128*VLOOKUP('Données projet'!$B$14,Paramètres!$A$1:$I$88,3,0)*0.475*44/12</f>
        <v>0</v>
      </c>
      <c r="ED128" s="24">
        <f t="shared" si="72"/>
        <v>13.248475464291307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5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8">
        <f t="shared" si="56"/>
        <v>183.33333333333334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3.4106051316484809E-13</v>
      </c>
      <c r="O129" s="14">
        <f>N129*VLOOKUP('Données projet'!$B$9,Paramètres!$A$1:$I$88,3,0)*VLOOKUP('Données projet'!$B$9,Paramètres!$A$1:$I$88,5,0)</f>
        <v>1.9065282685915009E-13</v>
      </c>
      <c r="P129" s="14">
        <f t="shared" si="87"/>
        <v>2.6568987209435707E-12</v>
      </c>
      <c r="Q129" s="22">
        <f t="shared" si="107"/>
        <v>4.959485612423072E-12</v>
      </c>
      <c r="R129" s="60">
        <f t="shared" si="55"/>
        <v>283.22703518042715</v>
      </c>
      <c r="S129" s="60">
        <f ca="1">AVERAGE(OFFSET($R$3,0,0,'Données projet'!$E$9+1,1))-AVERAGE(OFFSET($H$3,0,0,'Données projet'!$E$9+1,1))</f>
        <v>366.29380214443631</v>
      </c>
      <c r="T129" s="60">
        <f t="shared" si="88"/>
        <v>413.14502442862897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64.844980518578453</v>
      </c>
      <c r="AA129" s="23">
        <f>EXP(-LN(2)/25)*AA128+(1-EXP(-LN(2)/25))/(LN(2)/25)*Calculateur!V129*Calculateur!X129*VLOOKUP('Données projet'!$B$9,Paramètres!$A$1:$I$88,3,0)*0.475*44/12</f>
        <v>21.260650754021558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86.105631272600007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452.49999999999989</v>
      </c>
      <c r="AJ129" s="14">
        <f>AI129*VLOOKUP('Données projet'!$B$10,Paramètres!$A$1:$I$88,3,0)*VLOOKUP('Données projet'!$B$10,Paramètres!$A$1:$I$88,5,0)</f>
        <v>395.30399999999992</v>
      </c>
      <c r="AK129" s="14">
        <f t="shared" si="89"/>
        <v>90.823969929029445</v>
      </c>
      <c r="AL129" s="22">
        <f t="shared" si="58"/>
        <v>846.67288095972606</v>
      </c>
      <c r="AM129" s="60">
        <f t="shared" si="59"/>
        <v>1129.8999161401482</v>
      </c>
      <c r="AN129" s="60">
        <f ca="1">AVERAGE(OFFSET($AM$3,0,0,'Données projet'!$E$10+1,1))-AVERAGE(OFFSET($H$3,0,0,'Données projet'!$E$10+1,1))</f>
        <v>436.5217771315057</v>
      </c>
      <c r="AO129" s="60">
        <f t="shared" si="90"/>
        <v>308.97310256098365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16.589853884078341</v>
      </c>
      <c r="AV129" s="23">
        <f>EXP(-LN(2)/25)*AV128+(1-EXP(-LN(2)/25))/(LN(2)/25)*Calculateur!AQ129*Calculateur!AS129*VLOOKUP('Données projet'!$B$10,Paramètres!$A$1:$I$88,3,0)*0.475*44/12</f>
        <v>5.3223974036415944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21.912251287719936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5.5</v>
      </c>
      <c r="BD129" s="13">
        <f>IF('Données projet'!$A$88&gt;35,BD128+BC129-BL128,IF(A129&lt;'Données projet'!$A$88,$BA$205^A129,IF(A129='Données projet'!$A$88,'Données projet'!$B$88,BD128+BC129-BL128)))</f>
        <v>254.5</v>
      </c>
      <c r="BE129" s="14">
        <f>BD129*VLOOKUP('Données projet'!$B$11,Paramètres!$A$1:$I$88,3,0)*VLOOKUP('Données projet'!$B$11,Paramètres!$A$1:$I$88,5,0)</f>
        <v>258.06300000000005</v>
      </c>
      <c r="BF129" s="14">
        <f t="shared" si="91"/>
        <v>62.309308308783088</v>
      </c>
      <c r="BG129" s="22">
        <f t="shared" si="61"/>
        <v>557.98177030446402</v>
      </c>
      <c r="BH129" s="60">
        <f t="shared" si="62"/>
        <v>841.20880548488617</v>
      </c>
      <c r="BI129" s="60">
        <f ca="1">AVERAGE(OFFSET($BH$3,0,0,'Données projet'!$E$11+1,1))-AVERAGE(OFFSET($H$3,0,0,'Données projet'!$E$11+1,1))</f>
        <v>108.30434106718693</v>
      </c>
      <c r="BJ129" s="60">
        <f t="shared" si="92"/>
        <v>67.653808657585842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19.598781544196111</v>
      </c>
      <c r="BQ129" s="23">
        <f>EXP(-LN(2)/25)*BQ128+(1-EXP(-LN(2)/25))/(LN(2)/25)*Calculateur!BL129*Calculateur!BN129*VLOOKUP('Données projet'!$B$11,Paramètres!$A$1:$I$88,3,0)*0.475*44/12</f>
        <v>0</v>
      </c>
      <c r="BR129" s="23">
        <f>EXP(-LN(2)/2)*BR128+(1-EXP(-LN(2)/2))/(LN(2)/2)*BL129*BO129*VLOOKUP('Données projet'!$B$11,Paramètres!$A$1:$I$88,3,0)*0.475*44/12</f>
        <v>0</v>
      </c>
      <c r="BS129" s="24">
        <f t="shared" si="63"/>
        <v>19.598781544196111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projet'!$B$12,Paramètres!$A$1:$I$88,3,0)*VLOOKUP('Données projet'!$B$12,Paramètres!$A$1:$I$88,5,0)</f>
        <v>0</v>
      </c>
      <c r="CA129" s="14" t="e">
        <f t="shared" si="93"/>
        <v>#NUM!</v>
      </c>
      <c r="CB129" s="22" t="e">
        <f t="shared" si="64"/>
        <v>#NUM!</v>
      </c>
      <c r="CC129" s="60" t="e">
        <f t="shared" si="65"/>
        <v>#NUM!</v>
      </c>
      <c r="CD129" s="60">
        <f ca="1">AVERAGE(OFFSET($CC$3,0,0,'Données projet'!$E$12+1,1))-AVERAGE(OFFSET($H$3,0,0,'Données projet'!$E$12+1,1))</f>
        <v>171.08593400758221</v>
      </c>
      <c r="CE129" s="60">
        <f t="shared" si="94"/>
        <v>201.9528484086932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projet'!$B$12,Paramètres!$A$1:$I$88,3,0)*0.475*44/12</f>
        <v>19.834874436727727</v>
      </c>
      <c r="CL129" s="23">
        <f>EXP(-LN(2)/25)*CL128+(1-EXP(-LN(2)/25))/(LN(2)/25)*Calculateur!CG129*Calculateur!CI129*VLOOKUP('Données projet'!$B$12,Paramètres!$A$1:$I$88,3,0)*0.475*44/12</f>
        <v>6.8466790509603204</v>
      </c>
      <c r="CM129" s="23">
        <f>EXP(-LN(2)/2)*CM128+(1-EXP(-LN(2)/2))/(LN(2)/2)*CG129*CJ129*VLOOKUP('Données projet'!$B$12,Paramètres!$A$1:$I$88,3,0)*0.475*44/12</f>
        <v>0</v>
      </c>
      <c r="CN129" s="24">
        <f t="shared" si="66"/>
        <v>26.681553487688049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projet'!$B$13,Paramètres!$A$1:$I$88,3,0)*VLOOKUP('Données projet'!$B$13,Paramètres!$A$1:$I$88,5,0)</f>
        <v>0</v>
      </c>
      <c r="CV129" s="14" t="e">
        <f t="shared" si="95"/>
        <v>#NUM!</v>
      </c>
      <c r="CW129" s="22" t="e">
        <f t="shared" si="67"/>
        <v>#NUM!</v>
      </c>
      <c r="CX129" s="60" t="e">
        <f t="shared" si="68"/>
        <v>#NUM!</v>
      </c>
      <c r="CY129" s="60">
        <f ca="1">AVERAGE(OFFSET($CX$3,0,0,'Données projet'!$E$13+1,1))-AVERAGE(OFFSET($H$3,0,0,'Données projet'!$E$13+1,1))</f>
        <v>283.66646124753868</v>
      </c>
      <c r="CZ129" s="60">
        <f t="shared" si="96"/>
        <v>331.61926649572797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projet'!$B$13,Paramètres!$A$1:$I$88,3,0)*0.475*44/12</f>
        <v>97.674719330377869</v>
      </c>
      <c r="DG129" s="23">
        <f>EXP(-LN(2)/25)*DG128+(1-EXP(-LN(2)/25))/(LN(2)/25)*Calculateur!DB129*Calculateur!DD129*VLOOKUP('Données projet'!$B$13,Paramètres!$A$1:$I$88,3,0)*0.475*44/12</f>
        <v>0</v>
      </c>
      <c r="DH129" s="23">
        <f>EXP(-LN(2)/2)*DH128+(1-EXP(-LN(2)/2))/(LN(2)/2)*DB129*DE129*VLOOKUP('Données projet'!$B$13,Paramètres!$A$1:$I$88,3,0)*0.475*44/12</f>
        <v>0</v>
      </c>
      <c r="DI129" s="24">
        <f t="shared" si="69"/>
        <v>97.674719330377869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1.1368683772161603E-13</v>
      </c>
      <c r="DP129" s="18">
        <f>DO129*VLOOKUP('Données projet'!$B$14,Paramètres!$A$1:$I$88,3,0)*VLOOKUP('Données projet'!$B$14,Paramètres!$A$1:$I$88,5,0)</f>
        <v>8.3355189417488869E-14</v>
      </c>
      <c r="DQ129" s="14">
        <f t="shared" si="97"/>
        <v>1.2790518435140618E-12</v>
      </c>
      <c r="DR129" s="22">
        <f t="shared" si="70"/>
        <v>2.3728589156891171E-12</v>
      </c>
      <c r="DS129" s="60">
        <f t="shared" si="71"/>
        <v>283.22703518042459</v>
      </c>
      <c r="DT129" s="60">
        <f ca="1">AVERAGE(OFFSET($DS$3,0,0,'Données projet'!$E$14+1,1))-AVERAGE(OFFSET($H$3,0,0,'Données projet'!$E$14+1,1))</f>
        <v>212.77458587586861</v>
      </c>
      <c r="DU129" s="60">
        <f t="shared" si="98"/>
        <v>260.45879589483513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projet'!$B$14,Paramètres!$A$1:$I$88,3,0)*0.475*44/12</f>
        <v>9.7125179400855153</v>
      </c>
      <c r="EB129" s="23">
        <f>EXP(-LN(2)/25)*EB128+(1-EXP(-LN(2)/25))/(LN(2)/25)*Calculateur!DW129*Calculateur!DY129*VLOOKUP('Données projet'!$B$14,Paramètres!$A$1:$I$88,3,0)*0.475*44/12</f>
        <v>3.2503128031461657</v>
      </c>
      <c r="EC129" s="23">
        <f>EXP(-LN(2)/2)*EC128+(1-EXP(-LN(2)/2))/(LN(2)/2)*DW129*DZ129*VLOOKUP('Données projet'!$B$14,Paramètres!$A$1:$I$88,3,0)*0.475*44/12</f>
        <v>0</v>
      </c>
      <c r="ED129" s="24">
        <f t="shared" si="72"/>
        <v>12.962830743231681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5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8">
        <f t="shared" si="56"/>
        <v>183.33333333333334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3.4106051316484809E-13</v>
      </c>
      <c r="O130" s="14">
        <f>N130*VLOOKUP('Données projet'!$B$9,Paramètres!$A$1:$I$88,3,0)*VLOOKUP('Données projet'!$B$9,Paramètres!$A$1:$I$88,5,0)</f>
        <v>1.9065282685915009E-13</v>
      </c>
      <c r="P130" s="14">
        <f t="shared" si="87"/>
        <v>2.6568987209435707E-12</v>
      </c>
      <c r="Q130" s="22">
        <f t="shared" si="107"/>
        <v>4.959485612423072E-12</v>
      </c>
      <c r="R130" s="60">
        <f t="shared" si="55"/>
        <v>283.40235685908237</v>
      </c>
      <c r="S130" s="60">
        <f ca="1">AVERAGE(OFFSET($R$3,0,0,'Données projet'!$E$9+1,1))-AVERAGE(OFFSET($H$3,0,0,'Données projet'!$E$9+1,1))</f>
        <v>366.29380214443631</v>
      </c>
      <c r="T130" s="60">
        <f t="shared" si="88"/>
        <v>413.14502442862897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63.573410002141856</v>
      </c>
      <c r="AA130" s="23">
        <f>EXP(-LN(2)/25)*AA129+(1-EXP(-LN(2)/25))/(LN(2)/25)*Calculateur!V130*Calculateur!X130*VLOOKUP('Données projet'!$B$9,Paramètres!$A$1:$I$88,3,0)*0.475*44/12</f>
        <v>20.679277141103807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84.252687143245666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452.49999999999989</v>
      </c>
      <c r="AJ130" s="14">
        <f>AI130*VLOOKUP('Données projet'!$B$10,Paramètres!$A$1:$I$88,3,0)*VLOOKUP('Données projet'!$B$10,Paramètres!$A$1:$I$88,5,0)</f>
        <v>395.30399999999992</v>
      </c>
      <c r="AK130" s="14">
        <f t="shared" si="89"/>
        <v>90.823969929029445</v>
      </c>
      <c r="AL130" s="22">
        <f t="shared" si="58"/>
        <v>846.67288095972606</v>
      </c>
      <c r="AM130" s="60">
        <f t="shared" si="59"/>
        <v>1130.0752378188035</v>
      </c>
      <c r="AN130" s="60">
        <f ca="1">AVERAGE(OFFSET($AM$3,0,0,'Données projet'!$E$10+1,1))-AVERAGE(OFFSET($H$3,0,0,'Données projet'!$E$10+1,1))</f>
        <v>436.5217771315057</v>
      </c>
      <c r="AO130" s="60">
        <f t="shared" si="90"/>
        <v>308.97310256098365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16.264536968223283</v>
      </c>
      <c r="AV130" s="23">
        <f>EXP(-LN(2)/25)*AV129+(1-EXP(-LN(2)/25))/(LN(2)/25)*Calculateur!AQ130*Calculateur!AS130*VLOOKUP('Données projet'!$B$10,Paramètres!$A$1:$I$88,3,0)*0.475*44/12</f>
        <v>5.1768561667463002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21.441393134969584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5.5</v>
      </c>
      <c r="BD130" s="13">
        <f>IF('Données projet'!$A$88&gt;35,BD129+BC130-BL129,IF(A130&lt;'Données projet'!$A$88,$BA$205^A130,IF(A130='Données projet'!$A$88,'Données projet'!$B$88,BD129+BC130-BL129)))</f>
        <v>260</v>
      </c>
      <c r="BE130" s="14">
        <f>BD130*VLOOKUP('Données projet'!$B$11,Paramètres!$A$1:$I$88,3,0)*VLOOKUP('Données projet'!$B$11,Paramètres!$A$1:$I$88,5,0)</f>
        <v>263.64</v>
      </c>
      <c r="BF130" s="14">
        <f t="shared" si="91"/>
        <v>63.497649925886755</v>
      </c>
      <c r="BG130" s="22">
        <f t="shared" si="61"/>
        <v>569.76474028758605</v>
      </c>
      <c r="BH130" s="60">
        <f t="shared" si="62"/>
        <v>853.16709714666354</v>
      </c>
      <c r="BI130" s="60">
        <f ca="1">AVERAGE(OFFSET($BH$3,0,0,'Données projet'!$E$11+1,1))-AVERAGE(OFFSET($H$3,0,0,'Données projet'!$E$11+1,1))</f>
        <v>108.30434106718693</v>
      </c>
      <c r="BJ130" s="60">
        <f t="shared" si="92"/>
        <v>67.653808657585842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19.214461392190799</v>
      </c>
      <c r="BQ130" s="23">
        <f>EXP(-LN(2)/25)*BQ129+(1-EXP(-LN(2)/25))/(LN(2)/25)*Calculateur!BL130*Calculateur!BN130*VLOOKUP('Données projet'!$B$11,Paramètres!$A$1:$I$88,3,0)*0.475*44/12</f>
        <v>0</v>
      </c>
      <c r="BR130" s="23">
        <f>EXP(-LN(2)/2)*BR129+(1-EXP(-LN(2)/2))/(LN(2)/2)*BL130*BO130*VLOOKUP('Données projet'!$B$11,Paramètres!$A$1:$I$88,3,0)*0.475*44/12</f>
        <v>0</v>
      </c>
      <c r="BS130" s="24">
        <f t="shared" si="63"/>
        <v>19.214461392190799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projet'!$B$12,Paramètres!$A$1:$I$88,3,0)*VLOOKUP('Données projet'!$B$12,Paramètres!$A$1:$I$88,5,0)</f>
        <v>0</v>
      </c>
      <c r="CA130" s="14" t="e">
        <f t="shared" si="93"/>
        <v>#NUM!</v>
      </c>
      <c r="CB130" s="22" t="e">
        <f t="shared" si="64"/>
        <v>#NUM!</v>
      </c>
      <c r="CC130" s="60" t="e">
        <f t="shared" si="65"/>
        <v>#NUM!</v>
      </c>
      <c r="CD130" s="60">
        <f ca="1">AVERAGE(OFFSET($CC$3,0,0,'Données projet'!$E$12+1,1))-AVERAGE(OFFSET($H$3,0,0,'Données projet'!$E$12+1,1))</f>
        <v>171.08593400758221</v>
      </c>
      <c r="CE130" s="60">
        <f t="shared" si="94"/>
        <v>201.9528484086932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projet'!$B$12,Paramètres!$A$1:$I$88,3,0)*0.475*44/12</f>
        <v>19.445924647102316</v>
      </c>
      <c r="CL130" s="23">
        <f>EXP(-LN(2)/25)*CL129+(1-EXP(-LN(2)/25))/(LN(2)/25)*Calculateur!CG130*Calculateur!CI130*VLOOKUP('Données projet'!$B$12,Paramètres!$A$1:$I$88,3,0)*0.475*44/12</f>
        <v>6.6594562522606076</v>
      </c>
      <c r="CM130" s="23">
        <f>EXP(-LN(2)/2)*CM129+(1-EXP(-LN(2)/2))/(LN(2)/2)*CG130*CJ130*VLOOKUP('Données projet'!$B$12,Paramètres!$A$1:$I$88,3,0)*0.475*44/12</f>
        <v>0</v>
      </c>
      <c r="CN130" s="24">
        <f t="shared" si="66"/>
        <v>26.105380899362924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projet'!$B$13,Paramètres!$A$1:$I$88,3,0)*VLOOKUP('Données projet'!$B$13,Paramètres!$A$1:$I$88,5,0)</f>
        <v>0</v>
      </c>
      <c r="CV130" s="14" t="e">
        <f t="shared" si="95"/>
        <v>#NUM!</v>
      </c>
      <c r="CW130" s="22" t="e">
        <f t="shared" si="67"/>
        <v>#NUM!</v>
      </c>
      <c r="CX130" s="60" t="e">
        <f t="shared" si="68"/>
        <v>#NUM!</v>
      </c>
      <c r="CY130" s="60">
        <f ca="1">AVERAGE(OFFSET($CX$3,0,0,'Données projet'!$E$13+1,1))-AVERAGE(OFFSET($H$3,0,0,'Données projet'!$E$13+1,1))</f>
        <v>283.66646124753868</v>
      </c>
      <c r="CZ130" s="60">
        <f t="shared" si="96"/>
        <v>331.61926649572797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projet'!$B$13,Paramètres!$A$1:$I$88,3,0)*0.475*44/12</f>
        <v>95.759377660005342</v>
      </c>
      <c r="DG130" s="23">
        <f>EXP(-LN(2)/25)*DG129+(1-EXP(-LN(2)/25))/(LN(2)/25)*Calculateur!DB130*Calculateur!DD130*VLOOKUP('Données projet'!$B$13,Paramètres!$A$1:$I$88,3,0)*0.475*44/12</f>
        <v>0</v>
      </c>
      <c r="DH130" s="23">
        <f>EXP(-LN(2)/2)*DH129+(1-EXP(-LN(2)/2))/(LN(2)/2)*DB130*DE130*VLOOKUP('Données projet'!$B$13,Paramètres!$A$1:$I$88,3,0)*0.475*44/12</f>
        <v>0</v>
      </c>
      <c r="DI130" s="24">
        <f t="shared" si="69"/>
        <v>95.759377660005342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1.1368683772161603E-13</v>
      </c>
      <c r="DP130" s="18">
        <f>DO130*VLOOKUP('Données projet'!$B$14,Paramètres!$A$1:$I$88,3,0)*VLOOKUP('Données projet'!$B$14,Paramètres!$A$1:$I$88,5,0)</f>
        <v>8.3355189417488869E-14</v>
      </c>
      <c r="DQ130" s="14">
        <f t="shared" si="97"/>
        <v>1.2790518435140618E-12</v>
      </c>
      <c r="DR130" s="22">
        <f t="shared" si="70"/>
        <v>2.3728589156891171E-12</v>
      </c>
      <c r="DS130" s="60">
        <f t="shared" si="71"/>
        <v>283.40235685907982</v>
      </c>
      <c r="DT130" s="60">
        <f ca="1">AVERAGE(OFFSET($DS$3,0,0,'Données projet'!$E$14+1,1))-AVERAGE(OFFSET($H$3,0,0,'Données projet'!$E$14+1,1))</f>
        <v>212.77458587586861</v>
      </c>
      <c r="DU130" s="60">
        <f t="shared" si="98"/>
        <v>260.45879589483513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projet'!$B$14,Paramètres!$A$1:$I$88,3,0)*0.475*44/12</f>
        <v>9.5220613873314299</v>
      </c>
      <c r="EB130" s="23">
        <f>EXP(-LN(2)/25)*EB129+(1-EXP(-LN(2)/25))/(LN(2)/25)*Calculateur!DW130*Calculateur!DY130*VLOOKUP('Données projet'!$B$14,Paramètres!$A$1:$I$88,3,0)*0.475*44/12</f>
        <v>3.1614328286176123</v>
      </c>
      <c r="EC130" s="23">
        <f>EXP(-LN(2)/2)*EC129+(1-EXP(-LN(2)/2))/(LN(2)/2)*DW130*DZ130*VLOOKUP('Données projet'!$B$14,Paramètres!$A$1:$I$88,3,0)*0.475*44/12</f>
        <v>0</v>
      </c>
      <c r="ED130" s="24">
        <f t="shared" si="72"/>
        <v>12.683494215949043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5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8">
        <f t="shared" si="56"/>
        <v>183.33333333333334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3.4106051316484809E-13</v>
      </c>
      <c r="O131" s="14">
        <f>N131*VLOOKUP('Données projet'!$B$9,Paramètres!$A$1:$I$88,3,0)*VLOOKUP('Données projet'!$B$9,Paramètres!$A$1:$I$88,5,0)</f>
        <v>1.9065282685915009E-13</v>
      </c>
      <c r="P131" s="14">
        <f t="shared" si="87"/>
        <v>2.6568987209435707E-12</v>
      </c>
      <c r="Q131" s="22">
        <f t="shared" ref="Q131:Q153" si="108">(O131+P131)*0.475*44/12</f>
        <v>4.959485612423072E-12</v>
      </c>
      <c r="R131" s="60">
        <f t="shared" ref="R131:R194" si="109">Q131+(I131+J131)*44/12</f>
        <v>283.57463709857348</v>
      </c>
      <c r="S131" s="60">
        <f ca="1">AVERAGE(OFFSET($R$3,0,0,'Données projet'!$E$9+1,1))-AVERAGE(OFFSET($H$3,0,0,'Données projet'!$E$9+1,1))</f>
        <v>366.29380214443631</v>
      </c>
      <c r="T131" s="60">
        <f t="shared" si="88"/>
        <v>413.14502442862897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62.326774207951146</v>
      </c>
      <c r="AA131" s="23">
        <f>EXP(-LN(2)/25)*AA130+(1-EXP(-LN(2)/25))/(LN(2)/25)*Calculateur!V131*Calculateur!X131*VLOOKUP('Données projet'!$B$9,Paramètres!$A$1:$I$88,3,0)*0.475*44/12</f>
        <v>20.113801220204401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82.44057542815554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452.49999999999989</v>
      </c>
      <c r="AJ131" s="14">
        <f>AI131*VLOOKUP('Données projet'!$B$10,Paramètres!$A$1:$I$88,3,0)*VLOOKUP('Données projet'!$B$10,Paramètres!$A$1:$I$88,5,0)</f>
        <v>395.30399999999992</v>
      </c>
      <c r="AK131" s="14">
        <f t="shared" si="89"/>
        <v>90.823969929029445</v>
      </c>
      <c r="AL131" s="22">
        <f t="shared" si="58"/>
        <v>846.67288095972606</v>
      </c>
      <c r="AM131" s="60">
        <f t="shared" si="59"/>
        <v>1130.2475180582946</v>
      </c>
      <c r="AN131" s="60">
        <f ca="1">AVERAGE(OFFSET($AM$3,0,0,'Données projet'!$E$10+1,1))-AVERAGE(OFFSET($H$3,0,0,'Données projet'!$E$10+1,1))</f>
        <v>436.5217771315057</v>
      </c>
      <c r="AO131" s="60">
        <f t="shared" si="90"/>
        <v>308.97310256098365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15.945599318664417</v>
      </c>
      <c r="AV131" s="23">
        <f>EXP(-LN(2)/25)*AV130+(1-EXP(-LN(2)/25))/(LN(2)/25)*Calculateur!AQ131*Calculateur!AS131*VLOOKUP('Données projet'!$B$10,Paramètres!$A$1:$I$88,3,0)*0.475*44/12</f>
        <v>5.035294762627589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20.980894081292007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5.5</v>
      </c>
      <c r="BD131" s="13">
        <f>IF('Données projet'!$A$88&gt;35,BD130+BC131-BL130,IF(A131&lt;'Données projet'!$A$88,$BA$205^A131,IF(A131='Données projet'!$A$88,'Données projet'!$B$88,BD130+BC131-BL130)))</f>
        <v>265.5</v>
      </c>
      <c r="BE131" s="14">
        <f>BD131*VLOOKUP('Données projet'!$B$11,Paramètres!$A$1:$I$88,3,0)*VLOOKUP('Données projet'!$B$11,Paramètres!$A$1:$I$88,5,0)</f>
        <v>269.21700000000004</v>
      </c>
      <c r="BF131" s="14">
        <f t="shared" si="91"/>
        <v>64.683068849359614</v>
      </c>
      <c r="BG131" s="22">
        <f t="shared" si="61"/>
        <v>581.54261991263468</v>
      </c>
      <c r="BH131" s="60">
        <f t="shared" si="62"/>
        <v>865.11725701120326</v>
      </c>
      <c r="BI131" s="60">
        <f ca="1">AVERAGE(OFFSET($BH$3,0,0,'Données projet'!$E$11+1,1))-AVERAGE(OFFSET($H$3,0,0,'Données projet'!$E$11+1,1))</f>
        <v>108.30434106718693</v>
      </c>
      <c r="BJ131" s="60">
        <f t="shared" si="92"/>
        <v>67.653808657585842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18.837677523954167</v>
      </c>
      <c r="BQ131" s="23">
        <f>EXP(-LN(2)/25)*BQ130+(1-EXP(-LN(2)/25))/(LN(2)/25)*Calculateur!BL131*Calculateur!BN131*VLOOKUP('Données projet'!$B$11,Paramètres!$A$1:$I$88,3,0)*0.475*44/12</f>
        <v>0</v>
      </c>
      <c r="BR131" s="23">
        <f>EXP(-LN(2)/2)*BR130+(1-EXP(-LN(2)/2))/(LN(2)/2)*BL131*BO131*VLOOKUP('Données projet'!$B$11,Paramètres!$A$1:$I$88,3,0)*0.475*44/12</f>
        <v>0</v>
      </c>
      <c r="BS131" s="24">
        <f t="shared" si="63"/>
        <v>18.837677523954167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projet'!$B$12,Paramètres!$A$1:$I$88,3,0)*VLOOKUP('Données projet'!$B$12,Paramètres!$A$1:$I$88,5,0)</f>
        <v>0</v>
      </c>
      <c r="CA131" s="14" t="e">
        <f t="shared" si="93"/>
        <v>#NUM!</v>
      </c>
      <c r="CB131" s="22" t="e">
        <f t="shared" si="64"/>
        <v>#NUM!</v>
      </c>
      <c r="CC131" s="60" t="e">
        <f t="shared" si="65"/>
        <v>#NUM!</v>
      </c>
      <c r="CD131" s="60">
        <f ca="1">AVERAGE(OFFSET($CC$3,0,0,'Données projet'!$E$12+1,1))-AVERAGE(OFFSET($H$3,0,0,'Données projet'!$E$12+1,1))</f>
        <v>171.08593400758221</v>
      </c>
      <c r="CE131" s="60">
        <f t="shared" si="94"/>
        <v>201.9528484086932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projet'!$B$12,Paramètres!$A$1:$I$88,3,0)*0.475*44/12</f>
        <v>19.064601925615513</v>
      </c>
      <c r="CL131" s="23">
        <f>EXP(-LN(2)/25)*CL130+(1-EXP(-LN(2)/25))/(LN(2)/25)*Calculateur!CG131*Calculateur!CI131*VLOOKUP('Données projet'!$B$12,Paramètres!$A$1:$I$88,3,0)*0.475*44/12</f>
        <v>6.4773530708369575</v>
      </c>
      <c r="CM131" s="23">
        <f>EXP(-LN(2)/2)*CM130+(1-EXP(-LN(2)/2))/(LN(2)/2)*CG131*CJ131*VLOOKUP('Données projet'!$B$12,Paramètres!$A$1:$I$88,3,0)*0.475*44/12</f>
        <v>0</v>
      </c>
      <c r="CN131" s="24">
        <f t="shared" si="66"/>
        <v>25.541954996452471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projet'!$B$13,Paramètres!$A$1:$I$88,3,0)*VLOOKUP('Données projet'!$B$13,Paramètres!$A$1:$I$88,5,0)</f>
        <v>0</v>
      </c>
      <c r="CV131" s="14" t="e">
        <f t="shared" si="95"/>
        <v>#NUM!</v>
      </c>
      <c r="CW131" s="22" t="e">
        <f t="shared" si="67"/>
        <v>#NUM!</v>
      </c>
      <c r="CX131" s="60" t="e">
        <f t="shared" si="68"/>
        <v>#NUM!</v>
      </c>
      <c r="CY131" s="60">
        <f ca="1">AVERAGE(OFFSET($CX$3,0,0,'Données projet'!$E$13+1,1))-AVERAGE(OFFSET($H$3,0,0,'Données projet'!$E$13+1,1))</f>
        <v>283.66646124753868</v>
      </c>
      <c r="CZ131" s="60">
        <f t="shared" si="96"/>
        <v>331.61926649572797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projet'!$B$13,Paramètres!$A$1:$I$88,3,0)*0.475*44/12</f>
        <v>93.881594671545756</v>
      </c>
      <c r="DG131" s="23">
        <f>EXP(-LN(2)/25)*DG130+(1-EXP(-LN(2)/25))/(LN(2)/25)*Calculateur!DB131*Calculateur!DD131*VLOOKUP('Données projet'!$B$13,Paramètres!$A$1:$I$88,3,0)*0.475*44/12</f>
        <v>0</v>
      </c>
      <c r="DH131" s="23">
        <f>EXP(-LN(2)/2)*DH130+(1-EXP(-LN(2)/2))/(LN(2)/2)*DB131*DE131*VLOOKUP('Données projet'!$B$13,Paramètres!$A$1:$I$88,3,0)*0.475*44/12</f>
        <v>0</v>
      </c>
      <c r="DI131" s="24">
        <f t="shared" si="69"/>
        <v>93.881594671545756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1.1368683772161603E-13</v>
      </c>
      <c r="DP131" s="18">
        <f>DO131*VLOOKUP('Données projet'!$B$14,Paramètres!$A$1:$I$88,3,0)*VLOOKUP('Données projet'!$B$14,Paramètres!$A$1:$I$88,5,0)</f>
        <v>8.3355189417488869E-14</v>
      </c>
      <c r="DQ131" s="14">
        <f t="shared" si="97"/>
        <v>1.2790518435140618E-12</v>
      </c>
      <c r="DR131" s="22">
        <f t="shared" si="70"/>
        <v>2.3728589156891171E-12</v>
      </c>
      <c r="DS131" s="60">
        <f t="shared" si="71"/>
        <v>283.57463709857092</v>
      </c>
      <c r="DT131" s="60">
        <f ca="1">AVERAGE(OFFSET($DS$3,0,0,'Données projet'!$E$14+1,1))-AVERAGE(OFFSET($H$3,0,0,'Données projet'!$E$14+1,1))</f>
        <v>212.77458587586861</v>
      </c>
      <c r="DU131" s="60">
        <f t="shared" si="98"/>
        <v>260.45879589483513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projet'!$B$14,Paramètres!$A$1:$I$88,3,0)*0.475*44/12</f>
        <v>9.3353395714098255</v>
      </c>
      <c r="EB131" s="23">
        <f>EXP(-LN(2)/25)*EB130+(1-EXP(-LN(2)/25))/(LN(2)/25)*Calculateur!DW131*Calculateur!DY131*VLOOKUP('Données projet'!$B$14,Paramètres!$A$1:$I$88,3,0)*0.475*44/12</f>
        <v>3.0749832816665368</v>
      </c>
      <c r="EC131" s="23">
        <f>EXP(-LN(2)/2)*EC130+(1-EXP(-LN(2)/2))/(LN(2)/2)*DW131*DZ131*VLOOKUP('Données projet'!$B$14,Paramètres!$A$1:$I$88,3,0)*0.475*44/12</f>
        <v>0</v>
      </c>
      <c r="ED131" s="24">
        <f t="shared" si="72"/>
        <v>12.410322853076362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5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8">
        <f t="shared" ref="H132:H195" si="110">(B132+E132+F132)*44/12+(C132+D132)*0.475*44/12</f>
        <v>183.33333333333334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3.4106051316484809E-13</v>
      </c>
      <c r="O132" s="14">
        <f>N132*VLOOKUP('Données projet'!$B$9,Paramètres!$A$1:$I$88,3,0)*VLOOKUP('Données projet'!$B$9,Paramètres!$A$1:$I$88,5,0)</f>
        <v>1.9065282685915009E-13</v>
      </c>
      <c r="P132" s="14">
        <f t="shared" si="87"/>
        <v>2.6568987209435707E-12</v>
      </c>
      <c r="Q132" s="22">
        <f t="shared" si="108"/>
        <v>4.959485612423072E-12</v>
      </c>
      <c r="R132" s="60">
        <f t="shared" si="109"/>
        <v>283.7439286610703</v>
      </c>
      <c r="S132" s="60">
        <f ca="1">AVERAGE(OFFSET($R$3,0,0,'Données projet'!$E$9+1,1))-AVERAGE(OFFSET($H$3,0,0,'Données projet'!$E$9+1,1))</f>
        <v>366.29380214443631</v>
      </c>
      <c r="T132" s="60">
        <f t="shared" si="88"/>
        <v>413.14502442862897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61.104584181311765</v>
      </c>
      <c r="AA132" s="23">
        <f>EXP(-LN(2)/25)*AA131+(1-EXP(-LN(2)/25))/(LN(2)/25)*Calculateur!V132*Calculateur!X132*VLOOKUP('Données projet'!$B$9,Paramètres!$A$1:$I$88,3,0)*0.475*44/12</f>
        <v>19.563788268099078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80.668372449410839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452.49999999999989</v>
      </c>
      <c r="AJ132" s="14">
        <f>AI132*VLOOKUP('Données projet'!$B$10,Paramètres!$A$1:$I$88,3,0)*VLOOKUP('Données projet'!$B$10,Paramètres!$A$1:$I$88,5,0)</f>
        <v>395.30399999999992</v>
      </c>
      <c r="AK132" s="14">
        <f t="shared" si="89"/>
        <v>90.823969929029445</v>
      </c>
      <c r="AL132" s="22">
        <f t="shared" ref="AL132:AL153" si="112">(AJ132+AK132)*0.475*44/12</f>
        <v>846.67288095972606</v>
      </c>
      <c r="AM132" s="60">
        <f t="shared" ref="AM132:AM195" si="113">AL132+(AD132+AE132)*44/12</f>
        <v>1130.4168096207914</v>
      </c>
      <c r="AN132" s="60">
        <f ca="1">AVERAGE(OFFSET($AM$3,0,0,'Données projet'!$E$10+1,1))-AVERAGE(OFFSET($H$3,0,0,'Données projet'!$E$10+1,1))</f>
        <v>436.5217771315057</v>
      </c>
      <c r="AO132" s="60">
        <f t="shared" si="90"/>
        <v>308.97310256098365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15.632915841880644</v>
      </c>
      <c r="AV132" s="23">
        <f>EXP(-LN(2)/25)*AV131+(1-EXP(-LN(2)/25))/(LN(2)/25)*Calculateur!AQ132*Calculateur!AS132*VLOOKUP('Données projet'!$B$10,Paramètres!$A$1:$I$88,3,0)*0.475*44/12</f>
        <v>4.8976043625488943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20.530520204429539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5.5</v>
      </c>
      <c r="BD132" s="13">
        <f>IF('Données projet'!$A$88&gt;35,BD131+BC132-BL131,IF(A132&lt;'Données projet'!$A$88,$BA$205^A132,IF(A132='Données projet'!$A$88,'Données projet'!$B$88,BD131+BC132-BL131)))</f>
        <v>271</v>
      </c>
      <c r="BE132" s="14">
        <f>BD132*VLOOKUP('Données projet'!$B$11,Paramètres!$A$1:$I$88,3,0)*VLOOKUP('Données projet'!$B$11,Paramètres!$A$1:$I$88,5,0)</f>
        <v>274.79400000000004</v>
      </c>
      <c r="BF132" s="14">
        <f t="shared" si="91"/>
        <v>65.865632600455527</v>
      </c>
      <c r="BG132" s="22">
        <f t="shared" ref="BG132:BG153" si="115">(BE132+BF132)*0.475*44/12</f>
        <v>593.3155267791268</v>
      </c>
      <c r="BH132" s="60">
        <f t="shared" ref="BH132:BH195" si="116">BG132+(AY132+AZ132)*44/12</f>
        <v>877.0594554401921</v>
      </c>
      <c r="BI132" s="60">
        <f ca="1">AVERAGE(OFFSET($BH$3,0,0,'Données projet'!$E$11+1,1))-AVERAGE(OFFSET($H$3,0,0,'Données projet'!$E$11+1,1))</f>
        <v>108.30434106718693</v>
      </c>
      <c r="BJ132" s="60">
        <f t="shared" si="92"/>
        <v>67.653808657585842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18.468282157558185</v>
      </c>
      <c r="BQ132" s="23">
        <f>EXP(-LN(2)/25)*BQ131+(1-EXP(-LN(2)/25))/(LN(2)/25)*Calculateur!BL132*Calculateur!BN132*VLOOKUP('Données projet'!$B$11,Paramètres!$A$1:$I$88,3,0)*0.475*44/12</f>
        <v>0</v>
      </c>
      <c r="BR132" s="23">
        <f>EXP(-LN(2)/2)*BR131+(1-EXP(-LN(2)/2))/(LN(2)/2)*BL132*BO132*VLOOKUP('Données projet'!$B$11,Paramètres!$A$1:$I$88,3,0)*0.475*44/12</f>
        <v>0</v>
      </c>
      <c r="BS132" s="24">
        <f t="shared" ref="BS132:BS153" si="117">SUM(BP132:BR132)</f>
        <v>18.468282157558185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projet'!$B$12,Paramètres!$A$1:$I$88,3,0)*VLOOKUP('Données projet'!$B$12,Paramètres!$A$1:$I$88,5,0)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0" t="e">
        <f t="shared" ref="CC132:CC195" si="119">CB132+(BT132+BU132)*44/12</f>
        <v>#NUM!</v>
      </c>
      <c r="CD132" s="60">
        <f ca="1">AVERAGE(OFFSET($CC$3,0,0,'Données projet'!$E$12+1,1))-AVERAGE(OFFSET($H$3,0,0,'Données projet'!$E$12+1,1))</f>
        <v>171.08593400758221</v>
      </c>
      <c r="CE132" s="60">
        <f t="shared" si="94"/>
        <v>201.9528484086932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projet'!$B$12,Paramètres!$A$1:$I$88,3,0)*0.475*44/12</f>
        <v>18.69075671011317</v>
      </c>
      <c r="CL132" s="23">
        <f>EXP(-LN(2)/25)*CL131+(1-EXP(-LN(2)/25))/(LN(2)/25)*Calculateur!CG132*Calculateur!CI132*VLOOKUP('Données projet'!$B$12,Paramètres!$A$1:$I$88,3,0)*0.475*44/12</f>
        <v>6.3002295104857273</v>
      </c>
      <c r="CM132" s="23">
        <f>EXP(-LN(2)/2)*CM131+(1-EXP(-LN(2)/2))/(LN(2)/2)*CG132*CJ132*VLOOKUP('Données projet'!$B$12,Paramètres!$A$1:$I$88,3,0)*0.475*44/12</f>
        <v>0</v>
      </c>
      <c r="CN132" s="24">
        <f t="shared" ref="CN132:CN153" si="120">SUM(CK132:CM132)</f>
        <v>24.990986220598899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projet'!$B$13,Paramètres!$A$1:$I$88,3,0)*VLOOKUP('Données projet'!$B$13,Paramètres!$A$1:$I$88,5,0)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0" t="e">
        <f t="shared" ref="CX132:CX195" si="122">CW132+(CO132+CP132)*44/12</f>
        <v>#NUM!</v>
      </c>
      <c r="CY132" s="60">
        <f ca="1">AVERAGE(OFFSET($CX$3,0,0,'Données projet'!$E$13+1,1))-AVERAGE(OFFSET($H$3,0,0,'Données projet'!$E$13+1,1))</f>
        <v>283.66646124753868</v>
      </c>
      <c r="CZ132" s="60">
        <f t="shared" si="96"/>
        <v>331.61926649572797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projet'!$B$13,Paramètres!$A$1:$I$88,3,0)*0.475*44/12</f>
        <v>92.040633862155332</v>
      </c>
      <c r="DG132" s="23">
        <f>EXP(-LN(2)/25)*DG131+(1-EXP(-LN(2)/25))/(LN(2)/25)*Calculateur!DB132*Calculateur!DD132*VLOOKUP('Données projet'!$B$13,Paramètres!$A$1:$I$88,3,0)*0.475*44/12</f>
        <v>0</v>
      </c>
      <c r="DH132" s="23">
        <f>EXP(-LN(2)/2)*DH131+(1-EXP(-LN(2)/2))/(LN(2)/2)*DB132*DE132*VLOOKUP('Données projet'!$B$13,Paramètres!$A$1:$I$88,3,0)*0.475*44/12</f>
        <v>0</v>
      </c>
      <c r="DI132" s="24">
        <f t="shared" ref="DI132:DI153" si="123">SUM(DF132:DH132)</f>
        <v>92.040633862155332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1.1368683772161603E-13</v>
      </c>
      <c r="DP132" s="18">
        <f>DO132*VLOOKUP('Données projet'!$B$14,Paramètres!$A$1:$I$88,3,0)*VLOOKUP('Données projet'!$B$14,Paramètres!$A$1:$I$88,5,0)</f>
        <v>8.3355189417488869E-14</v>
      </c>
      <c r="DQ132" s="14">
        <f t="shared" si="97"/>
        <v>1.2790518435140618E-12</v>
      </c>
      <c r="DR132" s="22">
        <f t="shared" ref="DR132:DR153" si="124">(DP132+DQ132)*0.475*44/12</f>
        <v>2.3728589156891171E-12</v>
      </c>
      <c r="DS132" s="60">
        <f t="shared" ref="DS132:DS195" si="125">DR132+(DJ132+DK132)*44/12</f>
        <v>283.74392866106774</v>
      </c>
      <c r="DT132" s="60">
        <f ca="1">AVERAGE(OFFSET($DS$3,0,0,'Données projet'!$E$14+1,1))-AVERAGE(OFFSET($H$3,0,0,'Données projet'!$E$14+1,1))</f>
        <v>212.77458587586861</v>
      </c>
      <c r="DU132" s="60">
        <f t="shared" si="98"/>
        <v>260.45879589483513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projet'!$B$14,Paramètres!$A$1:$I$88,3,0)*0.475*44/12</f>
        <v>9.1522792564093827</v>
      </c>
      <c r="EB132" s="23">
        <f>EXP(-LN(2)/25)*EB131+(1-EXP(-LN(2)/25))/(LN(2)/25)*Calculateur!DW132*Calculateur!DY132*VLOOKUP('Données projet'!$B$14,Paramètres!$A$1:$I$88,3,0)*0.475*44/12</f>
        <v>2.9908977021230223</v>
      </c>
      <c r="EC132" s="23">
        <f>EXP(-LN(2)/2)*EC131+(1-EXP(-LN(2)/2))/(LN(2)/2)*DW132*DZ132*VLOOKUP('Données projet'!$B$14,Paramètres!$A$1:$I$88,3,0)*0.475*44/12</f>
        <v>0</v>
      </c>
      <c r="ED132" s="24">
        <f t="shared" ref="ED132:ED153" si="126">SUM(EA132:EC132)</f>
        <v>12.143176958532404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5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8">
        <f t="shared" si="110"/>
        <v>183.33333333333334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3.4106051316484809E-13</v>
      </c>
      <c r="O133" s="14">
        <f>N133*VLOOKUP('Données projet'!$B$9,Paramètres!$A$1:$I$88,3,0)*VLOOKUP('Données projet'!$B$9,Paramètres!$A$1:$I$88,5,0)</f>
        <v>1.9065282685915009E-13</v>
      </c>
      <c r="P133" s="14">
        <f t="shared" ref="P133:P196" si="141">EXP(-1.0587+0.8836*LN(O133)+0.284)</f>
        <v>2.6568987209435707E-12</v>
      </c>
      <c r="Q133" s="22">
        <f t="shared" si="108"/>
        <v>4.959485612423072E-12</v>
      </c>
      <c r="R133" s="60">
        <f t="shared" si="109"/>
        <v>283.91028339343706</v>
      </c>
      <c r="S133" s="60">
        <f ca="1">AVERAGE(OFFSET($R$3,0,0,'Données projet'!$E$9+1,1))-AVERAGE(OFFSET($H$3,0,0,'Données projet'!$E$9+1,1))</f>
        <v>366.29380214443631</v>
      </c>
      <c r="T133" s="60">
        <f t="shared" ref="T133:T196" si="142">$T$3</f>
        <v>413.14502442862897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59.906360555632475</v>
      </c>
      <c r="AA133" s="23">
        <f>EXP(-LN(2)/25)*AA132+(1-EXP(-LN(2)/25))/(LN(2)/25)*Calculateur!V133*Calculateur!X133*VLOOKUP('Données projet'!$B$9,Paramètres!$A$1:$I$88,3,0)*0.475*44/12</f>
        <v>19.028815449092995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78.935176004725463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452.49999999999989</v>
      </c>
      <c r="AJ133" s="14">
        <f>AI133*VLOOKUP('Données projet'!$B$10,Paramètres!$A$1:$I$88,3,0)*VLOOKUP('Données projet'!$B$10,Paramètres!$A$1:$I$88,5,0)</f>
        <v>395.30399999999992</v>
      </c>
      <c r="AK133" s="14">
        <f t="shared" ref="AK133:AK153" si="143">EXP(-1.0587+0.8836*LN(AJ133)+0.284)</f>
        <v>90.823969929029445</v>
      </c>
      <c r="AL133" s="22">
        <f t="shared" si="112"/>
        <v>846.67288095972606</v>
      </c>
      <c r="AM133" s="60">
        <f t="shared" si="113"/>
        <v>1130.5831643531583</v>
      </c>
      <c r="AN133" s="60">
        <f ca="1">AVERAGE(OFFSET($AM$3,0,0,'Données projet'!$E$10+1,1))-AVERAGE(OFFSET($H$3,0,0,'Données projet'!$E$10+1,1))</f>
        <v>436.5217771315057</v>
      </c>
      <c r="AO133" s="60">
        <f t="shared" ref="AO133:AO196" si="144">$AO$3</f>
        <v>308.97310256098365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15.326363897358512</v>
      </c>
      <c r="AV133" s="23">
        <f>EXP(-LN(2)/25)*AV132+(1-EXP(-LN(2)/25))/(LN(2)/25)*Calculateur!AQ133*Calculateur!AS133*VLOOKUP('Données projet'!$B$10,Paramètres!$A$1:$I$88,3,0)*0.475*44/12</f>
        <v>4.7636791137011754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20.090043011059688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5.5</v>
      </c>
      <c r="BD133" s="13">
        <f>IF('Données projet'!$A$88&gt;35,BD132+BC133-BL132,IF(A133&lt;'Données projet'!$A$88,$BA$205^A133,IF(A133='Données projet'!$A$88,'Données projet'!$B$88,BD132+BC133-BL132)))</f>
        <v>276.5</v>
      </c>
      <c r="BE133" s="14">
        <f>BD133*VLOOKUP('Données projet'!$B$11,Paramètres!$A$1:$I$88,3,0)*VLOOKUP('Données projet'!$B$11,Paramètres!$A$1:$I$88,5,0)</f>
        <v>280.37099999999998</v>
      </c>
      <c r="BF133" s="14">
        <f t="shared" ref="BF133:BF153" si="145">EXP(-1.0587+0.8836*LN(BE133)+0.284)</f>
        <v>67.045405803030135</v>
      </c>
      <c r="BG133" s="22">
        <f t="shared" si="115"/>
        <v>605.08357344027741</v>
      </c>
      <c r="BH133" s="60">
        <f t="shared" si="116"/>
        <v>888.99385683370951</v>
      </c>
      <c r="BI133" s="60">
        <f ca="1">AVERAGE(OFFSET($BH$3,0,0,'Données projet'!$E$11+1,1))-AVERAGE(OFFSET($H$3,0,0,'Données projet'!$E$11+1,1))</f>
        <v>108.30434106718693</v>
      </c>
      <c r="BJ133" s="60">
        <f t="shared" ref="BJ133:BJ196" si="146">$BJ$3</f>
        <v>67.653808657585842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18.106130408988303</v>
      </c>
      <c r="BQ133" s="23">
        <f>EXP(-LN(2)/25)*BQ132+(1-EXP(-LN(2)/25))/(LN(2)/25)*Calculateur!BL133*Calculateur!BN133*VLOOKUP('Données projet'!$B$11,Paramètres!$A$1:$I$88,3,0)*0.475*44/12</f>
        <v>0</v>
      </c>
      <c r="BR133" s="23">
        <f>EXP(-LN(2)/2)*BR132+(1-EXP(-LN(2)/2))/(LN(2)/2)*BL133*BO133*VLOOKUP('Données projet'!$B$11,Paramètres!$A$1:$I$88,3,0)*0.475*44/12</f>
        <v>0</v>
      </c>
      <c r="BS133" s="24">
        <f t="shared" si="117"/>
        <v>18.106130408988303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projet'!$B$12,Paramètres!$A$1:$I$88,3,0)*VLOOKUP('Données projet'!$B$12,Paramètres!$A$1:$I$88,5,0)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0" t="e">
        <f t="shared" si="119"/>
        <v>#NUM!</v>
      </c>
      <c r="CD133" s="60">
        <f ca="1">AVERAGE(OFFSET($CC$3,0,0,'Données projet'!$E$12+1,1))-AVERAGE(OFFSET($H$3,0,0,'Données projet'!$E$12+1,1))</f>
        <v>171.08593400758221</v>
      </c>
      <c r="CE133" s="60">
        <f t="shared" ref="CE133:CE196" si="148">$CE$3</f>
        <v>201.9528484086932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projet'!$B$12,Paramètres!$A$1:$I$88,3,0)*0.475*44/12</f>
        <v>18.324242371263765</v>
      </c>
      <c r="CL133" s="23">
        <f>EXP(-LN(2)/25)*CL132+(1-EXP(-LN(2)/25))/(LN(2)/25)*Calculateur!CG133*Calculateur!CI133*VLOOKUP('Données projet'!$B$12,Paramètres!$A$1:$I$88,3,0)*0.475*44/12</f>
        <v>6.1279494032068245</v>
      </c>
      <c r="CM133" s="23">
        <f>EXP(-LN(2)/2)*CM132+(1-EXP(-LN(2)/2))/(LN(2)/2)*CG133*CJ133*VLOOKUP('Données projet'!$B$12,Paramètres!$A$1:$I$88,3,0)*0.475*44/12</f>
        <v>0</v>
      </c>
      <c r="CN133" s="24">
        <f t="shared" si="120"/>
        <v>24.452191774470588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projet'!$B$13,Paramètres!$A$1:$I$88,3,0)*VLOOKUP('Données projet'!$B$13,Paramètres!$A$1:$I$88,5,0)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0" t="e">
        <f t="shared" si="122"/>
        <v>#NUM!</v>
      </c>
      <c r="CY133" s="60">
        <f ca="1">AVERAGE(OFFSET($CX$3,0,0,'Données projet'!$E$13+1,1))-AVERAGE(OFFSET($H$3,0,0,'Données projet'!$E$13+1,1))</f>
        <v>283.66646124753868</v>
      </c>
      <c r="CZ133" s="60">
        <f t="shared" ref="CZ133:CZ196" si="150">$CZ$3</f>
        <v>331.61926649572797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projet'!$B$13,Paramètres!$A$1:$I$88,3,0)*0.475*44/12</f>
        <v>90.235773171361828</v>
      </c>
      <c r="DG133" s="23">
        <f>EXP(-LN(2)/25)*DG132+(1-EXP(-LN(2)/25))/(LN(2)/25)*Calculateur!DB133*Calculateur!DD133*VLOOKUP('Données projet'!$B$13,Paramètres!$A$1:$I$88,3,0)*0.475*44/12</f>
        <v>0</v>
      </c>
      <c r="DH133" s="23">
        <f>EXP(-LN(2)/2)*DH132+(1-EXP(-LN(2)/2))/(LN(2)/2)*DB133*DE133*VLOOKUP('Données projet'!$B$13,Paramètres!$A$1:$I$88,3,0)*0.475*44/12</f>
        <v>0</v>
      </c>
      <c r="DI133" s="24">
        <f t="shared" si="123"/>
        <v>90.235773171361828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1.1368683772161603E-13</v>
      </c>
      <c r="DP133" s="18">
        <f>DO133*VLOOKUP('Données projet'!$B$14,Paramètres!$A$1:$I$88,3,0)*VLOOKUP('Données projet'!$B$14,Paramètres!$A$1:$I$88,5,0)</f>
        <v>8.3355189417488869E-14</v>
      </c>
      <c r="DQ133" s="14">
        <f t="shared" ref="DQ133:DQ153" si="151">EXP(-1.0587+0.8836*LN(DP133)+0.284)</f>
        <v>1.2790518435140618E-12</v>
      </c>
      <c r="DR133" s="22">
        <f t="shared" si="124"/>
        <v>2.3728589156891171E-12</v>
      </c>
      <c r="DS133" s="60">
        <f t="shared" si="125"/>
        <v>283.9102833934345</v>
      </c>
      <c r="DT133" s="60">
        <f ca="1">AVERAGE(OFFSET($DS$3,0,0,'Données projet'!$E$14+1,1))-AVERAGE(OFFSET($H$3,0,0,'Données projet'!$E$14+1,1))</f>
        <v>212.77458587586861</v>
      </c>
      <c r="DU133" s="60">
        <f t="shared" ref="DU133:DU196" si="152">$DU$3</f>
        <v>260.45879589483513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projet'!$B$14,Paramètres!$A$1:$I$88,3,0)*0.475*44/12</f>
        <v>8.9728086425303317</v>
      </c>
      <c r="EB133" s="23">
        <f>EXP(-LN(2)/25)*EB132+(1-EXP(-LN(2)/25))/(LN(2)/25)*Calculateur!DW133*Calculateur!DY133*VLOOKUP('Données projet'!$B$14,Paramètres!$A$1:$I$88,3,0)*0.475*44/12</f>
        <v>2.9091114471739941</v>
      </c>
      <c r="EC133" s="23">
        <f>EXP(-LN(2)/2)*EC132+(1-EXP(-LN(2)/2))/(LN(2)/2)*DW133*DZ133*VLOOKUP('Données projet'!$B$14,Paramètres!$A$1:$I$88,3,0)*0.475*44/12</f>
        <v>0</v>
      </c>
      <c r="ED133" s="24">
        <f t="shared" si="126"/>
        <v>11.881920089704327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5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8">
        <f t="shared" si="110"/>
        <v>183.33333333333334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3.4106051316484809E-13</v>
      </c>
      <c r="O134" s="14">
        <f>N134*VLOOKUP('Données projet'!$B$9,Paramètres!$A$1:$I$88,3,0)*VLOOKUP('Données projet'!$B$9,Paramètres!$A$1:$I$88,5,0)</f>
        <v>1.9065282685915009E-13</v>
      </c>
      <c r="P134" s="14">
        <f t="shared" si="141"/>
        <v>2.6568987209435707E-12</v>
      </c>
      <c r="Q134" s="22">
        <f t="shared" si="108"/>
        <v>4.959485612423072E-12</v>
      </c>
      <c r="R134" s="60">
        <f t="shared" si="109"/>
        <v>284.07375224311068</v>
      </c>
      <c r="S134" s="60">
        <f ca="1">AVERAGE(OFFSET($R$3,0,0,'Données projet'!$E$9+1,1))-AVERAGE(OFFSET($H$3,0,0,'Données projet'!$E$9+1,1))</f>
        <v>366.29380214443631</v>
      </c>
      <c r="T134" s="60">
        <f t="shared" si="142"/>
        <v>413.14502442862897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58.731633364408509</v>
      </c>
      <c r="AA134" s="23">
        <f>EXP(-LN(2)/25)*AA133+(1-EXP(-LN(2)/25))/(LN(2)/25)*Calculateur!V134*Calculateur!X134*VLOOKUP('Données projet'!$B$9,Paramètres!$A$1:$I$88,3,0)*0.475*44/12</f>
        <v>18.508471489955635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77.240104854364148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452.49999999999989</v>
      </c>
      <c r="AJ134" s="14">
        <f>AI134*VLOOKUP('Données projet'!$B$10,Paramètres!$A$1:$I$88,3,0)*VLOOKUP('Données projet'!$B$10,Paramètres!$A$1:$I$88,5,0)</f>
        <v>395.30399999999992</v>
      </c>
      <c r="AK134" s="14">
        <f t="shared" si="143"/>
        <v>90.823969929029445</v>
      </c>
      <c r="AL134" s="22">
        <f t="shared" si="112"/>
        <v>846.67288095972606</v>
      </c>
      <c r="AM134" s="60">
        <f t="shared" si="113"/>
        <v>1130.7466332028318</v>
      </c>
      <c r="AN134" s="60">
        <f ca="1">AVERAGE(OFFSET($AM$3,0,0,'Données projet'!$E$10+1,1))-AVERAGE(OFFSET($H$3,0,0,'Données projet'!$E$10+1,1))</f>
        <v>436.5217771315057</v>
      </c>
      <c r="AO134" s="60">
        <f t="shared" si="144"/>
        <v>308.97310256098365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15.025823249490236</v>
      </c>
      <c r="AV134" s="23">
        <f>EXP(-LN(2)/25)*AV133+(1-EXP(-LN(2)/25))/(LN(2)/25)*Calculateur!AQ134*Calculateur!AS134*VLOOKUP('Données projet'!$B$10,Paramètres!$A$1:$I$88,3,0)*0.475*44/12</f>
        <v>4.63341605782602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19.659239307316255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5.5</v>
      </c>
      <c r="BD134" s="13">
        <f>IF('Données projet'!$A$88&gt;35,BD133+BC134-BL133,IF(A134&lt;'Données projet'!$A$88,$BA$205^A134,IF(A134='Données projet'!$A$88,'Données projet'!$B$88,BD133+BC134-BL133)))</f>
        <v>282</v>
      </c>
      <c r="BE134" s="14">
        <f>BD134*VLOOKUP('Données projet'!$B$11,Paramètres!$A$1:$I$88,3,0)*VLOOKUP('Données projet'!$B$11,Paramètres!$A$1:$I$88,5,0)</f>
        <v>285.94800000000004</v>
      </c>
      <c r="BF134" s="14">
        <f t="shared" si="145"/>
        <v>68.222450362989363</v>
      </c>
      <c r="BG134" s="22">
        <f t="shared" si="115"/>
        <v>616.84686771553982</v>
      </c>
      <c r="BH134" s="60">
        <f t="shared" si="116"/>
        <v>900.9206199586456</v>
      </c>
      <c r="BI134" s="60">
        <f ca="1">AVERAGE(OFFSET($BH$3,0,0,'Données projet'!$E$11+1,1))-AVERAGE(OFFSET($H$3,0,0,'Données projet'!$E$11+1,1))</f>
        <v>108.30434106718693</v>
      </c>
      <c r="BJ134" s="60">
        <f t="shared" si="146"/>
        <v>67.653808657585842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17.751080235317122</v>
      </c>
      <c r="BQ134" s="23">
        <f>EXP(-LN(2)/25)*BQ133+(1-EXP(-LN(2)/25))/(LN(2)/25)*Calculateur!BL134*Calculateur!BN134*VLOOKUP('Données projet'!$B$11,Paramètres!$A$1:$I$88,3,0)*0.475*44/12</f>
        <v>0</v>
      </c>
      <c r="BR134" s="23">
        <f>EXP(-LN(2)/2)*BR133+(1-EXP(-LN(2)/2))/(LN(2)/2)*BL134*BO134*VLOOKUP('Données projet'!$B$11,Paramètres!$A$1:$I$88,3,0)*0.475*44/12</f>
        <v>0</v>
      </c>
      <c r="BS134" s="24">
        <f t="shared" si="117"/>
        <v>17.751080235317122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projet'!$B$12,Paramètres!$A$1:$I$88,3,0)*VLOOKUP('Données projet'!$B$12,Paramètres!$A$1:$I$88,5,0)</f>
        <v>0</v>
      </c>
      <c r="CA134" s="14" t="e">
        <f t="shared" si="147"/>
        <v>#NUM!</v>
      </c>
      <c r="CB134" s="22" t="e">
        <f t="shared" si="118"/>
        <v>#NUM!</v>
      </c>
      <c r="CC134" s="60" t="e">
        <f t="shared" si="119"/>
        <v>#NUM!</v>
      </c>
      <c r="CD134" s="60">
        <f ca="1">AVERAGE(OFFSET($CC$3,0,0,'Données projet'!$E$12+1,1))-AVERAGE(OFFSET($H$3,0,0,'Données projet'!$E$12+1,1))</f>
        <v>171.08593400758221</v>
      </c>
      <c r="CE134" s="60">
        <f t="shared" si="148"/>
        <v>201.9528484086932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projet'!$B$12,Paramètres!$A$1:$I$88,3,0)*0.475*44/12</f>
        <v>17.964915155047521</v>
      </c>
      <c r="CL134" s="23">
        <f>EXP(-LN(2)/25)*CL133+(1-EXP(-LN(2)/25))/(LN(2)/25)*Calculateur!CG134*Calculateur!CI134*VLOOKUP('Données projet'!$B$12,Paramètres!$A$1:$I$88,3,0)*0.475*44/12</f>
        <v>5.96038030452128</v>
      </c>
      <c r="CM134" s="23">
        <f>EXP(-LN(2)/2)*CM133+(1-EXP(-LN(2)/2))/(LN(2)/2)*CG134*CJ134*VLOOKUP('Données projet'!$B$12,Paramètres!$A$1:$I$88,3,0)*0.475*44/12</f>
        <v>0</v>
      </c>
      <c r="CN134" s="24">
        <f t="shared" si="120"/>
        <v>23.925295459568801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projet'!$B$13,Paramètres!$A$1:$I$88,3,0)*VLOOKUP('Données projet'!$B$13,Paramètres!$A$1:$I$88,5,0)</f>
        <v>0</v>
      </c>
      <c r="CV134" s="14" t="e">
        <f t="shared" si="149"/>
        <v>#NUM!</v>
      </c>
      <c r="CW134" s="22" t="e">
        <f t="shared" si="121"/>
        <v>#NUM!</v>
      </c>
      <c r="CX134" s="60" t="e">
        <f t="shared" si="122"/>
        <v>#NUM!</v>
      </c>
      <c r="CY134" s="60">
        <f ca="1">AVERAGE(OFFSET($CX$3,0,0,'Données projet'!$E$13+1,1))-AVERAGE(OFFSET($H$3,0,0,'Données projet'!$E$13+1,1))</f>
        <v>283.66646124753868</v>
      </c>
      <c r="CZ134" s="60">
        <f t="shared" si="150"/>
        <v>331.61926649572797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projet'!$B$13,Paramètres!$A$1:$I$88,3,0)*0.475*44/12</f>
        <v>88.466304697858462</v>
      </c>
      <c r="DG134" s="23">
        <f>EXP(-LN(2)/25)*DG133+(1-EXP(-LN(2)/25))/(LN(2)/25)*Calculateur!DB134*Calculateur!DD134*VLOOKUP('Données projet'!$B$13,Paramètres!$A$1:$I$88,3,0)*0.475*44/12</f>
        <v>0</v>
      </c>
      <c r="DH134" s="23">
        <f>EXP(-LN(2)/2)*DH133+(1-EXP(-LN(2)/2))/(LN(2)/2)*DB134*DE134*VLOOKUP('Données projet'!$B$13,Paramètres!$A$1:$I$88,3,0)*0.475*44/12</f>
        <v>0</v>
      </c>
      <c r="DI134" s="24">
        <f t="shared" si="123"/>
        <v>88.466304697858462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1.1368683772161603E-13</v>
      </c>
      <c r="DP134" s="18">
        <f>DO134*VLOOKUP('Données projet'!$B$14,Paramètres!$A$1:$I$88,3,0)*VLOOKUP('Données projet'!$B$14,Paramètres!$A$1:$I$88,5,0)</f>
        <v>8.3355189417488869E-14</v>
      </c>
      <c r="DQ134" s="14">
        <f t="shared" si="151"/>
        <v>1.2790518435140618E-12</v>
      </c>
      <c r="DR134" s="22">
        <f t="shared" si="124"/>
        <v>2.3728589156891171E-12</v>
      </c>
      <c r="DS134" s="60">
        <f t="shared" si="125"/>
        <v>284.07375224310812</v>
      </c>
      <c r="DT134" s="60">
        <f ca="1">AVERAGE(OFFSET($DS$3,0,0,'Données projet'!$E$14+1,1))-AVERAGE(OFFSET($H$3,0,0,'Données projet'!$E$14+1,1))</f>
        <v>212.77458587586861</v>
      </c>
      <c r="DU134" s="60">
        <f t="shared" si="152"/>
        <v>260.45879589483513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projet'!$B$14,Paramètres!$A$1:$I$88,3,0)*0.475*44/12</f>
        <v>8.796857337923182</v>
      </c>
      <c r="EB134" s="23">
        <f>EXP(-LN(2)/25)*EB133+(1-EXP(-LN(2)/25))/(LN(2)/25)*Calculateur!DW134*Calculateur!DY134*VLOOKUP('Données projet'!$B$14,Paramètres!$A$1:$I$88,3,0)*0.475*44/12</f>
        <v>2.8295616416674991</v>
      </c>
      <c r="EC134" s="23">
        <f>EXP(-LN(2)/2)*EC133+(1-EXP(-LN(2)/2))/(LN(2)/2)*DW134*DZ134*VLOOKUP('Données projet'!$B$14,Paramètres!$A$1:$I$88,3,0)*0.475*44/12</f>
        <v>0</v>
      </c>
      <c r="ED134" s="24">
        <f t="shared" si="126"/>
        <v>11.626418979590682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5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8">
        <f t="shared" si="110"/>
        <v>183.33333333333334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3.4106051316484809E-13</v>
      </c>
      <c r="O135" s="14">
        <f>N135*VLOOKUP('Données projet'!$B$9,Paramètres!$A$1:$I$88,3,0)*VLOOKUP('Données projet'!$B$9,Paramètres!$A$1:$I$88,5,0)</f>
        <v>1.9065282685915009E-13</v>
      </c>
      <c r="P135" s="14">
        <f t="shared" si="141"/>
        <v>2.6568987209435707E-12</v>
      </c>
      <c r="Q135" s="22">
        <f t="shared" si="108"/>
        <v>4.959485612423072E-12</v>
      </c>
      <c r="R135" s="60">
        <f t="shared" si="109"/>
        <v>284.23438527370411</v>
      </c>
      <c r="S135" s="60">
        <f ca="1">AVERAGE(OFFSET($R$3,0,0,'Données projet'!$E$9+1,1))-AVERAGE(OFFSET($H$3,0,0,'Données projet'!$E$9+1,1))</f>
        <v>366.29380214443631</v>
      </c>
      <c r="T135" s="60">
        <f t="shared" si="142"/>
        <v>413.14502442862897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57.579941856891608</v>
      </c>
      <c r="AA135" s="23">
        <f>EXP(-LN(2)/25)*AA134+(1-EXP(-LN(2)/25))/(LN(2)/25)*Calculateur!V135*Calculateur!X135*VLOOKUP('Données projet'!$B$9,Paramètres!$A$1:$I$88,3,0)*0.475*44/12</f>
        <v>18.002356363744585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75.58229822063619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452.49999999999989</v>
      </c>
      <c r="AJ135" s="14">
        <f>AI135*VLOOKUP('Données projet'!$B$10,Paramètres!$A$1:$I$88,3,0)*VLOOKUP('Données projet'!$B$10,Paramètres!$A$1:$I$88,5,0)</f>
        <v>395.30399999999992</v>
      </c>
      <c r="AK135" s="14">
        <f t="shared" si="143"/>
        <v>90.823969929029445</v>
      </c>
      <c r="AL135" s="22">
        <f t="shared" si="112"/>
        <v>846.67288095972606</v>
      </c>
      <c r="AM135" s="60">
        <f t="shared" si="113"/>
        <v>1130.9072662334252</v>
      </c>
      <c r="AN135" s="60">
        <f ca="1">AVERAGE(OFFSET($AM$3,0,0,'Données projet'!$E$10+1,1))-AVERAGE(OFFSET($H$3,0,0,'Données projet'!$E$10+1,1))</f>
        <v>436.5217771315057</v>
      </c>
      <c r="AO135" s="60">
        <f t="shared" si="144"/>
        <v>308.97310256098365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14.73117602041496</v>
      </c>
      <c r="AV135" s="23">
        <f>EXP(-LN(2)/25)*AV134+(1-EXP(-LN(2)/25))/(LN(2)/25)*Calculateur!AQ135*Calculateur!AS135*VLOOKUP('Données projet'!$B$10,Paramètres!$A$1:$I$88,3,0)*0.475*44/12</f>
        <v>4.5067150520640071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19.237891072478966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5.5</v>
      </c>
      <c r="BD135" s="13">
        <f>IF('Données projet'!$A$88&gt;35,BD134+BC135-BL134,IF(A135&lt;'Données projet'!$A$88,$BA$205^A135,IF(A135='Données projet'!$A$88,'Données projet'!$B$88,BD134+BC135-BL134)))</f>
        <v>287.5</v>
      </c>
      <c r="BE135" s="14">
        <f>BD135*VLOOKUP('Données projet'!$B$11,Paramètres!$A$1:$I$88,3,0)*VLOOKUP('Données projet'!$B$11,Paramètres!$A$1:$I$88,5,0)</f>
        <v>291.52500000000003</v>
      </c>
      <c r="BF135" s="14">
        <f t="shared" si="145"/>
        <v>69.396825633343326</v>
      </c>
      <c r="BG135" s="22">
        <f t="shared" si="115"/>
        <v>628.60551297807297</v>
      </c>
      <c r="BH135" s="60">
        <f t="shared" si="116"/>
        <v>912.83989825177218</v>
      </c>
      <c r="BI135" s="60">
        <f ca="1">AVERAGE(OFFSET($BH$3,0,0,'Données projet'!$E$11+1,1))-AVERAGE(OFFSET($H$3,0,0,'Données projet'!$E$11+1,1))</f>
        <v>108.30434106718693</v>
      </c>
      <c r="BJ135" s="60">
        <f t="shared" si="146"/>
        <v>67.653808657585842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17.402992378992412</v>
      </c>
      <c r="BQ135" s="23">
        <f>EXP(-LN(2)/25)*BQ134+(1-EXP(-LN(2)/25))/(LN(2)/25)*Calculateur!BL135*Calculateur!BN135*VLOOKUP('Données projet'!$B$11,Paramètres!$A$1:$I$88,3,0)*0.475*44/12</f>
        <v>0</v>
      </c>
      <c r="BR135" s="23">
        <f>EXP(-LN(2)/2)*BR134+(1-EXP(-LN(2)/2))/(LN(2)/2)*BL135*BO135*VLOOKUP('Données projet'!$B$11,Paramètres!$A$1:$I$88,3,0)*0.475*44/12</f>
        <v>0</v>
      </c>
      <c r="BS135" s="24">
        <f t="shared" si="117"/>
        <v>17.402992378992412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projet'!$B$12,Paramètres!$A$1:$I$88,3,0)*VLOOKUP('Données projet'!$B$12,Paramètres!$A$1:$I$88,5,0)</f>
        <v>0</v>
      </c>
      <c r="CA135" s="14" t="e">
        <f t="shared" si="147"/>
        <v>#NUM!</v>
      </c>
      <c r="CB135" s="22" t="e">
        <f t="shared" si="118"/>
        <v>#NUM!</v>
      </c>
      <c r="CC135" s="60" t="e">
        <f t="shared" si="119"/>
        <v>#NUM!</v>
      </c>
      <c r="CD135" s="60">
        <f ca="1">AVERAGE(OFFSET($CC$3,0,0,'Données projet'!$E$12+1,1))-AVERAGE(OFFSET($H$3,0,0,'Données projet'!$E$12+1,1))</f>
        <v>171.08593400758221</v>
      </c>
      <c r="CE135" s="60">
        <f t="shared" si="148"/>
        <v>201.9528484086932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projet'!$B$12,Paramètres!$A$1:$I$88,3,0)*0.475*44/12</f>
        <v>17.612634126373319</v>
      </c>
      <c r="CL135" s="23">
        <f>EXP(-LN(2)/25)*CL134+(1-EXP(-LN(2)/25))/(LN(2)/25)*Calculateur!CG135*Calculateur!CI135*VLOOKUP('Données projet'!$B$12,Paramètres!$A$1:$I$88,3,0)*0.475*44/12</f>
        <v>5.7973933916513678</v>
      </c>
      <c r="CM135" s="23">
        <f>EXP(-LN(2)/2)*CM134+(1-EXP(-LN(2)/2))/(LN(2)/2)*CG135*CJ135*VLOOKUP('Données projet'!$B$12,Paramètres!$A$1:$I$88,3,0)*0.475*44/12</f>
        <v>0</v>
      </c>
      <c r="CN135" s="24">
        <f t="shared" si="120"/>
        <v>23.410027518024688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projet'!$B$13,Paramètres!$A$1:$I$88,3,0)*VLOOKUP('Données projet'!$B$13,Paramètres!$A$1:$I$88,5,0)</f>
        <v>0</v>
      </c>
      <c r="CV135" s="14" t="e">
        <f t="shared" si="149"/>
        <v>#NUM!</v>
      </c>
      <c r="CW135" s="22" t="e">
        <f t="shared" si="121"/>
        <v>#NUM!</v>
      </c>
      <c r="CX135" s="60" t="e">
        <f t="shared" si="122"/>
        <v>#NUM!</v>
      </c>
      <c r="CY135" s="60">
        <f ca="1">AVERAGE(OFFSET($CX$3,0,0,'Données projet'!$E$13+1,1))-AVERAGE(OFFSET($H$3,0,0,'Données projet'!$E$13+1,1))</f>
        <v>283.66646124753868</v>
      </c>
      <c r="CZ135" s="60">
        <f t="shared" si="150"/>
        <v>331.61926649572797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projet'!$B$13,Paramètres!$A$1:$I$88,3,0)*0.475*44/12</f>
        <v>86.731534421851308</v>
      </c>
      <c r="DG135" s="23">
        <f>EXP(-LN(2)/25)*DG134+(1-EXP(-LN(2)/25))/(LN(2)/25)*Calculateur!DB135*Calculateur!DD135*VLOOKUP('Données projet'!$B$13,Paramètres!$A$1:$I$88,3,0)*0.475*44/12</f>
        <v>0</v>
      </c>
      <c r="DH135" s="23">
        <f>EXP(-LN(2)/2)*DH134+(1-EXP(-LN(2)/2))/(LN(2)/2)*DB135*DE135*VLOOKUP('Données projet'!$B$13,Paramètres!$A$1:$I$88,3,0)*0.475*44/12</f>
        <v>0</v>
      </c>
      <c r="DI135" s="24">
        <f t="shared" si="123"/>
        <v>86.731534421851308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1.1368683772161603E-13</v>
      </c>
      <c r="DP135" s="18">
        <f>DO135*VLOOKUP('Données projet'!$B$14,Paramètres!$A$1:$I$88,3,0)*VLOOKUP('Données projet'!$B$14,Paramètres!$A$1:$I$88,5,0)</f>
        <v>8.3355189417488869E-14</v>
      </c>
      <c r="DQ135" s="14">
        <f t="shared" si="151"/>
        <v>1.2790518435140618E-12</v>
      </c>
      <c r="DR135" s="22">
        <f t="shared" si="124"/>
        <v>2.3728589156891171E-12</v>
      </c>
      <c r="DS135" s="60">
        <f t="shared" si="125"/>
        <v>284.23438527370155</v>
      </c>
      <c r="DT135" s="60">
        <f ca="1">AVERAGE(OFFSET($DS$3,0,0,'Données projet'!$E$14+1,1))-AVERAGE(OFFSET($H$3,0,0,'Données projet'!$E$14+1,1))</f>
        <v>212.77458587586861</v>
      </c>
      <c r="DU135" s="60">
        <f t="shared" si="152"/>
        <v>260.45879589483513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projet'!$B$14,Paramètres!$A$1:$I$88,3,0)*0.475*44/12</f>
        <v>8.6243563310796798</v>
      </c>
      <c r="EB135" s="23">
        <f>EXP(-LN(2)/25)*EB134+(1-EXP(-LN(2)/25))/(LN(2)/25)*Calculateur!DW135*Calculateur!DY135*VLOOKUP('Données projet'!$B$14,Paramètres!$A$1:$I$88,3,0)*0.475*44/12</f>
        <v>2.7521871297759217</v>
      </c>
      <c r="EC135" s="23">
        <f>EXP(-LN(2)/2)*EC134+(1-EXP(-LN(2)/2))/(LN(2)/2)*DW135*DZ135*VLOOKUP('Données projet'!$B$14,Paramètres!$A$1:$I$88,3,0)*0.475*44/12</f>
        <v>0</v>
      </c>
      <c r="ED135" s="24">
        <f t="shared" si="126"/>
        <v>11.376543460855601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5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8">
        <f t="shared" si="110"/>
        <v>183.33333333333334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3.4106051316484809E-13</v>
      </c>
      <c r="O136" s="14">
        <f>N136*VLOOKUP('Données projet'!$B$9,Paramètres!$A$1:$I$88,3,0)*VLOOKUP('Données projet'!$B$9,Paramètres!$A$1:$I$88,5,0)</f>
        <v>1.9065282685915009E-13</v>
      </c>
      <c r="P136" s="14">
        <f t="shared" si="141"/>
        <v>2.6568987209435707E-12</v>
      </c>
      <c r="Q136" s="22">
        <f t="shared" si="108"/>
        <v>4.959485612423072E-12</v>
      </c>
      <c r="R136" s="60">
        <f t="shared" si="109"/>
        <v>284.39223168033834</v>
      </c>
      <c r="S136" s="60">
        <f ca="1">AVERAGE(OFFSET($R$3,0,0,'Données projet'!$E$9+1,1))-AVERAGE(OFFSET($H$3,0,0,'Données projet'!$E$9+1,1))</f>
        <v>366.29380214443631</v>
      </c>
      <c r="T136" s="60">
        <f t="shared" si="142"/>
        <v>413.14502442862897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56.450834317374657</v>
      </c>
      <c r="AA136" s="23">
        <f>EXP(-LN(2)/25)*AA135+(1-EXP(-LN(2)/25))/(LN(2)/25)*Calculateur!V136*Calculateur!X136*VLOOKUP('Données projet'!$B$9,Paramètres!$A$1:$I$88,3,0)*0.475*44/12</f>
        <v>17.510080982275213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73.960915299649869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452.49999999999989</v>
      </c>
      <c r="AJ136" s="14">
        <f>AI136*VLOOKUP('Données projet'!$B$10,Paramètres!$A$1:$I$88,3,0)*VLOOKUP('Données projet'!$B$10,Paramètres!$A$1:$I$88,5,0)</f>
        <v>395.30399999999992</v>
      </c>
      <c r="AK136" s="14">
        <f t="shared" si="143"/>
        <v>90.823969929029445</v>
      </c>
      <c r="AL136" s="22">
        <f t="shared" si="112"/>
        <v>846.67288095972606</v>
      </c>
      <c r="AM136" s="60">
        <f t="shared" si="113"/>
        <v>1131.0651126400594</v>
      </c>
      <c r="AN136" s="60">
        <f ca="1">AVERAGE(OFFSET($AM$3,0,0,'Données projet'!$E$10+1,1))-AVERAGE(OFFSET($H$3,0,0,'Données projet'!$E$10+1,1))</f>
        <v>436.5217771315057</v>
      </c>
      <c r="AO136" s="60">
        <f t="shared" si="144"/>
        <v>308.97310256098365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14.442306643784788</v>
      </c>
      <c r="AV136" s="23">
        <f>EXP(-LN(2)/25)*AV135+(1-EXP(-LN(2)/25))/(LN(2)/25)*Calculateur!AQ136*Calculateur!AS136*VLOOKUP('Données projet'!$B$10,Paramètres!$A$1:$I$88,3,0)*0.475*44/12</f>
        <v>4.3834786919674729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18.825785335752261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5.5</v>
      </c>
      <c r="BD136" s="13">
        <f>IF('Données projet'!$A$88&gt;35,BD135+BC136-BL135,IF(A136&lt;'Données projet'!$A$88,$BA$205^A136,IF(A136='Données projet'!$A$88,'Données projet'!$B$88,BD135+BC136-BL135)))</f>
        <v>293</v>
      </c>
      <c r="BE136" s="14">
        <f>BD136*VLOOKUP('Données projet'!$B$11,Paramètres!$A$1:$I$88,3,0)*VLOOKUP('Données projet'!$B$11,Paramètres!$A$1:$I$88,5,0)</f>
        <v>297.10200000000003</v>
      </c>
      <c r="BF136" s="14">
        <f t="shared" si="145"/>
        <v>70.568588566272823</v>
      </c>
      <c r="BG136" s="22">
        <f t="shared" si="115"/>
        <v>640.35960841959184</v>
      </c>
      <c r="BH136" s="60">
        <f t="shared" si="116"/>
        <v>924.75184009992518</v>
      </c>
      <c r="BI136" s="60">
        <f ca="1">AVERAGE(OFFSET($BH$3,0,0,'Données projet'!$E$11+1,1))-AVERAGE(OFFSET($H$3,0,0,'Données projet'!$E$11+1,1))</f>
        <v>108.30434106718693</v>
      </c>
      <c r="BJ136" s="60">
        <f t="shared" si="146"/>
        <v>67.653808657585842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17.061730313217598</v>
      </c>
      <c r="BQ136" s="23">
        <f>EXP(-LN(2)/25)*BQ135+(1-EXP(-LN(2)/25))/(LN(2)/25)*Calculateur!BL136*Calculateur!BN136*VLOOKUP('Données projet'!$B$11,Paramètres!$A$1:$I$88,3,0)*0.475*44/12</f>
        <v>0</v>
      </c>
      <c r="BR136" s="23">
        <f>EXP(-LN(2)/2)*BR135+(1-EXP(-LN(2)/2))/(LN(2)/2)*BL136*BO136*VLOOKUP('Données projet'!$B$11,Paramètres!$A$1:$I$88,3,0)*0.475*44/12</f>
        <v>0</v>
      </c>
      <c r="BS136" s="24">
        <f t="shared" si="117"/>
        <v>17.061730313217598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projet'!$B$12,Paramètres!$A$1:$I$88,3,0)*VLOOKUP('Données projet'!$B$12,Paramètres!$A$1:$I$88,5,0)</f>
        <v>0</v>
      </c>
      <c r="CA136" s="14" t="e">
        <f t="shared" si="147"/>
        <v>#NUM!</v>
      </c>
      <c r="CB136" s="22" t="e">
        <f t="shared" si="118"/>
        <v>#NUM!</v>
      </c>
      <c r="CC136" s="60" t="e">
        <f t="shared" si="119"/>
        <v>#NUM!</v>
      </c>
      <c r="CD136" s="60">
        <f ca="1">AVERAGE(OFFSET($CC$3,0,0,'Données projet'!$E$12+1,1))-AVERAGE(OFFSET($H$3,0,0,'Données projet'!$E$12+1,1))</f>
        <v>171.08593400758221</v>
      </c>
      <c r="CE136" s="60">
        <f t="shared" si="148"/>
        <v>201.9528484086932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projet'!$B$12,Paramètres!$A$1:$I$88,3,0)*0.475*44/12</f>
        <v>17.267261113801208</v>
      </c>
      <c r="CL136" s="23">
        <f>EXP(-LN(2)/25)*CL135+(1-EXP(-LN(2)/25))/(LN(2)/25)*Calculateur!CG136*Calculateur!CI136*VLOOKUP('Données projet'!$B$12,Paramètres!$A$1:$I$88,3,0)*0.475*44/12</f>
        <v>5.638863364484993</v>
      </c>
      <c r="CM136" s="23">
        <f>EXP(-LN(2)/2)*CM135+(1-EXP(-LN(2)/2))/(LN(2)/2)*CG136*CJ136*VLOOKUP('Données projet'!$B$12,Paramètres!$A$1:$I$88,3,0)*0.475*44/12</f>
        <v>0</v>
      </c>
      <c r="CN136" s="24">
        <f t="shared" si="120"/>
        <v>22.906124478286202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projet'!$B$13,Paramètres!$A$1:$I$88,3,0)*VLOOKUP('Données projet'!$B$13,Paramètres!$A$1:$I$88,5,0)</f>
        <v>0</v>
      </c>
      <c r="CV136" s="14" t="e">
        <f t="shared" si="149"/>
        <v>#NUM!</v>
      </c>
      <c r="CW136" s="22" t="e">
        <f t="shared" si="121"/>
        <v>#NUM!</v>
      </c>
      <c r="CX136" s="60" t="e">
        <f t="shared" si="122"/>
        <v>#NUM!</v>
      </c>
      <c r="CY136" s="60">
        <f ca="1">AVERAGE(OFFSET($CX$3,0,0,'Données projet'!$E$13+1,1))-AVERAGE(OFFSET($H$3,0,0,'Données projet'!$E$13+1,1))</f>
        <v>283.66646124753868</v>
      </c>
      <c r="CZ136" s="60">
        <f t="shared" si="150"/>
        <v>331.61926649572797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projet'!$B$13,Paramètres!$A$1:$I$88,3,0)*0.475*44/12</f>
        <v>85.030781932851255</v>
      </c>
      <c r="DG136" s="23">
        <f>EXP(-LN(2)/25)*DG135+(1-EXP(-LN(2)/25))/(LN(2)/25)*Calculateur!DB136*Calculateur!DD136*VLOOKUP('Données projet'!$B$13,Paramètres!$A$1:$I$88,3,0)*0.475*44/12</f>
        <v>0</v>
      </c>
      <c r="DH136" s="23">
        <f>EXP(-LN(2)/2)*DH135+(1-EXP(-LN(2)/2))/(LN(2)/2)*DB136*DE136*VLOOKUP('Données projet'!$B$13,Paramètres!$A$1:$I$88,3,0)*0.475*44/12</f>
        <v>0</v>
      </c>
      <c r="DI136" s="24">
        <f t="shared" si="123"/>
        <v>85.030781932851255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1.1368683772161603E-13</v>
      </c>
      <c r="DP136" s="18">
        <f>DO136*VLOOKUP('Données projet'!$B$14,Paramètres!$A$1:$I$88,3,0)*VLOOKUP('Données projet'!$B$14,Paramètres!$A$1:$I$88,5,0)</f>
        <v>8.3355189417488869E-14</v>
      </c>
      <c r="DQ136" s="14">
        <f t="shared" si="151"/>
        <v>1.2790518435140618E-12</v>
      </c>
      <c r="DR136" s="22">
        <f t="shared" si="124"/>
        <v>2.3728589156891171E-12</v>
      </c>
      <c r="DS136" s="60">
        <f t="shared" si="125"/>
        <v>284.39223168033578</v>
      </c>
      <c r="DT136" s="60">
        <f ca="1">AVERAGE(OFFSET($DS$3,0,0,'Données projet'!$E$14+1,1))-AVERAGE(OFFSET($H$3,0,0,'Données projet'!$E$14+1,1))</f>
        <v>212.77458587586861</v>
      </c>
      <c r="DU136" s="60">
        <f t="shared" si="152"/>
        <v>260.45879589483513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projet'!$B$14,Paramètres!$A$1:$I$88,3,0)*0.475*44/12</f>
        <v>8.4552379637651534</v>
      </c>
      <c r="EB136" s="23">
        <f>EXP(-LN(2)/25)*EB135+(1-EXP(-LN(2)/25))/(LN(2)/25)*Calculateur!DW136*Calculateur!DY136*VLOOKUP('Données projet'!$B$14,Paramètres!$A$1:$I$88,3,0)*0.475*44/12</f>
        <v>2.6769284279809682</v>
      </c>
      <c r="EC136" s="23">
        <f>EXP(-LN(2)/2)*EC135+(1-EXP(-LN(2)/2))/(LN(2)/2)*DW136*DZ136*VLOOKUP('Données projet'!$B$14,Paramètres!$A$1:$I$88,3,0)*0.475*44/12</f>
        <v>0</v>
      </c>
      <c r="ED136" s="24">
        <f t="shared" si="126"/>
        <v>11.132166391746122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5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8">
        <f t="shared" si="110"/>
        <v>183.33333333333334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3.4106051316484809E-13</v>
      </c>
      <c r="O137" s="14">
        <f>N137*VLOOKUP('Données projet'!$B$9,Paramètres!$A$1:$I$88,3,0)*VLOOKUP('Données projet'!$B$9,Paramètres!$A$1:$I$88,5,0)</f>
        <v>1.9065282685915009E-13</v>
      </c>
      <c r="P137" s="14">
        <f t="shared" si="141"/>
        <v>2.6568987209435707E-12</v>
      </c>
      <c r="Q137" s="22">
        <f t="shared" si="108"/>
        <v>4.959485612423072E-12</v>
      </c>
      <c r="R137" s="60">
        <f t="shared" si="109"/>
        <v>284.54733980470922</v>
      </c>
      <c r="S137" s="60">
        <f ca="1">AVERAGE(OFFSET($R$3,0,0,'Données projet'!$E$9+1,1))-AVERAGE(OFFSET($H$3,0,0,'Données projet'!$E$9+1,1))</f>
        <v>366.29380214443631</v>
      </c>
      <c r="T137" s="60">
        <f t="shared" si="142"/>
        <v>413.14502442862897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55.343867888020036</v>
      </c>
      <c r="AA137" s="23">
        <f>EXP(-LN(2)/25)*AA136+(1-EXP(-LN(2)/25))/(LN(2)/25)*Calculateur!V137*Calculateur!X137*VLOOKUP('Données projet'!$B$9,Paramètres!$A$1:$I$88,3,0)*0.475*44/12</f>
        <v>17.031266896999757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72.375134785019796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452.49999999999989</v>
      </c>
      <c r="AJ137" s="14">
        <f>AI137*VLOOKUP('Données projet'!$B$10,Paramètres!$A$1:$I$88,3,0)*VLOOKUP('Données projet'!$B$10,Paramètres!$A$1:$I$88,5,0)</f>
        <v>395.30399999999992</v>
      </c>
      <c r="AK137" s="14">
        <f t="shared" si="143"/>
        <v>90.823969929029445</v>
      </c>
      <c r="AL137" s="22">
        <f t="shared" si="112"/>
        <v>846.67288095972606</v>
      </c>
      <c r="AM137" s="60">
        <f t="shared" si="113"/>
        <v>1131.2202207644305</v>
      </c>
      <c r="AN137" s="60">
        <f ca="1">AVERAGE(OFFSET($AM$3,0,0,'Données projet'!$E$10+1,1))-AVERAGE(OFFSET($H$3,0,0,'Données projet'!$E$10+1,1))</f>
        <v>436.5217771315057</v>
      </c>
      <c r="AO137" s="60">
        <f t="shared" si="144"/>
        <v>308.97310256098365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14.15910181943741</v>
      </c>
      <c r="AV137" s="23">
        <f>EXP(-LN(2)/25)*AV136+(1-EXP(-LN(2)/25))/(LN(2)/25)*Calculateur!AQ137*Calculateur!AS137*VLOOKUP('Données projet'!$B$10,Paramètres!$A$1:$I$88,3,0)*0.475*44/12</f>
        <v>4.2636122366184965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18.422714056055906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5.5</v>
      </c>
      <c r="BD137" s="13">
        <f>IF('Données projet'!$A$88&gt;35,BD136+BC137-BL136,IF(A137&lt;'Données projet'!$A$88,$BA$205^A137,IF(A137='Données projet'!$A$88,'Données projet'!$B$88,BD136+BC137-BL136)))</f>
        <v>298.5</v>
      </c>
      <c r="BE137" s="14">
        <f>BD137*VLOOKUP('Données projet'!$B$11,Paramètres!$A$1:$I$88,3,0)*VLOOKUP('Données projet'!$B$11,Paramètres!$A$1:$I$88,5,0)</f>
        <v>302.67900000000003</v>
      </c>
      <c r="BF137" s="14">
        <f t="shared" si="145"/>
        <v>71.737793853454903</v>
      </c>
      <c r="BG137" s="22">
        <f t="shared" si="115"/>
        <v>652.10924929476721</v>
      </c>
      <c r="BH137" s="60">
        <f t="shared" si="116"/>
        <v>936.65658909947149</v>
      </c>
      <c r="BI137" s="60">
        <f ca="1">AVERAGE(OFFSET($BH$3,0,0,'Données projet'!$E$11+1,1))-AVERAGE(OFFSET($H$3,0,0,'Données projet'!$E$11+1,1))</f>
        <v>108.30434106718693</v>
      </c>
      <c r="BJ137" s="60">
        <f t="shared" si="146"/>
        <v>67.653808657585842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16.727160188403325</v>
      </c>
      <c r="BQ137" s="23">
        <f>EXP(-LN(2)/25)*BQ136+(1-EXP(-LN(2)/25))/(LN(2)/25)*Calculateur!BL137*Calculateur!BN137*VLOOKUP('Données projet'!$B$11,Paramètres!$A$1:$I$88,3,0)*0.475*44/12</f>
        <v>0</v>
      </c>
      <c r="BR137" s="23">
        <f>EXP(-LN(2)/2)*BR136+(1-EXP(-LN(2)/2))/(LN(2)/2)*BL137*BO137*VLOOKUP('Données projet'!$B$11,Paramètres!$A$1:$I$88,3,0)*0.475*44/12</f>
        <v>0</v>
      </c>
      <c r="BS137" s="24">
        <f t="shared" si="117"/>
        <v>16.727160188403325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projet'!$B$12,Paramètres!$A$1:$I$88,3,0)*VLOOKUP('Données projet'!$B$12,Paramètres!$A$1:$I$88,5,0)</f>
        <v>0</v>
      </c>
      <c r="CA137" s="14" t="e">
        <f t="shared" si="147"/>
        <v>#NUM!</v>
      </c>
      <c r="CB137" s="22" t="e">
        <f t="shared" si="118"/>
        <v>#NUM!</v>
      </c>
      <c r="CC137" s="60" t="e">
        <f t="shared" si="119"/>
        <v>#NUM!</v>
      </c>
      <c r="CD137" s="60">
        <f ca="1">AVERAGE(OFFSET($CC$3,0,0,'Données projet'!$E$12+1,1))-AVERAGE(OFFSET($H$3,0,0,'Données projet'!$E$12+1,1))</f>
        <v>171.08593400758221</v>
      </c>
      <c r="CE137" s="60">
        <f t="shared" si="148"/>
        <v>201.9528484086932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projet'!$B$12,Paramètres!$A$1:$I$88,3,0)*0.475*44/12</f>
        <v>16.928660655348899</v>
      </c>
      <c r="CL137" s="23">
        <f>EXP(-LN(2)/25)*CL136+(1-EXP(-LN(2)/25))/(LN(2)/25)*Calculateur!CG137*Calculateur!CI137*VLOOKUP('Données projet'!$B$12,Paramètres!$A$1:$I$88,3,0)*0.475*44/12</f>
        <v>5.4846683492482144</v>
      </c>
      <c r="CM137" s="23">
        <f>EXP(-LN(2)/2)*CM136+(1-EXP(-LN(2)/2))/(LN(2)/2)*CG137*CJ137*VLOOKUP('Données projet'!$B$12,Paramètres!$A$1:$I$88,3,0)*0.475*44/12</f>
        <v>0</v>
      </c>
      <c r="CN137" s="24">
        <f t="shared" si="120"/>
        <v>22.413329004597113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projet'!$B$13,Paramètres!$A$1:$I$88,3,0)*VLOOKUP('Données projet'!$B$13,Paramètres!$A$1:$I$88,5,0)</f>
        <v>0</v>
      </c>
      <c r="CV137" s="14" t="e">
        <f t="shared" si="149"/>
        <v>#NUM!</v>
      </c>
      <c r="CW137" s="22" t="e">
        <f t="shared" si="121"/>
        <v>#NUM!</v>
      </c>
      <c r="CX137" s="60" t="e">
        <f t="shared" si="122"/>
        <v>#NUM!</v>
      </c>
      <c r="CY137" s="60">
        <f ca="1">AVERAGE(OFFSET($CX$3,0,0,'Données projet'!$E$13+1,1))-AVERAGE(OFFSET($H$3,0,0,'Données projet'!$E$13+1,1))</f>
        <v>283.66646124753868</v>
      </c>
      <c r="CZ137" s="60">
        <f t="shared" si="150"/>
        <v>331.61926649572797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projet'!$B$13,Paramètres!$A$1:$I$88,3,0)*0.475*44/12</f>
        <v>83.363380162803907</v>
      </c>
      <c r="DG137" s="23">
        <f>EXP(-LN(2)/25)*DG136+(1-EXP(-LN(2)/25))/(LN(2)/25)*Calculateur!DB137*Calculateur!DD137*VLOOKUP('Données projet'!$B$13,Paramètres!$A$1:$I$88,3,0)*0.475*44/12</f>
        <v>0</v>
      </c>
      <c r="DH137" s="23">
        <f>EXP(-LN(2)/2)*DH136+(1-EXP(-LN(2)/2))/(LN(2)/2)*DB137*DE137*VLOOKUP('Données projet'!$B$13,Paramètres!$A$1:$I$88,3,0)*0.475*44/12</f>
        <v>0</v>
      </c>
      <c r="DI137" s="24">
        <f t="shared" si="123"/>
        <v>83.363380162803907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1.1368683772161603E-13</v>
      </c>
      <c r="DP137" s="18">
        <f>DO137*VLOOKUP('Données projet'!$B$14,Paramètres!$A$1:$I$88,3,0)*VLOOKUP('Données projet'!$B$14,Paramètres!$A$1:$I$88,5,0)</f>
        <v>8.3355189417488869E-14</v>
      </c>
      <c r="DQ137" s="14">
        <f t="shared" si="151"/>
        <v>1.2790518435140618E-12</v>
      </c>
      <c r="DR137" s="22">
        <f t="shared" si="124"/>
        <v>2.3728589156891171E-12</v>
      </c>
      <c r="DS137" s="60">
        <f t="shared" si="125"/>
        <v>284.54733980470667</v>
      </c>
      <c r="DT137" s="60">
        <f ca="1">AVERAGE(OFFSET($DS$3,0,0,'Données projet'!$E$14+1,1))-AVERAGE(OFFSET($H$3,0,0,'Données projet'!$E$14+1,1))</f>
        <v>212.77458587586861</v>
      </c>
      <c r="DU137" s="60">
        <f t="shared" si="152"/>
        <v>260.45879589483513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projet'!$B$14,Paramètres!$A$1:$I$88,3,0)*0.475*44/12</f>
        <v>8.2894359044816461</v>
      </c>
      <c r="EB137" s="23">
        <f>EXP(-LN(2)/25)*EB136+(1-EXP(-LN(2)/25))/(LN(2)/25)*Calculateur!DW137*Calculateur!DY137*VLOOKUP('Données projet'!$B$14,Paramètres!$A$1:$I$88,3,0)*0.475*44/12</f>
        <v>2.603727679344281</v>
      </c>
      <c r="EC137" s="23">
        <f>EXP(-LN(2)/2)*EC136+(1-EXP(-LN(2)/2))/(LN(2)/2)*DW137*DZ137*VLOOKUP('Données projet'!$B$14,Paramètres!$A$1:$I$88,3,0)*0.475*44/12</f>
        <v>0</v>
      </c>
      <c r="ED137" s="24">
        <f t="shared" si="126"/>
        <v>10.893163583825928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5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8">
        <f t="shared" si="110"/>
        <v>183.33333333333334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3.4106051316484809E-13</v>
      </c>
      <c r="O138" s="14">
        <f>N138*VLOOKUP('Données projet'!$B$9,Paramètres!$A$1:$I$88,3,0)*VLOOKUP('Données projet'!$B$9,Paramètres!$A$1:$I$88,5,0)</f>
        <v>1.9065282685915009E-13</v>
      </c>
      <c r="P138" s="14">
        <f t="shared" si="141"/>
        <v>2.6568987209435707E-12</v>
      </c>
      <c r="Q138" s="22">
        <f t="shared" si="108"/>
        <v>4.959485612423072E-12</v>
      </c>
      <c r="R138" s="60">
        <f t="shared" si="109"/>
        <v>284.69975714989209</v>
      </c>
      <c r="S138" s="60">
        <f ca="1">AVERAGE(OFFSET($R$3,0,0,'Données projet'!$E$9+1,1))-AVERAGE(OFFSET($H$3,0,0,'Données projet'!$E$9+1,1))</f>
        <v>366.29380214443631</v>
      </c>
      <c r="T138" s="60">
        <f t="shared" si="142"/>
        <v>413.14502442862897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54.258608395162206</v>
      </c>
      <c r="AA138" s="23">
        <f>EXP(-LN(2)/25)*AA137+(1-EXP(-LN(2)/25))/(LN(2)/25)*Calculateur!V138*Calculateur!X138*VLOOKUP('Données projet'!$B$9,Paramètres!$A$1:$I$88,3,0)*0.475*44/12</f>
        <v>16.565546008065898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70.824154403228107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452.49999999999989</v>
      </c>
      <c r="AJ138" s="14">
        <f>AI138*VLOOKUP('Données projet'!$B$10,Paramètres!$A$1:$I$88,3,0)*VLOOKUP('Données projet'!$B$10,Paramètres!$A$1:$I$88,5,0)</f>
        <v>395.30399999999992</v>
      </c>
      <c r="AK138" s="14">
        <f t="shared" si="143"/>
        <v>90.823969929029445</v>
      </c>
      <c r="AL138" s="22">
        <f t="shared" si="112"/>
        <v>846.67288095972606</v>
      </c>
      <c r="AM138" s="60">
        <f t="shared" si="113"/>
        <v>1131.3726381096133</v>
      </c>
      <c r="AN138" s="60">
        <f ca="1">AVERAGE(OFFSET($AM$3,0,0,'Données projet'!$E$10+1,1))-AVERAGE(OFFSET($H$3,0,0,'Données projet'!$E$10+1,1))</f>
        <v>436.5217771315057</v>
      </c>
      <c r="AO138" s="60">
        <f t="shared" si="144"/>
        <v>308.97310256098365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13.881450468957599</v>
      </c>
      <c r="AV138" s="23">
        <f>EXP(-LN(2)/25)*AV137+(1-EXP(-LN(2)/25))/(LN(2)/25)*Calculateur!AQ138*Calculateur!AS138*VLOOKUP('Données projet'!$B$10,Paramètres!$A$1:$I$88,3,0)*0.475*44/12</f>
        <v>4.1470235357945411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18.028474004752141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>
        <f>VLOOKUP(A138,'Données projet'!$A$87:$I$107,2,0)</f>
        <v>304</v>
      </c>
      <c r="BB138" s="13">
        <f>VLOOKUP(A138,'Données projet'!$A$87:$I$107,9,0)</f>
        <v>5.5</v>
      </c>
      <c r="BC138" s="13">
        <f t="array" ref="BC138">INDEX(BB:BB,MIN(IF(ISNUMBER(BB138:BB334),ROW(BB138:BB334),"")))</f>
        <v>5.5</v>
      </c>
      <c r="BD138" s="13">
        <f>IF('Données projet'!$A$88&gt;35,BD137+BC138-BL137,IF(A138&lt;'Données projet'!$A$88,$BA$205^A138,IF(A138='Données projet'!$A$88,'Données projet'!$B$88,BD137+BC138-BL137)))</f>
        <v>304</v>
      </c>
      <c r="BE138" s="14">
        <f>BD138*VLOOKUP('Données projet'!$B$11,Paramètres!$A$1:$I$88,3,0)*VLOOKUP('Données projet'!$B$11,Paramètres!$A$1:$I$88,5,0)</f>
        <v>308.25600000000003</v>
      </c>
      <c r="BF138" s="14">
        <f t="shared" si="145"/>
        <v>72.904494055753943</v>
      </c>
      <c r="BG138" s="22">
        <f t="shared" si="115"/>
        <v>663.85452714710493</v>
      </c>
      <c r="BH138" s="60">
        <f t="shared" si="116"/>
        <v>948.55428429699214</v>
      </c>
      <c r="BI138" s="60">
        <f ca="1">AVERAGE(OFFSET($BH$3,0,0,'Données projet'!$E$11+1,1))-AVERAGE(OFFSET($H$3,0,0,'Données projet'!$E$11+1,1))</f>
        <v>108.30434106718693</v>
      </c>
      <c r="BJ138" s="60">
        <f t="shared" si="146"/>
        <v>67.653808657585842</v>
      </c>
      <c r="BK138" s="16">
        <f>IF(ISNA(VLOOKUP(A138,'Données projet'!$A$87:$I$107,3,0)),0,VLOOKUP(A138,'Données projet'!$A$87:$I$107,3,0))</f>
        <v>12</v>
      </c>
      <c r="BL138" s="16">
        <f>IF(ISNA(VLOOKUP(A138,'Données projet'!$A$87:$I$107,4,0)),0,VLOOKUP(A138,'Données projet'!$A$87:$I$107,4,0))</f>
        <v>39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16.399150779669032</v>
      </c>
      <c r="BQ138" s="23">
        <f>EXP(-LN(2)/25)*BQ137+(1-EXP(-LN(2)/25))/(LN(2)/25)*Calculateur!BL138*Calculateur!BN138*VLOOKUP('Données projet'!$B$11,Paramètres!$A$1:$I$88,3,0)*0.475*44/12</f>
        <v>0</v>
      </c>
      <c r="BR138" s="23">
        <f>EXP(-LN(2)/2)*BR137+(1-EXP(-LN(2)/2))/(LN(2)/2)*BL138*BO138*VLOOKUP('Données projet'!$B$11,Paramètres!$A$1:$I$88,3,0)*0.475*44/12</f>
        <v>0</v>
      </c>
      <c r="BS138" s="24">
        <f t="shared" si="117"/>
        <v>16.399150779669032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projet'!$B$12,Paramètres!$A$1:$I$88,3,0)*VLOOKUP('Données projet'!$B$12,Paramètres!$A$1:$I$88,5,0)</f>
        <v>0</v>
      </c>
      <c r="CA138" s="14" t="e">
        <f t="shared" si="147"/>
        <v>#NUM!</v>
      </c>
      <c r="CB138" s="22" t="e">
        <f t="shared" si="118"/>
        <v>#NUM!</v>
      </c>
      <c r="CC138" s="60" t="e">
        <f t="shared" si="119"/>
        <v>#NUM!</v>
      </c>
      <c r="CD138" s="60">
        <f ca="1">AVERAGE(OFFSET($CC$3,0,0,'Données projet'!$E$12+1,1))-AVERAGE(OFFSET($H$3,0,0,'Données projet'!$E$12+1,1))</f>
        <v>171.08593400758221</v>
      </c>
      <c r="CE138" s="60">
        <f t="shared" si="148"/>
        <v>201.9528484086932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projet'!$B$12,Paramètres!$A$1:$I$88,3,0)*0.475*44/12</f>
        <v>16.596699945360953</v>
      </c>
      <c r="CL138" s="23">
        <f>EXP(-LN(2)/25)*CL137+(1-EXP(-LN(2)/25))/(LN(2)/25)*Calculateur!CG138*Calculateur!CI138*VLOOKUP('Données projet'!$B$12,Paramètres!$A$1:$I$88,3,0)*0.475*44/12</f>
        <v>5.3346898048118492</v>
      </c>
      <c r="CM138" s="23">
        <f>EXP(-LN(2)/2)*CM137+(1-EXP(-LN(2)/2))/(LN(2)/2)*CG138*CJ138*VLOOKUP('Données projet'!$B$12,Paramètres!$A$1:$I$88,3,0)*0.475*44/12</f>
        <v>0</v>
      </c>
      <c r="CN138" s="24">
        <f t="shared" si="120"/>
        <v>21.931389750172801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projet'!$B$13,Paramètres!$A$1:$I$88,3,0)*VLOOKUP('Données projet'!$B$13,Paramètres!$A$1:$I$88,5,0)</f>
        <v>0</v>
      </c>
      <c r="CV138" s="14" t="e">
        <f t="shared" si="149"/>
        <v>#NUM!</v>
      </c>
      <c r="CW138" s="22" t="e">
        <f t="shared" si="121"/>
        <v>#NUM!</v>
      </c>
      <c r="CX138" s="60" t="e">
        <f t="shared" si="122"/>
        <v>#NUM!</v>
      </c>
      <c r="CY138" s="60">
        <f ca="1">AVERAGE(OFFSET($CX$3,0,0,'Données projet'!$E$13+1,1))-AVERAGE(OFFSET($H$3,0,0,'Données projet'!$E$13+1,1))</f>
        <v>283.66646124753868</v>
      </c>
      <c r="CZ138" s="60">
        <f t="shared" si="150"/>
        <v>331.61926649572797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projet'!$B$13,Paramètres!$A$1:$I$88,3,0)*0.475*44/12</f>
        <v>81.728675124452536</v>
      </c>
      <c r="DG138" s="23">
        <f>EXP(-LN(2)/25)*DG137+(1-EXP(-LN(2)/25))/(LN(2)/25)*Calculateur!DB138*Calculateur!DD138*VLOOKUP('Données projet'!$B$13,Paramètres!$A$1:$I$88,3,0)*0.475*44/12</f>
        <v>0</v>
      </c>
      <c r="DH138" s="23">
        <f>EXP(-LN(2)/2)*DH137+(1-EXP(-LN(2)/2))/(LN(2)/2)*DB138*DE138*VLOOKUP('Données projet'!$B$13,Paramètres!$A$1:$I$88,3,0)*0.475*44/12</f>
        <v>0</v>
      </c>
      <c r="DI138" s="24">
        <f t="shared" si="123"/>
        <v>81.728675124452536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1.1368683772161603E-13</v>
      </c>
      <c r="DP138" s="18">
        <f>DO138*VLOOKUP('Données projet'!$B$14,Paramètres!$A$1:$I$88,3,0)*VLOOKUP('Données projet'!$B$14,Paramètres!$A$1:$I$88,5,0)</f>
        <v>8.3355189417488869E-14</v>
      </c>
      <c r="DQ138" s="14">
        <f t="shared" si="151"/>
        <v>1.2790518435140618E-12</v>
      </c>
      <c r="DR138" s="22">
        <f t="shared" si="124"/>
        <v>2.3728589156891171E-12</v>
      </c>
      <c r="DS138" s="60">
        <f t="shared" si="125"/>
        <v>284.69975714988954</v>
      </c>
      <c r="DT138" s="60">
        <f ca="1">AVERAGE(OFFSET($DS$3,0,0,'Données projet'!$E$14+1,1))-AVERAGE(OFFSET($H$3,0,0,'Données projet'!$E$14+1,1))</f>
        <v>212.77458587586861</v>
      </c>
      <c r="DU138" s="60">
        <f t="shared" si="152"/>
        <v>260.45879589483513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projet'!$B$14,Paramètres!$A$1:$I$88,3,0)*0.475*44/12</f>
        <v>8.1268851224514194</v>
      </c>
      <c r="EB138" s="23">
        <f>EXP(-LN(2)/25)*EB137+(1-EXP(-LN(2)/25))/(LN(2)/25)*Calculateur!DW138*Calculateur!DY138*VLOOKUP('Données projet'!$B$14,Paramètres!$A$1:$I$88,3,0)*0.475*44/12</f>
        <v>2.5325286090285237</v>
      </c>
      <c r="EC138" s="23">
        <f>EXP(-LN(2)/2)*EC137+(1-EXP(-LN(2)/2))/(LN(2)/2)*DW138*DZ138*VLOOKUP('Données projet'!$B$14,Paramètres!$A$1:$I$88,3,0)*0.475*44/12</f>
        <v>0</v>
      </c>
      <c r="ED138" s="24">
        <f t="shared" si="126"/>
        <v>10.659413731479944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5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8">
        <f t="shared" si="110"/>
        <v>183.33333333333334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3.4106051316484809E-13</v>
      </c>
      <c r="O139" s="14">
        <f>N139*VLOOKUP('Données projet'!$B$9,Paramètres!$A$1:$I$88,3,0)*VLOOKUP('Données projet'!$B$9,Paramètres!$A$1:$I$88,5,0)</f>
        <v>1.9065282685915009E-13</v>
      </c>
      <c r="P139" s="14">
        <f t="shared" si="141"/>
        <v>2.6568987209435707E-12</v>
      </c>
      <c r="Q139" s="22">
        <f t="shared" si="108"/>
        <v>4.959485612423072E-12</v>
      </c>
      <c r="R139" s="60">
        <f t="shared" si="109"/>
        <v>284.84953039489017</v>
      </c>
      <c r="S139" s="60">
        <f ca="1">AVERAGE(OFFSET($R$3,0,0,'Données projet'!$E$9+1,1))-AVERAGE(OFFSET($H$3,0,0,'Données projet'!$E$9+1,1))</f>
        <v>366.29380214443631</v>
      </c>
      <c r="T139" s="60">
        <f t="shared" si="142"/>
        <v>413.14502442862897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53.194630179016386</v>
      </c>
      <c r="AA139" s="23">
        <f>EXP(-LN(2)/25)*AA138+(1-EXP(-LN(2)/25))/(LN(2)/25)*Calculateur!V139*Calculateur!X139*VLOOKUP('Données projet'!$B$9,Paramètres!$A$1:$I$88,3,0)*0.475*44/12</f>
        <v>16.112560281331131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69.307190460347513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452.49999999999989</v>
      </c>
      <c r="AJ139" s="14">
        <f>AI139*VLOOKUP('Données projet'!$B$10,Paramètres!$A$1:$I$88,3,0)*VLOOKUP('Données projet'!$B$10,Paramètres!$A$1:$I$88,5,0)</f>
        <v>395.30399999999992</v>
      </c>
      <c r="AK139" s="14">
        <f t="shared" si="143"/>
        <v>90.823969929029445</v>
      </c>
      <c r="AL139" s="22">
        <f t="shared" si="112"/>
        <v>846.67288095972606</v>
      </c>
      <c r="AM139" s="60">
        <f t="shared" si="113"/>
        <v>1131.5224113546112</v>
      </c>
      <c r="AN139" s="60">
        <f ca="1">AVERAGE(OFFSET($AM$3,0,0,'Données projet'!$E$10+1,1))-AVERAGE(OFFSET($H$3,0,0,'Données projet'!$E$10+1,1))</f>
        <v>436.5217771315057</v>
      </c>
      <c r="AO139" s="60">
        <f t="shared" si="144"/>
        <v>308.97310256098365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13.609243692110095</v>
      </c>
      <c r="AV139" s="23">
        <f>EXP(-LN(2)/25)*AV138+(1-EXP(-LN(2)/25))/(LN(2)/25)*Calculateur!AQ139*Calculateur!AS139*VLOOKUP('Données projet'!$B$10,Paramètres!$A$1:$I$88,3,0)*0.475*44/12</f>
        <v>4.0336229591257498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17.642866651235845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5.7</v>
      </c>
      <c r="BD139" s="13">
        <f>IF('Données projet'!$A$88&gt;35,BD138+BC139-BL138,IF(A139&lt;'Données projet'!$A$88,$BA$205^A139,IF(A139='Données projet'!$A$88,'Données projet'!$B$88,BD138+BC139-BL138)))</f>
        <v>270.7</v>
      </c>
      <c r="BE139" s="14">
        <f>BD139*VLOOKUP('Données projet'!$B$11,Paramètres!$A$1:$I$88,3,0)*VLOOKUP('Données projet'!$B$11,Paramètres!$A$1:$I$88,5,0)</f>
        <v>274.4898</v>
      </c>
      <c r="BF139" s="14">
        <f t="shared" si="145"/>
        <v>65.801201651210974</v>
      </c>
      <c r="BG139" s="22">
        <f t="shared" si="115"/>
        <v>592.67349454252576</v>
      </c>
      <c r="BH139" s="60">
        <f t="shared" si="116"/>
        <v>877.52302493741104</v>
      </c>
      <c r="BI139" s="60">
        <f ca="1">AVERAGE(OFFSET($BH$3,0,0,'Données projet'!$E$11+1,1))-AVERAGE(OFFSET($H$3,0,0,'Données projet'!$E$11+1,1))</f>
        <v>108.30434106718693</v>
      </c>
      <c r="BJ139" s="60">
        <f t="shared" si="146"/>
        <v>67.653808657585842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16.077573435374035</v>
      </c>
      <c r="BQ139" s="23">
        <f>EXP(-LN(2)/25)*BQ138+(1-EXP(-LN(2)/25))/(LN(2)/25)*Calculateur!BL139*Calculateur!BN139*VLOOKUP('Données projet'!$B$11,Paramètres!$A$1:$I$88,3,0)*0.475*44/12</f>
        <v>0</v>
      </c>
      <c r="BR139" s="23">
        <f>EXP(-LN(2)/2)*BR138+(1-EXP(-LN(2)/2))/(LN(2)/2)*BL139*BO139*VLOOKUP('Données projet'!$B$11,Paramètres!$A$1:$I$88,3,0)*0.475*44/12</f>
        <v>0</v>
      </c>
      <c r="BS139" s="24">
        <f t="shared" si="117"/>
        <v>16.077573435374035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projet'!$B$12,Paramètres!$A$1:$I$88,3,0)*VLOOKUP('Données projet'!$B$12,Paramètres!$A$1:$I$88,5,0)</f>
        <v>0</v>
      </c>
      <c r="CA139" s="14" t="e">
        <f t="shared" si="147"/>
        <v>#NUM!</v>
      </c>
      <c r="CB139" s="22" t="e">
        <f t="shared" si="118"/>
        <v>#NUM!</v>
      </c>
      <c r="CC139" s="60" t="e">
        <f t="shared" si="119"/>
        <v>#NUM!</v>
      </c>
      <c r="CD139" s="60">
        <f ca="1">AVERAGE(OFFSET($CC$3,0,0,'Données projet'!$E$12+1,1))-AVERAGE(OFFSET($H$3,0,0,'Données projet'!$E$12+1,1))</f>
        <v>171.08593400758221</v>
      </c>
      <c r="CE139" s="60">
        <f t="shared" si="148"/>
        <v>201.9528484086932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projet'!$B$12,Paramètres!$A$1:$I$88,3,0)*0.475*44/12</f>
        <v>16.271248782419828</v>
      </c>
      <c r="CL139" s="23">
        <f>EXP(-LN(2)/25)*CL138+(1-EXP(-LN(2)/25))/(LN(2)/25)*Calculateur!CG139*Calculateur!CI139*VLOOKUP('Données projet'!$B$12,Paramètres!$A$1:$I$88,3,0)*0.475*44/12</f>
        <v>5.1888124315601249</v>
      </c>
      <c r="CM139" s="23">
        <f>EXP(-LN(2)/2)*CM138+(1-EXP(-LN(2)/2))/(LN(2)/2)*CG139*CJ139*VLOOKUP('Données projet'!$B$12,Paramètres!$A$1:$I$88,3,0)*0.475*44/12</f>
        <v>0</v>
      </c>
      <c r="CN139" s="24">
        <f t="shared" si="120"/>
        <v>21.460061213979955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projet'!$B$13,Paramètres!$A$1:$I$88,3,0)*VLOOKUP('Données projet'!$B$13,Paramètres!$A$1:$I$88,5,0)</f>
        <v>0</v>
      </c>
      <c r="CV139" s="14" t="e">
        <f t="shared" si="149"/>
        <v>#NUM!</v>
      </c>
      <c r="CW139" s="22" t="e">
        <f t="shared" si="121"/>
        <v>#NUM!</v>
      </c>
      <c r="CX139" s="60" t="e">
        <f t="shared" si="122"/>
        <v>#NUM!</v>
      </c>
      <c r="CY139" s="60">
        <f ca="1">AVERAGE(OFFSET($CX$3,0,0,'Données projet'!$E$13+1,1))-AVERAGE(OFFSET($H$3,0,0,'Données projet'!$E$13+1,1))</f>
        <v>283.66646124753868</v>
      </c>
      <c r="CZ139" s="60">
        <f t="shared" si="150"/>
        <v>331.61926649572797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projet'!$B$13,Paramètres!$A$1:$I$88,3,0)*0.475*44/12</f>
        <v>80.126025654831608</v>
      </c>
      <c r="DG139" s="23">
        <f>EXP(-LN(2)/25)*DG138+(1-EXP(-LN(2)/25))/(LN(2)/25)*Calculateur!DB139*Calculateur!DD139*VLOOKUP('Données projet'!$B$13,Paramètres!$A$1:$I$88,3,0)*0.475*44/12</f>
        <v>0</v>
      </c>
      <c r="DH139" s="23">
        <f>EXP(-LN(2)/2)*DH138+(1-EXP(-LN(2)/2))/(LN(2)/2)*DB139*DE139*VLOOKUP('Données projet'!$B$13,Paramètres!$A$1:$I$88,3,0)*0.475*44/12</f>
        <v>0</v>
      </c>
      <c r="DI139" s="24">
        <f t="shared" si="123"/>
        <v>80.126025654831608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1.1368683772161603E-13</v>
      </c>
      <c r="DP139" s="18">
        <f>DO139*VLOOKUP('Données projet'!$B$14,Paramètres!$A$1:$I$88,3,0)*VLOOKUP('Données projet'!$B$14,Paramètres!$A$1:$I$88,5,0)</f>
        <v>8.3355189417488869E-14</v>
      </c>
      <c r="DQ139" s="14">
        <f t="shared" si="151"/>
        <v>1.2790518435140618E-12</v>
      </c>
      <c r="DR139" s="22">
        <f t="shared" si="124"/>
        <v>2.3728589156891171E-12</v>
      </c>
      <c r="DS139" s="60">
        <f t="shared" si="125"/>
        <v>284.84953039488761</v>
      </c>
      <c r="DT139" s="60">
        <f ca="1">AVERAGE(OFFSET($DS$3,0,0,'Données projet'!$E$14+1,1))-AVERAGE(OFFSET($H$3,0,0,'Données projet'!$E$14+1,1))</f>
        <v>212.77458587586861</v>
      </c>
      <c r="DU139" s="60">
        <f t="shared" si="152"/>
        <v>260.45879589483513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projet'!$B$14,Paramètres!$A$1:$I$88,3,0)*0.475*44/12</f>
        <v>7.9675218621106172</v>
      </c>
      <c r="EB139" s="23">
        <f>EXP(-LN(2)/25)*EB138+(1-EXP(-LN(2)/25))/(LN(2)/25)*Calculateur!DW139*Calculateur!DY139*VLOOKUP('Données projet'!$B$14,Paramètres!$A$1:$I$88,3,0)*0.475*44/12</f>
        <v>2.4632764810347472</v>
      </c>
      <c r="EC139" s="23">
        <f>EXP(-LN(2)/2)*EC138+(1-EXP(-LN(2)/2))/(LN(2)/2)*DW139*DZ139*VLOOKUP('Données projet'!$B$14,Paramètres!$A$1:$I$88,3,0)*0.475*44/12</f>
        <v>0</v>
      </c>
      <c r="ED139" s="24">
        <f t="shared" si="126"/>
        <v>10.430798343145364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5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8">
        <f t="shared" si="110"/>
        <v>183.33333333333334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3.4106051316484809E-13</v>
      </c>
      <c r="O140" s="14">
        <f>N140*VLOOKUP('Données projet'!$B$9,Paramètres!$A$1:$I$88,3,0)*VLOOKUP('Données projet'!$B$9,Paramètres!$A$1:$I$88,5,0)</f>
        <v>1.9065282685915009E-13</v>
      </c>
      <c r="P140" s="14">
        <f t="shared" si="141"/>
        <v>2.6568987209435707E-12</v>
      </c>
      <c r="Q140" s="22">
        <f t="shared" si="108"/>
        <v>4.959485612423072E-12</v>
      </c>
      <c r="R140" s="60">
        <f t="shared" si="109"/>
        <v>284.99670540893032</v>
      </c>
      <c r="S140" s="60">
        <f ca="1">AVERAGE(OFFSET($R$3,0,0,'Données projet'!$E$9+1,1))-AVERAGE(OFFSET($H$3,0,0,'Données projet'!$E$9+1,1))</f>
        <v>366.29380214443631</v>
      </c>
      <c r="T140" s="60">
        <f t="shared" si="142"/>
        <v>413.14502442862897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52.151515926726553</v>
      </c>
      <c r="AA140" s="23">
        <f>EXP(-LN(2)/25)*AA139+(1-EXP(-LN(2)/25))/(LN(2)/25)*Calculateur!V140*Calculateur!X140*VLOOKUP('Données projet'!$B$9,Paramètres!$A$1:$I$88,3,0)*0.475*44/12</f>
        <v>15.671961473115411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67.823477399841963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452.49999999999989</v>
      </c>
      <c r="AJ140" s="14">
        <f>AI140*VLOOKUP('Données projet'!$B$10,Paramètres!$A$1:$I$88,3,0)*VLOOKUP('Données projet'!$B$10,Paramètres!$A$1:$I$88,5,0)</f>
        <v>395.30399999999992</v>
      </c>
      <c r="AK140" s="14">
        <f t="shared" si="143"/>
        <v>90.823969929029445</v>
      </c>
      <c r="AL140" s="22">
        <f t="shared" si="112"/>
        <v>846.67288095972606</v>
      </c>
      <c r="AM140" s="60">
        <f t="shared" si="113"/>
        <v>1131.6695863686514</v>
      </c>
      <c r="AN140" s="60">
        <f ca="1">AVERAGE(OFFSET($AM$3,0,0,'Données projet'!$E$10+1,1))-AVERAGE(OFFSET($H$3,0,0,'Données projet'!$E$10+1,1))</f>
        <v>436.5217771315057</v>
      </c>
      <c r="AO140" s="60">
        <f t="shared" si="144"/>
        <v>308.97310256098365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13.342374724126831</v>
      </c>
      <c r="AV140" s="23">
        <f>EXP(-LN(2)/25)*AV139+(1-EXP(-LN(2)/25))/(LN(2)/25)*Calculateur!AQ140*Calculateur!AS140*VLOOKUP('Données projet'!$B$10,Paramètres!$A$1:$I$88,3,0)*0.475*44/12</f>
        <v>3.9233233271894439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17.265698051316274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5.7</v>
      </c>
      <c r="BD140" s="13">
        <f>IF('Données projet'!$A$88&gt;35,BD139+BC140-BL139,IF(A140&lt;'Données projet'!$A$88,$BA$205^A140,IF(A140='Données projet'!$A$88,'Données projet'!$B$88,BD139+BC140-BL139)))</f>
        <v>276.39999999999998</v>
      </c>
      <c r="BE140" s="14">
        <f>BD140*VLOOKUP('Données projet'!$B$11,Paramètres!$A$1:$I$88,3,0)*VLOOKUP('Données projet'!$B$11,Paramètres!$A$1:$I$88,5,0)</f>
        <v>280.26960000000003</v>
      </c>
      <c r="BF140" s="14">
        <f t="shared" si="145"/>
        <v>67.023979919595945</v>
      </c>
      <c r="BG140" s="22">
        <f t="shared" si="115"/>
        <v>604.8696516932963</v>
      </c>
      <c r="BH140" s="60">
        <f t="shared" si="116"/>
        <v>889.86635710222163</v>
      </c>
      <c r="BI140" s="60">
        <f ca="1">AVERAGE(OFFSET($BH$3,0,0,'Données projet'!$E$11+1,1))-AVERAGE(OFFSET($H$3,0,0,'Données projet'!$E$11+1,1))</f>
        <v>108.30434106718693</v>
      </c>
      <c r="BJ140" s="60">
        <f t="shared" si="146"/>
        <v>67.653808657585842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15.762302026657849</v>
      </c>
      <c r="BQ140" s="23">
        <f>EXP(-LN(2)/25)*BQ139+(1-EXP(-LN(2)/25))/(LN(2)/25)*Calculateur!BL140*Calculateur!BN140*VLOOKUP('Données projet'!$B$11,Paramètres!$A$1:$I$88,3,0)*0.475*44/12</f>
        <v>0</v>
      </c>
      <c r="BR140" s="23">
        <f>EXP(-LN(2)/2)*BR139+(1-EXP(-LN(2)/2))/(LN(2)/2)*BL140*BO140*VLOOKUP('Données projet'!$B$11,Paramètres!$A$1:$I$88,3,0)*0.475*44/12</f>
        <v>0</v>
      </c>
      <c r="BS140" s="24">
        <f t="shared" si="117"/>
        <v>15.762302026657849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projet'!$B$12,Paramètres!$A$1:$I$88,3,0)*VLOOKUP('Données projet'!$B$12,Paramètres!$A$1:$I$88,5,0)</f>
        <v>0</v>
      </c>
      <c r="CA140" s="14" t="e">
        <f t="shared" si="147"/>
        <v>#NUM!</v>
      </c>
      <c r="CB140" s="22" t="e">
        <f t="shared" si="118"/>
        <v>#NUM!</v>
      </c>
      <c r="CC140" s="60" t="e">
        <f t="shared" si="119"/>
        <v>#NUM!</v>
      </c>
      <c r="CD140" s="60">
        <f ca="1">AVERAGE(OFFSET($CC$3,0,0,'Données projet'!$E$12+1,1))-AVERAGE(OFFSET($H$3,0,0,'Données projet'!$E$12+1,1))</f>
        <v>171.08593400758221</v>
      </c>
      <c r="CE140" s="60">
        <f t="shared" si="148"/>
        <v>201.9528484086932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projet'!$B$12,Paramètres!$A$1:$I$88,3,0)*0.475*44/12</f>
        <v>15.952179518278372</v>
      </c>
      <c r="CL140" s="23">
        <f>EXP(-LN(2)/25)*CL139+(1-EXP(-LN(2)/25))/(LN(2)/25)*Calculateur!CG140*Calculateur!CI140*VLOOKUP('Données projet'!$B$12,Paramètres!$A$1:$I$88,3,0)*0.475*44/12</f>
        <v>5.0469240827513264</v>
      </c>
      <c r="CM140" s="23">
        <f>EXP(-LN(2)/2)*CM139+(1-EXP(-LN(2)/2))/(LN(2)/2)*CG140*CJ140*VLOOKUP('Données projet'!$B$12,Paramètres!$A$1:$I$88,3,0)*0.475*44/12</f>
        <v>0</v>
      </c>
      <c r="CN140" s="24">
        <f t="shared" si="120"/>
        <v>20.999103601029699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projet'!$B$13,Paramètres!$A$1:$I$88,3,0)*VLOOKUP('Données projet'!$B$13,Paramètres!$A$1:$I$88,5,0)</f>
        <v>0</v>
      </c>
      <c r="CV140" s="14" t="e">
        <f t="shared" si="149"/>
        <v>#NUM!</v>
      </c>
      <c r="CW140" s="22" t="e">
        <f t="shared" si="121"/>
        <v>#NUM!</v>
      </c>
      <c r="CX140" s="60" t="e">
        <f t="shared" si="122"/>
        <v>#NUM!</v>
      </c>
      <c r="CY140" s="60">
        <f ca="1">AVERAGE(OFFSET($CX$3,0,0,'Données projet'!$E$13+1,1))-AVERAGE(OFFSET($H$3,0,0,'Données projet'!$E$13+1,1))</f>
        <v>283.66646124753868</v>
      </c>
      <c r="CZ140" s="60">
        <f t="shared" si="150"/>
        <v>331.61926649572797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projet'!$B$13,Paramètres!$A$1:$I$88,3,0)*0.475*44/12</f>
        <v>78.554803163790297</v>
      </c>
      <c r="DG140" s="23">
        <f>EXP(-LN(2)/25)*DG139+(1-EXP(-LN(2)/25))/(LN(2)/25)*Calculateur!DB140*Calculateur!DD140*VLOOKUP('Données projet'!$B$13,Paramètres!$A$1:$I$88,3,0)*0.475*44/12</f>
        <v>0</v>
      </c>
      <c r="DH140" s="23">
        <f>EXP(-LN(2)/2)*DH139+(1-EXP(-LN(2)/2))/(LN(2)/2)*DB140*DE140*VLOOKUP('Données projet'!$B$13,Paramètres!$A$1:$I$88,3,0)*0.475*44/12</f>
        <v>0</v>
      </c>
      <c r="DI140" s="24">
        <f t="shared" si="123"/>
        <v>78.554803163790297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1.1368683772161603E-13</v>
      </c>
      <c r="DP140" s="18">
        <f>DO140*VLOOKUP('Données projet'!$B$14,Paramètres!$A$1:$I$88,3,0)*VLOOKUP('Données projet'!$B$14,Paramètres!$A$1:$I$88,5,0)</f>
        <v>8.3355189417488869E-14</v>
      </c>
      <c r="DQ140" s="14">
        <f t="shared" si="151"/>
        <v>1.2790518435140618E-12</v>
      </c>
      <c r="DR140" s="22">
        <f t="shared" si="124"/>
        <v>2.3728589156891171E-12</v>
      </c>
      <c r="DS140" s="60">
        <f t="shared" si="125"/>
        <v>284.99670540892777</v>
      </c>
      <c r="DT140" s="60">
        <f ca="1">AVERAGE(OFFSET($DS$3,0,0,'Données projet'!$E$14+1,1))-AVERAGE(OFFSET($H$3,0,0,'Données projet'!$E$14+1,1))</f>
        <v>212.77458587586861</v>
      </c>
      <c r="DU140" s="60">
        <f t="shared" si="152"/>
        <v>260.45879589483513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projet'!$B$14,Paramètres!$A$1:$I$88,3,0)*0.475*44/12</f>
        <v>7.8112836181031078</v>
      </c>
      <c r="EB140" s="23">
        <f>EXP(-LN(2)/25)*EB139+(1-EXP(-LN(2)/25))/(LN(2)/25)*Calculateur!DW140*Calculateur!DY140*VLOOKUP('Données projet'!$B$14,Paramètres!$A$1:$I$88,3,0)*0.475*44/12</f>
        <v>2.3959180561227718</v>
      </c>
      <c r="EC140" s="23">
        <f>EXP(-LN(2)/2)*EC139+(1-EXP(-LN(2)/2))/(LN(2)/2)*DW140*DZ140*VLOOKUP('Données projet'!$B$14,Paramètres!$A$1:$I$88,3,0)*0.475*44/12</f>
        <v>0</v>
      </c>
      <c r="ED140" s="24">
        <f t="shared" si="126"/>
        <v>10.20720167422588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5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8">
        <f t="shared" si="110"/>
        <v>183.33333333333334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3.4106051316484809E-13</v>
      </c>
      <c r="O141" s="14">
        <f>N141*VLOOKUP('Données projet'!$B$9,Paramètres!$A$1:$I$88,3,0)*VLOOKUP('Données projet'!$B$9,Paramètres!$A$1:$I$88,5,0)</f>
        <v>1.9065282685915009E-13</v>
      </c>
      <c r="P141" s="14">
        <f t="shared" si="141"/>
        <v>2.6568987209435707E-12</v>
      </c>
      <c r="Q141" s="22">
        <f t="shared" si="108"/>
        <v>4.959485612423072E-12</v>
      </c>
      <c r="R141" s="60">
        <f t="shared" si="109"/>
        <v>285.14132726551088</v>
      </c>
      <c r="S141" s="60">
        <f ca="1">AVERAGE(OFFSET($R$3,0,0,'Données projet'!$E$9+1,1))-AVERAGE(OFFSET($H$3,0,0,'Données projet'!$E$9+1,1))</f>
        <v>366.29380214443631</v>
      </c>
      <c r="T141" s="60">
        <f t="shared" si="142"/>
        <v>413.14502442862897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51.128856508687257</v>
      </c>
      <c r="AA141" s="23">
        <f>EXP(-LN(2)/25)*AA140+(1-EXP(-LN(2)/25))/(LN(2)/25)*Calculateur!V141*Calculateur!X141*VLOOKUP('Données projet'!$B$9,Paramètres!$A$1:$I$88,3,0)*0.475*44/12</f>
        <v>15.243410862480435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66.372267371167695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452.49999999999989</v>
      </c>
      <c r="AJ141" s="14">
        <f>AI141*VLOOKUP('Données projet'!$B$10,Paramètres!$A$1:$I$88,3,0)*VLOOKUP('Données projet'!$B$10,Paramètres!$A$1:$I$88,5,0)</f>
        <v>395.30399999999992</v>
      </c>
      <c r="AK141" s="14">
        <f t="shared" si="143"/>
        <v>90.823969929029445</v>
      </c>
      <c r="AL141" s="22">
        <f t="shared" si="112"/>
        <v>846.67288095972606</v>
      </c>
      <c r="AM141" s="60">
        <f t="shared" si="113"/>
        <v>1131.8142082252321</v>
      </c>
      <c r="AN141" s="60">
        <f ca="1">AVERAGE(OFFSET($AM$3,0,0,'Données projet'!$E$10+1,1))-AVERAGE(OFFSET($H$3,0,0,'Données projet'!$E$10+1,1))</f>
        <v>436.5217771315057</v>
      </c>
      <c r="AO141" s="60">
        <f t="shared" si="144"/>
        <v>308.97310256098365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13.08073889383172</v>
      </c>
      <c r="AV141" s="23">
        <f>EXP(-LN(2)/25)*AV140+(1-EXP(-LN(2)/25))/(LN(2)/25)*Calculateur!AQ141*Calculateur!AS141*VLOOKUP('Données projet'!$B$10,Paramètres!$A$1:$I$88,3,0)*0.475*44/12</f>
        <v>3.8160398444888415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16.896778738320563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5.7</v>
      </c>
      <c r="BD141" s="13">
        <f>IF('Données projet'!$A$88&gt;35,BD140+BC141-BL140,IF(A141&lt;'Données projet'!$A$88,$BA$205^A141,IF(A141='Données projet'!$A$88,'Données projet'!$B$88,BD140+BC141-BL140)))</f>
        <v>282.09999999999997</v>
      </c>
      <c r="BE141" s="14">
        <f>BD141*VLOOKUP('Données projet'!$B$11,Paramètres!$A$1:$I$88,3,0)*VLOOKUP('Données projet'!$B$11,Paramètres!$A$1:$I$88,5,0)</f>
        <v>286.04939999999999</v>
      </c>
      <c r="BF141" s="14">
        <f t="shared" si="145"/>
        <v>68.243826289656184</v>
      </c>
      <c r="BG141" s="22">
        <f t="shared" si="115"/>
        <v>617.06070245448439</v>
      </c>
      <c r="BH141" s="60">
        <f t="shared" si="116"/>
        <v>902.20202971999038</v>
      </c>
      <c r="BI141" s="60">
        <f ca="1">AVERAGE(OFFSET($BH$3,0,0,'Données projet'!$E$11+1,1))-AVERAGE(OFFSET($H$3,0,0,'Données projet'!$E$11+1,1))</f>
        <v>108.30434106718693</v>
      </c>
      <c r="BJ141" s="60">
        <f t="shared" si="146"/>
        <v>67.653808657585842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15.453212897970015</v>
      </c>
      <c r="BQ141" s="23">
        <f>EXP(-LN(2)/25)*BQ140+(1-EXP(-LN(2)/25))/(LN(2)/25)*Calculateur!BL141*Calculateur!BN141*VLOOKUP('Données projet'!$B$11,Paramètres!$A$1:$I$88,3,0)*0.475*44/12</f>
        <v>0</v>
      </c>
      <c r="BR141" s="23">
        <f>EXP(-LN(2)/2)*BR140+(1-EXP(-LN(2)/2))/(LN(2)/2)*BL141*BO141*VLOOKUP('Données projet'!$B$11,Paramètres!$A$1:$I$88,3,0)*0.475*44/12</f>
        <v>0</v>
      </c>
      <c r="BS141" s="24">
        <f t="shared" si="117"/>
        <v>15.453212897970015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projet'!$B$12,Paramètres!$A$1:$I$88,3,0)*VLOOKUP('Données projet'!$B$12,Paramètres!$A$1:$I$88,5,0)</f>
        <v>0</v>
      </c>
      <c r="CA141" s="14" t="e">
        <f t="shared" si="147"/>
        <v>#NUM!</v>
      </c>
      <c r="CB141" s="22" t="e">
        <f t="shared" si="118"/>
        <v>#NUM!</v>
      </c>
      <c r="CC141" s="60" t="e">
        <f t="shared" si="119"/>
        <v>#NUM!</v>
      </c>
      <c r="CD141" s="60">
        <f ca="1">AVERAGE(OFFSET($CC$3,0,0,'Données projet'!$E$12+1,1))-AVERAGE(OFFSET($H$3,0,0,'Données projet'!$E$12+1,1))</f>
        <v>171.08593400758221</v>
      </c>
      <c r="CE141" s="60">
        <f t="shared" si="148"/>
        <v>201.9528484086932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projet'!$B$12,Paramètres!$A$1:$I$88,3,0)*0.475*44/12</f>
        <v>15.639367007793695</v>
      </c>
      <c r="CL141" s="23">
        <f>EXP(-LN(2)/25)*CL140+(1-EXP(-LN(2)/25))/(LN(2)/25)*Calculateur!CG141*Calculateur!CI141*VLOOKUP('Données projet'!$B$12,Paramètres!$A$1:$I$88,3,0)*0.475*44/12</f>
        <v>4.9089156783022885</v>
      </c>
      <c r="CM141" s="23">
        <f>EXP(-LN(2)/2)*CM140+(1-EXP(-LN(2)/2))/(LN(2)/2)*CG141*CJ141*VLOOKUP('Données projet'!$B$12,Paramètres!$A$1:$I$88,3,0)*0.475*44/12</f>
        <v>0</v>
      </c>
      <c r="CN141" s="24">
        <f t="shared" si="120"/>
        <v>20.548282686095984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projet'!$B$13,Paramètres!$A$1:$I$88,3,0)*VLOOKUP('Données projet'!$B$13,Paramètres!$A$1:$I$88,5,0)</f>
        <v>0</v>
      </c>
      <c r="CV141" s="14" t="e">
        <f t="shared" si="149"/>
        <v>#NUM!</v>
      </c>
      <c r="CW141" s="22" t="e">
        <f t="shared" si="121"/>
        <v>#NUM!</v>
      </c>
      <c r="CX141" s="60" t="e">
        <f t="shared" si="122"/>
        <v>#NUM!</v>
      </c>
      <c r="CY141" s="60">
        <f ca="1">AVERAGE(OFFSET($CX$3,0,0,'Données projet'!$E$13+1,1))-AVERAGE(OFFSET($H$3,0,0,'Données projet'!$E$13+1,1))</f>
        <v>283.66646124753868</v>
      </c>
      <c r="CZ141" s="60">
        <f t="shared" si="150"/>
        <v>331.61926649572797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projet'!$B$13,Paramètres!$A$1:$I$88,3,0)*0.475*44/12</f>
        <v>77.014391387447219</v>
      </c>
      <c r="DG141" s="23">
        <f>EXP(-LN(2)/25)*DG140+(1-EXP(-LN(2)/25))/(LN(2)/25)*Calculateur!DB141*Calculateur!DD141*VLOOKUP('Données projet'!$B$13,Paramètres!$A$1:$I$88,3,0)*0.475*44/12</f>
        <v>0</v>
      </c>
      <c r="DH141" s="23">
        <f>EXP(-LN(2)/2)*DH140+(1-EXP(-LN(2)/2))/(LN(2)/2)*DB141*DE141*VLOOKUP('Données projet'!$B$13,Paramètres!$A$1:$I$88,3,0)*0.475*44/12</f>
        <v>0</v>
      </c>
      <c r="DI141" s="24">
        <f t="shared" si="123"/>
        <v>77.014391387447219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1.1368683772161603E-13</v>
      </c>
      <c r="DP141" s="18">
        <f>DO141*VLOOKUP('Données projet'!$B$14,Paramètres!$A$1:$I$88,3,0)*VLOOKUP('Données projet'!$B$14,Paramètres!$A$1:$I$88,5,0)</f>
        <v>8.3355189417488869E-14</v>
      </c>
      <c r="DQ141" s="14">
        <f t="shared" si="151"/>
        <v>1.2790518435140618E-12</v>
      </c>
      <c r="DR141" s="22">
        <f t="shared" si="124"/>
        <v>2.3728589156891171E-12</v>
      </c>
      <c r="DS141" s="60">
        <f t="shared" si="125"/>
        <v>285.14132726550832</v>
      </c>
      <c r="DT141" s="60">
        <f ca="1">AVERAGE(OFFSET($DS$3,0,0,'Données projet'!$E$14+1,1))-AVERAGE(OFFSET($H$3,0,0,'Données projet'!$E$14+1,1))</f>
        <v>212.77458587586861</v>
      </c>
      <c r="DU141" s="60">
        <f t="shared" si="152"/>
        <v>260.45879589483513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projet'!$B$14,Paramètres!$A$1:$I$88,3,0)*0.475*44/12</f>
        <v>7.6581091107646664</v>
      </c>
      <c r="EB141" s="23">
        <f>EXP(-LN(2)/25)*EB140+(1-EXP(-LN(2)/25))/(LN(2)/25)*Calculateur!DW141*Calculateur!DY141*VLOOKUP('Données projet'!$B$14,Paramètres!$A$1:$I$88,3,0)*0.475*44/12</f>
        <v>2.33040155088224</v>
      </c>
      <c r="EC141" s="23">
        <f>EXP(-LN(2)/2)*EC140+(1-EXP(-LN(2)/2))/(LN(2)/2)*DW141*DZ141*VLOOKUP('Données projet'!$B$14,Paramètres!$A$1:$I$88,3,0)*0.475*44/12</f>
        <v>0</v>
      </c>
      <c r="ED141" s="24">
        <f t="shared" si="126"/>
        <v>9.9885106616469059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5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8">
        <f t="shared" si="110"/>
        <v>183.33333333333334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3.4106051316484809E-13</v>
      </c>
      <c r="O142" s="14">
        <f>N142*VLOOKUP('Données projet'!$B$9,Paramètres!$A$1:$I$88,3,0)*VLOOKUP('Données projet'!$B$9,Paramètres!$A$1:$I$88,5,0)</f>
        <v>1.9065282685915009E-13</v>
      </c>
      <c r="P142" s="14">
        <f t="shared" si="141"/>
        <v>2.6568987209435707E-12</v>
      </c>
      <c r="Q142" s="22">
        <f t="shared" si="108"/>
        <v>4.959485612423072E-12</v>
      </c>
      <c r="R142" s="60">
        <f t="shared" si="109"/>
        <v>285.28344025620584</v>
      </c>
      <c r="S142" s="60">
        <f ca="1">AVERAGE(OFFSET($R$3,0,0,'Données projet'!$E$9+1,1))-AVERAGE(OFFSET($H$3,0,0,'Données projet'!$E$9+1,1))</f>
        <v>366.29380214443631</v>
      </c>
      <c r="T142" s="60">
        <f t="shared" si="142"/>
        <v>413.14502442862897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50.126250818075057</v>
      </c>
      <c r="AA142" s="23">
        <f>EXP(-LN(2)/25)*AA141+(1-EXP(-LN(2)/25))/(LN(2)/25)*Calculateur!V142*Calculateur!X142*VLOOKUP('Données projet'!$B$9,Paramètres!$A$1:$I$88,3,0)*0.475*44/12</f>
        <v>14.82657899082977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64.952829808904823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452.49999999999989</v>
      </c>
      <c r="AJ142" s="14">
        <f>AI142*VLOOKUP('Données projet'!$B$10,Paramètres!$A$1:$I$88,3,0)*VLOOKUP('Données projet'!$B$10,Paramètres!$A$1:$I$88,5,0)</f>
        <v>395.30399999999992</v>
      </c>
      <c r="AK142" s="14">
        <f t="shared" si="143"/>
        <v>90.823969929029445</v>
      </c>
      <c r="AL142" s="22">
        <f t="shared" si="112"/>
        <v>846.67288095972606</v>
      </c>
      <c r="AM142" s="60">
        <f t="shared" si="113"/>
        <v>1131.9563212159269</v>
      </c>
      <c r="AN142" s="60">
        <f ca="1">AVERAGE(OFFSET($AM$3,0,0,'Données projet'!$E$10+1,1))-AVERAGE(OFFSET($H$3,0,0,'Données projet'!$E$10+1,1))</f>
        <v>436.5217771315057</v>
      </c>
      <c r="AO142" s="60">
        <f t="shared" si="144"/>
        <v>308.97310256098365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12.824233582586597</v>
      </c>
      <c r="AV142" s="23">
        <f>EXP(-LN(2)/25)*AV141+(1-EXP(-LN(2)/25))/(LN(2)/25)*Calculateur!AQ142*Calculateur!AS142*VLOOKUP('Données projet'!$B$10,Paramètres!$A$1:$I$88,3,0)*0.475*44/12</f>
        <v>3.7116900342644805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16.535923616851079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5.7</v>
      </c>
      <c r="BD142" s="13">
        <f>IF('Données projet'!$A$88&gt;35,BD141+BC142-BL141,IF(A142&lt;'Données projet'!$A$88,$BA$205^A142,IF(A142='Données projet'!$A$88,'Données projet'!$B$88,BD141+BC142-BL141)))</f>
        <v>287.79999999999995</v>
      </c>
      <c r="BE142" s="14">
        <f>BD142*VLOOKUP('Données projet'!$B$11,Paramètres!$A$1:$I$88,3,0)*VLOOKUP('Données projet'!$B$11,Paramètres!$A$1:$I$88,5,0)</f>
        <v>291.82919999999996</v>
      </c>
      <c r="BF142" s="14">
        <f t="shared" si="145"/>
        <v>69.460806829144957</v>
      </c>
      <c r="BG142" s="22">
        <f t="shared" si="115"/>
        <v>629.24676189409399</v>
      </c>
      <c r="BH142" s="60">
        <f t="shared" si="116"/>
        <v>914.53020215029483</v>
      </c>
      <c r="BI142" s="60">
        <f ca="1">AVERAGE(OFFSET($BH$3,0,0,'Données projet'!$E$11+1,1))-AVERAGE(OFFSET($H$3,0,0,'Données projet'!$E$11+1,1))</f>
        <v>108.30434106718693</v>
      </c>
      <c r="BJ142" s="60">
        <f t="shared" si="146"/>
        <v>67.653808657585842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15.150184818569997</v>
      </c>
      <c r="BQ142" s="23">
        <f>EXP(-LN(2)/25)*BQ141+(1-EXP(-LN(2)/25))/(LN(2)/25)*Calculateur!BL142*Calculateur!BN142*VLOOKUP('Données projet'!$B$11,Paramètres!$A$1:$I$88,3,0)*0.475*44/12</f>
        <v>0</v>
      </c>
      <c r="BR142" s="23">
        <f>EXP(-LN(2)/2)*BR141+(1-EXP(-LN(2)/2))/(LN(2)/2)*BL142*BO142*VLOOKUP('Données projet'!$B$11,Paramètres!$A$1:$I$88,3,0)*0.475*44/12</f>
        <v>0</v>
      </c>
      <c r="BS142" s="24">
        <f t="shared" si="117"/>
        <v>15.150184818569997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projet'!$B$12,Paramètres!$A$1:$I$88,3,0)*VLOOKUP('Données projet'!$B$12,Paramètres!$A$1:$I$88,5,0)</f>
        <v>0</v>
      </c>
      <c r="CA142" s="14" t="e">
        <f t="shared" si="147"/>
        <v>#NUM!</v>
      </c>
      <c r="CB142" s="22" t="e">
        <f t="shared" si="118"/>
        <v>#NUM!</v>
      </c>
      <c r="CC142" s="60" t="e">
        <f t="shared" si="119"/>
        <v>#NUM!</v>
      </c>
      <c r="CD142" s="60">
        <f ca="1">AVERAGE(OFFSET($CC$3,0,0,'Données projet'!$E$12+1,1))-AVERAGE(OFFSET($H$3,0,0,'Données projet'!$E$12+1,1))</f>
        <v>171.08593400758221</v>
      </c>
      <c r="CE142" s="60">
        <f t="shared" si="148"/>
        <v>201.9528484086932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projet'!$B$12,Paramètres!$A$1:$I$88,3,0)*0.475*44/12</f>
        <v>15.332688559842829</v>
      </c>
      <c r="CL142" s="23">
        <f>EXP(-LN(2)/25)*CL141+(1-EXP(-LN(2)/25))/(LN(2)/25)*Calculateur!CG142*Calculateur!CI142*VLOOKUP('Données projet'!$B$12,Paramètres!$A$1:$I$88,3,0)*0.475*44/12</f>
        <v>4.774681120930456</v>
      </c>
      <c r="CM142" s="23">
        <f>EXP(-LN(2)/2)*CM141+(1-EXP(-LN(2)/2))/(LN(2)/2)*CG142*CJ142*VLOOKUP('Données projet'!$B$12,Paramètres!$A$1:$I$88,3,0)*0.475*44/12</f>
        <v>0</v>
      </c>
      <c r="CN142" s="24">
        <f t="shared" si="120"/>
        <v>20.107369680773285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projet'!$B$13,Paramètres!$A$1:$I$88,3,0)*VLOOKUP('Données projet'!$B$13,Paramètres!$A$1:$I$88,5,0)</f>
        <v>0</v>
      </c>
      <c r="CV142" s="14" t="e">
        <f t="shared" si="149"/>
        <v>#NUM!</v>
      </c>
      <c r="CW142" s="22" t="e">
        <f t="shared" si="121"/>
        <v>#NUM!</v>
      </c>
      <c r="CX142" s="60" t="e">
        <f t="shared" si="122"/>
        <v>#NUM!</v>
      </c>
      <c r="CY142" s="60">
        <f ca="1">AVERAGE(OFFSET($CX$3,0,0,'Données projet'!$E$13+1,1))-AVERAGE(OFFSET($H$3,0,0,'Données projet'!$E$13+1,1))</f>
        <v>283.66646124753868</v>
      </c>
      <c r="CZ142" s="60">
        <f t="shared" si="150"/>
        <v>331.61926649572797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projet'!$B$13,Paramètres!$A$1:$I$88,3,0)*0.475*44/12</f>
        <v>75.50418614647981</v>
      </c>
      <c r="DG142" s="23">
        <f>EXP(-LN(2)/25)*DG141+(1-EXP(-LN(2)/25))/(LN(2)/25)*Calculateur!DB142*Calculateur!DD142*VLOOKUP('Données projet'!$B$13,Paramètres!$A$1:$I$88,3,0)*0.475*44/12</f>
        <v>0</v>
      </c>
      <c r="DH142" s="23">
        <f>EXP(-LN(2)/2)*DH141+(1-EXP(-LN(2)/2))/(LN(2)/2)*DB142*DE142*VLOOKUP('Données projet'!$B$13,Paramètres!$A$1:$I$88,3,0)*0.475*44/12</f>
        <v>0</v>
      </c>
      <c r="DI142" s="24">
        <f t="shared" si="123"/>
        <v>75.50418614647981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1.1368683772161603E-13</v>
      </c>
      <c r="DP142" s="18">
        <f>DO142*VLOOKUP('Données projet'!$B$14,Paramètres!$A$1:$I$88,3,0)*VLOOKUP('Données projet'!$B$14,Paramètres!$A$1:$I$88,5,0)</f>
        <v>8.3355189417488869E-14</v>
      </c>
      <c r="DQ142" s="14">
        <f t="shared" si="151"/>
        <v>1.2790518435140618E-12</v>
      </c>
      <c r="DR142" s="22">
        <f t="shared" si="124"/>
        <v>2.3728589156891171E-12</v>
      </c>
      <c r="DS142" s="60">
        <f t="shared" si="125"/>
        <v>285.28344025620328</v>
      </c>
      <c r="DT142" s="60">
        <f ca="1">AVERAGE(OFFSET($DS$3,0,0,'Données projet'!$E$14+1,1))-AVERAGE(OFFSET($H$3,0,0,'Données projet'!$E$14+1,1))</f>
        <v>212.77458587586861</v>
      </c>
      <c r="DU142" s="60">
        <f t="shared" si="152"/>
        <v>260.45879589483513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projet'!$B$14,Paramètres!$A$1:$I$88,3,0)*0.475*44/12</f>
        <v>7.5079382620879072</v>
      </c>
      <c r="EB142" s="23">
        <f>EXP(-LN(2)/25)*EB141+(1-EXP(-LN(2)/25))/(LN(2)/25)*Calculateur!DW142*Calculateur!DY142*VLOOKUP('Données projet'!$B$14,Paramètres!$A$1:$I$88,3,0)*0.475*44/12</f>
        <v>2.2666765979228738</v>
      </c>
      <c r="EC142" s="23">
        <f>EXP(-LN(2)/2)*EC141+(1-EXP(-LN(2)/2))/(LN(2)/2)*DW142*DZ142*VLOOKUP('Données projet'!$B$14,Paramètres!$A$1:$I$88,3,0)*0.475*44/12</f>
        <v>0</v>
      </c>
      <c r="ED142" s="24">
        <f t="shared" si="126"/>
        <v>9.7746148600107805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5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8">
        <f t="shared" si="110"/>
        <v>183.33333333333334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3.4106051316484809E-13</v>
      </c>
      <c r="O143" s="14">
        <f>N143*VLOOKUP('Données projet'!$B$9,Paramètres!$A$1:$I$88,3,0)*VLOOKUP('Données projet'!$B$9,Paramètres!$A$1:$I$88,5,0)</f>
        <v>1.9065282685915009E-13</v>
      </c>
      <c r="P143" s="14">
        <f t="shared" si="141"/>
        <v>2.6568987209435707E-12</v>
      </c>
      <c r="Q143" s="22">
        <f t="shared" si="108"/>
        <v>4.959485612423072E-12</v>
      </c>
      <c r="R143" s="60">
        <f t="shared" si="109"/>
        <v>285.42308790422931</v>
      </c>
      <c r="S143" s="60">
        <f ca="1">AVERAGE(OFFSET($R$3,0,0,'Données projet'!$E$9+1,1))-AVERAGE(OFFSET($H$3,0,0,'Données projet'!$E$9+1,1))</f>
        <v>366.29380214443631</v>
      </c>
      <c r="T143" s="60">
        <f t="shared" si="142"/>
        <v>413.14502442862897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49.143305613526671</v>
      </c>
      <c r="AA143" s="23">
        <f>EXP(-LN(2)/25)*AA142+(1-EXP(-LN(2)/25))/(LN(2)/25)*Calculateur!V143*Calculateur!X143*VLOOKUP('Données projet'!$B$9,Paramètres!$A$1:$I$88,3,0)*0.475*44/12</f>
        <v>14.421145408629627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63.564451022156298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452.49999999999989</v>
      </c>
      <c r="AJ143" s="14">
        <f>AI143*VLOOKUP('Données projet'!$B$10,Paramètres!$A$1:$I$88,3,0)*VLOOKUP('Données projet'!$B$10,Paramètres!$A$1:$I$88,5,0)</f>
        <v>395.30399999999992</v>
      </c>
      <c r="AK143" s="14">
        <f t="shared" si="143"/>
        <v>90.823969929029445</v>
      </c>
      <c r="AL143" s="22">
        <f t="shared" si="112"/>
        <v>846.67288095972606</v>
      </c>
      <c r="AM143" s="60">
        <f t="shared" si="113"/>
        <v>1132.0959688639505</v>
      </c>
      <c r="AN143" s="60">
        <f ca="1">AVERAGE(OFFSET($AM$3,0,0,'Données projet'!$E$10+1,1))-AVERAGE(OFFSET($H$3,0,0,'Données projet'!$E$10+1,1))</f>
        <v>436.5217771315057</v>
      </c>
      <c r="AO143" s="60">
        <f t="shared" si="144"/>
        <v>308.97310256098365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12.5727581840422</v>
      </c>
      <c r="AV143" s="23">
        <f>EXP(-LN(2)/25)*AV142+(1-EXP(-LN(2)/25))/(LN(2)/25)*Calculateur!AQ143*Calculateur!AS143*VLOOKUP('Données projet'!$B$10,Paramètres!$A$1:$I$88,3,0)*0.475*44/12</f>
        <v>3.6101936750882224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16.182951859130423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5.7</v>
      </c>
      <c r="BD143" s="13">
        <f>IF('Données projet'!$A$88&gt;35,BD142+BC143-BL142,IF(A143&lt;'Données projet'!$A$88,$BA$205^A143,IF(A143='Données projet'!$A$88,'Données projet'!$B$88,BD142+BC143-BL142)))</f>
        <v>293.49999999999994</v>
      </c>
      <c r="BE143" s="14">
        <f>BD143*VLOOKUP('Données projet'!$B$11,Paramètres!$A$1:$I$88,3,0)*VLOOKUP('Données projet'!$B$11,Paramètres!$A$1:$I$88,5,0)</f>
        <v>297.60899999999998</v>
      </c>
      <c r="BF143" s="14">
        <f t="shared" si="145"/>
        <v>70.674984839154348</v>
      </c>
      <c r="BG143" s="22">
        <f t="shared" si="115"/>
        <v>641.42794026152706</v>
      </c>
      <c r="BH143" s="60">
        <f t="shared" si="116"/>
        <v>926.85102816575136</v>
      </c>
      <c r="BI143" s="60">
        <f ca="1">AVERAGE(OFFSET($BH$3,0,0,'Données projet'!$E$11+1,1))-AVERAGE(OFFSET($H$3,0,0,'Données projet'!$E$11+1,1))</f>
        <v>108.30434106718693</v>
      </c>
      <c r="BJ143" s="60">
        <f t="shared" si="146"/>
        <v>67.653808657585842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14.853098934978135</v>
      </c>
      <c r="BQ143" s="23">
        <f>EXP(-LN(2)/25)*BQ142+(1-EXP(-LN(2)/25))/(LN(2)/25)*Calculateur!BL143*Calculateur!BN143*VLOOKUP('Données projet'!$B$11,Paramètres!$A$1:$I$88,3,0)*0.475*44/12</f>
        <v>0</v>
      </c>
      <c r="BR143" s="23">
        <f>EXP(-LN(2)/2)*BR142+(1-EXP(-LN(2)/2))/(LN(2)/2)*BL143*BO143*VLOOKUP('Données projet'!$B$11,Paramètres!$A$1:$I$88,3,0)*0.475*44/12</f>
        <v>0</v>
      </c>
      <c r="BS143" s="24">
        <f t="shared" si="117"/>
        <v>14.853098934978135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projet'!$B$12,Paramètres!$A$1:$I$88,3,0)*VLOOKUP('Données projet'!$B$12,Paramètres!$A$1:$I$88,5,0)</f>
        <v>0</v>
      </c>
      <c r="CA143" s="14" t="e">
        <f t="shared" si="147"/>
        <v>#NUM!</v>
      </c>
      <c r="CB143" s="22" t="e">
        <f t="shared" si="118"/>
        <v>#NUM!</v>
      </c>
      <c r="CC143" s="60" t="e">
        <f t="shared" si="119"/>
        <v>#NUM!</v>
      </c>
      <c r="CD143" s="60">
        <f ca="1">AVERAGE(OFFSET($CC$3,0,0,'Données projet'!$E$12+1,1))-AVERAGE(OFFSET($H$3,0,0,'Données projet'!$E$12+1,1))</f>
        <v>171.08593400758221</v>
      </c>
      <c r="CE143" s="60">
        <f t="shared" si="148"/>
        <v>201.9528484086932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projet'!$B$12,Paramètres!$A$1:$I$88,3,0)*0.475*44/12</f>
        <v>15.032023889200898</v>
      </c>
      <c r="CL143" s="23">
        <f>EXP(-LN(2)/25)*CL142+(1-EXP(-LN(2)/25))/(LN(2)/25)*Calculateur!CG143*Calculateur!CI143*VLOOKUP('Données projet'!$B$12,Paramètres!$A$1:$I$88,3,0)*0.475*44/12</f>
        <v>4.6441172145890457</v>
      </c>
      <c r="CM143" s="23">
        <f>EXP(-LN(2)/2)*CM142+(1-EXP(-LN(2)/2))/(LN(2)/2)*CG143*CJ143*VLOOKUP('Données projet'!$B$12,Paramètres!$A$1:$I$88,3,0)*0.475*44/12</f>
        <v>0</v>
      </c>
      <c r="CN143" s="24">
        <f t="shared" si="120"/>
        <v>19.676141103789945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projet'!$B$13,Paramètres!$A$1:$I$88,3,0)*VLOOKUP('Données projet'!$B$13,Paramètres!$A$1:$I$88,5,0)</f>
        <v>0</v>
      </c>
      <c r="CV143" s="14" t="e">
        <f t="shared" si="149"/>
        <v>#NUM!</v>
      </c>
      <c r="CW143" s="22" t="e">
        <f t="shared" si="121"/>
        <v>#NUM!</v>
      </c>
      <c r="CX143" s="60" t="e">
        <f t="shared" si="122"/>
        <v>#NUM!</v>
      </c>
      <c r="CY143" s="60">
        <f ca="1">AVERAGE(OFFSET($CX$3,0,0,'Données projet'!$E$13+1,1))-AVERAGE(OFFSET($H$3,0,0,'Données projet'!$E$13+1,1))</f>
        <v>283.66646124753868</v>
      </c>
      <c r="CZ143" s="60">
        <f t="shared" si="150"/>
        <v>331.61926649572797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projet'!$B$13,Paramètres!$A$1:$I$88,3,0)*0.475*44/12</f>
        <v>74.023595109153533</v>
      </c>
      <c r="DG143" s="23">
        <f>EXP(-LN(2)/25)*DG142+(1-EXP(-LN(2)/25))/(LN(2)/25)*Calculateur!DB143*Calculateur!DD143*VLOOKUP('Données projet'!$B$13,Paramètres!$A$1:$I$88,3,0)*0.475*44/12</f>
        <v>0</v>
      </c>
      <c r="DH143" s="23">
        <f>EXP(-LN(2)/2)*DH142+(1-EXP(-LN(2)/2))/(LN(2)/2)*DB143*DE143*VLOOKUP('Données projet'!$B$13,Paramètres!$A$1:$I$88,3,0)*0.475*44/12</f>
        <v>0</v>
      </c>
      <c r="DI143" s="24">
        <f t="shared" si="123"/>
        <v>74.023595109153533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1.1368683772161603E-13</v>
      </c>
      <c r="DP143" s="18">
        <f>DO143*VLOOKUP('Données projet'!$B$14,Paramètres!$A$1:$I$88,3,0)*VLOOKUP('Données projet'!$B$14,Paramètres!$A$1:$I$88,5,0)</f>
        <v>8.3355189417488869E-14</v>
      </c>
      <c r="DQ143" s="14">
        <f t="shared" si="151"/>
        <v>1.2790518435140618E-12</v>
      </c>
      <c r="DR143" s="22">
        <f t="shared" si="124"/>
        <v>2.3728589156891171E-12</v>
      </c>
      <c r="DS143" s="60">
        <f t="shared" si="125"/>
        <v>285.42308790422675</v>
      </c>
      <c r="DT143" s="60">
        <f ca="1">AVERAGE(OFFSET($DS$3,0,0,'Données projet'!$E$14+1,1))-AVERAGE(OFFSET($H$3,0,0,'Données projet'!$E$14+1,1))</f>
        <v>212.77458587586861</v>
      </c>
      <c r="DU143" s="60">
        <f t="shared" si="152"/>
        <v>260.45879589483513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projet'!$B$14,Paramètres!$A$1:$I$88,3,0)*0.475*44/12</f>
        <v>7.360712172158526</v>
      </c>
      <c r="EB143" s="23">
        <f>EXP(-LN(2)/25)*EB142+(1-EXP(-LN(2)/25))/(LN(2)/25)*Calculateur!DW143*Calculateur!DY143*VLOOKUP('Données projet'!$B$14,Paramètres!$A$1:$I$88,3,0)*0.475*44/12</f>
        <v>2.2046942071533309</v>
      </c>
      <c r="EC143" s="23">
        <f>EXP(-LN(2)/2)*EC142+(1-EXP(-LN(2)/2))/(LN(2)/2)*DW143*DZ143*VLOOKUP('Données projet'!$B$14,Paramètres!$A$1:$I$88,3,0)*0.475*44/12</f>
        <v>0</v>
      </c>
      <c r="ED143" s="24">
        <f t="shared" si="126"/>
        <v>9.565406379311856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5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8">
        <f t="shared" si="110"/>
        <v>183.33333333333334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3.4106051316484809E-13</v>
      </c>
      <c r="O144" s="14">
        <f>N144*VLOOKUP('Données projet'!$B$9,Paramètres!$A$1:$I$88,3,0)*VLOOKUP('Données projet'!$B$9,Paramètres!$A$1:$I$88,5,0)</f>
        <v>1.9065282685915009E-13</v>
      </c>
      <c r="P144" s="14">
        <f t="shared" si="141"/>
        <v>2.6568987209435707E-12</v>
      </c>
      <c r="Q144" s="22">
        <f t="shared" si="108"/>
        <v>4.959485612423072E-12</v>
      </c>
      <c r="R144" s="60">
        <f t="shared" si="109"/>
        <v>285.56031297776497</v>
      </c>
      <c r="S144" s="60">
        <f ca="1">AVERAGE(OFFSET($R$3,0,0,'Données projet'!$E$9+1,1))-AVERAGE(OFFSET($H$3,0,0,'Données projet'!$E$9+1,1))</f>
        <v>366.29380214443631</v>
      </c>
      <c r="T144" s="60">
        <f t="shared" si="142"/>
        <v>413.14502442862897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48.179635364902104</v>
      </c>
      <c r="AA144" s="23">
        <f>EXP(-LN(2)/25)*AA143+(1-EXP(-LN(2)/25))/(LN(2)/25)*Calculateur!V144*Calculateur!X144*VLOOKUP('Données projet'!$B$9,Paramètres!$A$1:$I$88,3,0)*0.475*44/12</f>
        <v>14.026798429055573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62.206433793957679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452.49999999999989</v>
      </c>
      <c r="AJ144" s="14">
        <f>AI144*VLOOKUP('Données projet'!$B$10,Paramètres!$A$1:$I$88,3,0)*VLOOKUP('Données projet'!$B$10,Paramètres!$A$1:$I$88,5,0)</f>
        <v>395.30399999999992</v>
      </c>
      <c r="AK144" s="14">
        <f t="shared" si="143"/>
        <v>90.823969929029445</v>
      </c>
      <c r="AL144" s="22">
        <f t="shared" si="112"/>
        <v>846.67288095972606</v>
      </c>
      <c r="AM144" s="60">
        <f t="shared" si="113"/>
        <v>1132.233193937486</v>
      </c>
      <c r="AN144" s="60">
        <f ca="1">AVERAGE(OFFSET($AM$3,0,0,'Données projet'!$E$10+1,1))-AVERAGE(OFFSET($H$3,0,0,'Données projet'!$E$10+1,1))</f>
        <v>436.5217771315057</v>
      </c>
      <c r="AO144" s="60">
        <f t="shared" si="144"/>
        <v>308.97310256098365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12.326214064678412</v>
      </c>
      <c r="AV144" s="23">
        <f>EXP(-LN(2)/25)*AV143+(1-EXP(-LN(2)/25))/(LN(2)/25)*Calculateur!AQ144*Calculateur!AS144*VLOOKUP('Données projet'!$B$10,Paramètres!$A$1:$I$88,3,0)*0.475*44/12</f>
        <v>3.5114727391911007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15.837686803869513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5.7</v>
      </c>
      <c r="BD144" s="13">
        <f>IF('Données projet'!$A$88&gt;35,BD143+BC144-BL143,IF(A144&lt;'Données projet'!$A$88,$BA$205^A144,IF(A144='Données projet'!$A$88,'Données projet'!$B$88,BD143+BC144-BL143)))</f>
        <v>299.19999999999993</v>
      </c>
      <c r="BE144" s="14">
        <f>BD144*VLOOKUP('Données projet'!$B$11,Paramètres!$A$1:$I$88,3,0)*VLOOKUP('Données projet'!$B$11,Paramètres!$A$1:$I$88,5,0)</f>
        <v>303.38879999999995</v>
      </c>
      <c r="BF144" s="14">
        <f t="shared" si="145"/>
        <v>71.886421021414407</v>
      </c>
      <c r="BG144" s="22">
        <f t="shared" si="115"/>
        <v>653.60434327896337</v>
      </c>
      <c r="BH144" s="60">
        <f t="shared" si="116"/>
        <v>939.16465625672345</v>
      </c>
      <c r="BI144" s="60">
        <f ca="1">AVERAGE(OFFSET($BH$3,0,0,'Données projet'!$E$11+1,1))-AVERAGE(OFFSET($H$3,0,0,'Données projet'!$E$11+1,1))</f>
        <v>108.30434106718693</v>
      </c>
      <c r="BJ144" s="60">
        <f t="shared" si="146"/>
        <v>67.653808657585842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14.561838724359013</v>
      </c>
      <c r="BQ144" s="23">
        <f>EXP(-LN(2)/25)*BQ143+(1-EXP(-LN(2)/25))/(LN(2)/25)*Calculateur!BL144*Calculateur!BN144*VLOOKUP('Données projet'!$B$11,Paramètres!$A$1:$I$88,3,0)*0.475*44/12</f>
        <v>0</v>
      </c>
      <c r="BR144" s="23">
        <f>EXP(-LN(2)/2)*BR143+(1-EXP(-LN(2)/2))/(LN(2)/2)*BL144*BO144*VLOOKUP('Données projet'!$B$11,Paramètres!$A$1:$I$88,3,0)*0.475*44/12</f>
        <v>0</v>
      </c>
      <c r="BS144" s="24">
        <f t="shared" si="117"/>
        <v>14.561838724359013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projet'!$B$12,Paramètres!$A$1:$I$88,3,0)*VLOOKUP('Données projet'!$B$12,Paramètres!$A$1:$I$88,5,0)</f>
        <v>0</v>
      </c>
      <c r="CA144" s="14" t="e">
        <f t="shared" si="147"/>
        <v>#NUM!</v>
      </c>
      <c r="CB144" s="22" t="e">
        <f t="shared" si="118"/>
        <v>#NUM!</v>
      </c>
      <c r="CC144" s="60" t="e">
        <f t="shared" si="119"/>
        <v>#NUM!</v>
      </c>
      <c r="CD144" s="60">
        <f ca="1">AVERAGE(OFFSET($CC$3,0,0,'Données projet'!$E$12+1,1))-AVERAGE(OFFSET($H$3,0,0,'Données projet'!$E$12+1,1))</f>
        <v>171.08593400758221</v>
      </c>
      <c r="CE144" s="60">
        <f t="shared" si="148"/>
        <v>201.9528484086932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projet'!$B$12,Paramètres!$A$1:$I$88,3,0)*0.475*44/12</f>
        <v>14.737255069362915</v>
      </c>
      <c r="CL144" s="23">
        <f>EXP(-LN(2)/25)*CL143+(1-EXP(-LN(2)/25))/(LN(2)/25)*Calculateur!CG144*Calculateur!CI144*VLOOKUP('Données projet'!$B$12,Paramètres!$A$1:$I$88,3,0)*0.475*44/12</f>
        <v>4.5171235851325982</v>
      </c>
      <c r="CM144" s="23">
        <f>EXP(-LN(2)/2)*CM143+(1-EXP(-LN(2)/2))/(LN(2)/2)*CG144*CJ144*VLOOKUP('Données projet'!$B$12,Paramètres!$A$1:$I$88,3,0)*0.475*44/12</f>
        <v>0</v>
      </c>
      <c r="CN144" s="24">
        <f t="shared" si="120"/>
        <v>19.254378654495511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projet'!$B$13,Paramètres!$A$1:$I$88,3,0)*VLOOKUP('Données projet'!$B$13,Paramètres!$A$1:$I$88,5,0)</f>
        <v>0</v>
      </c>
      <c r="CV144" s="14" t="e">
        <f t="shared" si="149"/>
        <v>#NUM!</v>
      </c>
      <c r="CW144" s="22" t="e">
        <f t="shared" si="121"/>
        <v>#NUM!</v>
      </c>
      <c r="CX144" s="60" t="e">
        <f t="shared" si="122"/>
        <v>#NUM!</v>
      </c>
      <c r="CY144" s="60">
        <f ca="1">AVERAGE(OFFSET($CX$3,0,0,'Données projet'!$E$13+1,1))-AVERAGE(OFFSET($H$3,0,0,'Données projet'!$E$13+1,1))</f>
        <v>283.66646124753868</v>
      </c>
      <c r="CZ144" s="60">
        <f t="shared" si="150"/>
        <v>331.61926649572797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projet'!$B$13,Paramètres!$A$1:$I$88,3,0)*0.475*44/12</f>
        <v>72.572037558997863</v>
      </c>
      <c r="DG144" s="23">
        <f>EXP(-LN(2)/25)*DG143+(1-EXP(-LN(2)/25))/(LN(2)/25)*Calculateur!DB144*Calculateur!DD144*VLOOKUP('Données projet'!$B$13,Paramètres!$A$1:$I$88,3,0)*0.475*44/12</f>
        <v>0</v>
      </c>
      <c r="DH144" s="23">
        <f>EXP(-LN(2)/2)*DH143+(1-EXP(-LN(2)/2))/(LN(2)/2)*DB144*DE144*VLOOKUP('Données projet'!$B$13,Paramètres!$A$1:$I$88,3,0)*0.475*44/12</f>
        <v>0</v>
      </c>
      <c r="DI144" s="24">
        <f t="shared" si="123"/>
        <v>72.572037558997863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1.1368683772161603E-13</v>
      </c>
      <c r="DP144" s="18">
        <f>DO144*VLOOKUP('Données projet'!$B$14,Paramètres!$A$1:$I$88,3,0)*VLOOKUP('Données projet'!$B$14,Paramètres!$A$1:$I$88,5,0)</f>
        <v>8.3355189417488869E-14</v>
      </c>
      <c r="DQ144" s="14">
        <f t="shared" si="151"/>
        <v>1.2790518435140618E-12</v>
      </c>
      <c r="DR144" s="22">
        <f t="shared" si="124"/>
        <v>2.3728589156891171E-12</v>
      </c>
      <c r="DS144" s="60">
        <f t="shared" si="125"/>
        <v>285.56031297776241</v>
      </c>
      <c r="DT144" s="60">
        <f ca="1">AVERAGE(OFFSET($DS$3,0,0,'Données projet'!$E$14+1,1))-AVERAGE(OFFSET($H$3,0,0,'Données projet'!$E$14+1,1))</f>
        <v>212.77458587586861</v>
      </c>
      <c r="DU144" s="60">
        <f t="shared" si="152"/>
        <v>260.45879589483513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projet'!$B$14,Paramètres!$A$1:$I$88,3,0)*0.475*44/12</f>
        <v>7.2163730960536121</v>
      </c>
      <c r="EB144" s="23">
        <f>EXP(-LN(2)/25)*EB143+(1-EXP(-LN(2)/25))/(LN(2)/25)*Calculateur!DW144*Calculateur!DY144*VLOOKUP('Données projet'!$B$14,Paramètres!$A$1:$I$88,3,0)*0.475*44/12</f>
        <v>2.1444067281188937</v>
      </c>
      <c r="EC144" s="23">
        <f>EXP(-LN(2)/2)*EC143+(1-EXP(-LN(2)/2))/(LN(2)/2)*DW144*DZ144*VLOOKUP('Données projet'!$B$14,Paramètres!$A$1:$I$88,3,0)*0.475*44/12</f>
        <v>0</v>
      </c>
      <c r="ED144" s="24">
        <f t="shared" si="126"/>
        <v>9.3607798241725053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5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8">
        <f t="shared" si="110"/>
        <v>183.33333333333334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3.4106051316484809E-13</v>
      </c>
      <c r="O145" s="14">
        <f>N145*VLOOKUP('Données projet'!$B$9,Paramètres!$A$1:$I$88,3,0)*VLOOKUP('Données projet'!$B$9,Paramètres!$A$1:$I$88,5,0)</f>
        <v>1.9065282685915009E-13</v>
      </c>
      <c r="P145" s="14">
        <f t="shared" si="141"/>
        <v>2.6568987209435707E-12</v>
      </c>
      <c r="Q145" s="22">
        <f t="shared" si="108"/>
        <v>4.959485612423072E-12</v>
      </c>
      <c r="R145" s="60">
        <f t="shared" si="109"/>
        <v>285.69515750306402</v>
      </c>
      <c r="S145" s="60">
        <f ca="1">AVERAGE(OFFSET($R$3,0,0,'Données projet'!$E$9+1,1))-AVERAGE(OFFSET($H$3,0,0,'Données projet'!$E$9+1,1))</f>
        <v>366.29380214443631</v>
      </c>
      <c r="T145" s="60">
        <f t="shared" si="142"/>
        <v>413.14502442862897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47.234862102072256</v>
      </c>
      <c r="AA145" s="23">
        <f>EXP(-LN(2)/25)*AA144+(1-EXP(-LN(2)/25))/(LN(2)/25)*Calculateur!V145*Calculateur!X145*VLOOKUP('Données projet'!$B$9,Paramètres!$A$1:$I$88,3,0)*0.475*44/12</f>
        <v>13.643234888375778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60.878096990448036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452.49999999999989</v>
      </c>
      <c r="AJ145" s="14">
        <f>AI145*VLOOKUP('Données projet'!$B$10,Paramètres!$A$1:$I$88,3,0)*VLOOKUP('Données projet'!$B$10,Paramètres!$A$1:$I$88,5,0)</f>
        <v>395.30399999999992</v>
      </c>
      <c r="AK145" s="14">
        <f t="shared" si="143"/>
        <v>90.823969929029445</v>
      </c>
      <c r="AL145" s="22">
        <f t="shared" si="112"/>
        <v>846.67288095972606</v>
      </c>
      <c r="AM145" s="60">
        <f t="shared" si="113"/>
        <v>1132.3680384627851</v>
      </c>
      <c r="AN145" s="60">
        <f ca="1">AVERAGE(OFFSET($AM$3,0,0,'Données projet'!$E$10+1,1))-AVERAGE(OFFSET($H$3,0,0,'Données projet'!$E$10+1,1))</f>
        <v>436.5217771315057</v>
      </c>
      <c r="AO145" s="60">
        <f t="shared" si="144"/>
        <v>308.97310256098365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12.084504525118282</v>
      </c>
      <c r="AV145" s="23">
        <f>EXP(-LN(2)/25)*AV144+(1-EXP(-LN(2)/25))/(LN(2)/25)*Calculateur!AQ145*Calculateur!AS145*VLOOKUP('Données projet'!$B$10,Paramètres!$A$1:$I$88,3,0)*0.475*44/12</f>
        <v>3.4154513324775944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15.499955857595877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5.7</v>
      </c>
      <c r="BD145" s="13">
        <f>IF('Données projet'!$A$88&gt;35,BD144+BC145-BL144,IF(A145&lt;'Données projet'!$A$88,$BA$205^A145,IF(A145='Données projet'!$A$88,'Données projet'!$B$88,BD144+BC145-BL144)))</f>
        <v>304.89999999999992</v>
      </c>
      <c r="BE145" s="14">
        <f>BD145*VLOOKUP('Données projet'!$B$11,Paramètres!$A$1:$I$88,3,0)*VLOOKUP('Données projet'!$B$11,Paramètres!$A$1:$I$88,5,0)</f>
        <v>309.16859999999991</v>
      </c>
      <c r="BF145" s="14">
        <f t="shared" si="145"/>
        <v>73.095173632483153</v>
      </c>
      <c r="BG145" s="22">
        <f t="shared" si="115"/>
        <v>665.77607240990801</v>
      </c>
      <c r="BH145" s="60">
        <f t="shared" si="116"/>
        <v>951.47122991296715</v>
      </c>
      <c r="BI145" s="60">
        <f ca="1">AVERAGE(OFFSET($BH$3,0,0,'Données projet'!$E$11+1,1))-AVERAGE(OFFSET($H$3,0,0,'Données projet'!$E$11+1,1))</f>
        <v>108.30434106718693</v>
      </c>
      <c r="BJ145" s="60">
        <f t="shared" si="146"/>
        <v>67.653808657585842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14.276289948818945</v>
      </c>
      <c r="BQ145" s="23">
        <f>EXP(-LN(2)/25)*BQ144+(1-EXP(-LN(2)/25))/(LN(2)/25)*Calculateur!BL145*Calculateur!BN145*VLOOKUP('Données projet'!$B$11,Paramètres!$A$1:$I$88,3,0)*0.475*44/12</f>
        <v>0</v>
      </c>
      <c r="BR145" s="23">
        <f>EXP(-LN(2)/2)*BR144+(1-EXP(-LN(2)/2))/(LN(2)/2)*BL145*BO145*VLOOKUP('Données projet'!$B$11,Paramètres!$A$1:$I$88,3,0)*0.475*44/12</f>
        <v>0</v>
      </c>
      <c r="BS145" s="24">
        <f t="shared" si="117"/>
        <v>14.276289948818945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projet'!$B$12,Paramètres!$A$1:$I$88,3,0)*VLOOKUP('Données projet'!$B$12,Paramètres!$A$1:$I$88,5,0)</f>
        <v>0</v>
      </c>
      <c r="CA145" s="14" t="e">
        <f t="shared" si="147"/>
        <v>#NUM!</v>
      </c>
      <c r="CB145" s="22" t="e">
        <f t="shared" si="118"/>
        <v>#NUM!</v>
      </c>
      <c r="CC145" s="60" t="e">
        <f t="shared" si="119"/>
        <v>#NUM!</v>
      </c>
      <c r="CD145" s="60">
        <f ca="1">AVERAGE(OFFSET($CC$3,0,0,'Données projet'!$E$12+1,1))-AVERAGE(OFFSET($H$3,0,0,'Données projet'!$E$12+1,1))</f>
        <v>171.08593400758221</v>
      </c>
      <c r="CE145" s="60">
        <f t="shared" si="148"/>
        <v>201.9528484086932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projet'!$B$12,Paramètres!$A$1:$I$88,3,0)*0.475*44/12</f>
        <v>14.448266486290727</v>
      </c>
      <c r="CL145" s="23">
        <f>EXP(-LN(2)/25)*CL144+(1-EXP(-LN(2)/25))/(LN(2)/25)*Calculateur!CG145*Calculateur!CI145*VLOOKUP('Données projet'!$B$12,Paramètres!$A$1:$I$88,3,0)*0.475*44/12</f>
        <v>4.3936026031519422</v>
      </c>
      <c r="CM145" s="23">
        <f>EXP(-LN(2)/2)*CM144+(1-EXP(-LN(2)/2))/(LN(2)/2)*CG145*CJ145*VLOOKUP('Données projet'!$B$12,Paramètres!$A$1:$I$88,3,0)*0.475*44/12</f>
        <v>0</v>
      </c>
      <c r="CN145" s="24">
        <f t="shared" si="120"/>
        <v>18.841869089442667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projet'!$B$13,Paramètres!$A$1:$I$88,3,0)*VLOOKUP('Données projet'!$B$13,Paramètres!$A$1:$I$88,5,0)</f>
        <v>0</v>
      </c>
      <c r="CV145" s="14" t="e">
        <f t="shared" si="149"/>
        <v>#NUM!</v>
      </c>
      <c r="CW145" s="22" t="e">
        <f t="shared" si="121"/>
        <v>#NUM!</v>
      </c>
      <c r="CX145" s="60" t="e">
        <f t="shared" si="122"/>
        <v>#NUM!</v>
      </c>
      <c r="CY145" s="60">
        <f ca="1">AVERAGE(OFFSET($CX$3,0,0,'Données projet'!$E$13+1,1))-AVERAGE(OFFSET($H$3,0,0,'Données projet'!$E$13+1,1))</f>
        <v>283.66646124753868</v>
      </c>
      <c r="CZ145" s="60">
        <f t="shared" si="150"/>
        <v>331.61926649572797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projet'!$B$13,Paramètres!$A$1:$I$88,3,0)*0.475*44/12</f>
        <v>71.148944167038067</v>
      </c>
      <c r="DG145" s="23">
        <f>EXP(-LN(2)/25)*DG144+(1-EXP(-LN(2)/25))/(LN(2)/25)*Calculateur!DB145*Calculateur!DD145*VLOOKUP('Données projet'!$B$13,Paramètres!$A$1:$I$88,3,0)*0.475*44/12</f>
        <v>0</v>
      </c>
      <c r="DH145" s="23">
        <f>EXP(-LN(2)/2)*DH144+(1-EXP(-LN(2)/2))/(LN(2)/2)*DB145*DE145*VLOOKUP('Données projet'!$B$13,Paramètres!$A$1:$I$88,3,0)*0.475*44/12</f>
        <v>0</v>
      </c>
      <c r="DI145" s="24">
        <f t="shared" si="123"/>
        <v>71.148944167038067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1.1368683772161603E-13</v>
      </c>
      <c r="DP145" s="18">
        <f>DO145*VLOOKUP('Données projet'!$B$14,Paramètres!$A$1:$I$88,3,0)*VLOOKUP('Données projet'!$B$14,Paramètres!$A$1:$I$88,5,0)</f>
        <v>8.3355189417488869E-14</v>
      </c>
      <c r="DQ145" s="14">
        <f t="shared" si="151"/>
        <v>1.2790518435140618E-12</v>
      </c>
      <c r="DR145" s="22">
        <f t="shared" si="124"/>
        <v>2.3728589156891171E-12</v>
      </c>
      <c r="DS145" s="60">
        <f t="shared" si="125"/>
        <v>285.69515750306147</v>
      </c>
      <c r="DT145" s="60">
        <f ca="1">AVERAGE(OFFSET($DS$3,0,0,'Données projet'!$E$14+1,1))-AVERAGE(OFFSET($H$3,0,0,'Données projet'!$E$14+1,1))</f>
        <v>212.77458587586861</v>
      </c>
      <c r="DU145" s="60">
        <f t="shared" si="152"/>
        <v>260.45879589483513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projet'!$B$14,Paramètres!$A$1:$I$88,3,0)*0.475*44/12</f>
        <v>7.0748644211929719</v>
      </c>
      <c r="EB145" s="23">
        <f>EXP(-LN(2)/25)*EB144+(1-EXP(-LN(2)/25))/(LN(2)/25)*Calculateur!DW145*Calculateur!DY145*VLOOKUP('Données projet'!$B$14,Paramètres!$A$1:$I$88,3,0)*0.475*44/12</f>
        <v>2.0857678133690336</v>
      </c>
      <c r="EC145" s="23">
        <f>EXP(-LN(2)/2)*EC144+(1-EXP(-LN(2)/2))/(LN(2)/2)*DW145*DZ145*VLOOKUP('Données projet'!$B$14,Paramètres!$A$1:$I$88,3,0)*0.475*44/12</f>
        <v>0</v>
      </c>
      <c r="ED145" s="24">
        <f t="shared" si="126"/>
        <v>9.160632234562005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5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8">
        <f t="shared" si="110"/>
        <v>183.33333333333334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3.4106051316484809E-13</v>
      </c>
      <c r="O146" s="14">
        <f>N146*VLOOKUP('Données projet'!$B$9,Paramètres!$A$1:$I$88,3,0)*VLOOKUP('Données projet'!$B$9,Paramètres!$A$1:$I$88,5,0)</f>
        <v>1.9065282685915009E-13</v>
      </c>
      <c r="P146" s="14">
        <f t="shared" si="141"/>
        <v>2.6568987209435707E-12</v>
      </c>
      <c r="Q146" s="22">
        <f t="shared" si="108"/>
        <v>4.959485612423072E-12</v>
      </c>
      <c r="R146" s="60">
        <f t="shared" si="109"/>
        <v>285.82766277731639</v>
      </c>
      <c r="S146" s="60">
        <f ca="1">AVERAGE(OFFSET($R$3,0,0,'Données projet'!$E$9+1,1))-AVERAGE(OFFSET($H$3,0,0,'Données projet'!$E$9+1,1))</f>
        <v>366.29380214443631</v>
      </c>
      <c r="T146" s="60">
        <f t="shared" si="142"/>
        <v>413.14502442862897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46.308615266671708</v>
      </c>
      <c r="AA146" s="23">
        <f>EXP(-LN(2)/25)*AA145+(1-EXP(-LN(2)/25))/(LN(2)/25)*Calculateur!V146*Calculateur!X146*VLOOKUP('Données projet'!$B$9,Paramètres!$A$1:$I$88,3,0)*0.475*44/12</f>
        <v>13.270159912886601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59.578775179558306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452.49999999999989</v>
      </c>
      <c r="AJ146" s="14">
        <f>AI146*VLOOKUP('Données projet'!$B$10,Paramètres!$A$1:$I$88,3,0)*VLOOKUP('Données projet'!$B$10,Paramètres!$A$1:$I$88,5,0)</f>
        <v>395.30399999999992</v>
      </c>
      <c r="AK146" s="14">
        <f t="shared" si="143"/>
        <v>90.823969929029445</v>
      </c>
      <c r="AL146" s="22">
        <f t="shared" si="112"/>
        <v>846.67288095972606</v>
      </c>
      <c r="AM146" s="60">
        <f t="shared" si="113"/>
        <v>1132.5005437370376</v>
      </c>
      <c r="AN146" s="60">
        <f ca="1">AVERAGE(OFFSET($AM$3,0,0,'Données projet'!$E$10+1,1))-AVERAGE(OFFSET($H$3,0,0,'Données projet'!$E$10+1,1))</f>
        <v>436.5217771315057</v>
      </c>
      <c r="AO146" s="60">
        <f t="shared" si="144"/>
        <v>308.97310256098365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11.847534762200665</v>
      </c>
      <c r="AV146" s="23">
        <f>EXP(-LN(2)/25)*AV145+(1-EXP(-LN(2)/25))/(LN(2)/25)*Calculateur!AQ146*Calculateur!AS146*VLOOKUP('Données projet'!$B$10,Paramètres!$A$1:$I$88,3,0)*0.475*44/12</f>
        <v>3.3220556361802149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15.16959039838088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5.7</v>
      </c>
      <c r="BD146" s="13">
        <f>IF('Données projet'!$A$88&gt;35,BD145+BC146-BL145,IF(A146&lt;'Données projet'!$A$88,$BA$205^A146,IF(A146='Données projet'!$A$88,'Données projet'!$B$88,BD145+BC146-BL145)))</f>
        <v>310.59999999999991</v>
      </c>
      <c r="BE146" s="14">
        <f>BD146*VLOOKUP('Données projet'!$B$11,Paramètres!$A$1:$I$88,3,0)*VLOOKUP('Données projet'!$B$11,Paramètres!$A$1:$I$88,5,0)</f>
        <v>314.94839999999994</v>
      </c>
      <c r="BF146" s="14">
        <f t="shared" si="145"/>
        <v>74.301298626081149</v>
      </c>
      <c r="BG146" s="22">
        <f t="shared" si="115"/>
        <v>677.94322510709128</v>
      </c>
      <c r="BH146" s="60">
        <f t="shared" si="116"/>
        <v>963.77088788440278</v>
      </c>
      <c r="BI146" s="60">
        <f ca="1">AVERAGE(OFFSET($BH$3,0,0,'Données projet'!$E$11+1,1))-AVERAGE(OFFSET($H$3,0,0,'Données projet'!$E$11+1,1))</f>
        <v>108.30434106718693</v>
      </c>
      <c r="BJ146" s="60">
        <f t="shared" si="146"/>
        <v>67.653808657585842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13.996340610599663</v>
      </c>
      <c r="BQ146" s="23">
        <f>EXP(-LN(2)/25)*BQ145+(1-EXP(-LN(2)/25))/(LN(2)/25)*Calculateur!BL146*Calculateur!BN146*VLOOKUP('Données projet'!$B$11,Paramètres!$A$1:$I$88,3,0)*0.475*44/12</f>
        <v>0</v>
      </c>
      <c r="BR146" s="23">
        <f>EXP(-LN(2)/2)*BR145+(1-EXP(-LN(2)/2))/(LN(2)/2)*BL146*BO146*VLOOKUP('Données projet'!$B$11,Paramètres!$A$1:$I$88,3,0)*0.475*44/12</f>
        <v>0</v>
      </c>
      <c r="BS146" s="24">
        <f t="shared" si="117"/>
        <v>13.996340610599663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projet'!$B$12,Paramètres!$A$1:$I$88,3,0)*VLOOKUP('Données projet'!$B$12,Paramètres!$A$1:$I$88,5,0)</f>
        <v>0</v>
      </c>
      <c r="CA146" s="14" t="e">
        <f t="shared" si="147"/>
        <v>#NUM!</v>
      </c>
      <c r="CB146" s="22" t="e">
        <f t="shared" si="118"/>
        <v>#NUM!</v>
      </c>
      <c r="CC146" s="60" t="e">
        <f t="shared" si="119"/>
        <v>#NUM!</v>
      </c>
      <c r="CD146" s="60">
        <f ca="1">AVERAGE(OFFSET($CC$3,0,0,'Données projet'!$E$12+1,1))-AVERAGE(OFFSET($H$3,0,0,'Données projet'!$E$12+1,1))</f>
        <v>171.08593400758221</v>
      </c>
      <c r="CE146" s="60">
        <f t="shared" si="148"/>
        <v>201.9528484086932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projet'!$B$12,Paramètres!$A$1:$I$88,3,0)*0.475*44/12</f>
        <v>14.164944793066953</v>
      </c>
      <c r="CL146" s="23">
        <f>EXP(-LN(2)/25)*CL145+(1-EXP(-LN(2)/25))/(LN(2)/25)*Calculateur!CG146*Calculateur!CI146*VLOOKUP('Données projet'!$B$12,Paramètres!$A$1:$I$88,3,0)*0.475*44/12</f>
        <v>4.2734593089192332</v>
      </c>
      <c r="CM146" s="23">
        <f>EXP(-LN(2)/2)*CM145+(1-EXP(-LN(2)/2))/(LN(2)/2)*CG146*CJ146*VLOOKUP('Données projet'!$B$12,Paramètres!$A$1:$I$88,3,0)*0.475*44/12</f>
        <v>0</v>
      </c>
      <c r="CN146" s="24">
        <f t="shared" si="120"/>
        <v>18.438404101986187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projet'!$B$13,Paramètres!$A$1:$I$88,3,0)*VLOOKUP('Données projet'!$B$13,Paramètres!$A$1:$I$88,5,0)</f>
        <v>0</v>
      </c>
      <c r="CV146" s="14" t="e">
        <f t="shared" si="149"/>
        <v>#NUM!</v>
      </c>
      <c r="CW146" s="22" t="e">
        <f t="shared" si="121"/>
        <v>#NUM!</v>
      </c>
      <c r="CX146" s="60" t="e">
        <f t="shared" si="122"/>
        <v>#NUM!</v>
      </c>
      <c r="CY146" s="60">
        <f ca="1">AVERAGE(OFFSET($CX$3,0,0,'Données projet'!$E$13+1,1))-AVERAGE(OFFSET($H$3,0,0,'Données projet'!$E$13+1,1))</f>
        <v>283.66646124753868</v>
      </c>
      <c r="CZ146" s="60">
        <f t="shared" si="150"/>
        <v>331.61926649572797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projet'!$B$13,Paramètres!$A$1:$I$88,3,0)*0.475*44/12</f>
        <v>69.753756768493332</v>
      </c>
      <c r="DG146" s="23">
        <f>EXP(-LN(2)/25)*DG145+(1-EXP(-LN(2)/25))/(LN(2)/25)*Calculateur!DB146*Calculateur!DD146*VLOOKUP('Données projet'!$B$13,Paramètres!$A$1:$I$88,3,0)*0.475*44/12</f>
        <v>0</v>
      </c>
      <c r="DH146" s="23">
        <f>EXP(-LN(2)/2)*DH145+(1-EXP(-LN(2)/2))/(LN(2)/2)*DB146*DE146*VLOOKUP('Données projet'!$B$13,Paramètres!$A$1:$I$88,3,0)*0.475*44/12</f>
        <v>0</v>
      </c>
      <c r="DI146" s="24">
        <f t="shared" si="123"/>
        <v>69.753756768493332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1.1368683772161603E-13</v>
      </c>
      <c r="DP146" s="18">
        <f>DO146*VLOOKUP('Données projet'!$B$14,Paramètres!$A$1:$I$88,3,0)*VLOOKUP('Données projet'!$B$14,Paramètres!$A$1:$I$88,5,0)</f>
        <v>8.3355189417488869E-14</v>
      </c>
      <c r="DQ146" s="14">
        <f t="shared" si="151"/>
        <v>1.2790518435140618E-12</v>
      </c>
      <c r="DR146" s="22">
        <f t="shared" si="124"/>
        <v>2.3728589156891171E-12</v>
      </c>
      <c r="DS146" s="60">
        <f t="shared" si="125"/>
        <v>285.82766277731383</v>
      </c>
      <c r="DT146" s="60">
        <f ca="1">AVERAGE(OFFSET($DS$3,0,0,'Données projet'!$E$14+1,1))-AVERAGE(OFFSET($H$3,0,0,'Données projet'!$E$14+1,1))</f>
        <v>212.77458587586861</v>
      </c>
      <c r="DU146" s="60">
        <f t="shared" si="152"/>
        <v>260.45879589483513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projet'!$B$14,Paramètres!$A$1:$I$88,3,0)*0.475*44/12</f>
        <v>6.9361306451345799</v>
      </c>
      <c r="EB146" s="23">
        <f>EXP(-LN(2)/25)*EB145+(1-EXP(-LN(2)/25))/(LN(2)/25)*Calculateur!DW146*Calculateur!DY146*VLOOKUP('Données projet'!$B$14,Paramètres!$A$1:$I$88,3,0)*0.475*44/12</f>
        <v>2.028732382826695</v>
      </c>
      <c r="EC146" s="23">
        <f>EXP(-LN(2)/2)*EC145+(1-EXP(-LN(2)/2))/(LN(2)/2)*DW146*DZ146*VLOOKUP('Données projet'!$B$14,Paramètres!$A$1:$I$88,3,0)*0.475*44/12</f>
        <v>0</v>
      </c>
      <c r="ED146" s="24">
        <f t="shared" si="126"/>
        <v>8.9648630279612753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5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8">
        <f t="shared" si="110"/>
        <v>183.33333333333334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3.4106051316484809E-13</v>
      </c>
      <c r="O147" s="14">
        <f>N147*VLOOKUP('Données projet'!$B$9,Paramètres!$A$1:$I$88,3,0)*VLOOKUP('Données projet'!$B$9,Paramètres!$A$1:$I$88,5,0)</f>
        <v>1.9065282685915009E-13</v>
      </c>
      <c r="P147" s="14">
        <f t="shared" si="141"/>
        <v>2.6568987209435707E-12</v>
      </c>
      <c r="Q147" s="22">
        <f t="shared" si="108"/>
        <v>4.959485612423072E-12</v>
      </c>
      <c r="R147" s="60">
        <f t="shared" si="109"/>
        <v>285.95786938129783</v>
      </c>
      <c r="S147" s="60">
        <f ca="1">AVERAGE(OFFSET($R$3,0,0,'Données projet'!$E$9+1,1))-AVERAGE(OFFSET($H$3,0,0,'Données projet'!$E$9+1,1))</f>
        <v>366.29380214443631</v>
      </c>
      <c r="T147" s="60">
        <f t="shared" si="142"/>
        <v>413.14502442862897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45.40053156675858</v>
      </c>
      <c r="AA147" s="23">
        <f>EXP(-LN(2)/25)*AA146+(1-EXP(-LN(2)/25))/(LN(2)/25)*Calculateur!V147*Calculateur!X147*VLOOKUP('Données projet'!$B$9,Paramètres!$A$1:$I$88,3,0)*0.475*44/12</f>
        <v>12.907286692221337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58.307818258979921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452.49999999999989</v>
      </c>
      <c r="AJ147" s="14">
        <f>AI147*VLOOKUP('Données projet'!$B$10,Paramètres!$A$1:$I$88,3,0)*VLOOKUP('Données projet'!$B$10,Paramètres!$A$1:$I$88,5,0)</f>
        <v>395.30399999999992</v>
      </c>
      <c r="AK147" s="14">
        <f t="shared" si="143"/>
        <v>90.823969929029445</v>
      </c>
      <c r="AL147" s="22">
        <f t="shared" si="112"/>
        <v>846.67288095972606</v>
      </c>
      <c r="AM147" s="60">
        <f t="shared" si="113"/>
        <v>1132.6307503410189</v>
      </c>
      <c r="AN147" s="60">
        <f ca="1">AVERAGE(OFFSET($AM$3,0,0,'Données projet'!$E$10+1,1))-AVERAGE(OFFSET($H$3,0,0,'Données projet'!$E$10+1,1))</f>
        <v>436.5217771315057</v>
      </c>
      <c r="AO147" s="60">
        <f t="shared" si="144"/>
        <v>308.97310256098365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11.615211831796579</v>
      </c>
      <c r="AV147" s="23">
        <f>EXP(-LN(2)/25)*AV146+(1-EXP(-LN(2)/25))/(LN(2)/25)*Calculateur!AQ147*Calculateur!AS147*VLOOKUP('Données projet'!$B$10,Paramètres!$A$1:$I$88,3,0)*0.475*44/12</f>
        <v>3.2312138501095538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14.846425681906133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5.7</v>
      </c>
      <c r="BD147" s="13">
        <f>IF('Données projet'!$A$88&gt;35,BD146+BC147-BL146,IF(A147&lt;'Données projet'!$A$88,$BA$205^A147,IF(A147='Données projet'!$A$88,'Données projet'!$B$88,BD146+BC147-BL146)))</f>
        <v>316.2999999999999</v>
      </c>
      <c r="BE147" s="14">
        <f>BD147*VLOOKUP('Données projet'!$B$11,Paramètres!$A$1:$I$88,3,0)*VLOOKUP('Données projet'!$B$11,Paramètres!$A$1:$I$88,5,0)</f>
        <v>320.7281999999999</v>
      </c>
      <c r="BF147" s="14">
        <f t="shared" si="145"/>
        <v>75.504849784681056</v>
      </c>
      <c r="BG147" s="22">
        <f t="shared" si="115"/>
        <v>690.10589504165262</v>
      </c>
      <c r="BH147" s="60">
        <f t="shared" si="116"/>
        <v>976.0637644229455</v>
      </c>
      <c r="BI147" s="60">
        <f ca="1">AVERAGE(OFFSET($BH$3,0,0,'Données projet'!$E$11+1,1))-AVERAGE(OFFSET($H$3,0,0,'Données projet'!$E$11+1,1))</f>
        <v>108.30434106718693</v>
      </c>
      <c r="BJ147" s="60">
        <f t="shared" si="146"/>
        <v>67.653808657585842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13.721880908150625</v>
      </c>
      <c r="BQ147" s="23">
        <f>EXP(-LN(2)/25)*BQ146+(1-EXP(-LN(2)/25))/(LN(2)/25)*Calculateur!BL147*Calculateur!BN147*VLOOKUP('Données projet'!$B$11,Paramètres!$A$1:$I$88,3,0)*0.475*44/12</f>
        <v>0</v>
      </c>
      <c r="BR147" s="23">
        <f>EXP(-LN(2)/2)*BR146+(1-EXP(-LN(2)/2))/(LN(2)/2)*BL147*BO147*VLOOKUP('Données projet'!$B$11,Paramètres!$A$1:$I$88,3,0)*0.475*44/12</f>
        <v>0</v>
      </c>
      <c r="BS147" s="24">
        <f t="shared" si="117"/>
        <v>13.721880908150625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projet'!$B$12,Paramètres!$A$1:$I$88,3,0)*VLOOKUP('Données projet'!$B$12,Paramètres!$A$1:$I$88,5,0)</f>
        <v>0</v>
      </c>
      <c r="CA147" s="14" t="e">
        <f t="shared" si="147"/>
        <v>#NUM!</v>
      </c>
      <c r="CB147" s="22" t="e">
        <f t="shared" si="118"/>
        <v>#NUM!</v>
      </c>
      <c r="CC147" s="60" t="e">
        <f t="shared" si="119"/>
        <v>#NUM!</v>
      </c>
      <c r="CD147" s="60">
        <f ca="1">AVERAGE(OFFSET($CC$3,0,0,'Données projet'!$E$12+1,1))-AVERAGE(OFFSET($H$3,0,0,'Données projet'!$E$12+1,1))</f>
        <v>171.08593400758221</v>
      </c>
      <c r="CE147" s="60">
        <f t="shared" si="148"/>
        <v>201.9528484086932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projet'!$B$12,Paramètres!$A$1:$I$88,3,0)*0.475*44/12</f>
        <v>13.887178865438127</v>
      </c>
      <c r="CL147" s="23">
        <f>EXP(-LN(2)/25)*CL146+(1-EXP(-LN(2)/25))/(LN(2)/25)*Calculateur!CG147*Calculateur!CI147*VLOOKUP('Données projet'!$B$12,Paramètres!$A$1:$I$88,3,0)*0.475*44/12</f>
        <v>4.1566013393853787</v>
      </c>
      <c r="CM147" s="23">
        <f>EXP(-LN(2)/2)*CM146+(1-EXP(-LN(2)/2))/(LN(2)/2)*CG147*CJ147*VLOOKUP('Données projet'!$B$12,Paramètres!$A$1:$I$88,3,0)*0.475*44/12</f>
        <v>0</v>
      </c>
      <c r="CN147" s="24">
        <f t="shared" si="120"/>
        <v>18.043780204823506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projet'!$B$13,Paramètres!$A$1:$I$88,3,0)*VLOOKUP('Données projet'!$B$13,Paramètres!$A$1:$I$88,5,0)</f>
        <v>0</v>
      </c>
      <c r="CV147" s="14" t="e">
        <f t="shared" si="149"/>
        <v>#NUM!</v>
      </c>
      <c r="CW147" s="22" t="e">
        <f t="shared" si="121"/>
        <v>#NUM!</v>
      </c>
      <c r="CX147" s="60" t="e">
        <f t="shared" si="122"/>
        <v>#NUM!</v>
      </c>
      <c r="CY147" s="60">
        <f ca="1">AVERAGE(OFFSET($CX$3,0,0,'Données projet'!$E$13+1,1))-AVERAGE(OFFSET($H$3,0,0,'Données projet'!$E$13+1,1))</f>
        <v>283.66646124753868</v>
      </c>
      <c r="CZ147" s="60">
        <f t="shared" si="150"/>
        <v>331.61926649572797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projet'!$B$13,Paramètres!$A$1:$I$88,3,0)*0.475*44/12</f>
        <v>68.385928143853775</v>
      </c>
      <c r="DG147" s="23">
        <f>EXP(-LN(2)/25)*DG146+(1-EXP(-LN(2)/25))/(LN(2)/25)*Calculateur!DB147*Calculateur!DD147*VLOOKUP('Données projet'!$B$13,Paramètres!$A$1:$I$88,3,0)*0.475*44/12</f>
        <v>0</v>
      </c>
      <c r="DH147" s="23">
        <f>EXP(-LN(2)/2)*DH146+(1-EXP(-LN(2)/2))/(LN(2)/2)*DB147*DE147*VLOOKUP('Données projet'!$B$13,Paramètres!$A$1:$I$88,3,0)*0.475*44/12</f>
        <v>0</v>
      </c>
      <c r="DI147" s="24">
        <f t="shared" si="123"/>
        <v>68.385928143853775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1.1368683772161603E-13</v>
      </c>
      <c r="DP147" s="18">
        <f>DO147*VLOOKUP('Données projet'!$B$14,Paramètres!$A$1:$I$88,3,0)*VLOOKUP('Données projet'!$B$14,Paramètres!$A$1:$I$88,5,0)</f>
        <v>8.3355189417488869E-14</v>
      </c>
      <c r="DQ147" s="14">
        <f t="shared" si="151"/>
        <v>1.2790518435140618E-12</v>
      </c>
      <c r="DR147" s="22">
        <f t="shared" si="124"/>
        <v>2.3728589156891171E-12</v>
      </c>
      <c r="DS147" s="60">
        <f t="shared" si="125"/>
        <v>285.95786938129527</v>
      </c>
      <c r="DT147" s="60">
        <f ca="1">AVERAGE(OFFSET($DS$3,0,0,'Données projet'!$E$14+1,1))-AVERAGE(OFFSET($H$3,0,0,'Données projet'!$E$14+1,1))</f>
        <v>212.77458587586861</v>
      </c>
      <c r="DU147" s="60">
        <f t="shared" si="152"/>
        <v>260.45879589483513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projet'!$B$14,Paramètres!$A$1:$I$88,3,0)*0.475*44/12</f>
        <v>6.8001173538054447</v>
      </c>
      <c r="EB147" s="23">
        <f>EXP(-LN(2)/25)*EB146+(1-EXP(-LN(2)/25))/(LN(2)/25)*Calculateur!DW147*Calculateur!DY147*VLOOKUP('Données projet'!$B$14,Paramètres!$A$1:$I$88,3,0)*0.475*44/12</f>
        <v>1.9732565891318998</v>
      </c>
      <c r="EC147" s="23">
        <f>EXP(-LN(2)/2)*EC146+(1-EXP(-LN(2)/2))/(LN(2)/2)*DW147*DZ147*VLOOKUP('Données projet'!$B$14,Paramètres!$A$1:$I$88,3,0)*0.475*44/12</f>
        <v>0</v>
      </c>
      <c r="ED147" s="24">
        <f t="shared" si="126"/>
        <v>8.7733739429373436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5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8">
        <f t="shared" si="110"/>
        <v>183.33333333333334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3.4106051316484809E-13</v>
      </c>
      <c r="O148" s="14">
        <f>N148*VLOOKUP('Données projet'!$B$9,Paramètres!$A$1:$I$88,3,0)*VLOOKUP('Données projet'!$B$9,Paramètres!$A$1:$I$88,5,0)</f>
        <v>1.9065282685915009E-13</v>
      </c>
      <c r="P148" s="14">
        <f t="shared" si="141"/>
        <v>2.6568987209435707E-12</v>
      </c>
      <c r="Q148" s="22">
        <f t="shared" si="108"/>
        <v>4.959485612423072E-12</v>
      </c>
      <c r="R148" s="60">
        <f t="shared" si="109"/>
        <v>286.08581719179853</v>
      </c>
      <c r="S148" s="60">
        <f ca="1">AVERAGE(OFFSET($R$3,0,0,'Données projet'!$E$9+1,1))-AVERAGE(OFFSET($H$3,0,0,'Données projet'!$E$9+1,1))</f>
        <v>366.29380214443631</v>
      </c>
      <c r="T148" s="60">
        <f t="shared" si="142"/>
        <v>413.14502442862897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44.510254834324385</v>
      </c>
      <c r="AA148" s="23">
        <f>EXP(-LN(2)/25)*AA147+(1-EXP(-LN(2)/25))/(LN(2)/25)*Calculateur!V148*Calculateur!X148*VLOOKUP('Données projet'!$B$9,Paramètres!$A$1:$I$88,3,0)*0.475*44/12</f>
        <v>12.554336258857838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57.064591093182223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452.49999999999989</v>
      </c>
      <c r="AJ148" s="14">
        <f>AI148*VLOOKUP('Données projet'!$B$10,Paramètres!$A$1:$I$88,3,0)*VLOOKUP('Données projet'!$B$10,Paramètres!$A$1:$I$88,5,0)</f>
        <v>395.30399999999992</v>
      </c>
      <c r="AK148" s="14">
        <f t="shared" si="143"/>
        <v>90.823969929029445</v>
      </c>
      <c r="AL148" s="22">
        <f t="shared" si="112"/>
        <v>846.67288095972606</v>
      </c>
      <c r="AM148" s="60">
        <f t="shared" si="113"/>
        <v>1132.7586981515196</v>
      </c>
      <c r="AN148" s="60">
        <f ca="1">AVERAGE(OFFSET($AM$3,0,0,'Données projet'!$E$10+1,1))-AVERAGE(OFFSET($H$3,0,0,'Données projet'!$E$10+1,1))</f>
        <v>436.5217771315057</v>
      </c>
      <c r="AO148" s="60">
        <f t="shared" si="144"/>
        <v>308.97310256098365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11.38744461235472</v>
      </c>
      <c r="AV148" s="23">
        <f>EXP(-LN(2)/25)*AV147+(1-EXP(-LN(2)/25))/(LN(2)/25)*Calculateur!AQ148*Calculateur!AS148*VLOOKUP('Données projet'!$B$10,Paramètres!$A$1:$I$88,3,0)*0.475*44/12</f>
        <v>3.1428561374561568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14.530300749810877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>
        <f>VLOOKUP(A148,'Données projet'!$A$87:$I$107,2,0)</f>
        <v>322</v>
      </c>
      <c r="BB148" s="13">
        <f>VLOOKUP(A148,'Données projet'!$A$87:$I$107,9,0)</f>
        <v>5.7</v>
      </c>
      <c r="BC148" s="13">
        <f t="array" ref="BC148">INDEX(BB:BB,MIN(IF(ISNUMBER(BB148:BB344),ROW(BB148:BB344),"")))</f>
        <v>5.7</v>
      </c>
      <c r="BD148" s="13">
        <f>IF('Données projet'!$A$88&gt;35,BD147+BC148-BL147,IF(A148&lt;'Données projet'!$A$88,$BA$205^A148,IF(A148='Données projet'!$A$88,'Données projet'!$B$88,BD147+BC148-BL147)))</f>
        <v>321.99999999999989</v>
      </c>
      <c r="BE148" s="14">
        <f>BD148*VLOOKUP('Données projet'!$B$11,Paramètres!$A$1:$I$88,3,0)*VLOOKUP('Données projet'!$B$11,Paramètres!$A$1:$I$88,5,0)</f>
        <v>326.50799999999987</v>
      </c>
      <c r="BF148" s="14">
        <f t="shared" si="145"/>
        <v>76.705878841344258</v>
      </c>
      <c r="BG148" s="22">
        <f t="shared" si="115"/>
        <v>702.26417231534106</v>
      </c>
      <c r="BH148" s="60">
        <f t="shared" si="116"/>
        <v>988.34998950713464</v>
      </c>
      <c r="BI148" s="60">
        <f ca="1">AVERAGE(OFFSET($BH$3,0,0,'Données projet'!$E$11+1,1))-AVERAGE(OFFSET($H$3,0,0,'Données projet'!$E$11+1,1))</f>
        <v>108.30434106718693</v>
      </c>
      <c r="BJ148" s="60">
        <f t="shared" si="146"/>
        <v>67.653808657585842</v>
      </c>
      <c r="BK148" s="16">
        <f>IF(ISNA(VLOOKUP(A148,'Données projet'!$A$87:$I$107,3,0)),0,VLOOKUP(A148,'Données projet'!$A$87:$I$107,3,0))</f>
        <v>13</v>
      </c>
      <c r="BL148" s="16">
        <f>IF(ISNA(VLOOKUP(A148,'Données projet'!$A$87:$I$107,4,0)),0,VLOOKUP(A148,'Données projet'!$A$87:$I$107,4,0))</f>
        <v>39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13.452803193062724</v>
      </c>
      <c r="BQ148" s="23">
        <f>EXP(-LN(2)/25)*BQ147+(1-EXP(-LN(2)/25))/(LN(2)/25)*Calculateur!BL148*Calculateur!BN148*VLOOKUP('Données projet'!$B$11,Paramètres!$A$1:$I$88,3,0)*0.475*44/12</f>
        <v>0</v>
      </c>
      <c r="BR148" s="23">
        <f>EXP(-LN(2)/2)*BR147+(1-EXP(-LN(2)/2))/(LN(2)/2)*BL148*BO148*VLOOKUP('Données projet'!$B$11,Paramètres!$A$1:$I$88,3,0)*0.475*44/12</f>
        <v>0</v>
      </c>
      <c r="BS148" s="24">
        <f t="shared" si="117"/>
        <v>13.452803193062724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projet'!$B$12,Paramètres!$A$1:$I$88,3,0)*VLOOKUP('Données projet'!$B$12,Paramètres!$A$1:$I$88,5,0)</f>
        <v>0</v>
      </c>
      <c r="CA148" s="14" t="e">
        <f t="shared" si="147"/>
        <v>#NUM!</v>
      </c>
      <c r="CB148" s="22" t="e">
        <f t="shared" si="118"/>
        <v>#NUM!</v>
      </c>
      <c r="CC148" s="60" t="e">
        <f t="shared" si="119"/>
        <v>#NUM!</v>
      </c>
      <c r="CD148" s="60">
        <f ca="1">AVERAGE(OFFSET($CC$3,0,0,'Données projet'!$E$12+1,1))-AVERAGE(OFFSET($H$3,0,0,'Données projet'!$E$12+1,1))</f>
        <v>171.08593400758221</v>
      </c>
      <c r="CE148" s="60">
        <f t="shared" si="148"/>
        <v>201.9528484086932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projet'!$B$12,Paramètres!$A$1:$I$88,3,0)*0.475*44/12</f>
        <v>13.614859758229617</v>
      </c>
      <c r="CL148" s="23">
        <f>EXP(-LN(2)/25)*CL147+(1-EXP(-LN(2)/25))/(LN(2)/25)*Calculateur!CG148*Calculateur!CI148*VLOOKUP('Données projet'!$B$12,Paramètres!$A$1:$I$88,3,0)*0.475*44/12</f>
        <v>4.0429388571737208</v>
      </c>
      <c r="CM148" s="23">
        <f>EXP(-LN(2)/2)*CM147+(1-EXP(-LN(2)/2))/(LN(2)/2)*CG148*CJ148*VLOOKUP('Données projet'!$B$12,Paramètres!$A$1:$I$88,3,0)*0.475*44/12</f>
        <v>0</v>
      </c>
      <c r="CN148" s="24">
        <f t="shared" si="120"/>
        <v>17.657798615403337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projet'!$B$13,Paramètres!$A$1:$I$88,3,0)*VLOOKUP('Données projet'!$B$13,Paramètres!$A$1:$I$88,5,0)</f>
        <v>0</v>
      </c>
      <c r="CV148" s="14" t="e">
        <f t="shared" si="149"/>
        <v>#NUM!</v>
      </c>
      <c r="CW148" s="22" t="e">
        <f t="shared" si="121"/>
        <v>#NUM!</v>
      </c>
      <c r="CX148" s="60" t="e">
        <f t="shared" si="122"/>
        <v>#NUM!</v>
      </c>
      <c r="CY148" s="60">
        <f ca="1">AVERAGE(OFFSET($CX$3,0,0,'Données projet'!$E$13+1,1))-AVERAGE(OFFSET($H$3,0,0,'Données projet'!$E$13+1,1))</f>
        <v>283.66646124753868</v>
      </c>
      <c r="CZ148" s="60">
        <f t="shared" si="150"/>
        <v>331.61926649572797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projet'!$B$13,Paramètres!$A$1:$I$88,3,0)*0.475*44/12</f>
        <v>67.044921804250322</v>
      </c>
      <c r="DG148" s="23">
        <f>EXP(-LN(2)/25)*DG147+(1-EXP(-LN(2)/25))/(LN(2)/25)*Calculateur!DB148*Calculateur!DD148*VLOOKUP('Données projet'!$B$13,Paramètres!$A$1:$I$88,3,0)*0.475*44/12</f>
        <v>0</v>
      </c>
      <c r="DH148" s="23">
        <f>EXP(-LN(2)/2)*DH147+(1-EXP(-LN(2)/2))/(LN(2)/2)*DB148*DE148*VLOOKUP('Données projet'!$B$13,Paramètres!$A$1:$I$88,3,0)*0.475*44/12</f>
        <v>0</v>
      </c>
      <c r="DI148" s="24">
        <f t="shared" si="123"/>
        <v>67.044921804250322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1.1368683772161603E-13</v>
      </c>
      <c r="DP148" s="18">
        <f>DO148*VLOOKUP('Données projet'!$B$14,Paramètres!$A$1:$I$88,3,0)*VLOOKUP('Données projet'!$B$14,Paramètres!$A$1:$I$88,5,0)</f>
        <v>8.3355189417488869E-14</v>
      </c>
      <c r="DQ148" s="14">
        <f t="shared" si="151"/>
        <v>1.2790518435140618E-12</v>
      </c>
      <c r="DR148" s="22">
        <f t="shared" si="124"/>
        <v>2.3728589156891171E-12</v>
      </c>
      <c r="DS148" s="60">
        <f t="shared" si="125"/>
        <v>286.08581719179597</v>
      </c>
      <c r="DT148" s="60">
        <f ca="1">AVERAGE(OFFSET($DS$3,0,0,'Données projet'!$E$14+1,1))-AVERAGE(OFFSET($H$3,0,0,'Données projet'!$E$14+1,1))</f>
        <v>212.77458587586861</v>
      </c>
      <c r="DU148" s="60">
        <f t="shared" si="152"/>
        <v>260.45879589483513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projet'!$B$14,Paramètres!$A$1:$I$88,3,0)*0.475*44/12</f>
        <v>6.6667712001593582</v>
      </c>
      <c r="EB148" s="23">
        <f>EXP(-LN(2)/25)*EB147+(1-EXP(-LN(2)/25))/(LN(2)/25)*Calculateur!DW148*Calculateur!DY148*VLOOKUP('Données projet'!$B$14,Paramètres!$A$1:$I$88,3,0)*0.475*44/12</f>
        <v>1.9192977839330339</v>
      </c>
      <c r="EC148" s="23">
        <f>EXP(-LN(2)/2)*EC147+(1-EXP(-LN(2)/2))/(LN(2)/2)*DW148*DZ148*VLOOKUP('Données projet'!$B$14,Paramètres!$A$1:$I$88,3,0)*0.475*44/12</f>
        <v>0</v>
      </c>
      <c r="ED148" s="24">
        <f t="shared" si="126"/>
        <v>8.5860689840923925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5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8">
        <f t="shared" si="110"/>
        <v>183.33333333333334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3.4106051316484809E-13</v>
      </c>
      <c r="O149" s="14">
        <f>N149*VLOOKUP('Données projet'!$B$9,Paramètres!$A$1:$I$88,3,0)*VLOOKUP('Données projet'!$B$9,Paramètres!$A$1:$I$88,5,0)</f>
        <v>1.9065282685915009E-13</v>
      </c>
      <c r="P149" s="14">
        <f t="shared" si="141"/>
        <v>2.6568987209435707E-12</v>
      </c>
      <c r="Q149" s="22">
        <f t="shared" si="108"/>
        <v>4.959485612423072E-12</v>
      </c>
      <c r="R149" s="60">
        <f t="shared" si="109"/>
        <v>286.21154539383559</v>
      </c>
      <c r="S149" s="60">
        <f ca="1">AVERAGE(OFFSET($R$3,0,0,'Données projet'!$E$9+1,1))-AVERAGE(OFFSET($H$3,0,0,'Données projet'!$E$9+1,1))</f>
        <v>366.29380214443631</v>
      </c>
      <c r="T149" s="60">
        <f t="shared" si="142"/>
        <v>413.14502442862897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43.63743588559803</v>
      </c>
      <c r="AA149" s="23">
        <f>EXP(-LN(2)/25)*AA148+(1-EXP(-LN(2)/25))/(LN(2)/25)*Calculateur!V149*Calculateur!X149*VLOOKUP('Données projet'!$B$9,Paramètres!$A$1:$I$88,3,0)*0.475*44/12</f>
        <v>12.211037273655519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55.848473159253551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452.49999999999989</v>
      </c>
      <c r="AJ149" s="14">
        <f>AI149*VLOOKUP('Données projet'!$B$10,Paramètres!$A$1:$I$88,3,0)*VLOOKUP('Données projet'!$B$10,Paramètres!$A$1:$I$88,5,0)</f>
        <v>395.30399999999992</v>
      </c>
      <c r="AK149" s="14">
        <f t="shared" si="143"/>
        <v>90.823969929029445</v>
      </c>
      <c r="AL149" s="22">
        <f t="shared" si="112"/>
        <v>846.67288095972606</v>
      </c>
      <c r="AM149" s="60">
        <f t="shared" si="113"/>
        <v>1132.8844263535566</v>
      </c>
      <c r="AN149" s="60">
        <f ca="1">AVERAGE(OFFSET($AM$3,0,0,'Données projet'!$E$10+1,1))-AVERAGE(OFFSET($H$3,0,0,'Données projet'!$E$10+1,1))</f>
        <v>436.5217771315057</v>
      </c>
      <c r="AO149" s="60">
        <f t="shared" si="144"/>
        <v>308.97310256098365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11.16414376916183</v>
      </c>
      <c r="AV149" s="23">
        <f>EXP(-LN(2)/25)*AV148+(1-EXP(-LN(2)/25))/(LN(2)/25)*Calculateur!AQ149*Calculateur!AS149*VLOOKUP('Données projet'!$B$10,Paramètres!$A$1:$I$88,3,0)*0.475*44/12</f>
        <v>3.0569145711017969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14.221058340263628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5.6</v>
      </c>
      <c r="BD149" s="13">
        <f>IF('Données projet'!$A$88&gt;35,BD148+BC149-BL148,IF(A149&lt;'Données projet'!$A$88,$BA$205^A149,IF(A149='Données projet'!$A$88,'Données projet'!$B$88,BD148+BC149-BL148)))</f>
        <v>288.59999999999991</v>
      </c>
      <c r="BE149" s="14">
        <f>BD149*VLOOKUP('Données projet'!$B$11,Paramètres!$A$1:$I$88,3,0)*VLOOKUP('Données projet'!$B$11,Paramètres!$A$1:$I$88,5,0)</f>
        <v>292.64039999999994</v>
      </c>
      <c r="BF149" s="14">
        <f t="shared" si="145"/>
        <v>69.631385425090059</v>
      </c>
      <c r="BG149" s="22">
        <f t="shared" si="115"/>
        <v>630.95669294869833</v>
      </c>
      <c r="BH149" s="60">
        <f t="shared" si="116"/>
        <v>917.16823834252898</v>
      </c>
      <c r="BI149" s="60">
        <f ca="1">AVERAGE(OFFSET($BH$3,0,0,'Données projet'!$E$11+1,1))-AVERAGE(OFFSET($H$3,0,0,'Données projet'!$E$11+1,1))</f>
        <v>108.30434106718693</v>
      </c>
      <c r="BJ149" s="60">
        <f t="shared" si="146"/>
        <v>67.653808657585842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13.189001927846496</v>
      </c>
      <c r="BQ149" s="23">
        <f>EXP(-LN(2)/25)*BQ148+(1-EXP(-LN(2)/25))/(LN(2)/25)*Calculateur!BL149*Calculateur!BN149*VLOOKUP('Données projet'!$B$11,Paramètres!$A$1:$I$88,3,0)*0.475*44/12</f>
        <v>0</v>
      </c>
      <c r="BR149" s="23">
        <f>EXP(-LN(2)/2)*BR148+(1-EXP(-LN(2)/2))/(LN(2)/2)*BL149*BO149*VLOOKUP('Données projet'!$B$11,Paramètres!$A$1:$I$88,3,0)*0.475*44/12</f>
        <v>0</v>
      </c>
      <c r="BS149" s="24">
        <f t="shared" si="117"/>
        <v>13.189001927846496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projet'!$B$12,Paramètres!$A$1:$I$88,3,0)*VLOOKUP('Données projet'!$B$12,Paramètres!$A$1:$I$88,5,0)</f>
        <v>0</v>
      </c>
      <c r="CA149" s="14" t="e">
        <f t="shared" si="147"/>
        <v>#NUM!</v>
      </c>
      <c r="CB149" s="22" t="e">
        <f t="shared" si="118"/>
        <v>#NUM!</v>
      </c>
      <c r="CC149" s="60" t="e">
        <f t="shared" si="119"/>
        <v>#NUM!</v>
      </c>
      <c r="CD149" s="60">
        <f ca="1">AVERAGE(OFFSET($CC$3,0,0,'Données projet'!$E$12+1,1))-AVERAGE(OFFSET($H$3,0,0,'Données projet'!$E$12+1,1))</f>
        <v>171.08593400758221</v>
      </c>
      <c r="CE149" s="60">
        <f t="shared" si="148"/>
        <v>201.9528484086932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projet'!$B$12,Paramètres!$A$1:$I$88,3,0)*0.475*44/12</f>
        <v>13.347880662615211</v>
      </c>
      <c r="CL149" s="23">
        <f>EXP(-LN(2)/25)*CL148+(1-EXP(-LN(2)/25))/(LN(2)/25)*Calculateur!CG149*Calculateur!CI149*VLOOKUP('Données projet'!$B$12,Paramètres!$A$1:$I$88,3,0)*0.475*44/12</f>
        <v>3.932384481515391</v>
      </c>
      <c r="CM149" s="23">
        <f>EXP(-LN(2)/2)*CM148+(1-EXP(-LN(2)/2))/(LN(2)/2)*CG149*CJ149*VLOOKUP('Données projet'!$B$12,Paramètres!$A$1:$I$88,3,0)*0.475*44/12</f>
        <v>0</v>
      </c>
      <c r="CN149" s="24">
        <f t="shared" si="120"/>
        <v>17.280265144130603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projet'!$B$13,Paramètres!$A$1:$I$88,3,0)*VLOOKUP('Données projet'!$B$13,Paramètres!$A$1:$I$88,5,0)</f>
        <v>0</v>
      </c>
      <c r="CV149" s="14" t="e">
        <f t="shared" si="149"/>
        <v>#NUM!</v>
      </c>
      <c r="CW149" s="22" t="e">
        <f t="shared" si="121"/>
        <v>#NUM!</v>
      </c>
      <c r="CX149" s="60" t="e">
        <f t="shared" si="122"/>
        <v>#NUM!</v>
      </c>
      <c r="CY149" s="60">
        <f ca="1">AVERAGE(OFFSET($CX$3,0,0,'Données projet'!$E$13+1,1))-AVERAGE(OFFSET($H$3,0,0,'Données projet'!$E$13+1,1))</f>
        <v>283.66646124753868</v>
      </c>
      <c r="CZ149" s="60">
        <f t="shared" si="150"/>
        <v>331.61926649572797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projet'!$B$13,Paramètres!$A$1:$I$88,3,0)*0.475*44/12</f>
        <v>65.73021178103339</v>
      </c>
      <c r="DG149" s="23">
        <f>EXP(-LN(2)/25)*DG148+(1-EXP(-LN(2)/25))/(LN(2)/25)*Calculateur!DB149*Calculateur!DD149*VLOOKUP('Données projet'!$B$13,Paramètres!$A$1:$I$88,3,0)*0.475*44/12</f>
        <v>0</v>
      </c>
      <c r="DH149" s="23">
        <f>EXP(-LN(2)/2)*DH148+(1-EXP(-LN(2)/2))/(LN(2)/2)*DB149*DE149*VLOOKUP('Données projet'!$B$13,Paramètres!$A$1:$I$88,3,0)*0.475*44/12</f>
        <v>0</v>
      </c>
      <c r="DI149" s="24">
        <f t="shared" si="123"/>
        <v>65.73021178103339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1.1368683772161603E-13</v>
      </c>
      <c r="DP149" s="18">
        <f>DO149*VLOOKUP('Données projet'!$B$14,Paramètres!$A$1:$I$88,3,0)*VLOOKUP('Données projet'!$B$14,Paramètres!$A$1:$I$88,5,0)</f>
        <v>8.3355189417488869E-14</v>
      </c>
      <c r="DQ149" s="14">
        <f t="shared" si="151"/>
        <v>1.2790518435140618E-12</v>
      </c>
      <c r="DR149" s="22">
        <f t="shared" si="124"/>
        <v>2.3728589156891171E-12</v>
      </c>
      <c r="DS149" s="60">
        <f t="shared" si="125"/>
        <v>286.21154539383303</v>
      </c>
      <c r="DT149" s="60">
        <f ca="1">AVERAGE(OFFSET($DS$3,0,0,'Données projet'!$E$14+1,1))-AVERAGE(OFFSET($H$3,0,0,'Données projet'!$E$14+1,1))</f>
        <v>212.77458587586861</v>
      </c>
      <c r="DU149" s="60">
        <f t="shared" si="152"/>
        <v>260.45879589483513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projet'!$B$14,Paramètres!$A$1:$I$88,3,0)*0.475*44/12</f>
        <v>6.5360398832531486</v>
      </c>
      <c r="EB149" s="23">
        <f>EXP(-LN(2)/25)*EB148+(1-EXP(-LN(2)/25))/(LN(2)/25)*Calculateur!DW149*Calculateur!DY149*VLOOKUP('Données projet'!$B$14,Paramètres!$A$1:$I$88,3,0)*0.475*44/12</f>
        <v>1.8668144850999011</v>
      </c>
      <c r="EC149" s="23">
        <f>EXP(-LN(2)/2)*EC148+(1-EXP(-LN(2)/2))/(LN(2)/2)*DW149*DZ149*VLOOKUP('Données projet'!$B$14,Paramètres!$A$1:$I$88,3,0)*0.475*44/12</f>
        <v>0</v>
      </c>
      <c r="ED149" s="24">
        <f t="shared" si="126"/>
        <v>8.402854368353049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5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8">
        <f t="shared" si="110"/>
        <v>183.33333333333334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3.4106051316484809E-13</v>
      </c>
      <c r="O150" s="14">
        <f>N150*VLOOKUP('Données projet'!$B$9,Paramètres!$A$1:$I$88,3,0)*VLOOKUP('Données projet'!$B$9,Paramètres!$A$1:$I$88,5,0)</f>
        <v>1.9065282685915009E-13</v>
      </c>
      <c r="P150" s="14">
        <f t="shared" si="141"/>
        <v>2.6568987209435707E-12</v>
      </c>
      <c r="Q150" s="22">
        <f t="shared" si="108"/>
        <v>4.959485612423072E-12</v>
      </c>
      <c r="R150" s="60">
        <f t="shared" si="109"/>
        <v>286.33509249265336</v>
      </c>
      <c r="S150" s="60">
        <f ca="1">AVERAGE(OFFSET($R$3,0,0,'Données projet'!$E$9+1,1))-AVERAGE(OFFSET($H$3,0,0,'Données projet'!$E$9+1,1))</f>
        <v>366.29380214443631</v>
      </c>
      <c r="T150" s="60">
        <f t="shared" si="142"/>
        <v>413.14502442862897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42.78173238408921</v>
      </c>
      <c r="AA150" s="23">
        <f>EXP(-LN(2)/25)*AA149+(1-EXP(-LN(2)/25))/(LN(2)/25)*Calculateur!V150*Calculateur!X150*VLOOKUP('Données projet'!$B$9,Paramètres!$A$1:$I$88,3,0)*0.475*44/12</f>
        <v>11.877125817256868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54.658858201346078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452.49999999999989</v>
      </c>
      <c r="AJ150" s="14">
        <f>AI150*VLOOKUP('Données projet'!$B$10,Paramètres!$A$1:$I$88,3,0)*VLOOKUP('Données projet'!$B$10,Paramètres!$A$1:$I$88,5,0)</f>
        <v>395.30399999999992</v>
      </c>
      <c r="AK150" s="14">
        <f t="shared" si="143"/>
        <v>90.823969929029445</v>
      </c>
      <c r="AL150" s="22">
        <f t="shared" si="112"/>
        <v>846.67288095972606</v>
      </c>
      <c r="AM150" s="60">
        <f t="shared" si="113"/>
        <v>1133.0079734523745</v>
      </c>
      <c r="AN150" s="60">
        <f ca="1">AVERAGE(OFFSET($AM$3,0,0,'Données projet'!$E$10+1,1))-AVERAGE(OFFSET($H$3,0,0,'Données projet'!$E$10+1,1))</f>
        <v>436.5217771315057</v>
      </c>
      <c r="AO150" s="60">
        <f t="shared" si="144"/>
        <v>308.97310256098365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10.945221719303888</v>
      </c>
      <c r="AV150" s="23">
        <f>EXP(-LN(2)/25)*AV149+(1-EXP(-LN(2)/25))/(LN(2)/25)*Calculateur!AQ150*Calculateur!AS150*VLOOKUP('Données projet'!$B$10,Paramètres!$A$1:$I$88,3,0)*0.475*44/12</f>
        <v>2.9733230813988678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13.918544800702755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5.6</v>
      </c>
      <c r="BD150" s="13">
        <f>IF('Données projet'!$A$88&gt;35,BD149+BC150-BL149,IF(A150&lt;'Données projet'!$A$88,$BA$205^A150,IF(A150='Données projet'!$A$88,'Données projet'!$B$88,BD149+BC150-BL149)))</f>
        <v>294.19999999999993</v>
      </c>
      <c r="BE150" s="14">
        <f>BD150*VLOOKUP('Données projet'!$B$11,Paramètres!$A$1:$I$88,3,0)*VLOOKUP('Données projet'!$B$11,Paramètres!$A$1:$I$88,5,0)</f>
        <v>298.31879999999995</v>
      </c>
      <c r="BF150" s="14">
        <f t="shared" si="145"/>
        <v>70.823904189019913</v>
      </c>
      <c r="BG150" s="22">
        <f t="shared" si="115"/>
        <v>642.92354312920963</v>
      </c>
      <c r="BH150" s="60">
        <f t="shared" si="116"/>
        <v>929.25863562185805</v>
      </c>
      <c r="BI150" s="60">
        <f ca="1">AVERAGE(OFFSET($BH$3,0,0,'Données projet'!$E$11+1,1))-AVERAGE(OFFSET($H$3,0,0,'Données projet'!$E$11+1,1))</f>
        <v>108.30434106718693</v>
      </c>
      <c r="BJ150" s="60">
        <f t="shared" si="146"/>
        <v>67.653808657585842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12.930373644538275</v>
      </c>
      <c r="BQ150" s="23">
        <f>EXP(-LN(2)/25)*BQ149+(1-EXP(-LN(2)/25))/(LN(2)/25)*Calculateur!BL150*Calculateur!BN150*VLOOKUP('Données projet'!$B$11,Paramètres!$A$1:$I$88,3,0)*0.475*44/12</f>
        <v>0</v>
      </c>
      <c r="BR150" s="23">
        <f>EXP(-LN(2)/2)*BR149+(1-EXP(-LN(2)/2))/(LN(2)/2)*BL150*BO150*VLOOKUP('Données projet'!$B$11,Paramètres!$A$1:$I$88,3,0)*0.475*44/12</f>
        <v>0</v>
      </c>
      <c r="BS150" s="24">
        <f t="shared" si="117"/>
        <v>12.930373644538275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projet'!$B$12,Paramètres!$A$1:$I$88,3,0)*VLOOKUP('Données projet'!$B$12,Paramètres!$A$1:$I$88,5,0)</f>
        <v>0</v>
      </c>
      <c r="CA150" s="14" t="e">
        <f t="shared" si="147"/>
        <v>#NUM!</v>
      </c>
      <c r="CB150" s="22" t="e">
        <f t="shared" si="118"/>
        <v>#NUM!</v>
      </c>
      <c r="CC150" s="60" t="e">
        <f t="shared" si="119"/>
        <v>#NUM!</v>
      </c>
      <c r="CD150" s="60">
        <f ca="1">AVERAGE(OFFSET($CC$3,0,0,'Données projet'!$E$12+1,1))-AVERAGE(OFFSET($H$3,0,0,'Données projet'!$E$12+1,1))</f>
        <v>171.08593400758221</v>
      </c>
      <c r="CE150" s="60">
        <f t="shared" si="148"/>
        <v>201.9528484086932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projet'!$B$12,Paramètres!$A$1:$I$88,3,0)*0.475*44/12</f>
        <v>13.086136864224633</v>
      </c>
      <c r="CL150" s="23">
        <f>EXP(-LN(2)/25)*CL149+(1-EXP(-LN(2)/25))/(LN(2)/25)*Calculateur!CG150*Calculateur!CI150*VLOOKUP('Données projet'!$B$12,Paramètres!$A$1:$I$88,3,0)*0.475*44/12</f>
        <v>3.8248532210732402</v>
      </c>
      <c r="CM150" s="23">
        <f>EXP(-LN(2)/2)*CM149+(1-EXP(-LN(2)/2))/(LN(2)/2)*CG150*CJ150*VLOOKUP('Données projet'!$B$12,Paramètres!$A$1:$I$88,3,0)*0.475*44/12</f>
        <v>0</v>
      </c>
      <c r="CN150" s="24">
        <f t="shared" si="120"/>
        <v>16.910990085297872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projet'!$B$13,Paramètres!$A$1:$I$88,3,0)*VLOOKUP('Données projet'!$B$13,Paramètres!$A$1:$I$88,5,0)</f>
        <v>0</v>
      </c>
      <c r="CV150" s="14" t="e">
        <f t="shared" si="149"/>
        <v>#NUM!</v>
      </c>
      <c r="CW150" s="22" t="e">
        <f t="shared" si="121"/>
        <v>#NUM!</v>
      </c>
      <c r="CX150" s="60" t="e">
        <f t="shared" si="122"/>
        <v>#NUM!</v>
      </c>
      <c r="CY150" s="60">
        <f ca="1">AVERAGE(OFFSET($CX$3,0,0,'Données projet'!$E$13+1,1))-AVERAGE(OFFSET($H$3,0,0,'Données projet'!$E$13+1,1))</f>
        <v>283.66646124753868</v>
      </c>
      <c r="CZ150" s="60">
        <f t="shared" si="150"/>
        <v>331.61926649572797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projet'!$B$13,Paramètres!$A$1:$I$88,3,0)*0.475*44/12</f>
        <v>64.441282419477801</v>
      </c>
      <c r="DG150" s="23">
        <f>EXP(-LN(2)/25)*DG149+(1-EXP(-LN(2)/25))/(LN(2)/25)*Calculateur!DB150*Calculateur!DD150*VLOOKUP('Données projet'!$B$13,Paramètres!$A$1:$I$88,3,0)*0.475*44/12</f>
        <v>0</v>
      </c>
      <c r="DH150" s="23">
        <f>EXP(-LN(2)/2)*DH149+(1-EXP(-LN(2)/2))/(LN(2)/2)*DB150*DE150*VLOOKUP('Données projet'!$B$13,Paramètres!$A$1:$I$88,3,0)*0.475*44/12</f>
        <v>0</v>
      </c>
      <c r="DI150" s="24">
        <f t="shared" si="123"/>
        <v>64.441282419477801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1.1368683772161603E-13</v>
      </c>
      <c r="DP150" s="18">
        <f>DO150*VLOOKUP('Données projet'!$B$14,Paramètres!$A$1:$I$88,3,0)*VLOOKUP('Données projet'!$B$14,Paramètres!$A$1:$I$88,5,0)</f>
        <v>8.3355189417488869E-14</v>
      </c>
      <c r="DQ150" s="14">
        <f t="shared" si="151"/>
        <v>1.2790518435140618E-12</v>
      </c>
      <c r="DR150" s="22">
        <f t="shared" si="124"/>
        <v>2.3728589156891171E-12</v>
      </c>
      <c r="DS150" s="60">
        <f t="shared" si="125"/>
        <v>286.3350924926508</v>
      </c>
      <c r="DT150" s="60">
        <f ca="1">AVERAGE(OFFSET($DS$3,0,0,'Données projet'!$E$14+1,1))-AVERAGE(OFFSET($H$3,0,0,'Données projet'!$E$14+1,1))</f>
        <v>212.77458587586861</v>
      </c>
      <c r="DU150" s="60">
        <f t="shared" si="152"/>
        <v>260.45879589483513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projet'!$B$14,Paramètres!$A$1:$I$88,3,0)*0.475*44/12</f>
        <v>6.4078721277332402</v>
      </c>
      <c r="EB150" s="23">
        <f>EXP(-LN(2)/25)*EB149+(1-EXP(-LN(2)/25))/(LN(2)/25)*Calculateur!DW150*Calculateur!DY150*VLOOKUP('Données projet'!$B$14,Paramètres!$A$1:$I$88,3,0)*0.475*44/12</f>
        <v>1.8157663448333372</v>
      </c>
      <c r="EC150" s="23">
        <f>EXP(-LN(2)/2)*EC149+(1-EXP(-LN(2)/2))/(LN(2)/2)*DW150*DZ150*VLOOKUP('Données projet'!$B$14,Paramètres!$A$1:$I$88,3,0)*0.475*44/12</f>
        <v>0</v>
      </c>
      <c r="ED150" s="24">
        <f t="shared" si="126"/>
        <v>8.2236384725665772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5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8">
        <f t="shared" si="110"/>
        <v>183.33333333333334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3.4106051316484809E-13</v>
      </c>
      <c r="O151" s="14">
        <f>N151*VLOOKUP('Données projet'!$B$9,Paramètres!$A$1:$I$88,3,0)*VLOOKUP('Données projet'!$B$9,Paramètres!$A$1:$I$88,5,0)</f>
        <v>1.9065282685915009E-13</v>
      </c>
      <c r="P151" s="14">
        <f t="shared" si="141"/>
        <v>2.6568987209435707E-12</v>
      </c>
      <c r="Q151" s="22">
        <f t="shared" si="108"/>
        <v>4.959485612423072E-12</v>
      </c>
      <c r="R151" s="60">
        <f t="shared" si="109"/>
        <v>286.45649632551664</v>
      </c>
      <c r="S151" s="60">
        <f ca="1">AVERAGE(OFFSET($R$3,0,0,'Données projet'!$E$9+1,1))-AVERAGE(OFFSET($H$3,0,0,'Données projet'!$E$9+1,1))</f>
        <v>366.29380214443631</v>
      </c>
      <c r="T151" s="60">
        <f t="shared" si="142"/>
        <v>413.14502442862897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41.942808706317379</v>
      </c>
      <c r="AA151" s="23">
        <f>EXP(-LN(2)/25)*AA150+(1-EXP(-LN(2)/25))/(LN(2)/25)*Calculateur!V151*Calculateur!X151*VLOOKUP('Données projet'!$B$9,Paramètres!$A$1:$I$88,3,0)*0.475*44/12</f>
        <v>11.552345187193078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53.495153893510455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452.49999999999989</v>
      </c>
      <c r="AJ151" s="14">
        <f>AI151*VLOOKUP('Données projet'!$B$10,Paramètres!$A$1:$I$88,3,0)*VLOOKUP('Données projet'!$B$10,Paramètres!$A$1:$I$88,5,0)</f>
        <v>395.30399999999992</v>
      </c>
      <c r="AK151" s="14">
        <f t="shared" si="143"/>
        <v>90.823969929029445</v>
      </c>
      <c r="AL151" s="22">
        <f t="shared" si="112"/>
        <v>846.67288095972606</v>
      </c>
      <c r="AM151" s="60">
        <f t="shared" si="113"/>
        <v>1133.1293772852378</v>
      </c>
      <c r="AN151" s="60">
        <f ca="1">AVERAGE(OFFSET($AM$3,0,0,'Données projet'!$E$10+1,1))-AVERAGE(OFFSET($H$3,0,0,'Données projet'!$E$10+1,1))</f>
        <v>436.5217771315057</v>
      </c>
      <c r="AO151" s="60">
        <f t="shared" si="144"/>
        <v>308.97310256098365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10.730592597314395</v>
      </c>
      <c r="AV151" s="23">
        <f>EXP(-LN(2)/25)*AV150+(1-EXP(-LN(2)/25))/(LN(2)/25)*Calculateur!AQ151*Calculateur!AS151*VLOOKUP('Données projet'!$B$10,Paramètres!$A$1:$I$88,3,0)*0.475*44/12</f>
        <v>2.8920174053777505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13.622610002692145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5.6</v>
      </c>
      <c r="BD151" s="13">
        <f>IF('Données projet'!$A$88&gt;35,BD150+BC151-BL150,IF(A151&lt;'Données projet'!$A$88,$BA$205^A151,IF(A151='Données projet'!$A$88,'Données projet'!$B$88,BD150+BC151-BL150)))</f>
        <v>299.79999999999995</v>
      </c>
      <c r="BE151" s="14">
        <f>BD151*VLOOKUP('Données projet'!$B$11,Paramètres!$A$1:$I$88,3,0)*VLOOKUP('Données projet'!$B$11,Paramètres!$A$1:$I$88,5,0)</f>
        <v>303.99719999999996</v>
      </c>
      <c r="BF151" s="14">
        <f t="shared" si="145"/>
        <v>72.013783522307648</v>
      </c>
      <c r="BG151" s="22">
        <f t="shared" si="115"/>
        <v>654.88579630135234</v>
      </c>
      <c r="BH151" s="60">
        <f t="shared" si="116"/>
        <v>941.34229262686404</v>
      </c>
      <c r="BI151" s="60">
        <f ca="1">AVERAGE(OFFSET($BH$3,0,0,'Données projet'!$E$11+1,1))-AVERAGE(OFFSET($H$3,0,0,'Données projet'!$E$11+1,1))</f>
        <v>108.30434106718693</v>
      </c>
      <c r="BJ151" s="60">
        <f t="shared" si="146"/>
        <v>67.653808657585842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12.67681690411805</v>
      </c>
      <c r="BQ151" s="23">
        <f>EXP(-LN(2)/25)*BQ150+(1-EXP(-LN(2)/25))/(LN(2)/25)*Calculateur!BL151*Calculateur!BN151*VLOOKUP('Données projet'!$B$11,Paramètres!$A$1:$I$88,3,0)*0.475*44/12</f>
        <v>0</v>
      </c>
      <c r="BR151" s="23">
        <f>EXP(-LN(2)/2)*BR150+(1-EXP(-LN(2)/2))/(LN(2)/2)*BL151*BO151*VLOOKUP('Données projet'!$B$11,Paramètres!$A$1:$I$88,3,0)*0.475*44/12</f>
        <v>0</v>
      </c>
      <c r="BS151" s="24">
        <f t="shared" si="117"/>
        <v>12.67681690411805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projet'!$B$12,Paramètres!$A$1:$I$88,3,0)*VLOOKUP('Données projet'!$B$12,Paramètres!$A$1:$I$88,5,0)</f>
        <v>0</v>
      </c>
      <c r="CA151" s="14" t="e">
        <f t="shared" si="147"/>
        <v>#NUM!</v>
      </c>
      <c r="CB151" s="22" t="e">
        <f t="shared" si="118"/>
        <v>#NUM!</v>
      </c>
      <c r="CC151" s="60" t="e">
        <f t="shared" si="119"/>
        <v>#NUM!</v>
      </c>
      <c r="CD151" s="60">
        <f ca="1">AVERAGE(OFFSET($CC$3,0,0,'Données projet'!$E$12+1,1))-AVERAGE(OFFSET($H$3,0,0,'Données projet'!$E$12+1,1))</f>
        <v>171.08593400758221</v>
      </c>
      <c r="CE151" s="60">
        <f t="shared" si="148"/>
        <v>201.9528484086932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projet'!$B$12,Paramètres!$A$1:$I$88,3,0)*0.475*44/12</f>
        <v>12.829525702072543</v>
      </c>
      <c r="CL151" s="23">
        <f>EXP(-LN(2)/25)*CL150+(1-EXP(-LN(2)/25))/(LN(2)/25)*Calculateur!CG151*Calculateur!CI151*VLOOKUP('Données projet'!$B$12,Paramètres!$A$1:$I$88,3,0)*0.475*44/12</f>
        <v>3.7202624086027032</v>
      </c>
      <c r="CM151" s="23">
        <f>EXP(-LN(2)/2)*CM150+(1-EXP(-LN(2)/2))/(LN(2)/2)*CG151*CJ151*VLOOKUP('Données projet'!$B$12,Paramètres!$A$1:$I$88,3,0)*0.475*44/12</f>
        <v>0</v>
      </c>
      <c r="CN151" s="24">
        <f t="shared" si="120"/>
        <v>16.549788110675244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projet'!$B$13,Paramètres!$A$1:$I$88,3,0)*VLOOKUP('Données projet'!$B$13,Paramètres!$A$1:$I$88,5,0)</f>
        <v>0</v>
      </c>
      <c r="CV151" s="14" t="e">
        <f t="shared" si="149"/>
        <v>#NUM!</v>
      </c>
      <c r="CW151" s="22" t="e">
        <f t="shared" si="121"/>
        <v>#NUM!</v>
      </c>
      <c r="CX151" s="60" t="e">
        <f t="shared" si="122"/>
        <v>#NUM!</v>
      </c>
      <c r="CY151" s="60">
        <f ca="1">AVERAGE(OFFSET($CX$3,0,0,'Données projet'!$E$13+1,1))-AVERAGE(OFFSET($H$3,0,0,'Données projet'!$E$13+1,1))</f>
        <v>283.66646124753868</v>
      </c>
      <c r="CZ151" s="60">
        <f t="shared" si="150"/>
        <v>331.61926649572797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projet'!$B$13,Paramètres!$A$1:$I$88,3,0)*0.475*44/12</f>
        <v>63.177628176533041</v>
      </c>
      <c r="DG151" s="23">
        <f>EXP(-LN(2)/25)*DG150+(1-EXP(-LN(2)/25))/(LN(2)/25)*Calculateur!DB151*Calculateur!DD151*VLOOKUP('Données projet'!$B$13,Paramètres!$A$1:$I$88,3,0)*0.475*44/12</f>
        <v>0</v>
      </c>
      <c r="DH151" s="23">
        <f>EXP(-LN(2)/2)*DH150+(1-EXP(-LN(2)/2))/(LN(2)/2)*DB151*DE151*VLOOKUP('Données projet'!$B$13,Paramètres!$A$1:$I$88,3,0)*0.475*44/12</f>
        <v>0</v>
      </c>
      <c r="DI151" s="24">
        <f t="shared" si="123"/>
        <v>63.177628176533041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1.1368683772161603E-13</v>
      </c>
      <c r="DP151" s="18">
        <f>DO151*VLOOKUP('Données projet'!$B$14,Paramètres!$A$1:$I$88,3,0)*VLOOKUP('Données projet'!$B$14,Paramètres!$A$1:$I$88,5,0)</f>
        <v>8.3355189417488869E-14</v>
      </c>
      <c r="DQ151" s="14">
        <f t="shared" si="151"/>
        <v>1.2790518435140618E-12</v>
      </c>
      <c r="DR151" s="22">
        <f t="shared" si="124"/>
        <v>2.3728589156891171E-12</v>
      </c>
      <c r="DS151" s="60">
        <f t="shared" si="125"/>
        <v>286.45649632551408</v>
      </c>
      <c r="DT151" s="60">
        <f ca="1">AVERAGE(OFFSET($DS$3,0,0,'Données projet'!$E$14+1,1))-AVERAGE(OFFSET($H$3,0,0,'Données projet'!$E$14+1,1))</f>
        <v>212.77458587586861</v>
      </c>
      <c r="DU151" s="60">
        <f t="shared" si="152"/>
        <v>260.45879589483513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projet'!$B$14,Paramètres!$A$1:$I$88,3,0)*0.475*44/12</f>
        <v>6.2822176637244649</v>
      </c>
      <c r="EB151" s="23">
        <f>EXP(-LN(2)/25)*EB150+(1-EXP(-LN(2)/25))/(LN(2)/25)*Calculateur!DW151*Calculateur!DY151*VLOOKUP('Données projet'!$B$14,Paramètres!$A$1:$I$88,3,0)*0.475*44/12</f>
        <v>1.7661141186468676</v>
      </c>
      <c r="EC151" s="23">
        <f>EXP(-LN(2)/2)*EC150+(1-EXP(-LN(2)/2))/(LN(2)/2)*DW151*DZ151*VLOOKUP('Données projet'!$B$14,Paramètres!$A$1:$I$88,3,0)*0.475*44/12</f>
        <v>0</v>
      </c>
      <c r="ED151" s="24">
        <f t="shared" si="126"/>
        <v>8.0483317823713332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5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8">
        <f t="shared" si="110"/>
        <v>183.33333333333334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3.4106051316484809E-13</v>
      </c>
      <c r="O152" s="14">
        <f>N152*VLOOKUP('Données projet'!$B$9,Paramètres!$A$1:$I$88,3,0)*VLOOKUP('Données projet'!$B$9,Paramètres!$A$1:$I$88,5,0)</f>
        <v>1.9065282685915009E-13</v>
      </c>
      <c r="P152" s="14">
        <f t="shared" si="141"/>
        <v>2.6568987209435707E-12</v>
      </c>
      <c r="Q152" s="22">
        <f t="shared" si="108"/>
        <v>4.959485612423072E-12</v>
      </c>
      <c r="R152" s="60">
        <f t="shared" si="109"/>
        <v>286.57579407329803</v>
      </c>
      <c r="S152" s="60">
        <f ca="1">AVERAGE(OFFSET($R$3,0,0,'Données projet'!$E$9+1,1))-AVERAGE(OFFSET($H$3,0,0,'Données projet'!$E$9+1,1))</f>
        <v>366.29380214443631</v>
      </c>
      <c r="T152" s="60">
        <f t="shared" si="142"/>
        <v>413.14502442862897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41.120335810173735</v>
      </c>
      <c r="AA152" s="23">
        <f>EXP(-LN(2)/25)*AA151+(1-EXP(-LN(2)/25))/(LN(2)/25)*Calculateur!V152*Calculateur!X152*VLOOKUP('Données projet'!$B$9,Paramètres!$A$1:$I$88,3,0)*0.475*44/12</f>
        <v>11.236445700537853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52.356781510711585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452.49999999999989</v>
      </c>
      <c r="AJ152" s="14">
        <f>AI152*VLOOKUP('Données projet'!$B$10,Paramètres!$A$1:$I$88,3,0)*VLOOKUP('Données projet'!$B$10,Paramètres!$A$1:$I$88,5,0)</f>
        <v>395.30399999999992</v>
      </c>
      <c r="AK152" s="14">
        <f t="shared" si="143"/>
        <v>90.823969929029445</v>
      </c>
      <c r="AL152" s="22">
        <f t="shared" si="112"/>
        <v>846.67288095972606</v>
      </c>
      <c r="AM152" s="60">
        <f t="shared" si="113"/>
        <v>1133.248675033019</v>
      </c>
      <c r="AN152" s="60">
        <f ca="1">AVERAGE(OFFSET($AM$3,0,0,'Données projet'!$E$10+1,1))-AVERAGE(OFFSET($H$3,0,0,'Données projet'!$E$10+1,1))</f>
        <v>436.5217771315057</v>
      </c>
      <c r="AO152" s="60">
        <f t="shared" si="144"/>
        <v>308.97310256098365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10.520172221496278</v>
      </c>
      <c r="AV152" s="23">
        <f>EXP(-LN(2)/25)*AV151+(1-EXP(-LN(2)/25))/(LN(2)/25)*Calculateur!AQ152*Calculateur!AS152*VLOOKUP('Données projet'!$B$10,Paramètres!$A$1:$I$88,3,0)*0.475*44/12</f>
        <v>2.8129350373431103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13.333107258839387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5.6</v>
      </c>
      <c r="BD152" s="13">
        <f>IF('Données projet'!$A$88&gt;35,BD151+BC152-BL151,IF(A152&lt;'Données projet'!$A$88,$BA$205^A152,IF(A152='Données projet'!$A$88,'Données projet'!$B$88,BD151+BC152-BL151)))</f>
        <v>305.39999999999998</v>
      </c>
      <c r="BE152" s="14">
        <f>BD152*VLOOKUP('Données projet'!$B$11,Paramètres!$A$1:$I$88,3,0)*VLOOKUP('Données projet'!$B$11,Paramètres!$A$1:$I$88,5,0)</f>
        <v>309.67559999999997</v>
      </c>
      <c r="BF152" s="14">
        <f t="shared" si="145"/>
        <v>73.20107841263075</v>
      </c>
      <c r="BG152" s="22">
        <f t="shared" si="115"/>
        <v>666.84354823533181</v>
      </c>
      <c r="BH152" s="60">
        <f t="shared" si="116"/>
        <v>953.41934230862489</v>
      </c>
      <c r="BI152" s="60">
        <f ca="1">AVERAGE(OFFSET($BH$3,0,0,'Données projet'!$E$11+1,1))-AVERAGE(OFFSET($H$3,0,0,'Données projet'!$E$11+1,1))</f>
        <v>108.30434106718693</v>
      </c>
      <c r="BJ152" s="60">
        <f t="shared" si="146"/>
        <v>67.653808657585842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12.428232256723126</v>
      </c>
      <c r="BQ152" s="23">
        <f>EXP(-LN(2)/25)*BQ151+(1-EXP(-LN(2)/25))/(LN(2)/25)*Calculateur!BL152*Calculateur!BN152*VLOOKUP('Données projet'!$B$11,Paramètres!$A$1:$I$88,3,0)*0.475*44/12</f>
        <v>0</v>
      </c>
      <c r="BR152" s="23">
        <f>EXP(-LN(2)/2)*BR151+(1-EXP(-LN(2)/2))/(LN(2)/2)*BL152*BO152*VLOOKUP('Données projet'!$B$11,Paramètres!$A$1:$I$88,3,0)*0.475*44/12</f>
        <v>0</v>
      </c>
      <c r="BS152" s="24">
        <f t="shared" si="117"/>
        <v>12.428232256723126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projet'!$B$12,Paramètres!$A$1:$I$88,3,0)*VLOOKUP('Données projet'!$B$12,Paramètres!$A$1:$I$88,5,0)</f>
        <v>0</v>
      </c>
      <c r="CA152" s="14" t="e">
        <f t="shared" si="147"/>
        <v>#NUM!</v>
      </c>
      <c r="CB152" s="22" t="e">
        <f t="shared" si="118"/>
        <v>#NUM!</v>
      </c>
      <c r="CC152" s="60" t="e">
        <f t="shared" si="119"/>
        <v>#NUM!</v>
      </c>
      <c r="CD152" s="60">
        <f ca="1">AVERAGE(OFFSET($CC$3,0,0,'Données projet'!$E$12+1,1))-AVERAGE(OFFSET($H$3,0,0,'Données projet'!$E$12+1,1))</f>
        <v>171.08593400758221</v>
      </c>
      <c r="CE152" s="60">
        <f t="shared" si="148"/>
        <v>201.9528484086932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projet'!$B$12,Paramètres!$A$1:$I$88,3,0)*0.475*44/12</f>
        <v>12.5779465282929</v>
      </c>
      <c r="CL152" s="23">
        <f>EXP(-LN(2)/25)*CL151+(1-EXP(-LN(2)/25))/(LN(2)/25)*Calculateur!CG152*Calculateur!CI152*VLOOKUP('Données projet'!$B$12,Paramètres!$A$1:$I$88,3,0)*0.475*44/12</f>
        <v>3.6185316373993648</v>
      </c>
      <c r="CM152" s="23">
        <f>EXP(-LN(2)/2)*CM151+(1-EXP(-LN(2)/2))/(LN(2)/2)*CG152*CJ152*VLOOKUP('Données projet'!$B$12,Paramètres!$A$1:$I$88,3,0)*0.475*44/12</f>
        <v>0</v>
      </c>
      <c r="CN152" s="24">
        <f t="shared" si="120"/>
        <v>16.196478165692266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projet'!$B$13,Paramètres!$A$1:$I$88,3,0)*VLOOKUP('Données projet'!$B$13,Paramètres!$A$1:$I$88,5,0)</f>
        <v>0</v>
      </c>
      <c r="CV152" s="14" t="e">
        <f t="shared" si="149"/>
        <v>#NUM!</v>
      </c>
      <c r="CW152" s="22" t="e">
        <f t="shared" si="121"/>
        <v>#NUM!</v>
      </c>
      <c r="CX152" s="60" t="e">
        <f t="shared" si="122"/>
        <v>#NUM!</v>
      </c>
      <c r="CY152" s="60">
        <f ca="1">AVERAGE(OFFSET($CX$3,0,0,'Données projet'!$E$13+1,1))-AVERAGE(OFFSET($H$3,0,0,'Données projet'!$E$13+1,1))</f>
        <v>283.66646124753868</v>
      </c>
      <c r="CZ152" s="60">
        <f t="shared" si="150"/>
        <v>331.61926649572797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projet'!$B$13,Paramètres!$A$1:$I$88,3,0)*0.475*44/12</f>
        <v>61.938753422539442</v>
      </c>
      <c r="DG152" s="23">
        <f>EXP(-LN(2)/25)*DG151+(1-EXP(-LN(2)/25))/(LN(2)/25)*Calculateur!DB152*Calculateur!DD152*VLOOKUP('Données projet'!$B$13,Paramètres!$A$1:$I$88,3,0)*0.475*44/12</f>
        <v>0</v>
      </c>
      <c r="DH152" s="23">
        <f>EXP(-LN(2)/2)*DH151+(1-EXP(-LN(2)/2))/(LN(2)/2)*DB152*DE152*VLOOKUP('Données projet'!$B$13,Paramètres!$A$1:$I$88,3,0)*0.475*44/12</f>
        <v>0</v>
      </c>
      <c r="DI152" s="24">
        <f t="shared" si="123"/>
        <v>61.938753422539442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1.1368683772161603E-13</v>
      </c>
      <c r="DP152" s="18">
        <f>DO152*VLOOKUP('Données projet'!$B$14,Paramètres!$A$1:$I$88,3,0)*VLOOKUP('Données projet'!$B$14,Paramètres!$A$1:$I$88,5,0)</f>
        <v>8.3355189417488869E-14</v>
      </c>
      <c r="DQ152" s="14">
        <f t="shared" si="151"/>
        <v>1.2790518435140618E-12</v>
      </c>
      <c r="DR152" s="22">
        <f t="shared" si="124"/>
        <v>2.3728589156891171E-12</v>
      </c>
      <c r="DS152" s="60">
        <f t="shared" si="125"/>
        <v>286.57579407329547</v>
      </c>
      <c r="DT152" s="60">
        <f ca="1">AVERAGE(OFFSET($DS$3,0,0,'Données projet'!$E$14+1,1))-AVERAGE(OFFSET($H$3,0,0,'Données projet'!$E$14+1,1))</f>
        <v>212.77458587586861</v>
      </c>
      <c r="DU152" s="60">
        <f t="shared" si="152"/>
        <v>260.45879589483513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projet'!$B$14,Paramètres!$A$1:$I$88,3,0)*0.475*44/12</f>
        <v>6.1590272071132466</v>
      </c>
      <c r="EB152" s="23">
        <f>EXP(-LN(2)/25)*EB151+(1-EXP(-LN(2)/25))/(LN(2)/25)*Calculateur!DW152*Calculateur!DY152*VLOOKUP('Données projet'!$B$14,Paramètres!$A$1:$I$88,3,0)*0.475*44/12</f>
        <v>1.717819635196564</v>
      </c>
      <c r="EC152" s="23">
        <f>EXP(-LN(2)/2)*EC151+(1-EXP(-LN(2)/2))/(LN(2)/2)*DW152*DZ152*VLOOKUP('Données projet'!$B$14,Paramètres!$A$1:$I$88,3,0)*0.475*44/12</f>
        <v>0</v>
      </c>
      <c r="ED152" s="24">
        <f t="shared" si="126"/>
        <v>7.8768468423098108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5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8">
        <f t="shared" si="110"/>
        <v>183.33333333333334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3.4106051316484809E-13</v>
      </c>
      <c r="O153" s="14">
        <f>N153*VLOOKUP('Données projet'!$B$9,Paramètres!$A$1:$I$88,3,0)*VLOOKUP('Données projet'!$B$9,Paramètres!$A$1:$I$88,5,0)</f>
        <v>1.9065282685915009E-13</v>
      </c>
      <c r="P153" s="14">
        <f t="shared" si="141"/>
        <v>2.6568987209435707E-12</v>
      </c>
      <c r="Q153" s="22">
        <f t="shared" si="108"/>
        <v>4.959485612423072E-12</v>
      </c>
      <c r="R153" s="60">
        <f t="shared" si="109"/>
        <v>286.69302227186529</v>
      </c>
      <c r="S153" s="60">
        <f ca="1">AVERAGE(OFFSET($R$3,0,0,'Données projet'!$E$9+1,1))-AVERAGE(OFFSET($H$3,0,0,'Données projet'!$E$9+1,1))</f>
        <v>366.29380214443631</v>
      </c>
      <c r="T153" s="60">
        <f t="shared" si="142"/>
        <v>413.14502442862897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40.313991105864538</v>
      </c>
      <c r="AA153" s="23">
        <f>EXP(-LN(2)/25)*AA152+(1-EXP(-LN(2)/25))/(LN(2)/25)*Calculateur!V153*Calculateur!X153*VLOOKUP('Données projet'!$B$9,Paramètres!$A$1:$I$88,3,0)*0.475*44/12</f>
        <v>10.929184501957648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51.243175607822188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452.49999999999989</v>
      </c>
      <c r="AJ153" s="14">
        <f>AI153*VLOOKUP('Données projet'!$B$10,Paramètres!$A$1:$I$88,3,0)*VLOOKUP('Données projet'!$B$10,Paramètres!$A$1:$I$88,5,0)</f>
        <v>395.30399999999992</v>
      </c>
      <c r="AK153" s="14">
        <f t="shared" si="143"/>
        <v>90.823969929029445</v>
      </c>
      <c r="AL153" s="22">
        <f t="shared" si="112"/>
        <v>846.67288095972606</v>
      </c>
      <c r="AM153" s="60">
        <f t="shared" si="113"/>
        <v>1133.3659032315863</v>
      </c>
      <c r="AN153" s="60">
        <f ca="1">AVERAGE(OFFSET($AM$3,0,0,'Données projet'!$E$10+1,1))-AVERAGE(OFFSET($H$3,0,0,'Données projet'!$E$10+1,1))</f>
        <v>436.5217771315057</v>
      </c>
      <c r="AO153" s="60">
        <f t="shared" si="144"/>
        <v>308.97310256098365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10.313878060904198</v>
      </c>
      <c r="AV153" s="23">
        <f>EXP(-LN(2)/25)*AV152+(1-EXP(-LN(2)/25))/(LN(2)/25)*Calculateur!AQ153*Calculateur!AS153*VLOOKUP('Données projet'!$B$10,Paramètres!$A$1:$I$88,3,0)*0.475*44/12</f>
        <v>2.7360151808211386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13.049893241725336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5.6</v>
      </c>
      <c r="BD153" s="13">
        <f>IF('Données projet'!$A$88&gt;35,BD152+BC153-BL152,IF(A153&lt;'Données projet'!$A$88,$BA$205^A153,IF(A153='Données projet'!$A$88,'Données projet'!$B$88,BD152+BC153-BL152)))</f>
        <v>311</v>
      </c>
      <c r="BE153" s="14">
        <f>BD153*VLOOKUP('Données projet'!$B$11,Paramètres!$A$1:$I$88,3,0)*VLOOKUP('Données projet'!$B$11,Paramètres!$A$1:$I$88,5,0)</f>
        <v>315.35400000000004</v>
      </c>
      <c r="BF153" s="14">
        <f t="shared" si="145"/>
        <v>74.385841715644858</v>
      </c>
      <c r="BG153" s="22">
        <f t="shared" si="115"/>
        <v>678.79689098808149</v>
      </c>
      <c r="BH153" s="60">
        <f t="shared" si="116"/>
        <v>965.48991325994189</v>
      </c>
      <c r="BI153" s="60">
        <f ca="1">AVERAGE(OFFSET($BH$3,0,0,'Données projet'!$E$11+1,1))-AVERAGE(OFFSET($H$3,0,0,'Données projet'!$E$11+1,1))</f>
        <v>108.30434106718693</v>
      </c>
      <c r="BJ153" s="60">
        <f t="shared" si="146"/>
        <v>67.653808657585842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12.184522202641952</v>
      </c>
      <c r="BQ153" s="23">
        <f>EXP(-LN(2)/25)*BQ152+(1-EXP(-LN(2)/25))/(LN(2)/25)*Calculateur!BL153*Calculateur!BN153*VLOOKUP('Données projet'!$B$11,Paramètres!$A$1:$I$88,3,0)*0.475*44/12</f>
        <v>0</v>
      </c>
      <c r="BR153" s="23">
        <f>EXP(-LN(2)/2)*BR152+(1-EXP(-LN(2)/2))/(LN(2)/2)*BL153*BO153*VLOOKUP('Données projet'!$B$11,Paramètres!$A$1:$I$88,3,0)*0.475*44/12</f>
        <v>0</v>
      </c>
      <c r="BS153" s="24">
        <f t="shared" si="117"/>
        <v>12.184522202641952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projet'!$B$12,Paramètres!$A$1:$I$88,3,0)*VLOOKUP('Données projet'!$B$12,Paramètres!$A$1:$I$88,5,0)</f>
        <v>0</v>
      </c>
      <c r="CA153" s="14" t="e">
        <f t="shared" si="147"/>
        <v>#NUM!</v>
      </c>
      <c r="CB153" s="22" t="e">
        <f t="shared" si="118"/>
        <v>#NUM!</v>
      </c>
      <c r="CC153" s="60" t="e">
        <f t="shared" si="119"/>
        <v>#NUM!</v>
      </c>
      <c r="CD153" s="60">
        <f ca="1">AVERAGE(OFFSET($CC$3,0,0,'Données projet'!$E$12+1,1))-AVERAGE(OFFSET($H$3,0,0,'Données projet'!$E$12+1,1))</f>
        <v>171.08593400758221</v>
      </c>
      <c r="CE153" s="60">
        <f t="shared" si="148"/>
        <v>201.9528484086932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projet'!$B$12,Paramètres!$A$1:$I$88,3,0)*0.475*44/12</f>
        <v>12.331300668662932</v>
      </c>
      <c r="CL153" s="23">
        <f>EXP(-LN(2)/25)*CL152+(1-EXP(-LN(2)/25))/(LN(2)/25)*Calculateur!CG153*Calculateur!CI153*VLOOKUP('Données projet'!$B$12,Paramètres!$A$1:$I$88,3,0)*0.475*44/12</f>
        <v>3.5195826994843706</v>
      </c>
      <c r="CM153" s="23">
        <f>EXP(-LN(2)/2)*CM152+(1-EXP(-LN(2)/2))/(LN(2)/2)*CG153*CJ153*VLOOKUP('Données projet'!$B$12,Paramètres!$A$1:$I$88,3,0)*0.475*44/12</f>
        <v>0</v>
      </c>
      <c r="CN153" s="24">
        <f t="shared" si="120"/>
        <v>15.850883368147302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projet'!$B$13,Paramètres!$A$1:$I$88,3,0)*VLOOKUP('Données projet'!$B$13,Paramètres!$A$1:$I$88,5,0)</f>
        <v>0</v>
      </c>
      <c r="CV153" s="14" t="e">
        <f t="shared" si="149"/>
        <v>#NUM!</v>
      </c>
      <c r="CW153" s="22" t="e">
        <f t="shared" si="121"/>
        <v>#NUM!</v>
      </c>
      <c r="CX153" s="60" t="e">
        <f t="shared" si="122"/>
        <v>#NUM!</v>
      </c>
      <c r="CY153" s="60">
        <f ca="1">AVERAGE(OFFSET($CX$3,0,0,'Données projet'!$E$13+1,1))-AVERAGE(OFFSET($H$3,0,0,'Données projet'!$E$13+1,1))</f>
        <v>283.66646124753868</v>
      </c>
      <c r="CZ153" s="60">
        <f t="shared" si="150"/>
        <v>331.61926649572797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projet'!$B$13,Paramètres!$A$1:$I$88,3,0)*0.475*44/12</f>
        <v>60.724172246832673</v>
      </c>
      <c r="DG153" s="23">
        <f>EXP(-LN(2)/25)*DG152+(1-EXP(-LN(2)/25))/(LN(2)/25)*Calculateur!DB153*Calculateur!DD153*VLOOKUP('Données projet'!$B$13,Paramètres!$A$1:$I$88,3,0)*0.475*44/12</f>
        <v>0</v>
      </c>
      <c r="DH153" s="23">
        <f>EXP(-LN(2)/2)*DH152+(1-EXP(-LN(2)/2))/(LN(2)/2)*DB153*DE153*VLOOKUP('Données projet'!$B$13,Paramètres!$A$1:$I$88,3,0)*0.475*44/12</f>
        <v>0</v>
      </c>
      <c r="DI153" s="24">
        <f t="shared" si="123"/>
        <v>60.724172246832673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1.1368683772161603E-13</v>
      </c>
      <c r="DP153" s="18">
        <f>DO153*VLOOKUP('Données projet'!$B$14,Paramètres!$A$1:$I$88,3,0)*VLOOKUP('Données projet'!$B$14,Paramètres!$A$1:$I$88,5,0)</f>
        <v>8.3355189417488869E-14</v>
      </c>
      <c r="DQ153" s="14">
        <f t="shared" si="151"/>
        <v>1.2790518435140618E-12</v>
      </c>
      <c r="DR153" s="22">
        <f t="shared" si="124"/>
        <v>2.3728589156891171E-12</v>
      </c>
      <c r="DS153" s="60">
        <f t="shared" si="125"/>
        <v>286.69302227186273</v>
      </c>
      <c r="DT153" s="60">
        <f ca="1">AVERAGE(OFFSET($DS$3,0,0,'Données projet'!$E$14+1,1))-AVERAGE(OFFSET($H$3,0,0,'Données projet'!$E$14+1,1))</f>
        <v>212.77458587586861</v>
      </c>
      <c r="DU153" s="60">
        <f t="shared" si="152"/>
        <v>260.45879589483513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projet'!$B$14,Paramètres!$A$1:$I$88,3,0)*0.475*44/12</f>
        <v>6.0382524402174154</v>
      </c>
      <c r="EB153" s="23">
        <f>EXP(-LN(2)/25)*EB152+(1-EXP(-LN(2)/25))/(LN(2)/25)*Calculateur!DW153*Calculateur!DY153*VLOOKUP('Données projet'!$B$14,Paramètres!$A$1:$I$88,3,0)*0.475*44/12</f>
        <v>1.6708457669359054</v>
      </c>
      <c r="EC153" s="23">
        <f>EXP(-LN(2)/2)*EC152+(1-EXP(-LN(2)/2))/(LN(2)/2)*DW153*DZ153*VLOOKUP('Données projet'!$B$14,Paramètres!$A$1:$I$88,3,0)*0.475*44/12</f>
        <v>0</v>
      </c>
      <c r="ED153" s="24">
        <f t="shared" si="126"/>
        <v>7.7090982071533212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5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8">
        <f t="shared" si="110"/>
        <v>183.33333333333334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3.4106051316484809E-13</v>
      </c>
      <c r="O154" s="14">
        <f>N154*VLOOKUP('Données projet'!$B$9,Paramètres!$A$1:$I$88,3,0)*VLOOKUP('Données projet'!$B$9,Paramètres!$A$1:$I$88,5,0)</f>
        <v>1.9065282685915009E-13</v>
      </c>
      <c r="P154" s="14">
        <f t="shared" si="141"/>
        <v>2.6568987209435707E-12</v>
      </c>
      <c r="Q154" s="22">
        <f t="shared" ref="Q154:Q203" si="162">(O154+P154)*0.475*44/12</f>
        <v>4.959485612423072E-12</v>
      </c>
      <c r="R154" s="60">
        <f t="shared" si="109"/>
        <v>286.8082168232703</v>
      </c>
      <c r="S154" s="60">
        <f ca="1">AVERAGE(OFFSET($R$3,0,0,'Données projet'!$E$9+1,1))-AVERAGE(OFFSET($H$3,0,0,'Données projet'!$E$9+1,1))</f>
        <v>366.29380214443631</v>
      </c>
      <c r="T154" s="60">
        <f t="shared" si="142"/>
        <v>413.14502442862897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39.523458329385136</v>
      </c>
      <c r="AA154" s="23">
        <f>EXP(-LN(2)/25)*AA153+(1-EXP(-LN(2)/25))/(LN(2)/25)*Calculateur!V154*Calculateur!X154*VLOOKUP('Données projet'!$B$9,Paramètres!$A$1:$I$88,3,0)*0.475*44/12</f>
        <v>10.630325377010783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50.15378370639592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452.49999999999989</v>
      </c>
      <c r="AJ154" s="14">
        <f>AI154*VLOOKUP('Données projet'!$B$10,Paramètres!$A$1:$I$88,3,0)*VLOOKUP('Données projet'!$B$10,Paramètres!$A$1:$I$88,5,0)</f>
        <v>395.30399999999992</v>
      </c>
      <c r="AK154" s="14">
        <f t="shared" ref="AK154:AK203" si="164">EXP(-1.0587+0.8836*LN(AJ154)+0.284)</f>
        <v>90.823969929029445</v>
      </c>
      <c r="AL154" s="22">
        <f t="shared" ref="AL154:AL203" si="165">(AJ154+AK154)*0.475*44/12</f>
        <v>846.67288095972606</v>
      </c>
      <c r="AM154" s="60">
        <f t="shared" si="113"/>
        <v>1133.4810977829914</v>
      </c>
      <c r="AN154" s="60">
        <f ca="1">AVERAGE(OFFSET($AM$3,0,0,'Données projet'!$E$10+1,1))-AVERAGE(OFFSET($H$3,0,0,'Données projet'!$E$10+1,1))</f>
        <v>436.5217771315057</v>
      </c>
      <c r="AO154" s="60">
        <f t="shared" si="144"/>
        <v>308.97310256098365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10.111629202974315</v>
      </c>
      <c r="AV154" s="23">
        <f>EXP(-LN(2)/25)*AV153+(1-EXP(-LN(2)/25))/(LN(2)/25)*Calculateur!AQ154*Calculateur!AS154*VLOOKUP('Données projet'!$B$10,Paramètres!$A$1:$I$88,3,0)*0.475*44/12</f>
        <v>2.6611987018207994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12.772827904795115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5.6</v>
      </c>
      <c r="BD154" s="13">
        <f>IF('Données projet'!$A$88&gt;35,BD153+BC154-BL153,IF(A154&lt;'Données projet'!$A$88,$BA$205^A154,IF(A154='Données projet'!$A$88,'Données projet'!$B$88,BD153+BC154-BL153)))</f>
        <v>316.60000000000002</v>
      </c>
      <c r="BE154" s="14">
        <f>BD154*VLOOKUP('Données projet'!$B$11,Paramètres!$A$1:$I$88,3,0)*VLOOKUP('Données projet'!$B$11,Paramètres!$A$1:$I$88,5,0)</f>
        <v>321.03240000000005</v>
      </c>
      <c r="BF154" s="14">
        <f t="shared" ref="BF154:BF203" si="167">EXP(-1.0587+0.8836*LN(BE154)+0.284)</f>
        <v>75.568124274523356</v>
      </c>
      <c r="BG154" s="22">
        <f t="shared" ref="BG154:BG203" si="168">(BE154+BF154)*0.475*44/12</f>
        <v>690.74591311146162</v>
      </c>
      <c r="BH154" s="60">
        <f t="shared" si="116"/>
        <v>977.55412993472692</v>
      </c>
      <c r="BI154" s="60">
        <f ca="1">AVERAGE(OFFSET($BH$3,0,0,'Données projet'!$E$11+1,1))-AVERAGE(OFFSET($H$3,0,0,'Données projet'!$E$11+1,1))</f>
        <v>108.30434106718693</v>
      </c>
      <c r="BJ154" s="60">
        <f t="shared" si="146"/>
        <v>67.653808657585842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11.945591154072856</v>
      </c>
      <c r="BQ154" s="23">
        <f>EXP(-LN(2)/25)*BQ153+(1-EXP(-LN(2)/25))/(LN(2)/25)*Calculateur!BL154*Calculateur!BN154*VLOOKUP('Données projet'!$B$11,Paramètres!$A$1:$I$88,3,0)*0.475*44/12</f>
        <v>0</v>
      </c>
      <c r="BR154" s="23">
        <f>EXP(-LN(2)/2)*BR153+(1-EXP(-LN(2)/2))/(LN(2)/2)*BL154*BO154*VLOOKUP('Données projet'!$B$11,Paramètres!$A$1:$I$88,3,0)*0.475*44/12</f>
        <v>0</v>
      </c>
      <c r="BS154" s="24">
        <f t="shared" ref="BS154:BS203" si="169">SUM(BP154:BR154)</f>
        <v>11.945591154072856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projet'!$B$12,Paramètres!$A$1:$I$88,3,0)*VLOOKUP('Données projet'!$B$12,Paramètres!$A$1:$I$88,5,0)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171.08593400758221</v>
      </c>
      <c r="CE154" s="60">
        <f t="shared" si="148"/>
        <v>201.9528484086932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projet'!$B$12,Paramètres!$A$1:$I$88,3,0)*0.475*44/12</f>
        <v>12.089491383901187</v>
      </c>
      <c r="CL154" s="23">
        <f>EXP(-LN(2)/25)*CL153+(1-EXP(-LN(2)/25))/(LN(2)/25)*Calculateur!CG154*Calculateur!CI154*VLOOKUP('Données projet'!$B$12,Paramètres!$A$1:$I$88,3,0)*0.475*44/12</f>
        <v>3.4233395254801606</v>
      </c>
      <c r="CM154" s="23">
        <f>EXP(-LN(2)/2)*CM153+(1-EXP(-LN(2)/2))/(LN(2)/2)*CG154*CJ154*VLOOKUP('Données projet'!$B$12,Paramètres!$A$1:$I$88,3,0)*0.475*44/12</f>
        <v>0</v>
      </c>
      <c r="CN154" s="24">
        <f t="shared" ref="CN154:CN203" si="172">SUM(CK154:CM154)</f>
        <v>15.512830909381348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projet'!$B$13,Paramètres!$A$1:$I$88,3,0)*VLOOKUP('Données projet'!$B$13,Paramètres!$A$1:$I$88,5,0)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283.66646124753868</v>
      </c>
      <c r="CZ154" s="60">
        <f t="shared" si="150"/>
        <v>331.61926649572797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projet'!$B$13,Paramètres!$A$1:$I$88,3,0)*0.475*44/12</f>
        <v>59.533408267160148</v>
      </c>
      <c r="DG154" s="23">
        <f>EXP(-LN(2)/25)*DG153+(1-EXP(-LN(2)/25))/(LN(2)/25)*Calculateur!DB154*Calculateur!DD154*VLOOKUP('Données projet'!$B$13,Paramètres!$A$1:$I$88,3,0)*0.475*44/12</f>
        <v>0</v>
      </c>
      <c r="DH154" s="23">
        <f>EXP(-LN(2)/2)*DH153+(1-EXP(-LN(2)/2))/(LN(2)/2)*DB154*DE154*VLOOKUP('Données projet'!$B$13,Paramètres!$A$1:$I$88,3,0)*0.475*44/12</f>
        <v>0</v>
      </c>
      <c r="DI154" s="24">
        <f t="shared" ref="DI154:DI203" si="175">SUM(DF154:DH154)</f>
        <v>59.533408267160148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1.1368683772161603E-13</v>
      </c>
      <c r="DP154" s="18">
        <f>DO154*VLOOKUP('Données projet'!$B$14,Paramètres!$A$1:$I$88,3,0)*VLOOKUP('Données projet'!$B$14,Paramètres!$A$1:$I$88,5,0)</f>
        <v>8.3355189417488869E-14</v>
      </c>
      <c r="DQ154" s="14">
        <f t="shared" ref="DQ154:DQ203" si="176">EXP(-1.0587+0.8836*LN(DP154)+0.284)</f>
        <v>1.2790518435140618E-12</v>
      </c>
      <c r="DR154" s="22">
        <f t="shared" ref="DR154:DR203" si="177">(DP154+DQ154)*0.475*44/12</f>
        <v>2.3728589156891171E-12</v>
      </c>
      <c r="DS154" s="60">
        <f t="shared" si="125"/>
        <v>286.80821682326774</v>
      </c>
      <c r="DT154" s="60">
        <f ca="1">AVERAGE(OFFSET($DS$3,0,0,'Données projet'!$E$14+1,1))-AVERAGE(OFFSET($H$3,0,0,'Données projet'!$E$14+1,1))</f>
        <v>212.77458587586861</v>
      </c>
      <c r="DU154" s="60">
        <f t="shared" si="152"/>
        <v>260.45879589483513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projet'!$B$14,Paramètres!$A$1:$I$88,3,0)*0.475*44/12</f>
        <v>5.9198459928350768</v>
      </c>
      <c r="EB154" s="23">
        <f>EXP(-LN(2)/25)*EB153+(1-EXP(-LN(2)/25))/(LN(2)/25)*Calculateur!DW154*Calculateur!DY154*VLOOKUP('Données projet'!$B$14,Paramètres!$A$1:$I$88,3,0)*0.475*44/12</f>
        <v>1.6251564015730828</v>
      </c>
      <c r="EC154" s="23">
        <f>EXP(-LN(2)/2)*EC153+(1-EXP(-LN(2)/2))/(LN(2)/2)*DW154*DZ154*VLOOKUP('Données projet'!$B$14,Paramètres!$A$1:$I$88,3,0)*0.475*44/12</f>
        <v>0</v>
      </c>
      <c r="ED154" s="24">
        <f t="shared" ref="ED154:ED203" si="178">SUM(EA154:EC154)</f>
        <v>7.5450023944081597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5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8">
        <f t="shared" si="110"/>
        <v>183.33333333333334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3.4106051316484809E-13</v>
      </c>
      <c r="O155" s="14">
        <f>N155*VLOOKUP('Données projet'!$B$9,Paramètres!$A$1:$I$88,3,0)*VLOOKUP('Données projet'!$B$9,Paramètres!$A$1:$I$88,5,0)</f>
        <v>1.9065282685915009E-13</v>
      </c>
      <c r="P155" s="14">
        <f t="shared" si="141"/>
        <v>2.6568987209435707E-12</v>
      </c>
      <c r="Q155" s="22">
        <f t="shared" si="162"/>
        <v>4.959485612423072E-12</v>
      </c>
      <c r="R155" s="60">
        <f t="shared" si="109"/>
        <v>286.92141300674484</v>
      </c>
      <c r="S155" s="60">
        <f ca="1">AVERAGE(OFFSET($R$3,0,0,'Données projet'!$E$9+1,1))-AVERAGE(OFFSET($H$3,0,0,'Données projet'!$E$9+1,1))</f>
        <v>366.29380214443631</v>
      </c>
      <c r="T155" s="60">
        <f t="shared" si="142"/>
        <v>413.14502442862897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38.74842741847511</v>
      </c>
      <c r="AA155" s="23">
        <f>EXP(-LN(2)/25)*AA154+(1-EXP(-LN(2)/25))/(LN(2)/25)*Calculateur!V155*Calculateur!X155*VLOOKUP('Données projet'!$B$9,Paramètres!$A$1:$I$88,3,0)*0.475*44/12</f>
        <v>10.339638570551907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49.088065989027015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452.49999999999989</v>
      </c>
      <c r="AJ155" s="14">
        <f>AI155*VLOOKUP('Données projet'!$B$10,Paramètres!$A$1:$I$88,3,0)*VLOOKUP('Données projet'!$B$10,Paramètres!$A$1:$I$88,5,0)</f>
        <v>395.30399999999992</v>
      </c>
      <c r="AK155" s="14">
        <f t="shared" si="164"/>
        <v>90.823969929029445</v>
      </c>
      <c r="AL155" s="22">
        <f t="shared" si="165"/>
        <v>846.67288095972606</v>
      </c>
      <c r="AM155" s="60">
        <f t="shared" si="113"/>
        <v>1133.594293966466</v>
      </c>
      <c r="AN155" s="60">
        <f ca="1">AVERAGE(OFFSET($AM$3,0,0,'Données projet'!$E$10+1,1))-AVERAGE(OFFSET($H$3,0,0,'Données projet'!$E$10+1,1))</f>
        <v>436.5217771315057</v>
      </c>
      <c r="AO155" s="60">
        <f t="shared" si="144"/>
        <v>308.97310256098365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9.9133463217888149</v>
      </c>
      <c r="AV155" s="23">
        <f>EXP(-LN(2)/25)*AV154+(1-EXP(-LN(2)/25))/(LN(2)/25)*Calculateur!AQ155*Calculateur!AS155*VLOOKUP('Données projet'!$B$10,Paramètres!$A$1:$I$88,3,0)*0.475*44/12</f>
        <v>2.5884280833731523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12.501774405161967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5.6</v>
      </c>
      <c r="BD155" s="13">
        <f>IF('Données projet'!$A$88&gt;35,BD154+BC155-BL154,IF(A155&lt;'Données projet'!$A$88,$BA$205^A155,IF(A155='Données projet'!$A$88,'Données projet'!$B$88,BD154+BC155-BL154)))</f>
        <v>322.20000000000005</v>
      </c>
      <c r="BE155" s="14">
        <f>BD155*VLOOKUP('Données projet'!$B$11,Paramètres!$A$1:$I$88,3,0)*VLOOKUP('Données projet'!$B$11,Paramètres!$A$1:$I$88,5,0)</f>
        <v>326.71080000000006</v>
      </c>
      <c r="BF155" s="14">
        <f t="shared" si="167"/>
        <v>76.747975030799893</v>
      </c>
      <c r="BG155" s="22">
        <f t="shared" si="168"/>
        <v>702.69069984530995</v>
      </c>
      <c r="BH155" s="60">
        <f t="shared" si="116"/>
        <v>989.6121128520499</v>
      </c>
      <c r="BI155" s="60">
        <f ca="1">AVERAGE(OFFSET($BH$3,0,0,'Données projet'!$E$11+1,1))-AVERAGE(OFFSET($H$3,0,0,'Données projet'!$E$11+1,1))</f>
        <v>108.30434106718693</v>
      </c>
      <c r="BJ155" s="60">
        <f t="shared" si="146"/>
        <v>67.653808657585842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11.71134539763265</v>
      </c>
      <c r="BQ155" s="23">
        <f>EXP(-LN(2)/25)*BQ154+(1-EXP(-LN(2)/25))/(LN(2)/25)*Calculateur!BL155*Calculateur!BN155*VLOOKUP('Données projet'!$B$11,Paramètres!$A$1:$I$88,3,0)*0.475*44/12</f>
        <v>0</v>
      </c>
      <c r="BR155" s="23">
        <f>EXP(-LN(2)/2)*BR154+(1-EXP(-LN(2)/2))/(LN(2)/2)*BL155*BO155*VLOOKUP('Données projet'!$B$11,Paramètres!$A$1:$I$88,3,0)*0.475*44/12</f>
        <v>0</v>
      </c>
      <c r="BS155" s="24">
        <f t="shared" si="169"/>
        <v>11.71134539763265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projet'!$B$12,Paramètres!$A$1:$I$88,3,0)*VLOOKUP('Données projet'!$B$12,Paramètres!$A$1:$I$88,5,0)</f>
        <v>0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171.08593400758221</v>
      </c>
      <c r="CE155" s="60">
        <f t="shared" si="148"/>
        <v>201.9528484086932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projet'!$B$12,Paramètres!$A$1:$I$88,3,0)*0.475*44/12</f>
        <v>11.85242383172452</v>
      </c>
      <c r="CL155" s="23">
        <f>EXP(-LN(2)/25)*CL154+(1-EXP(-LN(2)/25))/(LN(2)/25)*Calculateur!CG155*Calculateur!CI155*VLOOKUP('Données projet'!$B$12,Paramètres!$A$1:$I$88,3,0)*0.475*44/12</f>
        <v>3.3297281261303042</v>
      </c>
      <c r="CM155" s="23">
        <f>EXP(-LN(2)/2)*CM154+(1-EXP(-LN(2)/2))/(LN(2)/2)*CG155*CJ155*VLOOKUP('Données projet'!$B$12,Paramètres!$A$1:$I$88,3,0)*0.475*44/12</f>
        <v>0</v>
      </c>
      <c r="CN155" s="24">
        <f t="shared" si="172"/>
        <v>15.182151957854824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projet'!$B$13,Paramètres!$A$1:$I$88,3,0)*VLOOKUP('Données projet'!$B$13,Paramètres!$A$1:$I$88,5,0)</f>
        <v>0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283.66646124753868</v>
      </c>
      <c r="CZ155" s="60">
        <f t="shared" si="150"/>
        <v>331.61926649572797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projet'!$B$13,Paramètres!$A$1:$I$88,3,0)*0.475*44/12</f>
        <v>58.36599444283469</v>
      </c>
      <c r="DG155" s="23">
        <f>EXP(-LN(2)/25)*DG154+(1-EXP(-LN(2)/25))/(LN(2)/25)*Calculateur!DB155*Calculateur!DD155*VLOOKUP('Données projet'!$B$13,Paramètres!$A$1:$I$88,3,0)*0.475*44/12</f>
        <v>0</v>
      </c>
      <c r="DH155" s="23">
        <f>EXP(-LN(2)/2)*DH154+(1-EXP(-LN(2)/2))/(LN(2)/2)*DB155*DE155*VLOOKUP('Données projet'!$B$13,Paramètres!$A$1:$I$88,3,0)*0.475*44/12</f>
        <v>0</v>
      </c>
      <c r="DI155" s="24">
        <f t="shared" si="175"/>
        <v>58.36599444283469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1.1368683772161603E-13</v>
      </c>
      <c r="DP155" s="18">
        <f>DO155*VLOOKUP('Données projet'!$B$14,Paramètres!$A$1:$I$88,3,0)*VLOOKUP('Données projet'!$B$14,Paramètres!$A$1:$I$88,5,0)</f>
        <v>8.3355189417488869E-14</v>
      </c>
      <c r="DQ155" s="14">
        <f t="shared" si="176"/>
        <v>1.2790518435140618E-12</v>
      </c>
      <c r="DR155" s="22">
        <f t="shared" si="177"/>
        <v>2.3728589156891171E-12</v>
      </c>
      <c r="DS155" s="60">
        <f t="shared" si="125"/>
        <v>286.92141300674228</v>
      </c>
      <c r="DT155" s="60">
        <f ca="1">AVERAGE(OFFSET($DS$3,0,0,'Données projet'!$E$14+1,1))-AVERAGE(OFFSET($H$3,0,0,'Données projet'!$E$14+1,1))</f>
        <v>212.77458587586861</v>
      </c>
      <c r="DU155" s="60">
        <f t="shared" si="152"/>
        <v>260.45879589483513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projet'!$B$14,Paramètres!$A$1:$I$88,3,0)*0.475*44/12</f>
        <v>5.8037614236651045</v>
      </c>
      <c r="EB155" s="23">
        <f>EXP(-LN(2)/25)*EB154+(1-EXP(-LN(2)/25))/(LN(2)/25)*Calculateur!DW155*Calculateur!DY155*VLOOKUP('Données projet'!$B$14,Paramètres!$A$1:$I$88,3,0)*0.475*44/12</f>
        <v>1.5807164143088062</v>
      </c>
      <c r="EC155" s="23">
        <f>EXP(-LN(2)/2)*EC154+(1-EXP(-LN(2)/2))/(LN(2)/2)*DW155*DZ155*VLOOKUP('Données projet'!$B$14,Paramètres!$A$1:$I$88,3,0)*0.475*44/12</f>
        <v>0</v>
      </c>
      <c r="ED155" s="24">
        <f t="shared" si="178"/>
        <v>7.3844778379739111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5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8">
        <f t="shared" si="110"/>
        <v>183.33333333333334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3.4106051316484809E-13</v>
      </c>
      <c r="O156" s="14">
        <f>N156*VLOOKUP('Données projet'!$B$9,Paramètres!$A$1:$I$88,3,0)*VLOOKUP('Données projet'!$B$9,Paramètres!$A$1:$I$88,5,0)</f>
        <v>1.9065282685915009E-13</v>
      </c>
      <c r="P156" s="14">
        <f t="shared" si="141"/>
        <v>2.6568987209435707E-12</v>
      </c>
      <c r="Q156" s="22">
        <f t="shared" si="162"/>
        <v>4.959485612423072E-12</v>
      </c>
      <c r="R156" s="60">
        <f t="shared" si="109"/>
        <v>287.03264548950494</v>
      </c>
      <c r="S156" s="60">
        <f ca="1">AVERAGE(OFFSET($R$3,0,0,'Données projet'!$E$9+1,1))-AVERAGE(OFFSET($H$3,0,0,'Données projet'!$E$9+1,1))</f>
        <v>366.29380214443631</v>
      </c>
      <c r="T156" s="60">
        <f t="shared" si="142"/>
        <v>413.14502442862897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37.988594391005854</v>
      </c>
      <c r="AA156" s="23">
        <f>EXP(-LN(2)/25)*AA155+(1-EXP(-LN(2)/25))/(LN(2)/25)*Calculateur!V156*Calculateur!X156*VLOOKUP('Données projet'!$B$9,Paramètres!$A$1:$I$88,3,0)*0.475*44/12</f>
        <v>10.056900610102204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48.045495001108058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452.49999999999989</v>
      </c>
      <c r="AJ156" s="14">
        <f>AI156*VLOOKUP('Données projet'!$B$10,Paramètres!$A$1:$I$88,3,0)*VLOOKUP('Données projet'!$B$10,Paramètres!$A$1:$I$88,5,0)</f>
        <v>395.30399999999992</v>
      </c>
      <c r="AK156" s="14">
        <f t="shared" si="164"/>
        <v>90.823969929029445</v>
      </c>
      <c r="AL156" s="22">
        <f t="shared" si="165"/>
        <v>846.67288095972606</v>
      </c>
      <c r="AM156" s="60">
        <f t="shared" si="113"/>
        <v>1133.705526449226</v>
      </c>
      <c r="AN156" s="60">
        <f ca="1">AVERAGE(OFFSET($AM$3,0,0,'Données projet'!$E$10+1,1))-AVERAGE(OFFSET($H$3,0,0,'Données projet'!$E$10+1,1))</f>
        <v>436.5217771315057</v>
      </c>
      <c r="AO156" s="60">
        <f t="shared" si="144"/>
        <v>308.97310256098365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9.7189516469627453</v>
      </c>
      <c r="AV156" s="23">
        <f>EXP(-LN(2)/25)*AV155+(1-EXP(-LN(2)/25))/(LN(2)/25)*Calculateur!AQ156*Calculateur!AS156*VLOOKUP('Données projet'!$B$10,Paramètres!$A$1:$I$88,3,0)*0.475*44/12</f>
        <v>2.5176473813137967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12.236599028276542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5.6</v>
      </c>
      <c r="BD156" s="13">
        <f>IF('Données projet'!$A$88&gt;35,BD155+BC156-BL155,IF(A156&lt;'Données projet'!$A$88,$BA$205^A156,IF(A156='Données projet'!$A$88,'Données projet'!$B$88,BD155+BC156-BL155)))</f>
        <v>327.80000000000007</v>
      </c>
      <c r="BE156" s="14">
        <f>BD156*VLOOKUP('Données projet'!$B$11,Paramètres!$A$1:$I$88,3,0)*VLOOKUP('Données projet'!$B$11,Paramètres!$A$1:$I$88,5,0)</f>
        <v>332.38920000000007</v>
      </c>
      <c r="BF156" s="14">
        <f t="shared" si="167"/>
        <v>77.925441127286064</v>
      </c>
      <c r="BG156" s="22">
        <f t="shared" si="168"/>
        <v>714.63133329669006</v>
      </c>
      <c r="BH156" s="60">
        <f t="shared" si="116"/>
        <v>1001.66397878619</v>
      </c>
      <c r="BI156" s="60">
        <f ca="1">AVERAGE(OFFSET($BH$3,0,0,'Données projet'!$E$11+1,1))-AVERAGE(OFFSET($H$3,0,0,'Données projet'!$E$11+1,1))</f>
        <v>108.30434106718693</v>
      </c>
      <c r="BJ156" s="60">
        <f t="shared" si="146"/>
        <v>67.653808657585842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11.481693057600433</v>
      </c>
      <c r="BQ156" s="23">
        <f>EXP(-LN(2)/25)*BQ155+(1-EXP(-LN(2)/25))/(LN(2)/25)*Calculateur!BL156*Calculateur!BN156*VLOOKUP('Données projet'!$B$11,Paramètres!$A$1:$I$88,3,0)*0.475*44/12</f>
        <v>0</v>
      </c>
      <c r="BR156" s="23">
        <f>EXP(-LN(2)/2)*BR155+(1-EXP(-LN(2)/2))/(LN(2)/2)*BL156*BO156*VLOOKUP('Données projet'!$B$11,Paramètres!$A$1:$I$88,3,0)*0.475*44/12</f>
        <v>0</v>
      </c>
      <c r="BS156" s="24">
        <f t="shared" si="169"/>
        <v>11.481693057600433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projet'!$B$12,Paramètres!$A$1:$I$88,3,0)*VLOOKUP('Données projet'!$B$12,Paramètres!$A$1:$I$88,5,0)</f>
        <v>0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171.08593400758221</v>
      </c>
      <c r="CE156" s="60">
        <f t="shared" si="148"/>
        <v>201.9528484086932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projet'!$B$12,Paramètres!$A$1:$I$88,3,0)*0.475*44/12</f>
        <v>11.620005029649109</v>
      </c>
      <c r="CL156" s="23">
        <f>EXP(-LN(2)/25)*CL155+(1-EXP(-LN(2)/25))/(LN(2)/25)*Calculateur!CG156*Calculateur!CI156*VLOOKUP('Données projet'!$B$12,Paramètres!$A$1:$I$88,3,0)*0.475*44/12</f>
        <v>3.2386765354184792</v>
      </c>
      <c r="CM156" s="23">
        <f>EXP(-LN(2)/2)*CM155+(1-EXP(-LN(2)/2))/(LN(2)/2)*CG156*CJ156*VLOOKUP('Données projet'!$B$12,Paramètres!$A$1:$I$88,3,0)*0.475*44/12</f>
        <v>0</v>
      </c>
      <c r="CN156" s="24">
        <f t="shared" si="172"/>
        <v>14.858681565067588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projet'!$B$13,Paramètres!$A$1:$I$88,3,0)*VLOOKUP('Données projet'!$B$13,Paramètres!$A$1:$I$88,5,0)</f>
        <v>0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283.66646124753868</v>
      </c>
      <c r="CZ156" s="60">
        <f t="shared" si="150"/>
        <v>331.61926649572797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projet'!$B$13,Paramètres!$A$1:$I$88,3,0)*0.475*44/12</f>
        <v>57.221472891552132</v>
      </c>
      <c r="DG156" s="23">
        <f>EXP(-LN(2)/25)*DG155+(1-EXP(-LN(2)/25))/(LN(2)/25)*Calculateur!DB156*Calculateur!DD156*VLOOKUP('Données projet'!$B$13,Paramètres!$A$1:$I$88,3,0)*0.475*44/12</f>
        <v>0</v>
      </c>
      <c r="DH156" s="23">
        <f>EXP(-LN(2)/2)*DH155+(1-EXP(-LN(2)/2))/(LN(2)/2)*DB156*DE156*VLOOKUP('Données projet'!$B$13,Paramètres!$A$1:$I$88,3,0)*0.475*44/12</f>
        <v>0</v>
      </c>
      <c r="DI156" s="24">
        <f t="shared" si="175"/>
        <v>57.221472891552132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1.1368683772161603E-13</v>
      </c>
      <c r="DP156" s="18">
        <f>DO156*VLOOKUP('Données projet'!$B$14,Paramètres!$A$1:$I$88,3,0)*VLOOKUP('Données projet'!$B$14,Paramètres!$A$1:$I$88,5,0)</f>
        <v>8.3355189417488869E-14</v>
      </c>
      <c r="DQ156" s="14">
        <f t="shared" si="176"/>
        <v>1.2790518435140618E-12</v>
      </c>
      <c r="DR156" s="22">
        <f t="shared" si="177"/>
        <v>2.3728589156891171E-12</v>
      </c>
      <c r="DS156" s="60">
        <f t="shared" si="125"/>
        <v>287.03264548950239</v>
      </c>
      <c r="DT156" s="60">
        <f ca="1">AVERAGE(OFFSET($DS$3,0,0,'Données projet'!$E$14+1,1))-AVERAGE(OFFSET($H$3,0,0,'Données projet'!$E$14+1,1))</f>
        <v>212.77458587586861</v>
      </c>
      <c r="DU156" s="60">
        <f t="shared" si="152"/>
        <v>260.45879589483513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projet'!$B$14,Paramètres!$A$1:$I$88,3,0)*0.475*44/12</f>
        <v>5.6899532020919601</v>
      </c>
      <c r="EB156" s="23">
        <f>EXP(-LN(2)/25)*EB155+(1-EXP(-LN(2)/25))/(LN(2)/25)*Calculateur!DW156*Calculateur!DY156*VLOOKUP('Données projet'!$B$14,Paramètres!$A$1:$I$88,3,0)*0.475*44/12</f>
        <v>1.5374916408332684</v>
      </c>
      <c r="EC156" s="23">
        <f>EXP(-LN(2)/2)*EC155+(1-EXP(-LN(2)/2))/(LN(2)/2)*DW156*DZ156*VLOOKUP('Données projet'!$B$14,Paramètres!$A$1:$I$88,3,0)*0.475*44/12</f>
        <v>0</v>
      </c>
      <c r="ED156" s="24">
        <f t="shared" si="178"/>
        <v>7.2274448429252285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5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8">
        <f t="shared" si="110"/>
        <v>183.33333333333334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3.4106051316484809E-13</v>
      </c>
      <c r="O157" s="14">
        <f>N157*VLOOKUP('Données projet'!$B$9,Paramètres!$A$1:$I$88,3,0)*VLOOKUP('Données projet'!$B$9,Paramètres!$A$1:$I$88,5,0)</f>
        <v>1.9065282685915009E-13</v>
      </c>
      <c r="P157" s="14">
        <f t="shared" si="141"/>
        <v>2.6568987209435707E-12</v>
      </c>
      <c r="Q157" s="22">
        <f t="shared" si="162"/>
        <v>4.959485612423072E-12</v>
      </c>
      <c r="R157" s="60">
        <f t="shared" si="109"/>
        <v>287.14194833736769</v>
      </c>
      <c r="S157" s="60">
        <f ca="1">AVERAGE(OFFSET($R$3,0,0,'Données projet'!$E$9+1,1))-AVERAGE(OFFSET($H$3,0,0,'Données projet'!$E$9+1,1))</f>
        <v>366.29380214443631</v>
      </c>
      <c r="T157" s="60">
        <f t="shared" si="142"/>
        <v>413.14502442862897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37.243661225752888</v>
      </c>
      <c r="AA157" s="23">
        <f>EXP(-LN(2)/25)*AA156+(1-EXP(-LN(2)/25))/(LN(2)/25)*Calculateur!V157*Calculateur!X157*VLOOKUP('Données projet'!$B$9,Paramètres!$A$1:$I$88,3,0)*0.475*44/12</f>
        <v>9.7818941340495407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47.025555359802425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452.49999999999989</v>
      </c>
      <c r="AJ157" s="14">
        <f>AI157*VLOOKUP('Données projet'!$B$10,Paramètres!$A$1:$I$88,3,0)*VLOOKUP('Données projet'!$B$10,Paramètres!$A$1:$I$88,5,0)</f>
        <v>395.30399999999992</v>
      </c>
      <c r="AK157" s="14">
        <f t="shared" si="164"/>
        <v>90.823969929029445</v>
      </c>
      <c r="AL157" s="22">
        <f t="shared" si="165"/>
        <v>846.67288095972606</v>
      </c>
      <c r="AM157" s="60">
        <f t="shared" si="113"/>
        <v>1133.8148292970889</v>
      </c>
      <c r="AN157" s="60">
        <f ca="1">AVERAGE(OFFSET($AM$3,0,0,'Données projet'!$E$10+1,1))-AVERAGE(OFFSET($H$3,0,0,'Données projet'!$E$10+1,1))</f>
        <v>436.5217771315057</v>
      </c>
      <c r="AO157" s="60">
        <f t="shared" si="144"/>
        <v>308.97310256098365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9.5283689331409711</v>
      </c>
      <c r="AV157" s="23">
        <f>EXP(-LN(2)/25)*AV156+(1-EXP(-LN(2)/25))/(LN(2)/25)*Calculateur!AQ157*Calculateur!AS157*VLOOKUP('Données projet'!$B$10,Paramètres!$A$1:$I$88,3,0)*0.475*44/12</f>
        <v>2.4488021812744494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11.97717111441542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5.6</v>
      </c>
      <c r="BD157" s="13">
        <f>IF('Données projet'!$A$88&gt;35,BD156+BC157-BL156,IF(A157&lt;'Données projet'!$A$88,$BA$205^A157,IF(A157='Données projet'!$A$88,'Données projet'!$B$88,BD156+BC157-BL156)))</f>
        <v>333.40000000000009</v>
      </c>
      <c r="BE157" s="14">
        <f>BD157*VLOOKUP('Données projet'!$B$11,Paramètres!$A$1:$I$88,3,0)*VLOOKUP('Données projet'!$B$11,Paramètres!$A$1:$I$88,5,0)</f>
        <v>338.06760000000014</v>
      </c>
      <c r="BF157" s="14">
        <f t="shared" si="167"/>
        <v>79.1005680037579</v>
      </c>
      <c r="BG157" s="22">
        <f t="shared" si="168"/>
        <v>726.56789260654534</v>
      </c>
      <c r="BH157" s="60">
        <f t="shared" si="116"/>
        <v>1013.7098409439081</v>
      </c>
      <c r="BI157" s="60">
        <f ca="1">AVERAGE(OFFSET($BH$3,0,0,'Données projet'!$E$11+1,1))-AVERAGE(OFFSET($H$3,0,0,'Données projet'!$E$11+1,1))</f>
        <v>108.30434106718693</v>
      </c>
      <c r="BJ157" s="60">
        <f t="shared" si="146"/>
        <v>67.653808657585842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11.256544059882151</v>
      </c>
      <c r="BQ157" s="23">
        <f>EXP(-LN(2)/25)*BQ156+(1-EXP(-LN(2)/25))/(LN(2)/25)*Calculateur!BL157*Calculateur!BN157*VLOOKUP('Données projet'!$B$11,Paramètres!$A$1:$I$88,3,0)*0.475*44/12</f>
        <v>0</v>
      </c>
      <c r="BR157" s="23">
        <f>EXP(-LN(2)/2)*BR156+(1-EXP(-LN(2)/2))/(LN(2)/2)*BL157*BO157*VLOOKUP('Données projet'!$B$11,Paramètres!$A$1:$I$88,3,0)*0.475*44/12</f>
        <v>0</v>
      </c>
      <c r="BS157" s="24">
        <f t="shared" si="169"/>
        <v>11.256544059882151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projet'!$B$12,Paramètres!$A$1:$I$88,3,0)*VLOOKUP('Données projet'!$B$12,Paramètres!$A$1:$I$88,5,0)</f>
        <v>0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171.08593400758221</v>
      </c>
      <c r="CE157" s="60">
        <f t="shared" si="148"/>
        <v>201.9528484086932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projet'!$B$12,Paramètres!$A$1:$I$88,3,0)*0.475*44/12</f>
        <v>11.392143818520925</v>
      </c>
      <c r="CL157" s="23">
        <f>EXP(-LN(2)/25)*CL156+(1-EXP(-LN(2)/25))/(LN(2)/25)*Calculateur!CG157*Calculateur!CI157*VLOOKUP('Données projet'!$B$12,Paramètres!$A$1:$I$88,3,0)*0.475*44/12</f>
        <v>3.1501147552428641</v>
      </c>
      <c r="CM157" s="23">
        <f>EXP(-LN(2)/2)*CM156+(1-EXP(-LN(2)/2))/(LN(2)/2)*CG157*CJ157*VLOOKUP('Données projet'!$B$12,Paramètres!$A$1:$I$88,3,0)*0.475*44/12</f>
        <v>0</v>
      </c>
      <c r="CN157" s="24">
        <f t="shared" si="172"/>
        <v>14.542258573763789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projet'!$B$13,Paramètres!$A$1:$I$88,3,0)*VLOOKUP('Données projet'!$B$13,Paramètres!$A$1:$I$88,5,0)</f>
        <v>0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283.66646124753868</v>
      </c>
      <c r="CZ157" s="60">
        <f t="shared" si="150"/>
        <v>331.61926649572797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projet'!$B$13,Paramètres!$A$1:$I$88,3,0)*0.475*44/12</f>
        <v>56.099394709801004</v>
      </c>
      <c r="DG157" s="23">
        <f>EXP(-LN(2)/25)*DG156+(1-EXP(-LN(2)/25))/(LN(2)/25)*Calculateur!DB157*Calculateur!DD157*VLOOKUP('Données projet'!$B$13,Paramètres!$A$1:$I$88,3,0)*0.475*44/12</f>
        <v>0</v>
      </c>
      <c r="DH157" s="23">
        <f>EXP(-LN(2)/2)*DH156+(1-EXP(-LN(2)/2))/(LN(2)/2)*DB157*DE157*VLOOKUP('Données projet'!$B$13,Paramètres!$A$1:$I$88,3,0)*0.475*44/12</f>
        <v>0</v>
      </c>
      <c r="DI157" s="24">
        <f t="shared" si="175"/>
        <v>56.099394709801004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1.1368683772161603E-13</v>
      </c>
      <c r="DP157" s="18">
        <f>DO157*VLOOKUP('Données projet'!$B$14,Paramètres!$A$1:$I$88,3,0)*VLOOKUP('Données projet'!$B$14,Paramètres!$A$1:$I$88,5,0)</f>
        <v>8.3355189417488869E-14</v>
      </c>
      <c r="DQ157" s="14">
        <f t="shared" si="176"/>
        <v>1.2790518435140618E-12</v>
      </c>
      <c r="DR157" s="22">
        <f t="shared" si="177"/>
        <v>2.3728589156891171E-12</v>
      </c>
      <c r="DS157" s="60">
        <f t="shared" si="125"/>
        <v>287.14194833736514</v>
      </c>
      <c r="DT157" s="60">
        <f ca="1">AVERAGE(OFFSET($DS$3,0,0,'Données projet'!$E$14+1,1))-AVERAGE(OFFSET($H$3,0,0,'Données projet'!$E$14+1,1))</f>
        <v>212.77458587586861</v>
      </c>
      <c r="DU157" s="60">
        <f t="shared" si="152"/>
        <v>260.45879589483513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projet'!$B$14,Paramètres!$A$1:$I$88,3,0)*0.475*44/12</f>
        <v>5.5783766903277039</v>
      </c>
      <c r="EB157" s="23">
        <f>EXP(-LN(2)/25)*EB156+(1-EXP(-LN(2)/25))/(LN(2)/25)*Calculateur!DW157*Calculateur!DY157*VLOOKUP('Données projet'!$B$14,Paramètres!$A$1:$I$88,3,0)*0.475*44/12</f>
        <v>1.4954488510615112</v>
      </c>
      <c r="EC157" s="23">
        <f>EXP(-LN(2)/2)*EC156+(1-EXP(-LN(2)/2))/(LN(2)/2)*DW157*DZ157*VLOOKUP('Données projet'!$B$14,Paramètres!$A$1:$I$88,3,0)*0.475*44/12</f>
        <v>0</v>
      </c>
      <c r="ED157" s="24">
        <f t="shared" si="178"/>
        <v>7.0738255413892155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5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8">
        <f t="shared" si="110"/>
        <v>183.33333333333334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3.4106051316484809E-13</v>
      </c>
      <c r="O158" s="14">
        <f>N158*VLOOKUP('Données projet'!$B$9,Paramètres!$A$1:$I$88,3,0)*VLOOKUP('Données projet'!$B$9,Paramètres!$A$1:$I$88,5,0)</f>
        <v>1.9065282685915009E-13</v>
      </c>
      <c r="P158" s="14">
        <f t="shared" si="141"/>
        <v>2.6568987209435707E-12</v>
      </c>
      <c r="Q158" s="22">
        <f t="shared" si="162"/>
        <v>4.959485612423072E-12</v>
      </c>
      <c r="R158" s="60">
        <f t="shared" si="109"/>
        <v>287.24935502518463</v>
      </c>
      <c r="S158" s="60">
        <f ca="1">AVERAGE(OFFSET($R$3,0,0,'Données projet'!$E$9+1,1))-AVERAGE(OFFSET($H$3,0,0,'Données projet'!$E$9+1,1))</f>
        <v>366.29380214443631</v>
      </c>
      <c r="T158" s="60">
        <f t="shared" si="142"/>
        <v>413.14502442862897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36.513335745506161</v>
      </c>
      <c r="AA158" s="23">
        <f>EXP(-LN(2)/25)*AA157+(1-EXP(-LN(2)/25))/(LN(2)/25)*Calculateur!V158*Calculateur!X158*VLOOKUP('Données projet'!$B$9,Paramètres!$A$1:$I$88,3,0)*0.475*44/12</f>
        <v>9.5144077245464995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46.027743470052663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452.49999999999989</v>
      </c>
      <c r="AJ158" s="14">
        <f>AI158*VLOOKUP('Données projet'!$B$10,Paramètres!$A$1:$I$88,3,0)*VLOOKUP('Données projet'!$B$10,Paramètres!$A$1:$I$88,5,0)</f>
        <v>395.30399999999992</v>
      </c>
      <c r="AK158" s="14">
        <f t="shared" si="164"/>
        <v>90.823969929029445</v>
      </c>
      <c r="AL158" s="22">
        <f t="shared" si="165"/>
        <v>846.67288095972606</v>
      </c>
      <c r="AM158" s="60">
        <f t="shared" si="113"/>
        <v>1133.9222359849057</v>
      </c>
      <c r="AN158" s="60">
        <f ca="1">AVERAGE(OFFSET($AM$3,0,0,'Données projet'!$E$10+1,1))-AVERAGE(OFFSET($H$3,0,0,'Données projet'!$E$10+1,1))</f>
        <v>436.5217771315057</v>
      </c>
      <c r="AO158" s="60">
        <f t="shared" si="144"/>
        <v>308.97310256098365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9.3415234300932646</v>
      </c>
      <c r="AV158" s="23">
        <f>EXP(-LN(2)/25)*AV157+(1-EXP(-LN(2)/25))/(LN(2)/25)*Calculateur!AQ158*Calculateur!AS158*VLOOKUP('Données projet'!$B$10,Paramètres!$A$1:$I$88,3,0)*0.475*44/12</f>
        <v>2.3818395568505895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11.723362986943854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>
        <f>VLOOKUP(A158,'Données projet'!$A$87:$I$107,2,0)</f>
        <v>339</v>
      </c>
      <c r="BB158" s="13">
        <f>VLOOKUP(A158,'Données projet'!$A$87:$I$107,9,0)</f>
        <v>5.6</v>
      </c>
      <c r="BC158" s="13">
        <f t="array" ref="BC158">INDEX(BB:BB,MIN(IF(ISNUMBER(BB158:BB354),ROW(BB158:BB354),"")))</f>
        <v>5.6</v>
      </c>
      <c r="BD158" s="13">
        <f>IF('Données projet'!$A$88&gt;35,BD157+BC158-BL157,IF(A158&lt;'Données projet'!$A$88,$BA$205^A158,IF(A158='Données projet'!$A$88,'Données projet'!$B$88,BD157+BC158-BL157)))</f>
        <v>339.00000000000011</v>
      </c>
      <c r="BE158" s="14">
        <f>BD158*VLOOKUP('Données projet'!$B$11,Paramètres!$A$1:$I$88,3,0)*VLOOKUP('Données projet'!$B$11,Paramètres!$A$1:$I$88,5,0)</f>
        <v>343.74600000000015</v>
      </c>
      <c r="BF158" s="14">
        <f t="shared" si="167"/>
        <v>80.273399486030513</v>
      </c>
      <c r="BG158" s="22">
        <f t="shared" si="168"/>
        <v>738.50045410483688</v>
      </c>
      <c r="BH158" s="60">
        <f t="shared" si="116"/>
        <v>1025.7498091300165</v>
      </c>
      <c r="BI158" s="60">
        <f ca="1">AVERAGE(OFFSET($BH$3,0,0,'Données projet'!$E$11+1,1))-AVERAGE(OFFSET($H$3,0,0,'Données projet'!$E$11+1,1))</f>
        <v>108.30434106718693</v>
      </c>
      <c r="BJ158" s="60">
        <f t="shared" si="146"/>
        <v>67.653808657585842</v>
      </c>
      <c r="BK158" s="16">
        <f>IF(ISNA(VLOOKUP(A158,'Données projet'!$A$87:$I$107,3,0)),0,VLOOKUP(A158,'Données projet'!$A$87:$I$107,3,0))</f>
        <v>14</v>
      </c>
      <c r="BL158" s="16">
        <f>IF(ISNA(VLOOKUP(A158,'Données projet'!$A$87:$I$107,4,0)),0,VLOOKUP(A158,'Données projet'!$A$87:$I$107,4,0))</f>
        <v>40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11.035810096681795</v>
      </c>
      <c r="BQ158" s="23">
        <f>EXP(-LN(2)/25)*BQ157+(1-EXP(-LN(2)/25))/(LN(2)/25)*Calculateur!BL158*Calculateur!BN158*VLOOKUP('Données projet'!$B$11,Paramètres!$A$1:$I$88,3,0)*0.475*44/12</f>
        <v>0</v>
      </c>
      <c r="BR158" s="23">
        <f>EXP(-LN(2)/2)*BR157+(1-EXP(-LN(2)/2))/(LN(2)/2)*BL158*BO158*VLOOKUP('Données projet'!$B$11,Paramètres!$A$1:$I$88,3,0)*0.475*44/12</f>
        <v>0</v>
      </c>
      <c r="BS158" s="24">
        <f t="shared" si="169"/>
        <v>11.035810096681795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projet'!$B$12,Paramètres!$A$1:$I$88,3,0)*VLOOKUP('Données projet'!$B$12,Paramètres!$A$1:$I$88,5,0)</f>
        <v>0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171.08593400758221</v>
      </c>
      <c r="CE158" s="60">
        <f t="shared" si="148"/>
        <v>201.9528484086932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projet'!$B$12,Paramètres!$A$1:$I$88,3,0)*0.475*44/12</f>
        <v>11.168750826761348</v>
      </c>
      <c r="CL158" s="23">
        <f>EXP(-LN(2)/25)*CL157+(1-EXP(-LN(2)/25))/(LN(2)/25)*Calculateur!CG158*Calculateur!CI158*VLOOKUP('Données projet'!$B$12,Paramètres!$A$1:$I$88,3,0)*0.475*44/12</f>
        <v>3.0639747016034127</v>
      </c>
      <c r="CM158" s="23">
        <f>EXP(-LN(2)/2)*CM157+(1-EXP(-LN(2)/2))/(LN(2)/2)*CG158*CJ158*VLOOKUP('Données projet'!$B$12,Paramètres!$A$1:$I$88,3,0)*0.475*44/12</f>
        <v>0</v>
      </c>
      <c r="CN158" s="24">
        <f t="shared" si="172"/>
        <v>14.23272552836476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projet'!$B$13,Paramètres!$A$1:$I$88,3,0)*VLOOKUP('Données projet'!$B$13,Paramètres!$A$1:$I$88,5,0)</f>
        <v>0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283.66646124753868</v>
      </c>
      <c r="CZ158" s="60">
        <f t="shared" si="150"/>
        <v>331.61926649572797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projet'!$B$13,Paramètres!$A$1:$I$88,3,0)*0.475*44/12</f>
        <v>54.999319796793905</v>
      </c>
      <c r="DG158" s="23">
        <f>EXP(-LN(2)/25)*DG157+(1-EXP(-LN(2)/25))/(LN(2)/25)*Calculateur!DB158*Calculateur!DD158*VLOOKUP('Données projet'!$B$13,Paramètres!$A$1:$I$88,3,0)*0.475*44/12</f>
        <v>0</v>
      </c>
      <c r="DH158" s="23">
        <f>EXP(-LN(2)/2)*DH157+(1-EXP(-LN(2)/2))/(LN(2)/2)*DB158*DE158*VLOOKUP('Données projet'!$B$13,Paramètres!$A$1:$I$88,3,0)*0.475*44/12</f>
        <v>0</v>
      </c>
      <c r="DI158" s="24">
        <f t="shared" si="175"/>
        <v>54.999319796793905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1.1368683772161603E-13</v>
      </c>
      <c r="DP158" s="18">
        <f>DO158*VLOOKUP('Données projet'!$B$14,Paramètres!$A$1:$I$88,3,0)*VLOOKUP('Données projet'!$B$14,Paramètres!$A$1:$I$88,5,0)</f>
        <v>8.3355189417488869E-14</v>
      </c>
      <c r="DQ158" s="14">
        <f t="shared" si="176"/>
        <v>1.2790518435140618E-12</v>
      </c>
      <c r="DR158" s="22">
        <f t="shared" si="177"/>
        <v>2.3728589156891171E-12</v>
      </c>
      <c r="DS158" s="60">
        <f t="shared" si="125"/>
        <v>287.24935502518207</v>
      </c>
      <c r="DT158" s="60">
        <f ca="1">AVERAGE(OFFSET($DS$3,0,0,'Données projet'!$E$14+1,1))-AVERAGE(OFFSET($H$3,0,0,'Données projet'!$E$14+1,1))</f>
        <v>212.77458587586861</v>
      </c>
      <c r="DU158" s="60">
        <f t="shared" si="152"/>
        <v>260.45879589483513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projet'!$B$14,Paramètres!$A$1:$I$88,3,0)*0.475*44/12</f>
        <v>5.4689881259041924</v>
      </c>
      <c r="EB158" s="23">
        <f>EXP(-LN(2)/25)*EB157+(1-EXP(-LN(2)/25))/(LN(2)/25)*Calculateur!DW158*Calculateur!DY158*VLOOKUP('Données projet'!$B$14,Paramètres!$A$1:$I$88,3,0)*0.475*44/12</f>
        <v>1.454555723586997</v>
      </c>
      <c r="EC158" s="23">
        <f>EXP(-LN(2)/2)*EC157+(1-EXP(-LN(2)/2))/(LN(2)/2)*DW158*DZ158*VLOOKUP('Données projet'!$B$14,Paramètres!$A$1:$I$88,3,0)*0.475*44/12</f>
        <v>0</v>
      </c>
      <c r="ED158" s="24">
        <f t="shared" si="178"/>
        <v>6.923543849491189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5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8">
        <f t="shared" si="110"/>
        <v>183.33333333333334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3.4106051316484809E-13</v>
      </c>
      <c r="O159" s="14">
        <f>N159*VLOOKUP('Données projet'!$B$9,Paramètres!$A$1:$I$88,3,0)*VLOOKUP('Données projet'!$B$9,Paramètres!$A$1:$I$88,5,0)</f>
        <v>1.9065282685915009E-13</v>
      </c>
      <c r="P159" s="14">
        <f t="shared" si="141"/>
        <v>2.6568987209435707E-12</v>
      </c>
      <c r="Q159" s="22">
        <f t="shared" si="162"/>
        <v>4.959485612423072E-12</v>
      </c>
      <c r="R159" s="60">
        <f t="shared" si="109"/>
        <v>287.35489844709326</v>
      </c>
      <c r="S159" s="60">
        <f ca="1">AVERAGE(OFFSET($R$3,0,0,'Données projet'!$E$9+1,1))-AVERAGE(OFFSET($H$3,0,0,'Données projet'!$E$9+1,1))</f>
        <v>366.29380214443631</v>
      </c>
      <c r="T159" s="60">
        <f t="shared" si="142"/>
        <v>413.14502442862897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35.797331502472517</v>
      </c>
      <c r="AA159" s="23">
        <f>EXP(-LN(2)/25)*AA158+(1-EXP(-LN(2)/25))/(LN(2)/25)*Calculateur!V159*Calculateur!X159*VLOOKUP('Données projet'!$B$9,Paramètres!$A$1:$I$88,3,0)*0.475*44/12</f>
        <v>9.2542357449778194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45.051567247450336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452.49999999999989</v>
      </c>
      <c r="AJ159" s="14">
        <f>AI159*VLOOKUP('Données projet'!$B$10,Paramètres!$A$1:$I$88,3,0)*VLOOKUP('Données projet'!$B$10,Paramètres!$A$1:$I$88,5,0)</f>
        <v>395.30399999999992</v>
      </c>
      <c r="AK159" s="14">
        <f t="shared" si="164"/>
        <v>90.823969929029445</v>
      </c>
      <c r="AL159" s="22">
        <f t="shared" si="165"/>
        <v>846.67288095972606</v>
      </c>
      <c r="AM159" s="60">
        <f t="shared" si="113"/>
        <v>1134.0277794068143</v>
      </c>
      <c r="AN159" s="60">
        <f ca="1">AVERAGE(OFFSET($AM$3,0,0,'Données projet'!$E$10+1,1))-AVERAGE(OFFSET($H$3,0,0,'Données projet'!$E$10+1,1))</f>
        <v>436.5217771315057</v>
      </c>
      <c r="AO159" s="60">
        <f t="shared" si="144"/>
        <v>308.97310256098365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9.1583418533958199</v>
      </c>
      <c r="AV159" s="23">
        <f>EXP(-LN(2)/25)*AV158+(1-EXP(-LN(2)/25))/(LN(2)/25)*Calculateur!AQ159*Calculateur!AS159*VLOOKUP('Données projet'!$B$10,Paramètres!$A$1:$I$88,3,0)*0.475*44/12</f>
        <v>2.3167080289130118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11.475049882308831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5.8</v>
      </c>
      <c r="BD159" s="13">
        <f>IF('Données projet'!$A$88&gt;35,BD158+BC159-BL158,IF(A159&lt;'Données projet'!$A$88,$BA$205^A159,IF(A159='Données projet'!$A$88,'Données projet'!$B$88,BD158+BC159-BL158)))</f>
        <v>304.80000000000013</v>
      </c>
      <c r="BE159" s="14">
        <f>BD159*VLOOKUP('Données projet'!$B$11,Paramètres!$A$1:$I$88,3,0)*VLOOKUP('Données projet'!$B$11,Paramètres!$A$1:$I$88,5,0)</f>
        <v>309.06720000000013</v>
      </c>
      <c r="BF159" s="14">
        <f t="shared" si="167"/>
        <v>73.073990251564425</v>
      </c>
      <c r="BG159" s="22">
        <f t="shared" si="168"/>
        <v>665.56257302147492</v>
      </c>
      <c r="BH159" s="60">
        <f t="shared" si="116"/>
        <v>952.91747146856324</v>
      </c>
      <c r="BI159" s="60">
        <f ca="1">AVERAGE(OFFSET($BH$3,0,0,'Données projet'!$E$11+1,1))-AVERAGE(OFFSET($H$3,0,0,'Données projet'!$E$11+1,1))</f>
        <v>108.30434106718693</v>
      </c>
      <c r="BJ159" s="60">
        <f t="shared" si="146"/>
        <v>67.653808657585842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10.819404591865375</v>
      </c>
      <c r="BQ159" s="23">
        <f>EXP(-LN(2)/25)*BQ158+(1-EXP(-LN(2)/25))/(LN(2)/25)*Calculateur!BL159*Calculateur!BN159*VLOOKUP('Données projet'!$B$11,Paramètres!$A$1:$I$88,3,0)*0.475*44/12</f>
        <v>0</v>
      </c>
      <c r="BR159" s="23">
        <f>EXP(-LN(2)/2)*BR158+(1-EXP(-LN(2)/2))/(LN(2)/2)*BL159*BO159*VLOOKUP('Données projet'!$B$11,Paramètres!$A$1:$I$88,3,0)*0.475*44/12</f>
        <v>0</v>
      </c>
      <c r="BS159" s="24">
        <f t="shared" si="169"/>
        <v>10.819404591865375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projet'!$B$12,Paramètres!$A$1:$I$88,3,0)*VLOOKUP('Données projet'!$B$12,Paramètres!$A$1:$I$88,5,0)</f>
        <v>0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171.08593400758221</v>
      </c>
      <c r="CE159" s="60">
        <f t="shared" si="148"/>
        <v>201.9528484086932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projet'!$B$12,Paramètres!$A$1:$I$88,3,0)*0.475*44/12</f>
        <v>10.949738435313908</v>
      </c>
      <c r="CL159" s="23">
        <f>EXP(-LN(2)/25)*CL158+(1-EXP(-LN(2)/25))/(LN(2)/25)*Calculateur!CG159*Calculateur!CI159*VLOOKUP('Données projet'!$B$12,Paramètres!$A$1:$I$88,3,0)*0.475*44/12</f>
        <v>2.9801901522606404</v>
      </c>
      <c r="CM159" s="23">
        <f>EXP(-LN(2)/2)*CM158+(1-EXP(-LN(2)/2))/(LN(2)/2)*CG159*CJ159*VLOOKUP('Données projet'!$B$12,Paramètres!$A$1:$I$88,3,0)*0.475*44/12</f>
        <v>0</v>
      </c>
      <c r="CN159" s="24">
        <f t="shared" si="172"/>
        <v>13.929928587574548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projet'!$B$13,Paramètres!$A$1:$I$88,3,0)*VLOOKUP('Données projet'!$B$13,Paramètres!$A$1:$I$88,5,0)</f>
        <v>0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283.66646124753868</v>
      </c>
      <c r="CZ159" s="60">
        <f t="shared" si="150"/>
        <v>331.61926649572797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projet'!$B$13,Paramètres!$A$1:$I$88,3,0)*0.475*44/12</f>
        <v>53.920816681851434</v>
      </c>
      <c r="DG159" s="23">
        <f>EXP(-LN(2)/25)*DG158+(1-EXP(-LN(2)/25))/(LN(2)/25)*Calculateur!DB159*Calculateur!DD159*VLOOKUP('Données projet'!$B$13,Paramètres!$A$1:$I$88,3,0)*0.475*44/12</f>
        <v>0</v>
      </c>
      <c r="DH159" s="23">
        <f>EXP(-LN(2)/2)*DH158+(1-EXP(-LN(2)/2))/(LN(2)/2)*DB159*DE159*VLOOKUP('Données projet'!$B$13,Paramètres!$A$1:$I$88,3,0)*0.475*44/12</f>
        <v>0</v>
      </c>
      <c r="DI159" s="24">
        <f t="shared" si="175"/>
        <v>53.920816681851434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1.1368683772161603E-13</v>
      </c>
      <c r="DP159" s="18">
        <f>DO159*VLOOKUP('Données projet'!$B$14,Paramètres!$A$1:$I$88,3,0)*VLOOKUP('Données projet'!$B$14,Paramètres!$A$1:$I$88,5,0)</f>
        <v>8.3355189417488869E-14</v>
      </c>
      <c r="DQ159" s="14">
        <f t="shared" si="176"/>
        <v>1.2790518435140618E-12</v>
      </c>
      <c r="DR159" s="22">
        <f t="shared" si="177"/>
        <v>2.3728589156891171E-12</v>
      </c>
      <c r="DS159" s="60">
        <f t="shared" si="125"/>
        <v>287.3548984470907</v>
      </c>
      <c r="DT159" s="60">
        <f ca="1">AVERAGE(OFFSET($DS$3,0,0,'Données projet'!$E$14+1,1))-AVERAGE(OFFSET($H$3,0,0,'Données projet'!$E$14+1,1))</f>
        <v>212.77458587586861</v>
      </c>
      <c r="DU159" s="60">
        <f t="shared" si="152"/>
        <v>260.45879589483513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projet'!$B$14,Paramètres!$A$1:$I$88,3,0)*0.475*44/12</f>
        <v>5.3617446045085897</v>
      </c>
      <c r="EB159" s="23">
        <f>EXP(-LN(2)/25)*EB158+(1-EXP(-LN(2)/25))/(LN(2)/25)*Calculateur!DW159*Calculateur!DY159*VLOOKUP('Données projet'!$B$14,Paramètres!$A$1:$I$88,3,0)*0.475*44/12</f>
        <v>1.4147808208337496</v>
      </c>
      <c r="EC159" s="23">
        <f>EXP(-LN(2)/2)*EC158+(1-EXP(-LN(2)/2))/(LN(2)/2)*DW159*DZ159*VLOOKUP('Données projet'!$B$14,Paramètres!$A$1:$I$88,3,0)*0.475*44/12</f>
        <v>0</v>
      </c>
      <c r="ED159" s="24">
        <f t="shared" si="178"/>
        <v>6.7765254253423395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5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8">
        <f t="shared" si="110"/>
        <v>183.33333333333334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3.4106051316484809E-13</v>
      </c>
      <c r="O160" s="14">
        <f>N160*VLOOKUP('Données projet'!$B$9,Paramètres!$A$1:$I$88,3,0)*VLOOKUP('Données projet'!$B$9,Paramètres!$A$1:$I$88,5,0)</f>
        <v>1.9065282685915009E-13</v>
      </c>
      <c r="P160" s="14">
        <f t="shared" si="141"/>
        <v>2.6568987209435707E-12</v>
      </c>
      <c r="Q160" s="22">
        <f t="shared" si="162"/>
        <v>4.959485612423072E-12</v>
      </c>
      <c r="R160" s="60">
        <f t="shared" si="109"/>
        <v>287.45861092659152</v>
      </c>
      <c r="S160" s="60">
        <f ca="1">AVERAGE(OFFSET($R$3,0,0,'Données projet'!$E$9+1,1))-AVERAGE(OFFSET($H$3,0,0,'Données projet'!$E$9+1,1))</f>
        <v>366.29380214443631</v>
      </c>
      <c r="T160" s="60">
        <f t="shared" si="142"/>
        <v>413.14502442862897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35.095367665925295</v>
      </c>
      <c r="AA160" s="23">
        <f>EXP(-LN(2)/25)*AA159+(1-EXP(-LN(2)/25))/(LN(2)/25)*Calculateur!V160*Calculateur!X160*VLOOKUP('Données projet'!$B$9,Paramètres!$A$1:$I$88,3,0)*0.475*44/12</f>
        <v>9.0011781818722945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44.096545847797586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452.49999999999989</v>
      </c>
      <c r="AJ160" s="14">
        <f>AI160*VLOOKUP('Données projet'!$B$10,Paramètres!$A$1:$I$88,3,0)*VLOOKUP('Données projet'!$B$10,Paramètres!$A$1:$I$88,5,0)</f>
        <v>395.30399999999992</v>
      </c>
      <c r="AK160" s="14">
        <f t="shared" si="164"/>
        <v>90.823969929029445</v>
      </c>
      <c r="AL160" s="22">
        <f t="shared" si="165"/>
        <v>846.67288095972606</v>
      </c>
      <c r="AM160" s="60">
        <f t="shared" si="113"/>
        <v>1134.1314918863127</v>
      </c>
      <c r="AN160" s="60">
        <f ca="1">AVERAGE(OFFSET($AM$3,0,0,'Données projet'!$E$10+1,1))-AVERAGE(OFFSET($H$3,0,0,'Données projet'!$E$10+1,1))</f>
        <v>436.5217771315057</v>
      </c>
      <c r="AO160" s="60">
        <f t="shared" si="144"/>
        <v>308.97310256098365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8.9787523556876838</v>
      </c>
      <c r="AV160" s="23">
        <f>EXP(-LN(2)/25)*AV159+(1-EXP(-LN(2)/25))/(LN(2)/25)*Calculateur!AQ160*Calculateur!AS160*VLOOKUP('Données projet'!$B$10,Paramètres!$A$1:$I$88,3,0)*0.475*44/12</f>
        <v>2.2533575260320049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11.232109881719689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5.8</v>
      </c>
      <c r="BD160" s="13">
        <f>IF('Données projet'!$A$88&gt;35,BD159+BC160-BL159,IF(A160&lt;'Données projet'!$A$88,$BA$205^A160,IF(A160='Données projet'!$A$88,'Données projet'!$B$88,BD159+BC160-BL159)))</f>
        <v>310.60000000000014</v>
      </c>
      <c r="BE160" s="14">
        <f>BD160*VLOOKUP('Données projet'!$B$11,Paramètres!$A$1:$I$88,3,0)*VLOOKUP('Données projet'!$B$11,Paramètres!$A$1:$I$88,5,0)</f>
        <v>314.94840000000016</v>
      </c>
      <c r="BF160" s="14">
        <f t="shared" si="167"/>
        <v>74.30129862608122</v>
      </c>
      <c r="BG160" s="22">
        <f t="shared" si="168"/>
        <v>677.94322510709173</v>
      </c>
      <c r="BH160" s="60">
        <f t="shared" si="116"/>
        <v>965.40183603367836</v>
      </c>
      <c r="BI160" s="60">
        <f ca="1">AVERAGE(OFFSET($BH$3,0,0,'Données projet'!$E$11+1,1))-AVERAGE(OFFSET($H$3,0,0,'Données projet'!$E$11+1,1))</f>
        <v>108.30434106718693</v>
      </c>
      <c r="BJ160" s="60">
        <f t="shared" si="146"/>
        <v>67.653808657585842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10.60724266700408</v>
      </c>
      <c r="BQ160" s="23">
        <f>EXP(-LN(2)/25)*BQ159+(1-EXP(-LN(2)/25))/(LN(2)/25)*Calculateur!BL160*Calculateur!BN160*VLOOKUP('Données projet'!$B$11,Paramètres!$A$1:$I$88,3,0)*0.475*44/12</f>
        <v>0</v>
      </c>
      <c r="BR160" s="23">
        <f>EXP(-LN(2)/2)*BR159+(1-EXP(-LN(2)/2))/(LN(2)/2)*BL160*BO160*VLOOKUP('Données projet'!$B$11,Paramètres!$A$1:$I$88,3,0)*0.475*44/12</f>
        <v>0</v>
      </c>
      <c r="BS160" s="24">
        <f t="shared" si="169"/>
        <v>10.60724266700408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projet'!$B$12,Paramètres!$A$1:$I$88,3,0)*VLOOKUP('Données projet'!$B$12,Paramètres!$A$1:$I$88,5,0)</f>
        <v>0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171.08593400758221</v>
      </c>
      <c r="CE160" s="60">
        <f t="shared" si="148"/>
        <v>201.9528484086932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projet'!$B$12,Paramètres!$A$1:$I$88,3,0)*0.475*44/12</f>
        <v>10.735020743278382</v>
      </c>
      <c r="CL160" s="23">
        <f>EXP(-LN(2)/25)*CL159+(1-EXP(-LN(2)/25))/(LN(2)/25)*Calculateur!CG160*Calculateur!CI160*VLOOKUP('Données projet'!$B$12,Paramètres!$A$1:$I$88,3,0)*0.475*44/12</f>
        <v>2.8986966958256843</v>
      </c>
      <c r="CM160" s="23">
        <f>EXP(-LN(2)/2)*CM159+(1-EXP(-LN(2)/2))/(LN(2)/2)*CG160*CJ160*VLOOKUP('Données projet'!$B$12,Paramètres!$A$1:$I$88,3,0)*0.475*44/12</f>
        <v>0</v>
      </c>
      <c r="CN160" s="24">
        <f t="shared" si="172"/>
        <v>13.633717439104066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projet'!$B$13,Paramètres!$A$1:$I$88,3,0)*VLOOKUP('Données projet'!$B$13,Paramètres!$A$1:$I$88,5,0)</f>
        <v>0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283.66646124753868</v>
      </c>
      <c r="CZ160" s="60">
        <f t="shared" si="150"/>
        <v>331.61926649572797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projet'!$B$13,Paramètres!$A$1:$I$88,3,0)*0.475*44/12</f>
        <v>52.863462355171038</v>
      </c>
      <c r="DG160" s="23">
        <f>EXP(-LN(2)/25)*DG159+(1-EXP(-LN(2)/25))/(LN(2)/25)*Calculateur!DB160*Calculateur!DD160*VLOOKUP('Données projet'!$B$13,Paramètres!$A$1:$I$88,3,0)*0.475*44/12</f>
        <v>0</v>
      </c>
      <c r="DH160" s="23">
        <f>EXP(-LN(2)/2)*DH159+(1-EXP(-LN(2)/2))/(LN(2)/2)*DB160*DE160*VLOOKUP('Données projet'!$B$13,Paramètres!$A$1:$I$88,3,0)*0.475*44/12</f>
        <v>0</v>
      </c>
      <c r="DI160" s="24">
        <f t="shared" si="175"/>
        <v>52.863462355171038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1.1368683772161603E-13</v>
      </c>
      <c r="DP160" s="18">
        <f>DO160*VLOOKUP('Données projet'!$B$14,Paramètres!$A$1:$I$88,3,0)*VLOOKUP('Données projet'!$B$14,Paramètres!$A$1:$I$88,5,0)</f>
        <v>8.3355189417488869E-14</v>
      </c>
      <c r="DQ160" s="14">
        <f t="shared" si="176"/>
        <v>1.2790518435140618E-12</v>
      </c>
      <c r="DR160" s="22">
        <f t="shared" si="177"/>
        <v>2.3728589156891171E-12</v>
      </c>
      <c r="DS160" s="60">
        <f t="shared" si="125"/>
        <v>287.45861092658896</v>
      </c>
      <c r="DT160" s="60">
        <f ca="1">AVERAGE(OFFSET($DS$3,0,0,'Données projet'!$E$14+1,1))-AVERAGE(OFFSET($H$3,0,0,'Données projet'!$E$14+1,1))</f>
        <v>212.77458587586861</v>
      </c>
      <c r="DU160" s="60">
        <f t="shared" si="152"/>
        <v>260.45879589483513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projet'!$B$14,Paramètres!$A$1:$I$88,3,0)*0.475*44/12</f>
        <v>5.256604063155466</v>
      </c>
      <c r="EB160" s="23">
        <f>EXP(-LN(2)/25)*EB159+(1-EXP(-LN(2)/25))/(LN(2)/25)*Calculateur!DW160*Calculateur!DY160*VLOOKUP('Données projet'!$B$14,Paramètres!$A$1:$I$88,3,0)*0.475*44/12</f>
        <v>1.3760935648879609</v>
      </c>
      <c r="EC160" s="23">
        <f>EXP(-LN(2)/2)*EC159+(1-EXP(-LN(2)/2))/(LN(2)/2)*DW160*DZ160*VLOOKUP('Données projet'!$B$14,Paramètres!$A$1:$I$88,3,0)*0.475*44/12</f>
        <v>0</v>
      </c>
      <c r="ED160" s="24">
        <f t="shared" si="178"/>
        <v>6.6326976280434273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5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8">
        <f t="shared" si="110"/>
        <v>183.33333333333334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3.4106051316484809E-13</v>
      </c>
      <c r="O161" s="14">
        <f>N161*VLOOKUP('Données projet'!$B$9,Paramètres!$A$1:$I$88,3,0)*VLOOKUP('Données projet'!$B$9,Paramètres!$A$1:$I$88,5,0)</f>
        <v>1.9065282685915009E-13</v>
      </c>
      <c r="P161" s="14">
        <f t="shared" si="141"/>
        <v>2.6568987209435707E-12</v>
      </c>
      <c r="Q161" s="22">
        <f t="shared" si="162"/>
        <v>4.959485612423072E-12</v>
      </c>
      <c r="R161" s="60">
        <f t="shared" si="109"/>
        <v>287.56052422643694</v>
      </c>
      <c r="S161" s="60">
        <f ca="1">AVERAGE(OFFSET($R$3,0,0,'Données projet'!$E$9+1,1))-AVERAGE(OFFSET($H$3,0,0,'Données projet'!$E$9+1,1))</f>
        <v>366.29380214443631</v>
      </c>
      <c r="T161" s="60">
        <f t="shared" si="142"/>
        <v>413.14502442862897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34.407168912057102</v>
      </c>
      <c r="AA161" s="23">
        <f>EXP(-LN(2)/25)*AA160+(1-EXP(-LN(2)/25))/(LN(2)/25)*Calculateur!V161*Calculateur!X161*VLOOKUP('Données projet'!$B$9,Paramètres!$A$1:$I$88,3,0)*0.475*44/12</f>
        <v>8.7550404911376081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43.162209403194709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452.49999999999989</v>
      </c>
      <c r="AJ161" s="14">
        <f>AI161*VLOOKUP('Données projet'!$B$10,Paramètres!$A$1:$I$88,3,0)*VLOOKUP('Données projet'!$B$10,Paramètres!$A$1:$I$88,5,0)</f>
        <v>395.30399999999992</v>
      </c>
      <c r="AK161" s="14">
        <f t="shared" si="164"/>
        <v>90.823969929029445</v>
      </c>
      <c r="AL161" s="22">
        <f t="shared" si="165"/>
        <v>846.67288095972606</v>
      </c>
      <c r="AM161" s="60">
        <f t="shared" si="113"/>
        <v>1134.2334051861581</v>
      </c>
      <c r="AN161" s="60">
        <f ca="1">AVERAGE(OFFSET($AM$3,0,0,'Données projet'!$E$10+1,1))-AVERAGE(OFFSET($H$3,0,0,'Données projet'!$E$10+1,1))</f>
        <v>436.5217771315057</v>
      </c>
      <c r="AO161" s="60">
        <f t="shared" si="144"/>
        <v>308.97310256098365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8.8026844984908266</v>
      </c>
      <c r="AV161" s="23">
        <f>EXP(-LN(2)/25)*AV160+(1-EXP(-LN(2)/25))/(LN(2)/25)*Calculateur!AQ161*Calculateur!AS161*VLOOKUP('Données projet'!$B$10,Paramètres!$A$1:$I$88,3,0)*0.475*44/12</f>
        <v>2.1917393459837378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10.994423844474564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5.8</v>
      </c>
      <c r="BD161" s="13">
        <f>IF('Données projet'!$A$88&gt;35,BD160+BC161-BL160,IF(A161&lt;'Données projet'!$A$88,$BA$205^A161,IF(A161='Données projet'!$A$88,'Données projet'!$B$88,BD160+BC161-BL160)))</f>
        <v>316.40000000000015</v>
      </c>
      <c r="BE161" s="14">
        <f>BD161*VLOOKUP('Données projet'!$B$11,Paramètres!$A$1:$I$88,3,0)*VLOOKUP('Données projet'!$B$11,Paramètres!$A$1:$I$88,5,0)</f>
        <v>320.8296000000002</v>
      </c>
      <c r="BF161" s="14">
        <f t="shared" si="167"/>
        <v>75.525942057150743</v>
      </c>
      <c r="BG161" s="22">
        <f t="shared" si="168"/>
        <v>690.31923574953782</v>
      </c>
      <c r="BH161" s="60">
        <f t="shared" si="116"/>
        <v>977.87975997596982</v>
      </c>
      <c r="BI161" s="60">
        <f ca="1">AVERAGE(OFFSET($BH$3,0,0,'Données projet'!$E$11+1,1))-AVERAGE(OFFSET($H$3,0,0,'Données projet'!$E$11+1,1))</f>
        <v>108.30434106718693</v>
      </c>
      <c r="BJ161" s="60">
        <f t="shared" si="146"/>
        <v>67.653808657585842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10.399241108083318</v>
      </c>
      <c r="BQ161" s="23">
        <f>EXP(-LN(2)/25)*BQ160+(1-EXP(-LN(2)/25))/(LN(2)/25)*Calculateur!BL161*Calculateur!BN161*VLOOKUP('Données projet'!$B$11,Paramètres!$A$1:$I$88,3,0)*0.475*44/12</f>
        <v>0</v>
      </c>
      <c r="BR161" s="23">
        <f>EXP(-LN(2)/2)*BR160+(1-EXP(-LN(2)/2))/(LN(2)/2)*BL161*BO161*VLOOKUP('Données projet'!$B$11,Paramètres!$A$1:$I$88,3,0)*0.475*44/12</f>
        <v>0</v>
      </c>
      <c r="BS161" s="24">
        <f t="shared" si="169"/>
        <v>10.399241108083318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projet'!$B$12,Paramètres!$A$1:$I$88,3,0)*VLOOKUP('Données projet'!$B$12,Paramètres!$A$1:$I$88,5,0)</f>
        <v>0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171.08593400758221</v>
      </c>
      <c r="CE161" s="60">
        <f t="shared" si="148"/>
        <v>201.9528484086932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projet'!$B$12,Paramètres!$A$1:$I$88,3,0)*0.475*44/12</f>
        <v>10.524513534218812</v>
      </c>
      <c r="CL161" s="23">
        <f>EXP(-LN(2)/25)*CL160+(1-EXP(-LN(2)/25))/(LN(2)/25)*Calculateur!CG161*Calculateur!CI161*VLOOKUP('Données projet'!$B$12,Paramètres!$A$1:$I$88,3,0)*0.475*44/12</f>
        <v>2.819431682242497</v>
      </c>
      <c r="CM161" s="23">
        <f>EXP(-LN(2)/2)*CM160+(1-EXP(-LN(2)/2))/(LN(2)/2)*CG161*CJ161*VLOOKUP('Données projet'!$B$12,Paramètres!$A$1:$I$88,3,0)*0.475*44/12</f>
        <v>0</v>
      </c>
      <c r="CN161" s="24">
        <f t="shared" si="172"/>
        <v>13.343945216461309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projet'!$B$13,Paramètres!$A$1:$I$88,3,0)*VLOOKUP('Données projet'!$B$13,Paramètres!$A$1:$I$88,5,0)</f>
        <v>0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283.66646124753868</v>
      </c>
      <c r="CZ161" s="60">
        <f t="shared" si="150"/>
        <v>331.61926649572797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projet'!$B$13,Paramètres!$A$1:$I$88,3,0)*0.475*44/12</f>
        <v>51.826842101914387</v>
      </c>
      <c r="DG161" s="23">
        <f>EXP(-LN(2)/25)*DG160+(1-EXP(-LN(2)/25))/(LN(2)/25)*Calculateur!DB161*Calculateur!DD161*VLOOKUP('Données projet'!$B$13,Paramètres!$A$1:$I$88,3,0)*0.475*44/12</f>
        <v>0</v>
      </c>
      <c r="DH161" s="23">
        <f>EXP(-LN(2)/2)*DH160+(1-EXP(-LN(2)/2))/(LN(2)/2)*DB161*DE161*VLOOKUP('Données projet'!$B$13,Paramètres!$A$1:$I$88,3,0)*0.475*44/12</f>
        <v>0</v>
      </c>
      <c r="DI161" s="24">
        <f t="shared" si="175"/>
        <v>51.826842101914387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1.1368683772161603E-13</v>
      </c>
      <c r="DP161" s="18">
        <f>DO161*VLOOKUP('Données projet'!$B$14,Paramètres!$A$1:$I$88,3,0)*VLOOKUP('Données projet'!$B$14,Paramètres!$A$1:$I$88,5,0)</f>
        <v>8.3355189417488869E-14</v>
      </c>
      <c r="DQ161" s="14">
        <f t="shared" si="176"/>
        <v>1.2790518435140618E-12</v>
      </c>
      <c r="DR161" s="22">
        <f t="shared" si="177"/>
        <v>2.3728589156891171E-12</v>
      </c>
      <c r="DS161" s="60">
        <f t="shared" si="125"/>
        <v>287.56052422643438</v>
      </c>
      <c r="DT161" s="60">
        <f ca="1">AVERAGE(OFFSET($DS$3,0,0,'Données projet'!$E$14+1,1))-AVERAGE(OFFSET($H$3,0,0,'Données projet'!$E$14+1,1))</f>
        <v>212.77458587586861</v>
      </c>
      <c r="DU161" s="60">
        <f t="shared" si="152"/>
        <v>260.45879589483513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projet'!$B$14,Paramètres!$A$1:$I$88,3,0)*0.475*44/12</f>
        <v>5.1535252636888789</v>
      </c>
      <c r="EB161" s="23">
        <f>EXP(-LN(2)/25)*EB160+(1-EXP(-LN(2)/25))/(LN(2)/25)*Calculateur!DW161*Calculateur!DY161*VLOOKUP('Données projet'!$B$14,Paramètres!$A$1:$I$88,3,0)*0.475*44/12</f>
        <v>1.3384642139904841</v>
      </c>
      <c r="EC161" s="23">
        <f>EXP(-LN(2)/2)*EC160+(1-EXP(-LN(2)/2))/(LN(2)/2)*DW161*DZ161*VLOOKUP('Données projet'!$B$14,Paramètres!$A$1:$I$88,3,0)*0.475*44/12</f>
        <v>0</v>
      </c>
      <c r="ED161" s="24">
        <f t="shared" si="178"/>
        <v>6.491989477679363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5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8">
        <f t="shared" si="110"/>
        <v>183.33333333333334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3.4106051316484809E-13</v>
      </c>
      <c r="O162" s="14">
        <f>N162*VLOOKUP('Données projet'!$B$9,Paramètres!$A$1:$I$88,3,0)*VLOOKUP('Données projet'!$B$9,Paramètres!$A$1:$I$88,5,0)</f>
        <v>1.9065282685915009E-13</v>
      </c>
      <c r="P162" s="14">
        <f t="shared" si="141"/>
        <v>2.6568987209435707E-12</v>
      </c>
      <c r="Q162" s="22">
        <f t="shared" si="162"/>
        <v>4.959485612423072E-12</v>
      </c>
      <c r="R162" s="60">
        <f t="shared" si="109"/>
        <v>287.66066955837391</v>
      </c>
      <c r="S162" s="60">
        <f ca="1">AVERAGE(OFFSET($R$3,0,0,'Données projet'!$E$9+1,1))-AVERAGE(OFFSET($H$3,0,0,'Données projet'!$E$9+1,1))</f>
        <v>366.29380214443631</v>
      </c>
      <c r="T162" s="60">
        <f t="shared" si="142"/>
        <v>413.14502442862897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33.732465315992471</v>
      </c>
      <c r="AA162" s="23">
        <f>EXP(-LN(2)/25)*AA161+(1-EXP(-LN(2)/25))/(LN(2)/25)*Calculateur!V162*Calculateur!X162*VLOOKUP('Données projet'!$B$9,Paramètres!$A$1:$I$88,3,0)*0.475*44/12</f>
        <v>8.5156334484998801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42.248098764492354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452.49999999999989</v>
      </c>
      <c r="AJ162" s="14">
        <f>AI162*VLOOKUP('Données projet'!$B$10,Paramètres!$A$1:$I$88,3,0)*VLOOKUP('Données projet'!$B$10,Paramètres!$A$1:$I$88,5,0)</f>
        <v>395.30399999999992</v>
      </c>
      <c r="AK162" s="14">
        <f t="shared" si="164"/>
        <v>90.823969929029445</v>
      </c>
      <c r="AL162" s="22">
        <f t="shared" si="165"/>
        <v>846.67288095972606</v>
      </c>
      <c r="AM162" s="60">
        <f t="shared" si="113"/>
        <v>1134.3335505180951</v>
      </c>
      <c r="AN162" s="60">
        <f ca="1">AVERAGE(OFFSET($AM$3,0,0,'Données projet'!$E$10+1,1))-AVERAGE(OFFSET($H$3,0,0,'Données projet'!$E$10+1,1))</f>
        <v>436.5217771315057</v>
      </c>
      <c r="AO162" s="60">
        <f t="shared" si="144"/>
        <v>308.97310256098365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8.6300692245828099</v>
      </c>
      <c r="AV162" s="23">
        <f>EXP(-LN(2)/25)*AV161+(1-EXP(-LN(2)/25))/(LN(2)/25)*Calculateur!AQ162*Calculateur!AS162*VLOOKUP('Données projet'!$B$10,Paramètres!$A$1:$I$88,3,0)*0.475*44/12</f>
        <v>2.1318061183092496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10.761875342892059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5.8</v>
      </c>
      <c r="BD162" s="13">
        <f>IF('Données projet'!$A$88&gt;35,BD161+BC162-BL161,IF(A162&lt;'Données projet'!$A$88,$BA$205^A162,IF(A162='Données projet'!$A$88,'Données projet'!$B$88,BD161+BC162-BL161)))</f>
        <v>322.20000000000016</v>
      </c>
      <c r="BE162" s="14">
        <f>BD162*VLOOKUP('Données projet'!$B$11,Paramètres!$A$1:$I$88,3,0)*VLOOKUP('Données projet'!$B$11,Paramètres!$A$1:$I$88,5,0)</f>
        <v>326.71080000000018</v>
      </c>
      <c r="BF162" s="14">
        <f t="shared" si="167"/>
        <v>76.747975030799893</v>
      </c>
      <c r="BG162" s="22">
        <f t="shared" si="168"/>
        <v>702.69069984531018</v>
      </c>
      <c r="BH162" s="60">
        <f t="shared" si="116"/>
        <v>990.3513694036792</v>
      </c>
      <c r="BI162" s="60">
        <f ca="1">AVERAGE(OFFSET($BH$3,0,0,'Données projet'!$E$11+1,1))-AVERAGE(OFFSET($H$3,0,0,'Données projet'!$E$11+1,1))</f>
        <v>108.30434106718693</v>
      </c>
      <c r="BJ162" s="60">
        <f t="shared" si="146"/>
        <v>67.653808657585842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10.19531833286457</v>
      </c>
      <c r="BQ162" s="23">
        <f>EXP(-LN(2)/25)*BQ161+(1-EXP(-LN(2)/25))/(LN(2)/25)*Calculateur!BL162*Calculateur!BN162*VLOOKUP('Données projet'!$B$11,Paramètres!$A$1:$I$88,3,0)*0.475*44/12</f>
        <v>0</v>
      </c>
      <c r="BR162" s="23">
        <f>EXP(-LN(2)/2)*BR161+(1-EXP(-LN(2)/2))/(LN(2)/2)*BL162*BO162*VLOOKUP('Données projet'!$B$11,Paramètres!$A$1:$I$88,3,0)*0.475*44/12</f>
        <v>0</v>
      </c>
      <c r="BS162" s="24">
        <f t="shared" si="169"/>
        <v>10.19531833286457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projet'!$B$12,Paramètres!$A$1:$I$88,3,0)*VLOOKUP('Données projet'!$B$12,Paramètres!$A$1:$I$88,5,0)</f>
        <v>0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171.08593400758221</v>
      </c>
      <c r="CE162" s="60">
        <f t="shared" si="148"/>
        <v>201.9528484086932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projet'!$B$12,Paramètres!$A$1:$I$88,3,0)*0.475*44/12</f>
        <v>10.318134243132182</v>
      </c>
      <c r="CL162" s="23">
        <f>EXP(-LN(2)/25)*CL161+(1-EXP(-LN(2)/25))/(LN(2)/25)*Calculateur!CG162*Calculateur!CI162*VLOOKUP('Données projet'!$B$12,Paramètres!$A$1:$I$88,3,0)*0.475*44/12</f>
        <v>2.7423341746241077</v>
      </c>
      <c r="CM162" s="23">
        <f>EXP(-LN(2)/2)*CM161+(1-EXP(-LN(2)/2))/(LN(2)/2)*CG162*CJ162*VLOOKUP('Données projet'!$B$12,Paramètres!$A$1:$I$88,3,0)*0.475*44/12</f>
        <v>0</v>
      </c>
      <c r="CN162" s="24">
        <f t="shared" si="172"/>
        <v>13.06046841775629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projet'!$B$13,Paramètres!$A$1:$I$88,3,0)*VLOOKUP('Données projet'!$B$13,Paramètres!$A$1:$I$88,5,0)</f>
        <v>0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283.66646124753868</v>
      </c>
      <c r="CZ162" s="60">
        <f t="shared" si="150"/>
        <v>331.61926649572797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projet'!$B$13,Paramètres!$A$1:$I$88,3,0)*0.475*44/12</f>
        <v>50.810549339548174</v>
      </c>
      <c r="DG162" s="23">
        <f>EXP(-LN(2)/25)*DG161+(1-EXP(-LN(2)/25))/(LN(2)/25)*Calculateur!DB162*Calculateur!DD162*VLOOKUP('Données projet'!$B$13,Paramètres!$A$1:$I$88,3,0)*0.475*44/12</f>
        <v>0</v>
      </c>
      <c r="DH162" s="23">
        <f>EXP(-LN(2)/2)*DH161+(1-EXP(-LN(2)/2))/(LN(2)/2)*DB162*DE162*VLOOKUP('Données projet'!$B$13,Paramètres!$A$1:$I$88,3,0)*0.475*44/12</f>
        <v>0</v>
      </c>
      <c r="DI162" s="24">
        <f t="shared" si="175"/>
        <v>50.810549339548174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1.1368683772161603E-13</v>
      </c>
      <c r="DP162" s="18">
        <f>DO162*VLOOKUP('Données projet'!$B$14,Paramètres!$A$1:$I$88,3,0)*VLOOKUP('Données projet'!$B$14,Paramètres!$A$1:$I$88,5,0)</f>
        <v>8.3355189417488869E-14</v>
      </c>
      <c r="DQ162" s="14">
        <f t="shared" si="176"/>
        <v>1.2790518435140618E-12</v>
      </c>
      <c r="DR162" s="22">
        <f t="shared" si="177"/>
        <v>2.3728589156891171E-12</v>
      </c>
      <c r="DS162" s="60">
        <f t="shared" si="125"/>
        <v>287.66066955837135</v>
      </c>
      <c r="DT162" s="60">
        <f ca="1">AVERAGE(OFFSET($DS$3,0,0,'Données projet'!$E$14+1,1))-AVERAGE(OFFSET($H$3,0,0,'Données projet'!$E$14+1,1))</f>
        <v>212.77458587586861</v>
      </c>
      <c r="DU162" s="60">
        <f t="shared" si="152"/>
        <v>260.45879589483513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projet'!$B$14,Paramètres!$A$1:$I$88,3,0)*0.475*44/12</f>
        <v>5.0524677766079718</v>
      </c>
      <c r="EB162" s="23">
        <f>EXP(-LN(2)/25)*EB161+(1-EXP(-LN(2)/25))/(LN(2)/25)*Calculateur!DW162*Calculateur!DY162*VLOOKUP('Données projet'!$B$14,Paramètres!$A$1:$I$88,3,0)*0.475*44/12</f>
        <v>1.3018638396721405</v>
      </c>
      <c r="EC162" s="23">
        <f>EXP(-LN(2)/2)*EC161+(1-EXP(-LN(2)/2))/(LN(2)/2)*DW162*DZ162*VLOOKUP('Données projet'!$B$14,Paramètres!$A$1:$I$88,3,0)*0.475*44/12</f>
        <v>0</v>
      </c>
      <c r="ED162" s="24">
        <f t="shared" si="178"/>
        <v>6.3543316162801124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5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8">
        <f t="shared" si="110"/>
        <v>183.33333333333334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3.4106051316484809E-13</v>
      </c>
      <c r="O163" s="14">
        <f>N163*VLOOKUP('Données projet'!$B$9,Paramètres!$A$1:$I$88,3,0)*VLOOKUP('Données projet'!$B$9,Paramètres!$A$1:$I$88,5,0)</f>
        <v>1.9065282685915009E-13</v>
      </c>
      <c r="P163" s="14">
        <f t="shared" si="141"/>
        <v>2.6568987209435707E-12</v>
      </c>
      <c r="Q163" s="22">
        <f t="shared" si="162"/>
        <v>4.959485612423072E-12</v>
      </c>
      <c r="R163" s="60">
        <f t="shared" si="109"/>
        <v>287.7590775926933</v>
      </c>
      <c r="S163" s="60">
        <f ca="1">AVERAGE(OFFSET($R$3,0,0,'Données projet'!$E$9+1,1))-AVERAGE(OFFSET($H$3,0,0,'Données projet'!$E$9+1,1))</f>
        <v>366.29380214443631</v>
      </c>
      <c r="T163" s="60">
        <f t="shared" si="142"/>
        <v>413.14502442862897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33.070992245918113</v>
      </c>
      <c r="AA163" s="23">
        <f>EXP(-LN(2)/25)*AA162+(1-EXP(-LN(2)/25))/(LN(2)/25)*Calculateur!V163*Calculateur!X163*VLOOKUP('Données projet'!$B$9,Paramètres!$A$1:$I$88,3,0)*0.475*44/12</f>
        <v>8.2827730040329506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41.353765249951067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452.49999999999989</v>
      </c>
      <c r="AJ163" s="14">
        <f>AI163*VLOOKUP('Données projet'!$B$10,Paramètres!$A$1:$I$88,3,0)*VLOOKUP('Données projet'!$B$10,Paramètres!$A$1:$I$88,5,0)</f>
        <v>395.30399999999992</v>
      </c>
      <c r="AK163" s="14">
        <f t="shared" si="164"/>
        <v>90.823969929029445</v>
      </c>
      <c r="AL163" s="22">
        <f t="shared" si="165"/>
        <v>846.67288095972606</v>
      </c>
      <c r="AM163" s="60">
        <f t="shared" si="113"/>
        <v>1134.4319585524145</v>
      </c>
      <c r="AN163" s="60">
        <f ca="1">AVERAGE(OFFSET($AM$3,0,0,'Données projet'!$E$10+1,1))-AVERAGE(OFFSET($H$3,0,0,'Données projet'!$E$10+1,1))</f>
        <v>436.5217771315057</v>
      </c>
      <c r="AO163" s="60">
        <f t="shared" si="144"/>
        <v>308.97310256098365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8.460838830911209</v>
      </c>
      <c r="AV163" s="23">
        <f>EXP(-LN(2)/25)*AV162+(1-EXP(-LN(2)/25))/(LN(2)/25)*Calculateur!AQ163*Calculateur!AS163*VLOOKUP('Données projet'!$B$10,Paramètres!$A$1:$I$88,3,0)*0.475*44/12</f>
        <v>2.0735117678972719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10.53435059880848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5.8</v>
      </c>
      <c r="BD163" s="13">
        <f>IF('Données projet'!$A$88&gt;35,BD162+BC163-BL162,IF(A163&lt;'Données projet'!$A$88,$BA$205^A163,IF(A163='Données projet'!$A$88,'Données projet'!$B$88,BD162+BC163-BL162)))</f>
        <v>328.00000000000017</v>
      </c>
      <c r="BE163" s="14">
        <f>BD163*VLOOKUP('Données projet'!$B$11,Paramètres!$A$1:$I$88,3,0)*VLOOKUP('Données projet'!$B$11,Paramètres!$A$1:$I$88,5,0)</f>
        <v>332.59200000000021</v>
      </c>
      <c r="BF163" s="14">
        <f t="shared" si="167"/>
        <v>77.967449959094665</v>
      </c>
      <c r="BG163" s="22">
        <f t="shared" si="168"/>
        <v>715.05770867875697</v>
      </c>
      <c r="BH163" s="60">
        <f t="shared" si="116"/>
        <v>1002.8167862714454</v>
      </c>
      <c r="BI163" s="60">
        <f ca="1">AVERAGE(OFFSET($BH$3,0,0,'Données projet'!$E$11+1,1))-AVERAGE(OFFSET($H$3,0,0,'Données projet'!$E$11+1,1))</f>
        <v>108.30434106718693</v>
      </c>
      <c r="BJ163" s="60">
        <f t="shared" si="146"/>
        <v>67.653808657585842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9.9953943588872498</v>
      </c>
      <c r="BQ163" s="23">
        <f>EXP(-LN(2)/25)*BQ162+(1-EXP(-LN(2)/25))/(LN(2)/25)*Calculateur!BL163*Calculateur!BN163*VLOOKUP('Données projet'!$B$11,Paramètres!$A$1:$I$88,3,0)*0.475*44/12</f>
        <v>0</v>
      </c>
      <c r="BR163" s="23">
        <f>EXP(-LN(2)/2)*BR162+(1-EXP(-LN(2)/2))/(LN(2)/2)*BL163*BO163*VLOOKUP('Données projet'!$B$11,Paramètres!$A$1:$I$88,3,0)*0.475*44/12</f>
        <v>0</v>
      </c>
      <c r="BS163" s="24">
        <f t="shared" si="169"/>
        <v>9.9953943588872498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projet'!$B$12,Paramètres!$A$1:$I$88,3,0)*VLOOKUP('Données projet'!$B$12,Paramètres!$A$1:$I$88,5,0)</f>
        <v>0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171.08593400758221</v>
      </c>
      <c r="CE163" s="60">
        <f t="shared" si="148"/>
        <v>201.9528484086932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projet'!$B$12,Paramètres!$A$1:$I$88,3,0)*0.475*44/12</f>
        <v>10.115801924064822</v>
      </c>
      <c r="CL163" s="23">
        <f>EXP(-LN(2)/25)*CL162+(1-EXP(-LN(2)/25))/(LN(2)/25)*Calculateur!CG163*Calculateur!CI163*VLOOKUP('Données projet'!$B$12,Paramètres!$A$1:$I$88,3,0)*0.475*44/12</f>
        <v>2.667344902405925</v>
      </c>
      <c r="CM163" s="23">
        <f>EXP(-LN(2)/2)*CM162+(1-EXP(-LN(2)/2))/(LN(2)/2)*CG163*CJ163*VLOOKUP('Données projet'!$B$12,Paramètres!$A$1:$I$88,3,0)*0.475*44/12</f>
        <v>0</v>
      </c>
      <c r="CN163" s="24">
        <f t="shared" si="172"/>
        <v>12.783146826470748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projet'!$B$13,Paramètres!$A$1:$I$88,3,0)*VLOOKUP('Données projet'!$B$13,Paramètres!$A$1:$I$88,5,0)</f>
        <v>0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283.66646124753868</v>
      </c>
      <c r="CZ163" s="60">
        <f t="shared" si="150"/>
        <v>331.61926649572797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projet'!$B$13,Paramètres!$A$1:$I$88,3,0)*0.475*44/12</f>
        <v>49.814185458374588</v>
      </c>
      <c r="DG163" s="23">
        <f>EXP(-LN(2)/25)*DG162+(1-EXP(-LN(2)/25))/(LN(2)/25)*Calculateur!DB163*Calculateur!DD163*VLOOKUP('Données projet'!$B$13,Paramètres!$A$1:$I$88,3,0)*0.475*44/12</f>
        <v>0</v>
      </c>
      <c r="DH163" s="23">
        <f>EXP(-LN(2)/2)*DH162+(1-EXP(-LN(2)/2))/(LN(2)/2)*DB163*DE163*VLOOKUP('Données projet'!$B$13,Paramètres!$A$1:$I$88,3,0)*0.475*44/12</f>
        <v>0</v>
      </c>
      <c r="DI163" s="24">
        <f t="shared" si="175"/>
        <v>49.814185458374588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1.1368683772161603E-13</v>
      </c>
      <c r="DP163" s="18">
        <f>DO163*VLOOKUP('Données projet'!$B$14,Paramètres!$A$1:$I$88,3,0)*VLOOKUP('Données projet'!$B$14,Paramètres!$A$1:$I$88,5,0)</f>
        <v>8.3355189417488869E-14</v>
      </c>
      <c r="DQ163" s="14">
        <f t="shared" si="176"/>
        <v>1.2790518435140618E-12</v>
      </c>
      <c r="DR163" s="22">
        <f t="shared" si="177"/>
        <v>2.3728589156891171E-12</v>
      </c>
      <c r="DS163" s="60">
        <f t="shared" si="125"/>
        <v>287.75907759269074</v>
      </c>
      <c r="DT163" s="60">
        <f ca="1">AVERAGE(OFFSET($DS$3,0,0,'Données projet'!$E$14+1,1))-AVERAGE(OFFSET($H$3,0,0,'Données projet'!$E$14+1,1))</f>
        <v>212.77458587586861</v>
      </c>
      <c r="DU163" s="60">
        <f t="shared" si="152"/>
        <v>260.45879589483513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projet'!$B$14,Paramètres!$A$1:$I$88,3,0)*0.475*44/12</f>
        <v>4.9533919652097405</v>
      </c>
      <c r="EB163" s="23">
        <f>EXP(-LN(2)/25)*EB162+(1-EXP(-LN(2)/25))/(LN(2)/25)*Calculateur!DW163*Calculateur!DY163*VLOOKUP('Données projet'!$B$14,Paramètres!$A$1:$I$88,3,0)*0.475*44/12</f>
        <v>1.2662643045142619</v>
      </c>
      <c r="EC163" s="23">
        <f>EXP(-LN(2)/2)*EC162+(1-EXP(-LN(2)/2))/(LN(2)/2)*DW163*DZ163*VLOOKUP('Données projet'!$B$14,Paramètres!$A$1:$I$88,3,0)*0.475*44/12</f>
        <v>0</v>
      </c>
      <c r="ED163" s="24">
        <f t="shared" si="178"/>
        <v>6.2196562697240019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5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8">
        <f t="shared" si="110"/>
        <v>183.33333333333334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3.4106051316484809E-13</v>
      </c>
      <c r="O164" s="14">
        <f>N164*VLOOKUP('Données projet'!$B$9,Paramètres!$A$1:$I$88,3,0)*VLOOKUP('Données projet'!$B$9,Paramètres!$A$1:$I$88,5,0)</f>
        <v>1.9065282685915009E-13</v>
      </c>
      <c r="P164" s="14">
        <f t="shared" si="141"/>
        <v>2.6568987209435707E-12</v>
      </c>
      <c r="Q164" s="22">
        <f t="shared" si="162"/>
        <v>4.959485612423072E-12</v>
      </c>
      <c r="R164" s="60">
        <f t="shared" si="109"/>
        <v>287.85577846762465</v>
      </c>
      <c r="S164" s="60">
        <f ca="1">AVERAGE(OFFSET($R$3,0,0,'Données projet'!$E$9+1,1))-AVERAGE(OFFSET($H$3,0,0,'Données projet'!$E$9+1,1))</f>
        <v>366.29380214443631</v>
      </c>
      <c r="T164" s="60">
        <f t="shared" si="142"/>
        <v>413.14502442862897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32.422490259289177</v>
      </c>
      <c r="AA164" s="23">
        <f>EXP(-LN(2)/25)*AA163+(1-EXP(-LN(2)/25))/(LN(2)/25)*Calculateur!V164*Calculateur!X164*VLOOKUP('Données projet'!$B$9,Paramètres!$A$1:$I$88,3,0)*0.475*44/12</f>
        <v>8.0562801406655673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40.47877039995474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452.49999999999989</v>
      </c>
      <c r="AJ164" s="14">
        <f>AI164*VLOOKUP('Données projet'!$B$10,Paramètres!$A$1:$I$88,3,0)*VLOOKUP('Données projet'!$B$10,Paramètres!$A$1:$I$88,5,0)</f>
        <v>395.30399999999992</v>
      </c>
      <c r="AK164" s="14">
        <f t="shared" si="164"/>
        <v>90.823969929029445</v>
      </c>
      <c r="AL164" s="22">
        <f t="shared" si="165"/>
        <v>846.67288095972606</v>
      </c>
      <c r="AM164" s="60">
        <f t="shared" si="113"/>
        <v>1134.5286594273457</v>
      </c>
      <c r="AN164" s="60">
        <f ca="1">AVERAGE(OFFSET($AM$3,0,0,'Données projet'!$E$10+1,1))-AVERAGE(OFFSET($H$3,0,0,'Données projet'!$E$10+1,1))</f>
        <v>436.5217771315057</v>
      </c>
      <c r="AO164" s="60">
        <f t="shared" si="144"/>
        <v>308.97310256098365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8.2949269420391598</v>
      </c>
      <c r="AV164" s="23">
        <f>EXP(-LN(2)/25)*AV163+(1-EXP(-LN(2)/25))/(LN(2)/25)*Calculateur!AQ164*Calculateur!AS164*VLOOKUP('Données projet'!$B$10,Paramètres!$A$1:$I$88,3,0)*0.475*44/12</f>
        <v>2.0168114795628762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10.311738421602037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5.8</v>
      </c>
      <c r="BD164" s="13">
        <f>IF('Données projet'!$A$88&gt;35,BD163+BC164-BL163,IF(A164&lt;'Données projet'!$A$88,$BA$205^A164,IF(A164='Données projet'!$A$88,'Données projet'!$B$88,BD163+BC164-BL163)))</f>
        <v>333.80000000000018</v>
      </c>
      <c r="BE164" s="14">
        <f>BD164*VLOOKUP('Données projet'!$B$11,Paramètres!$A$1:$I$88,3,0)*VLOOKUP('Données projet'!$B$11,Paramètres!$A$1:$I$88,5,0)</f>
        <v>338.47320000000019</v>
      </c>
      <c r="BF164" s="14">
        <f t="shared" si="167"/>
        <v>79.184417294335418</v>
      </c>
      <c r="BG164" s="22">
        <f t="shared" si="168"/>
        <v>727.42035012096778</v>
      </c>
      <c r="BH164" s="60">
        <f t="shared" si="116"/>
        <v>1015.2761285885874</v>
      </c>
      <c r="BI164" s="60">
        <f ca="1">AVERAGE(OFFSET($BH$3,0,0,'Données projet'!$E$11+1,1))-AVERAGE(OFFSET($H$3,0,0,'Données projet'!$E$11+1,1))</f>
        <v>108.30434106718693</v>
      </c>
      <c r="BJ164" s="60">
        <f t="shared" si="146"/>
        <v>67.653808657585842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9.7993907720980413</v>
      </c>
      <c r="BQ164" s="23">
        <f>EXP(-LN(2)/25)*BQ163+(1-EXP(-LN(2)/25))/(LN(2)/25)*Calculateur!BL164*Calculateur!BN164*VLOOKUP('Données projet'!$B$11,Paramètres!$A$1:$I$88,3,0)*0.475*44/12</f>
        <v>0</v>
      </c>
      <c r="BR164" s="23">
        <f>EXP(-LN(2)/2)*BR163+(1-EXP(-LN(2)/2))/(LN(2)/2)*BL164*BO164*VLOOKUP('Données projet'!$B$11,Paramètres!$A$1:$I$88,3,0)*0.475*44/12</f>
        <v>0</v>
      </c>
      <c r="BS164" s="24">
        <f t="shared" si="169"/>
        <v>9.7993907720980413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projet'!$B$12,Paramètres!$A$1:$I$88,3,0)*VLOOKUP('Données projet'!$B$12,Paramètres!$A$1:$I$88,5,0)</f>
        <v>0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171.08593400758221</v>
      </c>
      <c r="CE164" s="60">
        <f t="shared" si="148"/>
        <v>201.9528484086932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projet'!$B$12,Paramètres!$A$1:$I$88,3,0)*0.475*44/12</f>
        <v>9.9174372183638457</v>
      </c>
      <c r="CL164" s="23">
        <f>EXP(-LN(2)/25)*CL163+(1-EXP(-LN(2)/25))/(LN(2)/25)*Calculateur!CG164*Calculateur!CI164*VLOOKUP('Données projet'!$B$12,Paramètres!$A$1:$I$88,3,0)*0.475*44/12</f>
        <v>2.5944062157800629</v>
      </c>
      <c r="CM164" s="23">
        <f>EXP(-LN(2)/2)*CM163+(1-EXP(-LN(2)/2))/(LN(2)/2)*CG164*CJ164*VLOOKUP('Données projet'!$B$12,Paramètres!$A$1:$I$88,3,0)*0.475*44/12</f>
        <v>0</v>
      </c>
      <c r="CN164" s="24">
        <f t="shared" si="172"/>
        <v>12.511843434143909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projet'!$B$13,Paramètres!$A$1:$I$88,3,0)*VLOOKUP('Données projet'!$B$13,Paramètres!$A$1:$I$88,5,0)</f>
        <v>0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283.66646124753868</v>
      </c>
      <c r="CZ164" s="60">
        <f t="shared" si="150"/>
        <v>331.61926649572797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projet'!$B$13,Paramètres!$A$1:$I$88,3,0)*0.475*44/12</f>
        <v>48.837359665188856</v>
      </c>
      <c r="DG164" s="23">
        <f>EXP(-LN(2)/25)*DG163+(1-EXP(-LN(2)/25))/(LN(2)/25)*Calculateur!DB164*Calculateur!DD164*VLOOKUP('Données projet'!$B$13,Paramètres!$A$1:$I$88,3,0)*0.475*44/12</f>
        <v>0</v>
      </c>
      <c r="DH164" s="23">
        <f>EXP(-LN(2)/2)*DH163+(1-EXP(-LN(2)/2))/(LN(2)/2)*DB164*DE164*VLOOKUP('Données projet'!$B$13,Paramètres!$A$1:$I$88,3,0)*0.475*44/12</f>
        <v>0</v>
      </c>
      <c r="DI164" s="24">
        <f t="shared" si="175"/>
        <v>48.837359665188856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1.1368683772161603E-13</v>
      </c>
      <c r="DP164" s="18">
        <f>DO164*VLOOKUP('Données projet'!$B$14,Paramètres!$A$1:$I$88,3,0)*VLOOKUP('Données projet'!$B$14,Paramètres!$A$1:$I$88,5,0)</f>
        <v>8.3355189417488869E-14</v>
      </c>
      <c r="DQ164" s="14">
        <f t="shared" si="176"/>
        <v>1.2790518435140618E-12</v>
      </c>
      <c r="DR164" s="22">
        <f t="shared" si="177"/>
        <v>2.3728589156891171E-12</v>
      </c>
      <c r="DS164" s="60">
        <f t="shared" si="125"/>
        <v>287.85577846762209</v>
      </c>
      <c r="DT164" s="60">
        <f ca="1">AVERAGE(OFFSET($DS$3,0,0,'Données projet'!$E$14+1,1))-AVERAGE(OFFSET($H$3,0,0,'Données projet'!$E$14+1,1))</f>
        <v>212.77458587586861</v>
      </c>
      <c r="DU164" s="60">
        <f t="shared" si="152"/>
        <v>260.45879589483513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projet'!$B$14,Paramètres!$A$1:$I$88,3,0)*0.475*44/12</f>
        <v>4.8562589700427505</v>
      </c>
      <c r="EB164" s="23">
        <f>EXP(-LN(2)/25)*EB163+(1-EXP(-LN(2)/25))/(LN(2)/25)*Calculateur!DW164*Calculateur!DY164*VLOOKUP('Données projet'!$B$14,Paramètres!$A$1:$I$88,3,0)*0.475*44/12</f>
        <v>1.2316382405173736</v>
      </c>
      <c r="EC164" s="23">
        <f>EXP(-LN(2)/2)*EC163+(1-EXP(-LN(2)/2))/(LN(2)/2)*DW164*DZ164*VLOOKUP('Données projet'!$B$14,Paramètres!$A$1:$I$88,3,0)*0.475*44/12</f>
        <v>0</v>
      </c>
      <c r="ED164" s="24">
        <f t="shared" si="178"/>
        <v>6.0878972105601239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5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8">
        <f t="shared" si="110"/>
        <v>183.33333333333334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3.4106051316484809E-13</v>
      </c>
      <c r="O165" s="14">
        <f>N165*VLOOKUP('Données projet'!$B$9,Paramètres!$A$1:$I$88,3,0)*VLOOKUP('Données projet'!$B$9,Paramètres!$A$1:$I$88,5,0)</f>
        <v>1.9065282685915009E-13</v>
      </c>
      <c r="P165" s="14">
        <f t="shared" si="141"/>
        <v>2.6568987209435707E-12</v>
      </c>
      <c r="Q165" s="22">
        <f t="shared" si="162"/>
        <v>4.959485612423072E-12</v>
      </c>
      <c r="R165" s="60">
        <f t="shared" si="109"/>
        <v>287.95080179856666</v>
      </c>
      <c r="S165" s="60">
        <f ca="1">AVERAGE(OFFSET($R$3,0,0,'Données projet'!$E$9+1,1))-AVERAGE(OFFSET($H$3,0,0,'Données projet'!$E$9+1,1))</f>
        <v>366.29380214443631</v>
      </c>
      <c r="T165" s="60">
        <f t="shared" si="142"/>
        <v>413.14502442862897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31.786705001070878</v>
      </c>
      <c r="AA165" s="23">
        <f>EXP(-LN(2)/25)*AA164+(1-EXP(-LN(2)/25))/(LN(2)/25)*Calculateur!V165*Calculateur!X165*VLOOKUP('Données projet'!$B$9,Paramètres!$A$1:$I$88,3,0)*0.475*44/12</f>
        <v>7.8359807365577074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39.622685737628586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452.49999999999989</v>
      </c>
      <c r="AJ165" s="14">
        <f>AI165*VLOOKUP('Données projet'!$B$10,Paramètres!$A$1:$I$88,3,0)*VLOOKUP('Données projet'!$B$10,Paramètres!$A$1:$I$88,5,0)</f>
        <v>395.30399999999992</v>
      </c>
      <c r="AK165" s="14">
        <f t="shared" si="164"/>
        <v>90.823969929029445</v>
      </c>
      <c r="AL165" s="22">
        <f t="shared" si="165"/>
        <v>846.67288095972606</v>
      </c>
      <c r="AM165" s="60">
        <f t="shared" si="113"/>
        <v>1134.6236827582877</v>
      </c>
      <c r="AN165" s="60">
        <f ca="1">AVERAGE(OFFSET($AM$3,0,0,'Données projet'!$E$10+1,1))-AVERAGE(OFFSET($H$3,0,0,'Données projet'!$E$10+1,1))</f>
        <v>436.5217771315057</v>
      </c>
      <c r="AO165" s="60">
        <f t="shared" si="144"/>
        <v>308.97310256098365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8.1322684841116324</v>
      </c>
      <c r="AV165" s="23">
        <f>EXP(-LN(2)/25)*AV164+(1-EXP(-LN(2)/25))/(LN(2)/25)*Calculateur!AQ165*Calculateur!AS165*VLOOKUP('Données projet'!$B$10,Paramètres!$A$1:$I$88,3,0)*0.475*44/12</f>
        <v>1.961661663594723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10.093930147706356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5.8</v>
      </c>
      <c r="BD165" s="13">
        <f>IF('Données projet'!$A$88&gt;35,BD164+BC165-BL164,IF(A165&lt;'Données projet'!$A$88,$BA$205^A165,IF(A165='Données projet'!$A$88,'Données projet'!$B$88,BD164+BC165-BL164)))</f>
        <v>339.60000000000019</v>
      </c>
      <c r="BE165" s="14">
        <f>BD165*VLOOKUP('Données projet'!$B$11,Paramètres!$A$1:$I$88,3,0)*VLOOKUP('Données projet'!$B$11,Paramètres!$A$1:$I$88,5,0)</f>
        <v>344.35440000000023</v>
      </c>
      <c r="BF165" s="14">
        <f t="shared" si="167"/>
        <v>80.398925635091885</v>
      </c>
      <c r="BG165" s="22">
        <f t="shared" si="168"/>
        <v>739.77870881445199</v>
      </c>
      <c r="BH165" s="60">
        <f t="shared" si="116"/>
        <v>1027.7295106130136</v>
      </c>
      <c r="BI165" s="60">
        <f ca="1">AVERAGE(OFFSET($BH$3,0,0,'Données projet'!$E$11+1,1))-AVERAGE(OFFSET($H$3,0,0,'Données projet'!$E$11+1,1))</f>
        <v>108.30434106718693</v>
      </c>
      <c r="BJ165" s="60">
        <f t="shared" si="146"/>
        <v>67.653808657585842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9.607230696095387</v>
      </c>
      <c r="BQ165" s="23">
        <f>EXP(-LN(2)/25)*BQ164+(1-EXP(-LN(2)/25))/(LN(2)/25)*Calculateur!BL165*Calculateur!BN165*VLOOKUP('Données projet'!$B$11,Paramètres!$A$1:$I$88,3,0)*0.475*44/12</f>
        <v>0</v>
      </c>
      <c r="BR165" s="23">
        <f>EXP(-LN(2)/2)*BR164+(1-EXP(-LN(2)/2))/(LN(2)/2)*BL165*BO165*VLOOKUP('Données projet'!$B$11,Paramètres!$A$1:$I$88,3,0)*0.475*44/12</f>
        <v>0</v>
      </c>
      <c r="BS165" s="24">
        <f t="shared" si="169"/>
        <v>9.607230696095387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projet'!$B$12,Paramètres!$A$1:$I$88,3,0)*VLOOKUP('Données projet'!$B$12,Paramètres!$A$1:$I$88,5,0)</f>
        <v>0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171.08593400758221</v>
      </c>
      <c r="CE165" s="60">
        <f t="shared" si="148"/>
        <v>201.9528484086932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projet'!$B$12,Paramètres!$A$1:$I$88,3,0)*0.475*44/12</f>
        <v>9.7229623235511404</v>
      </c>
      <c r="CL165" s="23">
        <f>EXP(-LN(2)/25)*CL164+(1-EXP(-LN(2)/25))/(LN(2)/25)*Calculateur!CG165*Calculateur!CI165*VLOOKUP('Données projet'!$B$12,Paramètres!$A$1:$I$88,3,0)*0.475*44/12</f>
        <v>2.5234620413756637</v>
      </c>
      <c r="CM165" s="23">
        <f>EXP(-LN(2)/2)*CM164+(1-EXP(-LN(2)/2))/(LN(2)/2)*CG165*CJ165*VLOOKUP('Données projet'!$B$12,Paramètres!$A$1:$I$88,3,0)*0.475*44/12</f>
        <v>0</v>
      </c>
      <c r="CN165" s="24">
        <f t="shared" si="172"/>
        <v>12.246424364926805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projet'!$B$13,Paramètres!$A$1:$I$88,3,0)*VLOOKUP('Données projet'!$B$13,Paramètres!$A$1:$I$88,5,0)</f>
        <v>0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283.66646124753868</v>
      </c>
      <c r="CZ165" s="60">
        <f t="shared" si="150"/>
        <v>331.61926649572797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projet'!$B$13,Paramètres!$A$1:$I$88,3,0)*0.475*44/12</f>
        <v>47.879688830002593</v>
      </c>
      <c r="DG165" s="23">
        <f>EXP(-LN(2)/25)*DG164+(1-EXP(-LN(2)/25))/(LN(2)/25)*Calculateur!DB165*Calculateur!DD165*VLOOKUP('Données projet'!$B$13,Paramètres!$A$1:$I$88,3,0)*0.475*44/12</f>
        <v>0</v>
      </c>
      <c r="DH165" s="23">
        <f>EXP(-LN(2)/2)*DH164+(1-EXP(-LN(2)/2))/(LN(2)/2)*DB165*DE165*VLOOKUP('Données projet'!$B$13,Paramètres!$A$1:$I$88,3,0)*0.475*44/12</f>
        <v>0</v>
      </c>
      <c r="DI165" s="24">
        <f t="shared" si="175"/>
        <v>47.879688830002593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1.1368683772161603E-13</v>
      </c>
      <c r="DP165" s="18">
        <f>DO165*VLOOKUP('Données projet'!$B$14,Paramètres!$A$1:$I$88,3,0)*VLOOKUP('Données projet'!$B$14,Paramètres!$A$1:$I$88,5,0)</f>
        <v>8.3355189417488869E-14</v>
      </c>
      <c r="DQ165" s="14">
        <f t="shared" si="176"/>
        <v>1.2790518435140618E-12</v>
      </c>
      <c r="DR165" s="22">
        <f t="shared" si="177"/>
        <v>2.3728589156891171E-12</v>
      </c>
      <c r="DS165" s="60">
        <f t="shared" si="125"/>
        <v>287.9508017985641</v>
      </c>
      <c r="DT165" s="60">
        <f ca="1">AVERAGE(OFFSET($DS$3,0,0,'Données projet'!$E$14+1,1))-AVERAGE(OFFSET($H$3,0,0,'Données projet'!$E$14+1,1))</f>
        <v>212.77458587586861</v>
      </c>
      <c r="DU165" s="60">
        <f t="shared" si="152"/>
        <v>260.45879589483513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projet'!$B$14,Paramètres!$A$1:$I$88,3,0)*0.475*44/12</f>
        <v>4.7610306936657079</v>
      </c>
      <c r="EB165" s="23">
        <f>EXP(-LN(2)/25)*EB164+(1-EXP(-LN(2)/25))/(LN(2)/25)*Calculateur!DW165*Calculateur!DY165*VLOOKUP('Données projet'!$B$14,Paramètres!$A$1:$I$88,3,0)*0.475*44/12</f>
        <v>1.1979590280613859</v>
      </c>
      <c r="EC165" s="23">
        <f>EXP(-LN(2)/2)*EC164+(1-EXP(-LN(2)/2))/(LN(2)/2)*DW165*DZ165*VLOOKUP('Données projet'!$B$14,Paramètres!$A$1:$I$88,3,0)*0.475*44/12</f>
        <v>0</v>
      </c>
      <c r="ED165" s="24">
        <f t="shared" si="178"/>
        <v>5.958989721727094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5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8">
        <f t="shared" si="110"/>
        <v>183.33333333333334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3.4106051316484809E-13</v>
      </c>
      <c r="O166" s="14">
        <f>N166*VLOOKUP('Données projet'!$B$9,Paramètres!$A$1:$I$88,3,0)*VLOOKUP('Données projet'!$B$9,Paramètres!$A$1:$I$88,5,0)</f>
        <v>1.9065282685915009E-13</v>
      </c>
      <c r="P166" s="14">
        <f t="shared" si="141"/>
        <v>2.6568987209435707E-12</v>
      </c>
      <c r="Q166" s="22">
        <f t="shared" si="162"/>
        <v>4.959485612423072E-12</v>
      </c>
      <c r="R166" s="60">
        <f t="shared" si="109"/>
        <v>288.04417668715718</v>
      </c>
      <c r="S166" s="60">
        <f ca="1">AVERAGE(OFFSET($R$3,0,0,'Données projet'!$E$9+1,1))-AVERAGE(OFFSET($H$3,0,0,'Données projet'!$E$9+1,1))</f>
        <v>366.29380214443631</v>
      </c>
      <c r="T166" s="60">
        <f t="shared" si="142"/>
        <v>413.14502442862897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31.163387103975523</v>
      </c>
      <c r="AA166" s="23">
        <f>EXP(-LN(2)/25)*AA165+(1-EXP(-LN(2)/25))/(LN(2)/25)*Calculateur!V166*Calculateur!X166*VLOOKUP('Données projet'!$B$9,Paramètres!$A$1:$I$88,3,0)*0.475*44/12</f>
        <v>7.621705431240219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38.785092535215739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452.49999999999989</v>
      </c>
      <c r="AJ166" s="14">
        <f>AI166*VLOOKUP('Données projet'!$B$10,Paramètres!$A$1:$I$88,3,0)*VLOOKUP('Données projet'!$B$10,Paramètres!$A$1:$I$88,5,0)</f>
        <v>395.30399999999992</v>
      </c>
      <c r="AK166" s="14">
        <f t="shared" si="164"/>
        <v>90.823969929029445</v>
      </c>
      <c r="AL166" s="22">
        <f t="shared" si="165"/>
        <v>846.67288095972606</v>
      </c>
      <c r="AM166" s="60">
        <f t="shared" si="113"/>
        <v>1134.7170576468784</v>
      </c>
      <c r="AN166" s="60">
        <f ca="1">AVERAGE(OFFSET($AM$3,0,0,'Données projet'!$E$10+1,1))-AVERAGE(OFFSET($H$3,0,0,'Données projet'!$E$10+1,1))</f>
        <v>436.5217771315057</v>
      </c>
      <c r="AO166" s="60">
        <f t="shared" si="144"/>
        <v>308.97310256098365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7.9727996593321997</v>
      </c>
      <c r="AV166" s="23">
        <f>EXP(-LN(2)/25)*AV165+(1-EXP(-LN(2)/25))/(LN(2)/25)*Calculateur!AQ166*Calculateur!AS166*VLOOKUP('Données projet'!$B$10,Paramètres!$A$1:$I$88,3,0)*0.475*44/12</f>
        <v>1.9080199222444219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9.8808195815766222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5.8</v>
      </c>
      <c r="BD166" s="13">
        <f>IF('Données projet'!$A$88&gt;35,BD165+BC166-BL165,IF(A166&lt;'Données projet'!$A$88,$BA$205^A166,IF(A166='Données projet'!$A$88,'Données projet'!$B$88,BD165+BC166-BL165)))</f>
        <v>345.4000000000002</v>
      </c>
      <c r="BE166" s="14">
        <f>BD166*VLOOKUP('Données projet'!$B$11,Paramètres!$A$1:$I$88,3,0)*VLOOKUP('Données projet'!$B$11,Paramètres!$A$1:$I$88,5,0)</f>
        <v>350.2356000000002</v>
      </c>
      <c r="BF166" s="14">
        <f t="shared" si="167"/>
        <v>81.611021824788494</v>
      </c>
      <c r="BG166" s="22">
        <f t="shared" si="168"/>
        <v>752.13286634484029</v>
      </c>
      <c r="BH166" s="60">
        <f t="shared" si="116"/>
        <v>1040.1770430319925</v>
      </c>
      <c r="BI166" s="60">
        <f ca="1">AVERAGE(OFFSET($BH$3,0,0,'Données projet'!$E$11+1,1))-AVERAGE(OFFSET($H$3,0,0,'Données projet'!$E$11+1,1))</f>
        <v>108.30434106718693</v>
      </c>
      <c r="BJ166" s="60">
        <f t="shared" si="146"/>
        <v>67.653808657585842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9.4188387619770708</v>
      </c>
      <c r="BQ166" s="23">
        <f>EXP(-LN(2)/25)*BQ165+(1-EXP(-LN(2)/25))/(LN(2)/25)*Calculateur!BL166*Calculateur!BN166*VLOOKUP('Données projet'!$B$11,Paramètres!$A$1:$I$88,3,0)*0.475*44/12</f>
        <v>0</v>
      </c>
      <c r="BR166" s="23">
        <f>EXP(-LN(2)/2)*BR165+(1-EXP(-LN(2)/2))/(LN(2)/2)*BL166*BO166*VLOOKUP('Données projet'!$B$11,Paramètres!$A$1:$I$88,3,0)*0.475*44/12</f>
        <v>0</v>
      </c>
      <c r="BS166" s="24">
        <f t="shared" si="169"/>
        <v>9.4188387619770708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projet'!$B$12,Paramètres!$A$1:$I$88,3,0)*VLOOKUP('Données projet'!$B$12,Paramètres!$A$1:$I$88,5,0)</f>
        <v>0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171.08593400758221</v>
      </c>
      <c r="CE166" s="60">
        <f t="shared" si="148"/>
        <v>201.9528484086932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projet'!$B$12,Paramètres!$A$1:$I$88,3,0)*0.475*44/12</f>
        <v>9.5323009628077386</v>
      </c>
      <c r="CL166" s="23">
        <f>EXP(-LN(2)/25)*CL165+(1-EXP(-LN(2)/25))/(LN(2)/25)*Calculateur!CG166*Calculateur!CI166*VLOOKUP('Données projet'!$B$12,Paramètres!$A$1:$I$88,3,0)*0.475*44/12</f>
        <v>2.4544578391511447</v>
      </c>
      <c r="CM166" s="23">
        <f>EXP(-LN(2)/2)*CM165+(1-EXP(-LN(2)/2))/(LN(2)/2)*CG166*CJ166*VLOOKUP('Données projet'!$B$12,Paramètres!$A$1:$I$88,3,0)*0.475*44/12</f>
        <v>0</v>
      </c>
      <c r="CN166" s="24">
        <f t="shared" si="172"/>
        <v>11.986758801958883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projet'!$B$13,Paramètres!$A$1:$I$88,3,0)*VLOOKUP('Données projet'!$B$13,Paramètres!$A$1:$I$88,5,0)</f>
        <v>0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283.66646124753868</v>
      </c>
      <c r="CZ166" s="60">
        <f t="shared" si="150"/>
        <v>331.61926649572797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projet'!$B$13,Paramètres!$A$1:$I$88,3,0)*0.475*44/12</f>
        <v>46.9407973357728</v>
      </c>
      <c r="DG166" s="23">
        <f>EXP(-LN(2)/25)*DG165+(1-EXP(-LN(2)/25))/(LN(2)/25)*Calculateur!DB166*Calculateur!DD166*VLOOKUP('Données projet'!$B$13,Paramètres!$A$1:$I$88,3,0)*0.475*44/12</f>
        <v>0</v>
      </c>
      <c r="DH166" s="23">
        <f>EXP(-LN(2)/2)*DH165+(1-EXP(-LN(2)/2))/(LN(2)/2)*DB166*DE166*VLOOKUP('Données projet'!$B$13,Paramètres!$A$1:$I$88,3,0)*0.475*44/12</f>
        <v>0</v>
      </c>
      <c r="DI166" s="24">
        <f t="shared" si="175"/>
        <v>46.9407973357728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1.1368683772161603E-13</v>
      </c>
      <c r="DP166" s="18">
        <f>DO166*VLOOKUP('Données projet'!$B$14,Paramètres!$A$1:$I$88,3,0)*VLOOKUP('Données projet'!$B$14,Paramètres!$A$1:$I$88,5,0)</f>
        <v>8.3355189417488869E-14</v>
      </c>
      <c r="DQ166" s="14">
        <f t="shared" si="176"/>
        <v>1.2790518435140618E-12</v>
      </c>
      <c r="DR166" s="22">
        <f t="shared" si="177"/>
        <v>2.3728589156891171E-12</v>
      </c>
      <c r="DS166" s="60">
        <f t="shared" si="125"/>
        <v>288.04417668715462</v>
      </c>
      <c r="DT166" s="60">
        <f ca="1">AVERAGE(OFFSET($DS$3,0,0,'Données projet'!$E$14+1,1))-AVERAGE(OFFSET($H$3,0,0,'Données projet'!$E$14+1,1))</f>
        <v>212.77458587586861</v>
      </c>
      <c r="DU166" s="60">
        <f t="shared" si="152"/>
        <v>260.45879589483513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projet'!$B$14,Paramètres!$A$1:$I$88,3,0)*0.475*44/12</f>
        <v>4.6676697857049056</v>
      </c>
      <c r="EB166" s="23">
        <f>EXP(-LN(2)/25)*EB165+(1-EXP(-LN(2)/25))/(LN(2)/25)*Calculateur!DW166*Calculateur!DY166*VLOOKUP('Données projet'!$B$14,Paramètres!$A$1:$I$88,3,0)*0.475*44/12</f>
        <v>1.16520077544112</v>
      </c>
      <c r="EC166" s="23">
        <f>EXP(-LN(2)/2)*EC165+(1-EXP(-LN(2)/2))/(LN(2)/2)*DW166*DZ166*VLOOKUP('Données projet'!$B$14,Paramètres!$A$1:$I$88,3,0)*0.475*44/12</f>
        <v>0</v>
      </c>
      <c r="ED166" s="24">
        <f t="shared" si="178"/>
        <v>5.8328705611460254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5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8">
        <f t="shared" si="110"/>
        <v>183.33333333333334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3.4106051316484809E-13</v>
      </c>
      <c r="O167" s="14">
        <f>N167*VLOOKUP('Données projet'!$B$9,Paramètres!$A$1:$I$88,3,0)*VLOOKUP('Données projet'!$B$9,Paramètres!$A$1:$I$88,5,0)</f>
        <v>1.9065282685915009E-13</v>
      </c>
      <c r="P167" s="14">
        <f t="shared" si="141"/>
        <v>2.6568987209435707E-12</v>
      </c>
      <c r="Q167" s="22">
        <f t="shared" si="162"/>
        <v>4.959485612423072E-12</v>
      </c>
      <c r="R167" s="60">
        <f t="shared" si="109"/>
        <v>288.13593173018563</v>
      </c>
      <c r="S167" s="60">
        <f ca="1">AVERAGE(OFFSET($R$3,0,0,'Données projet'!$E$9+1,1))-AVERAGE(OFFSET($H$3,0,0,'Données projet'!$E$9+1,1))</f>
        <v>366.29380214443631</v>
      </c>
      <c r="T167" s="60">
        <f t="shared" si="142"/>
        <v>413.14502442862897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30.552292090655833</v>
      </c>
      <c r="AA167" s="23">
        <f>EXP(-LN(2)/25)*AA166+(1-EXP(-LN(2)/25))/(LN(2)/25)*Calculateur!V167*Calculateur!X167*VLOOKUP('Données projet'!$B$9,Paramètres!$A$1:$I$88,3,0)*0.475*44/12</f>
        <v>7.4132894954148867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37.965581586070719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452.49999999999989</v>
      </c>
      <c r="AJ167" s="14">
        <f>AI167*VLOOKUP('Données projet'!$B$10,Paramètres!$A$1:$I$88,3,0)*VLOOKUP('Données projet'!$B$10,Paramètres!$A$1:$I$88,5,0)</f>
        <v>395.30399999999992</v>
      </c>
      <c r="AK167" s="14">
        <f t="shared" si="164"/>
        <v>90.823969929029445</v>
      </c>
      <c r="AL167" s="22">
        <f t="shared" si="165"/>
        <v>846.67288095972606</v>
      </c>
      <c r="AM167" s="60">
        <f t="shared" si="113"/>
        <v>1134.8088126899067</v>
      </c>
      <c r="AN167" s="60">
        <f ca="1">AVERAGE(OFFSET($AM$3,0,0,'Données projet'!$E$10+1,1))-AVERAGE(OFFSET($H$3,0,0,'Données projet'!$E$10+1,1))</f>
        <v>436.5217771315057</v>
      </c>
      <c r="AO167" s="60">
        <f t="shared" si="144"/>
        <v>308.97310256098365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7.8164579209403131</v>
      </c>
      <c r="AV167" s="23">
        <f>EXP(-LN(2)/25)*AV166+(1-EXP(-LN(2)/25))/(LN(2)/25)*Calculateur!AQ167*Calculateur!AS167*VLOOKUP('Données projet'!$B$10,Paramètres!$A$1:$I$88,3,0)*0.475*44/12</f>
        <v>1.8558450171322414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9.6723029380725549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5.8</v>
      </c>
      <c r="BD167" s="13">
        <f>IF('Données projet'!$A$88&gt;35,BD166+BC167-BL166,IF(A167&lt;'Données projet'!$A$88,$BA$205^A167,IF(A167='Données projet'!$A$88,'Données projet'!$B$88,BD166+BC167-BL166)))</f>
        <v>351.20000000000022</v>
      </c>
      <c r="BE167" s="14">
        <f>BD167*VLOOKUP('Données projet'!$B$11,Paramètres!$A$1:$I$88,3,0)*VLOOKUP('Données projet'!$B$11,Paramètres!$A$1:$I$88,5,0)</f>
        <v>356.11680000000024</v>
      </c>
      <c r="BF167" s="14">
        <f t="shared" si="167"/>
        <v>82.820751043480385</v>
      </c>
      <c r="BG167" s="22">
        <f t="shared" si="168"/>
        <v>764.48290140072879</v>
      </c>
      <c r="BH167" s="60">
        <f t="shared" si="116"/>
        <v>1052.6188331309095</v>
      </c>
      <c r="BI167" s="60">
        <f ca="1">AVERAGE(OFFSET($BH$3,0,0,'Données projet'!$E$11+1,1))-AVERAGE(OFFSET($H$3,0,0,'Données projet'!$E$11+1,1))</f>
        <v>108.30434106718693</v>
      </c>
      <c r="BJ167" s="60">
        <f t="shared" si="146"/>
        <v>67.653808657585842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9.2341410787790803</v>
      </c>
      <c r="BQ167" s="23">
        <f>EXP(-LN(2)/25)*BQ166+(1-EXP(-LN(2)/25))/(LN(2)/25)*Calculateur!BL167*Calculateur!BN167*VLOOKUP('Données projet'!$B$11,Paramètres!$A$1:$I$88,3,0)*0.475*44/12</f>
        <v>0</v>
      </c>
      <c r="BR167" s="23">
        <f>EXP(-LN(2)/2)*BR166+(1-EXP(-LN(2)/2))/(LN(2)/2)*BL167*BO167*VLOOKUP('Données projet'!$B$11,Paramètres!$A$1:$I$88,3,0)*0.475*44/12</f>
        <v>0</v>
      </c>
      <c r="BS167" s="24">
        <f t="shared" si="169"/>
        <v>9.2341410787790803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projet'!$B$12,Paramètres!$A$1:$I$88,3,0)*VLOOKUP('Données projet'!$B$12,Paramètres!$A$1:$I$88,5,0)</f>
        <v>0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171.08593400758221</v>
      </c>
      <c r="CE167" s="60">
        <f t="shared" si="148"/>
        <v>201.9528484086932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projet'!$B$12,Paramètres!$A$1:$I$88,3,0)*0.475*44/12</f>
        <v>9.3453783550565692</v>
      </c>
      <c r="CL167" s="23">
        <f>EXP(-LN(2)/25)*CL166+(1-EXP(-LN(2)/25))/(LN(2)/25)*Calculateur!CG167*Calculateur!CI167*VLOOKUP('Données projet'!$B$12,Paramètres!$A$1:$I$88,3,0)*0.475*44/12</f>
        <v>2.3873405604652285</v>
      </c>
      <c r="CM167" s="23">
        <f>EXP(-LN(2)/2)*CM166+(1-EXP(-LN(2)/2))/(LN(2)/2)*CG167*CJ167*VLOOKUP('Données projet'!$B$12,Paramètres!$A$1:$I$88,3,0)*0.475*44/12</f>
        <v>0</v>
      </c>
      <c r="CN167" s="24">
        <f t="shared" si="172"/>
        <v>11.732718915521797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projet'!$B$13,Paramètres!$A$1:$I$88,3,0)*VLOOKUP('Données projet'!$B$13,Paramètres!$A$1:$I$88,5,0)</f>
        <v>0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283.66646124753868</v>
      </c>
      <c r="CZ167" s="60">
        <f t="shared" si="150"/>
        <v>331.61926649572797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projet'!$B$13,Paramètres!$A$1:$I$88,3,0)*0.475*44/12</f>
        <v>46.020316931077588</v>
      </c>
      <c r="DG167" s="23">
        <f>EXP(-LN(2)/25)*DG166+(1-EXP(-LN(2)/25))/(LN(2)/25)*Calculateur!DB167*Calculateur!DD167*VLOOKUP('Données projet'!$B$13,Paramètres!$A$1:$I$88,3,0)*0.475*44/12</f>
        <v>0</v>
      </c>
      <c r="DH167" s="23">
        <f>EXP(-LN(2)/2)*DH166+(1-EXP(-LN(2)/2))/(LN(2)/2)*DB167*DE167*VLOOKUP('Données projet'!$B$13,Paramètres!$A$1:$I$88,3,0)*0.475*44/12</f>
        <v>0</v>
      </c>
      <c r="DI167" s="24">
        <f t="shared" si="175"/>
        <v>46.020316931077588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1.1368683772161603E-13</v>
      </c>
      <c r="DP167" s="18">
        <f>DO167*VLOOKUP('Données projet'!$B$14,Paramètres!$A$1:$I$88,3,0)*VLOOKUP('Données projet'!$B$14,Paramètres!$A$1:$I$88,5,0)</f>
        <v>8.3355189417488869E-14</v>
      </c>
      <c r="DQ167" s="14">
        <f t="shared" si="176"/>
        <v>1.2790518435140618E-12</v>
      </c>
      <c r="DR167" s="22">
        <f t="shared" si="177"/>
        <v>2.3728589156891171E-12</v>
      </c>
      <c r="DS167" s="60">
        <f t="shared" si="125"/>
        <v>288.13593173018307</v>
      </c>
      <c r="DT167" s="60">
        <f ca="1">AVERAGE(OFFSET($DS$3,0,0,'Données projet'!$E$14+1,1))-AVERAGE(OFFSET($H$3,0,0,'Données projet'!$E$14+1,1))</f>
        <v>212.77458587586861</v>
      </c>
      <c r="DU167" s="60">
        <f t="shared" si="152"/>
        <v>260.45879589483513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projet'!$B$14,Paramètres!$A$1:$I$88,3,0)*0.475*44/12</f>
        <v>4.5761396282046842</v>
      </c>
      <c r="EB167" s="23">
        <f>EXP(-LN(2)/25)*EB166+(1-EXP(-LN(2)/25))/(LN(2)/25)*Calculateur!DW167*Calculateur!DY167*VLOOKUP('Données projet'!$B$14,Paramètres!$A$1:$I$88,3,0)*0.475*44/12</f>
        <v>1.1333382989614369</v>
      </c>
      <c r="EC167" s="23">
        <f>EXP(-LN(2)/2)*EC166+(1-EXP(-LN(2)/2))/(LN(2)/2)*DW167*DZ167*VLOOKUP('Données projet'!$B$14,Paramètres!$A$1:$I$88,3,0)*0.475*44/12</f>
        <v>0</v>
      </c>
      <c r="ED167" s="24">
        <f t="shared" si="178"/>
        <v>5.7094779271661213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5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8">
        <f t="shared" si="110"/>
        <v>183.33333333333334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3.4106051316484809E-13</v>
      </c>
      <c r="O168" s="14">
        <f>N168*VLOOKUP('Données projet'!$B$9,Paramètres!$A$1:$I$88,3,0)*VLOOKUP('Données projet'!$B$9,Paramètres!$A$1:$I$88,5,0)</f>
        <v>1.9065282685915009E-13</v>
      </c>
      <c r="P168" s="14">
        <f t="shared" si="141"/>
        <v>2.6568987209435707E-12</v>
      </c>
      <c r="Q168" s="22">
        <f t="shared" si="162"/>
        <v>4.959485612423072E-12</v>
      </c>
      <c r="R168" s="60">
        <f t="shared" si="109"/>
        <v>288.2260950283511</v>
      </c>
      <c r="S168" s="60">
        <f ca="1">AVERAGE(OFFSET($R$3,0,0,'Données projet'!$E$9+1,1))-AVERAGE(OFFSET($H$3,0,0,'Données projet'!$E$9+1,1))</f>
        <v>366.29380214443631</v>
      </c>
      <c r="T168" s="60">
        <f t="shared" si="142"/>
        <v>413.14502442862897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29.953180277816188</v>
      </c>
      <c r="AA168" s="23">
        <f>EXP(-LN(2)/25)*AA167+(1-EXP(-LN(2)/25))/(LN(2)/25)*Calculateur!V168*Calculateur!X168*VLOOKUP('Données projet'!$B$9,Paramètres!$A$1:$I$88,3,0)*0.475*44/12</f>
        <v>7.2105727043148153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37.163752982131001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452.49999999999989</v>
      </c>
      <c r="AJ168" s="14">
        <f>AI168*VLOOKUP('Données projet'!$B$10,Paramètres!$A$1:$I$88,3,0)*VLOOKUP('Données projet'!$B$10,Paramètres!$A$1:$I$88,5,0)</f>
        <v>395.30399999999992</v>
      </c>
      <c r="AK168" s="14">
        <f t="shared" si="164"/>
        <v>90.823969929029445</v>
      </c>
      <c r="AL168" s="22">
        <f t="shared" si="165"/>
        <v>846.67288095972606</v>
      </c>
      <c r="AM168" s="60">
        <f t="shared" si="113"/>
        <v>1134.8989759880722</v>
      </c>
      <c r="AN168" s="60">
        <f ca="1">AVERAGE(OFFSET($AM$3,0,0,'Données projet'!$E$10+1,1))-AVERAGE(OFFSET($H$3,0,0,'Données projet'!$E$10+1,1))</f>
        <v>436.5217771315057</v>
      </c>
      <c r="AO168" s="60">
        <f t="shared" si="144"/>
        <v>308.97310256098365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7.663181948679247</v>
      </c>
      <c r="AV168" s="23">
        <f>EXP(-LN(2)/25)*AV167+(1-EXP(-LN(2)/25))/(LN(2)/25)*Calculateur!AQ168*Calculateur!AS168*VLOOKUP('Données projet'!$B$10,Paramètres!$A$1:$I$88,3,0)*0.475*44/12</f>
        <v>1.8050968375441123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9.4682787862233599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>
        <f>VLOOKUP(A168,'Données projet'!$A$87:$I$107,2,0)</f>
        <v>357</v>
      </c>
      <c r="BB168" s="13">
        <f>VLOOKUP(A168,'Données projet'!$A$87:$I$107,9,0)</f>
        <v>5.8</v>
      </c>
      <c r="BC168" s="13">
        <f t="array" ref="BC168">INDEX(BB:BB,MIN(IF(ISNUMBER(BB168:BB364),ROW(BB168:BB364),"")))</f>
        <v>5.8</v>
      </c>
      <c r="BD168" s="13">
        <f>IF('Données projet'!$A$88&gt;35,BD167+BC168-BL167,IF(A168&lt;'Données projet'!$A$88,$BA$205^A168,IF(A168='Données projet'!$A$88,'Données projet'!$B$88,BD167+BC168-BL167)))</f>
        <v>357.00000000000023</v>
      </c>
      <c r="BE168" s="14">
        <f>BD168*VLOOKUP('Données projet'!$B$11,Paramètres!$A$1:$I$88,3,0)*VLOOKUP('Données projet'!$B$11,Paramètres!$A$1:$I$88,5,0)</f>
        <v>361.99800000000027</v>
      </c>
      <c r="BF168" s="14">
        <f t="shared" si="167"/>
        <v>84.028156893394495</v>
      </c>
      <c r="BG168" s="22">
        <f t="shared" si="168"/>
        <v>776.8288899226626</v>
      </c>
      <c r="BH168" s="60">
        <f t="shared" si="116"/>
        <v>1065.0549849510087</v>
      </c>
      <c r="BI168" s="60">
        <f ca="1">AVERAGE(OFFSET($BH$3,0,0,'Données projet'!$E$11+1,1))-AVERAGE(OFFSET($H$3,0,0,'Données projet'!$E$11+1,1))</f>
        <v>108.30434106718693</v>
      </c>
      <c r="BJ168" s="60">
        <f t="shared" si="146"/>
        <v>67.653808657585842</v>
      </c>
      <c r="BK168" s="16">
        <f>IF(ISNA(VLOOKUP(A168,'Données projet'!$A$87:$I$107,3,0)),0,VLOOKUP(A168,'Données projet'!$A$87:$I$107,3,0))</f>
        <v>15</v>
      </c>
      <c r="BL168" s="16">
        <f>IF(ISNA(VLOOKUP(A168,'Données projet'!$A$87:$I$107,4,0)),0,VLOOKUP(A168,'Données projet'!$A$87:$I$107,4,0))</f>
        <v>39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9.0530652044941409</v>
      </c>
      <c r="BQ168" s="23">
        <f>EXP(-LN(2)/25)*BQ167+(1-EXP(-LN(2)/25))/(LN(2)/25)*Calculateur!BL168*Calculateur!BN168*VLOOKUP('Données projet'!$B$11,Paramètres!$A$1:$I$88,3,0)*0.475*44/12</f>
        <v>0</v>
      </c>
      <c r="BR168" s="23">
        <f>EXP(-LN(2)/2)*BR167+(1-EXP(-LN(2)/2))/(LN(2)/2)*BL168*BO168*VLOOKUP('Données projet'!$B$11,Paramètres!$A$1:$I$88,3,0)*0.475*44/12</f>
        <v>0</v>
      </c>
      <c r="BS168" s="24">
        <f t="shared" si="169"/>
        <v>9.0530652044941409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projet'!$B$12,Paramètres!$A$1:$I$88,3,0)*VLOOKUP('Données projet'!$B$12,Paramètres!$A$1:$I$88,5,0)</f>
        <v>0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171.08593400758221</v>
      </c>
      <c r="CE168" s="60">
        <f t="shared" si="148"/>
        <v>201.9528484086932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projet'!$B$12,Paramètres!$A$1:$I$88,3,0)*0.475*44/12</f>
        <v>9.1621211856318663</v>
      </c>
      <c r="CL168" s="23">
        <f>EXP(-LN(2)/25)*CL167+(1-EXP(-LN(2)/25))/(LN(2)/25)*Calculateur!CG168*Calculateur!CI168*VLOOKUP('Données projet'!$B$12,Paramètres!$A$1:$I$88,3,0)*0.475*44/12</f>
        <v>2.3220586072945228</v>
      </c>
      <c r="CM168" s="23">
        <f>EXP(-LN(2)/2)*CM167+(1-EXP(-LN(2)/2))/(LN(2)/2)*CG168*CJ168*VLOOKUP('Données projet'!$B$12,Paramètres!$A$1:$I$88,3,0)*0.475*44/12</f>
        <v>0</v>
      </c>
      <c r="CN168" s="24">
        <f t="shared" si="172"/>
        <v>11.484179792926389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projet'!$B$13,Paramètres!$A$1:$I$88,3,0)*VLOOKUP('Données projet'!$B$13,Paramètres!$A$1:$I$88,5,0)</f>
        <v>0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283.66646124753868</v>
      </c>
      <c r="CZ168" s="60">
        <f t="shared" si="150"/>
        <v>331.61926649572797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projet'!$B$13,Paramètres!$A$1:$I$88,3,0)*0.475*44/12</f>
        <v>45.117886585680836</v>
      </c>
      <c r="DG168" s="23">
        <f>EXP(-LN(2)/25)*DG167+(1-EXP(-LN(2)/25))/(LN(2)/25)*Calculateur!DB168*Calculateur!DD168*VLOOKUP('Données projet'!$B$13,Paramètres!$A$1:$I$88,3,0)*0.475*44/12</f>
        <v>0</v>
      </c>
      <c r="DH168" s="23">
        <f>EXP(-LN(2)/2)*DH167+(1-EXP(-LN(2)/2))/(LN(2)/2)*DB168*DE168*VLOOKUP('Données projet'!$B$13,Paramètres!$A$1:$I$88,3,0)*0.475*44/12</f>
        <v>0</v>
      </c>
      <c r="DI168" s="24">
        <f t="shared" si="175"/>
        <v>45.117886585680836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1.1368683772161603E-13</v>
      </c>
      <c r="DP168" s="18">
        <f>DO168*VLOOKUP('Données projet'!$B$14,Paramètres!$A$1:$I$88,3,0)*VLOOKUP('Données projet'!$B$14,Paramètres!$A$1:$I$88,5,0)</f>
        <v>8.3355189417488869E-14</v>
      </c>
      <c r="DQ168" s="14">
        <f t="shared" si="176"/>
        <v>1.2790518435140618E-12</v>
      </c>
      <c r="DR168" s="22">
        <f t="shared" si="177"/>
        <v>2.3728589156891171E-12</v>
      </c>
      <c r="DS168" s="60">
        <f t="shared" si="125"/>
        <v>288.22609502834854</v>
      </c>
      <c r="DT168" s="60">
        <f ca="1">AVERAGE(OFFSET($DS$3,0,0,'Données projet'!$E$14+1,1))-AVERAGE(OFFSET($H$3,0,0,'Données projet'!$E$14+1,1))</f>
        <v>212.77458587586861</v>
      </c>
      <c r="DU168" s="60">
        <f t="shared" si="152"/>
        <v>260.45879589483513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projet'!$B$14,Paramètres!$A$1:$I$88,3,0)*0.475*44/12</f>
        <v>4.4864043212651588</v>
      </c>
      <c r="EB168" s="23">
        <f>EXP(-LN(2)/25)*EB167+(1-EXP(-LN(2)/25))/(LN(2)/25)*Calculateur!DW168*Calculateur!DY168*VLOOKUP('Données projet'!$B$14,Paramètres!$A$1:$I$88,3,0)*0.475*44/12</f>
        <v>1.1023471035766654</v>
      </c>
      <c r="EC168" s="23">
        <f>EXP(-LN(2)/2)*EC167+(1-EXP(-LN(2)/2))/(LN(2)/2)*DW168*DZ168*VLOOKUP('Données projet'!$B$14,Paramètres!$A$1:$I$88,3,0)*0.475*44/12</f>
        <v>0</v>
      </c>
      <c r="ED168" s="24">
        <f t="shared" si="178"/>
        <v>5.5887514248418242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5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8">
        <f t="shared" si="110"/>
        <v>183.33333333333334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3.4106051316484809E-13</v>
      </c>
      <c r="O169" s="14">
        <f>N169*VLOOKUP('Données projet'!$B$9,Paramètres!$A$1:$I$88,3,0)*VLOOKUP('Données projet'!$B$9,Paramètres!$A$1:$I$88,5,0)</f>
        <v>1.9065282685915009E-13</v>
      </c>
      <c r="P169" s="14">
        <f t="shared" si="141"/>
        <v>2.6568987209435707E-12</v>
      </c>
      <c r="Q169" s="22">
        <f t="shared" si="162"/>
        <v>4.959485612423072E-12</v>
      </c>
      <c r="R169" s="60">
        <f t="shared" si="109"/>
        <v>288.31469419486837</v>
      </c>
      <c r="S169" s="60">
        <f ca="1">AVERAGE(OFFSET($R$3,0,0,'Données projet'!$E$9+1,1))-AVERAGE(OFFSET($H$3,0,0,'Données projet'!$E$9+1,1))</f>
        <v>366.29380214443631</v>
      </c>
      <c r="T169" s="60">
        <f t="shared" si="142"/>
        <v>413.14502442862897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29.365816682204205</v>
      </c>
      <c r="AA169" s="23">
        <f>EXP(-LN(2)/25)*AA168+(1-EXP(-LN(2)/25))/(LN(2)/25)*Calculateur!V169*Calculateur!X169*VLOOKUP('Données projet'!$B$9,Paramètres!$A$1:$I$88,3,0)*0.475*44/12</f>
        <v>7.0133992145277881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36.379215896731992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452.49999999999989</v>
      </c>
      <c r="AJ169" s="14">
        <f>AI169*VLOOKUP('Données projet'!$B$10,Paramètres!$A$1:$I$88,3,0)*VLOOKUP('Données projet'!$B$10,Paramètres!$A$1:$I$88,5,0)</f>
        <v>395.30399999999992</v>
      </c>
      <c r="AK169" s="14">
        <f t="shared" si="164"/>
        <v>90.823969929029445</v>
      </c>
      <c r="AL169" s="22">
        <f t="shared" si="165"/>
        <v>846.67288095972606</v>
      </c>
      <c r="AM169" s="60">
        <f t="shared" si="113"/>
        <v>1134.9875751545894</v>
      </c>
      <c r="AN169" s="60">
        <f ca="1">AVERAGE(OFFSET($AM$3,0,0,'Données projet'!$E$10+1,1))-AVERAGE(OFFSET($H$3,0,0,'Données projet'!$E$10+1,1))</f>
        <v>436.5217771315057</v>
      </c>
      <c r="AO169" s="60">
        <f t="shared" si="144"/>
        <v>308.97310256098365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7.5129116247451089</v>
      </c>
      <c r="AV169" s="23">
        <f>EXP(-LN(2)/25)*AV168+(1-EXP(-LN(2)/25))/(LN(2)/25)*Calculateur!AQ169*Calculateur!AS169*VLOOKUP('Données projet'!$B$10,Paramètres!$A$1:$I$88,3,0)*0.475*44/12</f>
        <v>1.7557363695955515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9.268647994340661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6</v>
      </c>
      <c r="BD169" s="13">
        <f>IF('Données projet'!$A$88&gt;35,BD168+BC169-BL168,IF(A169&lt;'Données projet'!$A$88,$BA$205^A169,IF(A169='Données projet'!$A$88,'Données projet'!$B$88,BD168+BC169-BL168)))</f>
        <v>324.00000000000023</v>
      </c>
      <c r="BE169" s="14">
        <f>BD169*VLOOKUP('Données projet'!$B$11,Paramètres!$A$1:$I$88,3,0)*VLOOKUP('Données projet'!$B$11,Paramètres!$A$1:$I$88,5,0)</f>
        <v>328.53600000000029</v>
      </c>
      <c r="BF169" s="14">
        <f t="shared" si="167"/>
        <v>77.126704121605627</v>
      </c>
      <c r="BG169" s="22">
        <f t="shared" si="168"/>
        <v>706.52920967846364</v>
      </c>
      <c r="BH169" s="60">
        <f t="shared" si="116"/>
        <v>994.84390387332701</v>
      </c>
      <c r="BI169" s="60">
        <f ca="1">AVERAGE(OFFSET($BH$3,0,0,'Données projet'!$E$11+1,1))-AVERAGE(OFFSET($H$3,0,0,'Données projet'!$E$11+1,1))</f>
        <v>108.30434106718693</v>
      </c>
      <c r="BJ169" s="60">
        <f t="shared" si="146"/>
        <v>67.653808657585842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8.8755401176585504</v>
      </c>
      <c r="BQ169" s="23">
        <f>EXP(-LN(2)/25)*BQ168+(1-EXP(-LN(2)/25))/(LN(2)/25)*Calculateur!BL169*Calculateur!BN169*VLOOKUP('Données projet'!$B$11,Paramètres!$A$1:$I$88,3,0)*0.475*44/12</f>
        <v>0</v>
      </c>
      <c r="BR169" s="23">
        <f>EXP(-LN(2)/2)*BR168+(1-EXP(-LN(2)/2))/(LN(2)/2)*BL169*BO169*VLOOKUP('Données projet'!$B$11,Paramètres!$A$1:$I$88,3,0)*0.475*44/12</f>
        <v>0</v>
      </c>
      <c r="BS169" s="24">
        <f t="shared" si="169"/>
        <v>8.8755401176585504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projet'!$B$12,Paramètres!$A$1:$I$88,3,0)*VLOOKUP('Données projet'!$B$12,Paramètres!$A$1:$I$88,5,0)</f>
        <v>0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171.08593400758221</v>
      </c>
      <c r="CE169" s="60">
        <f t="shared" si="148"/>
        <v>201.9528484086932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projet'!$B$12,Paramètres!$A$1:$I$88,3,0)*0.475*44/12</f>
        <v>8.9824575775237463</v>
      </c>
      <c r="CL169" s="23">
        <f>EXP(-LN(2)/25)*CL168+(1-EXP(-LN(2)/25))/(LN(2)/25)*Calculateur!CG169*Calculateur!CI169*VLOOKUP('Données projet'!$B$12,Paramètres!$A$1:$I$88,3,0)*0.475*44/12</f>
        <v>2.2585617925662991</v>
      </c>
      <c r="CM169" s="23">
        <f>EXP(-LN(2)/2)*CM168+(1-EXP(-LN(2)/2))/(LN(2)/2)*CG169*CJ169*VLOOKUP('Données projet'!$B$12,Paramètres!$A$1:$I$88,3,0)*0.475*44/12</f>
        <v>0</v>
      </c>
      <c r="CN169" s="24">
        <f t="shared" si="172"/>
        <v>11.241019370090045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projet'!$B$13,Paramètres!$A$1:$I$88,3,0)*VLOOKUP('Données projet'!$B$13,Paramètres!$A$1:$I$88,5,0)</f>
        <v>0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283.66646124753868</v>
      </c>
      <c r="CZ169" s="60">
        <f t="shared" si="150"/>
        <v>331.61926649572797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projet'!$B$13,Paramètres!$A$1:$I$88,3,0)*0.475*44/12</f>
        <v>44.23315234892916</v>
      </c>
      <c r="DG169" s="23">
        <f>EXP(-LN(2)/25)*DG168+(1-EXP(-LN(2)/25))/(LN(2)/25)*Calculateur!DB169*Calculateur!DD169*VLOOKUP('Données projet'!$B$13,Paramètres!$A$1:$I$88,3,0)*0.475*44/12</f>
        <v>0</v>
      </c>
      <c r="DH169" s="23">
        <f>EXP(-LN(2)/2)*DH168+(1-EXP(-LN(2)/2))/(LN(2)/2)*DB169*DE169*VLOOKUP('Données projet'!$B$13,Paramètres!$A$1:$I$88,3,0)*0.475*44/12</f>
        <v>0</v>
      </c>
      <c r="DI169" s="24">
        <f t="shared" si="175"/>
        <v>44.23315234892916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1.1368683772161603E-13</v>
      </c>
      <c r="DP169" s="18">
        <f>DO169*VLOOKUP('Données projet'!$B$14,Paramètres!$A$1:$I$88,3,0)*VLOOKUP('Données projet'!$B$14,Paramètres!$A$1:$I$88,5,0)</f>
        <v>8.3355189417488869E-14</v>
      </c>
      <c r="DQ169" s="14">
        <f t="shared" si="176"/>
        <v>1.2790518435140618E-12</v>
      </c>
      <c r="DR169" s="22">
        <f t="shared" si="177"/>
        <v>2.3728589156891171E-12</v>
      </c>
      <c r="DS169" s="60">
        <f t="shared" si="125"/>
        <v>288.31469419486581</v>
      </c>
      <c r="DT169" s="60">
        <f ca="1">AVERAGE(OFFSET($DS$3,0,0,'Données projet'!$E$14+1,1))-AVERAGE(OFFSET($H$3,0,0,'Données projet'!$E$14+1,1))</f>
        <v>212.77458587586861</v>
      </c>
      <c r="DU169" s="60">
        <f t="shared" si="152"/>
        <v>260.45879589483513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projet'!$B$14,Paramètres!$A$1:$I$88,3,0)*0.475*44/12</f>
        <v>4.3984286689615839</v>
      </c>
      <c r="EB169" s="23">
        <f>EXP(-LN(2)/25)*EB168+(1-EXP(-LN(2)/25))/(LN(2)/25)*Calculateur!DW169*Calculateur!DY169*VLOOKUP('Données projet'!$B$14,Paramètres!$A$1:$I$88,3,0)*0.475*44/12</f>
        <v>1.0722033640594468</v>
      </c>
      <c r="EC169" s="23">
        <f>EXP(-LN(2)/2)*EC168+(1-EXP(-LN(2)/2))/(LN(2)/2)*DW169*DZ169*VLOOKUP('Données projet'!$B$14,Paramètres!$A$1:$I$88,3,0)*0.475*44/12</f>
        <v>0</v>
      </c>
      <c r="ED169" s="24">
        <f t="shared" si="178"/>
        <v>5.4706320330210305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5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8">
        <f t="shared" si="110"/>
        <v>183.33333333333334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3.4106051316484809E-13</v>
      </c>
      <c r="O170" s="14">
        <f>N170*VLOOKUP('Données projet'!$B$9,Paramètres!$A$1:$I$88,3,0)*VLOOKUP('Données projet'!$B$9,Paramètres!$A$1:$I$88,5,0)</f>
        <v>1.9065282685915009E-13</v>
      </c>
      <c r="P170" s="14">
        <f t="shared" si="141"/>
        <v>2.6568987209435707E-12</v>
      </c>
      <c r="Q170" s="22">
        <f t="shared" si="162"/>
        <v>4.959485612423072E-12</v>
      </c>
      <c r="R170" s="60">
        <f t="shared" si="109"/>
        <v>288.40175636392456</v>
      </c>
      <c r="S170" s="60">
        <f ca="1">AVERAGE(OFFSET($R$3,0,0,'Données projet'!$E$9+1,1))-AVERAGE(OFFSET($H$3,0,0,'Données projet'!$E$9+1,1))</f>
        <v>366.29380214443631</v>
      </c>
      <c r="T170" s="60">
        <f t="shared" si="142"/>
        <v>413.14502442862897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28.789970928445754</v>
      </c>
      <c r="AA170" s="23">
        <f>EXP(-LN(2)/25)*AA169+(1-EXP(-LN(2)/25))/(LN(2)/25)*Calculateur!V170*Calculateur!X170*VLOOKUP('Données projet'!$B$9,Paramètres!$A$1:$I$88,3,0)*0.475*44/12</f>
        <v>6.8216174441878907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35.611588372633648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452.49999999999989</v>
      </c>
      <c r="AJ170" s="14">
        <f>AI170*VLOOKUP('Données projet'!$B$10,Paramètres!$A$1:$I$88,3,0)*VLOOKUP('Données projet'!$B$10,Paramètres!$A$1:$I$88,5,0)</f>
        <v>395.30399999999992</v>
      </c>
      <c r="AK170" s="14">
        <f t="shared" si="164"/>
        <v>90.823969929029445</v>
      </c>
      <c r="AL170" s="22">
        <f t="shared" si="165"/>
        <v>846.67288095972606</v>
      </c>
      <c r="AM170" s="60">
        <f t="shared" si="113"/>
        <v>1135.0746373236457</v>
      </c>
      <c r="AN170" s="60">
        <f ca="1">AVERAGE(OFFSET($AM$3,0,0,'Données projet'!$E$10+1,1))-AVERAGE(OFFSET($H$3,0,0,'Données projet'!$E$10+1,1))</f>
        <v>436.5217771315057</v>
      </c>
      <c r="AO170" s="60">
        <f t="shared" si="144"/>
        <v>308.97310256098365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7.365588010207472</v>
      </c>
      <c r="AV170" s="23">
        <f>EXP(-LN(2)/25)*AV169+(1-EXP(-LN(2)/25))/(LN(2)/25)*Calculateur!AQ170*Calculateur!AS170*VLOOKUP('Données projet'!$B$10,Paramètres!$A$1:$I$88,3,0)*0.475*44/12</f>
        <v>1.7077256662387983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9.0733136764462703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6</v>
      </c>
      <c r="BD170" s="13">
        <f>IF('Données projet'!$A$88&gt;35,BD169+BC170-BL169,IF(A170&lt;'Données projet'!$A$88,$BA$205^A170,IF(A170='Données projet'!$A$88,'Données projet'!$B$88,BD169+BC170-BL169)))</f>
        <v>330.00000000000023</v>
      </c>
      <c r="BE170" s="14">
        <f>BD170*VLOOKUP('Données projet'!$B$11,Paramètres!$A$1:$I$88,3,0)*VLOOKUP('Données projet'!$B$11,Paramètres!$A$1:$I$88,5,0)</f>
        <v>334.62000000000023</v>
      </c>
      <c r="BF170" s="14">
        <f t="shared" si="167"/>
        <v>78.387374628661505</v>
      </c>
      <c r="BG170" s="22">
        <f t="shared" si="168"/>
        <v>719.32117747825248</v>
      </c>
      <c r="BH170" s="60">
        <f t="shared" si="116"/>
        <v>1007.7229338421721</v>
      </c>
      <c r="BI170" s="60">
        <f ca="1">AVERAGE(OFFSET($BH$3,0,0,'Données projet'!$E$11+1,1))-AVERAGE(OFFSET($H$3,0,0,'Données projet'!$E$11+1,1))</f>
        <v>108.30434106718693</v>
      </c>
      <c r="BJ170" s="60">
        <f t="shared" si="146"/>
        <v>67.653808657585842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8.7014961894961953</v>
      </c>
      <c r="BQ170" s="23">
        <f>EXP(-LN(2)/25)*BQ169+(1-EXP(-LN(2)/25))/(LN(2)/25)*Calculateur!BL170*Calculateur!BN170*VLOOKUP('Données projet'!$B$11,Paramètres!$A$1:$I$88,3,0)*0.475*44/12</f>
        <v>0</v>
      </c>
      <c r="BR170" s="23">
        <f>EXP(-LN(2)/2)*BR169+(1-EXP(-LN(2)/2))/(LN(2)/2)*BL170*BO170*VLOOKUP('Données projet'!$B$11,Paramètres!$A$1:$I$88,3,0)*0.475*44/12</f>
        <v>0</v>
      </c>
      <c r="BS170" s="24">
        <f t="shared" si="169"/>
        <v>8.7014961894961953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projet'!$B$12,Paramètres!$A$1:$I$88,3,0)*VLOOKUP('Données projet'!$B$12,Paramètres!$A$1:$I$88,5,0)</f>
        <v>0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171.08593400758221</v>
      </c>
      <c r="CE170" s="60">
        <f t="shared" si="148"/>
        <v>201.9528484086932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projet'!$B$12,Paramètres!$A$1:$I$88,3,0)*0.475*44/12</f>
        <v>8.8063170631866452</v>
      </c>
      <c r="CL170" s="23">
        <f>EXP(-LN(2)/25)*CL169+(1-EXP(-LN(2)/25))/(LN(2)/25)*Calculateur!CG170*Calculateur!CI170*VLOOKUP('Données projet'!$B$12,Paramètres!$A$1:$I$88,3,0)*0.475*44/12</f>
        <v>2.1968013015759711</v>
      </c>
      <c r="CM170" s="23">
        <f>EXP(-LN(2)/2)*CM169+(1-EXP(-LN(2)/2))/(LN(2)/2)*CG170*CJ170*VLOOKUP('Données projet'!$B$12,Paramètres!$A$1:$I$88,3,0)*0.475*44/12</f>
        <v>0</v>
      </c>
      <c r="CN170" s="24">
        <f t="shared" si="172"/>
        <v>11.003118364762617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projet'!$B$13,Paramètres!$A$1:$I$88,3,0)*VLOOKUP('Données projet'!$B$13,Paramètres!$A$1:$I$88,5,0)</f>
        <v>0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283.66646124753868</v>
      </c>
      <c r="CZ170" s="60">
        <f t="shared" si="150"/>
        <v>331.61926649572797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projet'!$B$13,Paramètres!$A$1:$I$88,3,0)*0.475*44/12</f>
        <v>43.365767210925583</v>
      </c>
      <c r="DG170" s="23">
        <f>EXP(-LN(2)/25)*DG169+(1-EXP(-LN(2)/25))/(LN(2)/25)*Calculateur!DB170*Calculateur!DD170*VLOOKUP('Données projet'!$B$13,Paramètres!$A$1:$I$88,3,0)*0.475*44/12</f>
        <v>0</v>
      </c>
      <c r="DH170" s="23">
        <f>EXP(-LN(2)/2)*DH169+(1-EXP(-LN(2)/2))/(LN(2)/2)*DB170*DE170*VLOOKUP('Données projet'!$B$13,Paramètres!$A$1:$I$88,3,0)*0.475*44/12</f>
        <v>0</v>
      </c>
      <c r="DI170" s="24">
        <f t="shared" si="175"/>
        <v>43.365767210925583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1.1368683772161603E-13</v>
      </c>
      <c r="DP170" s="18">
        <f>DO170*VLOOKUP('Données projet'!$B$14,Paramètres!$A$1:$I$88,3,0)*VLOOKUP('Données projet'!$B$14,Paramètres!$A$1:$I$88,5,0)</f>
        <v>8.3355189417488869E-14</v>
      </c>
      <c r="DQ170" s="14">
        <f t="shared" si="176"/>
        <v>1.2790518435140618E-12</v>
      </c>
      <c r="DR170" s="22">
        <f t="shared" si="177"/>
        <v>2.3728589156891171E-12</v>
      </c>
      <c r="DS170" s="60">
        <f t="shared" si="125"/>
        <v>288.401756363922</v>
      </c>
      <c r="DT170" s="60">
        <f ca="1">AVERAGE(OFFSET($DS$3,0,0,'Données projet'!$E$14+1,1))-AVERAGE(OFFSET($H$3,0,0,'Données projet'!$E$14+1,1))</f>
        <v>212.77458587586861</v>
      </c>
      <c r="DU170" s="60">
        <f t="shared" si="152"/>
        <v>260.45879589483513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projet'!$B$14,Paramètres!$A$1:$I$88,3,0)*0.475*44/12</f>
        <v>4.3121781655398328</v>
      </c>
      <c r="EB170" s="23">
        <f>EXP(-LN(2)/25)*EB169+(1-EXP(-LN(2)/25))/(LN(2)/25)*Calculateur!DW170*Calculateur!DY170*VLOOKUP('Données projet'!$B$14,Paramètres!$A$1:$I$88,3,0)*0.475*44/12</f>
        <v>1.0428839066845168</v>
      </c>
      <c r="EC170" s="23">
        <f>EXP(-LN(2)/2)*EC169+(1-EXP(-LN(2)/2))/(LN(2)/2)*DW170*DZ170*VLOOKUP('Données projet'!$B$14,Paramètres!$A$1:$I$88,3,0)*0.475*44/12</f>
        <v>0</v>
      </c>
      <c r="ED170" s="24">
        <f t="shared" si="178"/>
        <v>5.3550620722243494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5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8">
        <f t="shared" si="110"/>
        <v>183.33333333333334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3.4106051316484809E-13</v>
      </c>
      <c r="O171" s="14">
        <f>N171*VLOOKUP('Données projet'!$B$9,Paramètres!$A$1:$I$88,3,0)*VLOOKUP('Données projet'!$B$9,Paramètres!$A$1:$I$88,5,0)</f>
        <v>1.9065282685915009E-13</v>
      </c>
      <c r="P171" s="14">
        <f t="shared" si="141"/>
        <v>2.6568987209435707E-12</v>
      </c>
      <c r="Q171" s="22">
        <f t="shared" si="162"/>
        <v>4.959485612423072E-12</v>
      </c>
      <c r="R171" s="60">
        <f t="shared" si="109"/>
        <v>288.48730819898947</v>
      </c>
      <c r="S171" s="60">
        <f ca="1">AVERAGE(OFFSET($R$3,0,0,'Données projet'!$E$9+1,1))-AVERAGE(OFFSET($H$3,0,0,'Données projet'!$E$9+1,1))</f>
        <v>366.29380214443631</v>
      </c>
      <c r="T171" s="60">
        <f t="shared" si="142"/>
        <v>413.14502442862897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28.225417158687279</v>
      </c>
      <c r="AA171" s="23">
        <f>EXP(-LN(2)/25)*AA170+(1-EXP(-LN(2)/25))/(LN(2)/25)*Calculateur!V171*Calculateur!X171*VLOOKUP('Données projet'!$B$9,Paramètres!$A$1:$I$88,3,0)*0.475*44/12</f>
        <v>6.6350799564433025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34.860497115130585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452.49999999999989</v>
      </c>
      <c r="AJ171" s="14">
        <f>AI171*VLOOKUP('Données projet'!$B$10,Paramètres!$A$1:$I$88,3,0)*VLOOKUP('Données projet'!$B$10,Paramètres!$A$1:$I$88,5,0)</f>
        <v>395.30399999999992</v>
      </c>
      <c r="AK171" s="14">
        <f t="shared" si="164"/>
        <v>90.823969929029445</v>
      </c>
      <c r="AL171" s="22">
        <f t="shared" si="165"/>
        <v>846.67288095972606</v>
      </c>
      <c r="AM171" s="60">
        <f t="shared" si="113"/>
        <v>1135.1601891587106</v>
      </c>
      <c r="AN171" s="60">
        <f ca="1">AVERAGE(OFFSET($AM$3,0,0,'Données projet'!$E$10+1,1))-AVERAGE(OFFSET($H$3,0,0,'Données projet'!$E$10+1,1))</f>
        <v>436.5217771315057</v>
      </c>
      <c r="AO171" s="60">
        <f t="shared" si="144"/>
        <v>308.97310256098365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7.2211533218923858</v>
      </c>
      <c r="AV171" s="23">
        <f>EXP(-LN(2)/25)*AV170+(1-EXP(-LN(2)/25))/(LN(2)/25)*Calculateur!AQ171*Calculateur!AS171*VLOOKUP('Données projet'!$B$10,Paramètres!$A$1:$I$88,3,0)*0.475*44/12</f>
        <v>1.6610278180901086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8.8821811399824941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6</v>
      </c>
      <c r="BD171" s="13">
        <f>IF('Données projet'!$A$88&gt;35,BD170+BC171-BL170,IF(A171&lt;'Données projet'!$A$88,$BA$205^A171,IF(A171='Données projet'!$A$88,'Données projet'!$B$88,BD170+BC171-BL170)))</f>
        <v>336.00000000000023</v>
      </c>
      <c r="BE171" s="14">
        <f>BD171*VLOOKUP('Données projet'!$B$11,Paramètres!$A$1:$I$88,3,0)*VLOOKUP('Données projet'!$B$11,Paramètres!$A$1:$I$88,5,0)</f>
        <v>340.70400000000024</v>
      </c>
      <c r="BF171" s="14">
        <f t="shared" si="167"/>
        <v>79.645379764529451</v>
      </c>
      <c r="BG171" s="22">
        <f t="shared" si="168"/>
        <v>732.10850308988904</v>
      </c>
      <c r="BH171" s="60">
        <f t="shared" si="116"/>
        <v>1020.5958112888736</v>
      </c>
      <c r="BI171" s="60">
        <f ca="1">AVERAGE(OFFSET($BH$3,0,0,'Données projet'!$E$11+1,1))-AVERAGE(OFFSET($H$3,0,0,'Données projet'!$E$11+1,1))</f>
        <v>108.30434106718693</v>
      </c>
      <c r="BJ171" s="60">
        <f t="shared" si="146"/>
        <v>67.653808657585842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8.5308651566087885</v>
      </c>
      <c r="BQ171" s="23">
        <f>EXP(-LN(2)/25)*BQ170+(1-EXP(-LN(2)/25))/(LN(2)/25)*Calculateur!BL171*Calculateur!BN171*VLOOKUP('Données projet'!$B$11,Paramètres!$A$1:$I$88,3,0)*0.475*44/12</f>
        <v>0</v>
      </c>
      <c r="BR171" s="23">
        <f>EXP(-LN(2)/2)*BR170+(1-EXP(-LN(2)/2))/(LN(2)/2)*BL171*BO171*VLOOKUP('Données projet'!$B$11,Paramètres!$A$1:$I$88,3,0)*0.475*44/12</f>
        <v>0</v>
      </c>
      <c r="BS171" s="24">
        <f t="shared" si="169"/>
        <v>8.5308651566087885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projet'!$B$12,Paramètres!$A$1:$I$88,3,0)*VLOOKUP('Données projet'!$B$12,Paramètres!$A$1:$I$88,5,0)</f>
        <v>0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171.08593400758221</v>
      </c>
      <c r="CE171" s="60">
        <f t="shared" si="148"/>
        <v>201.9528484086932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projet'!$B$12,Paramètres!$A$1:$I$88,3,0)*0.475*44/12</f>
        <v>8.6336305569005898</v>
      </c>
      <c r="CL171" s="23">
        <f>EXP(-LN(2)/25)*CL170+(1-EXP(-LN(2)/25))/(LN(2)/25)*Calculateur!CG171*Calculateur!CI171*VLOOKUP('Données projet'!$B$12,Paramètres!$A$1:$I$88,3,0)*0.475*44/12</f>
        <v>2.1367296544596166</v>
      </c>
      <c r="CM171" s="23">
        <f>EXP(-LN(2)/2)*CM170+(1-EXP(-LN(2)/2))/(LN(2)/2)*CG171*CJ171*VLOOKUP('Données projet'!$B$12,Paramètres!$A$1:$I$88,3,0)*0.475*44/12</f>
        <v>0</v>
      </c>
      <c r="CN171" s="24">
        <f t="shared" si="172"/>
        <v>10.770360211360206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projet'!$B$13,Paramètres!$A$1:$I$88,3,0)*VLOOKUP('Données projet'!$B$13,Paramètres!$A$1:$I$88,5,0)</f>
        <v>0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283.66646124753868</v>
      </c>
      <c r="CZ171" s="60">
        <f t="shared" si="150"/>
        <v>331.61926649572797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projet'!$B$13,Paramètres!$A$1:$I$88,3,0)*0.475*44/12</f>
        <v>42.515390966425564</v>
      </c>
      <c r="DG171" s="23">
        <f>EXP(-LN(2)/25)*DG170+(1-EXP(-LN(2)/25))/(LN(2)/25)*Calculateur!DB171*Calculateur!DD171*VLOOKUP('Données projet'!$B$13,Paramètres!$A$1:$I$88,3,0)*0.475*44/12</f>
        <v>0</v>
      </c>
      <c r="DH171" s="23">
        <f>EXP(-LN(2)/2)*DH170+(1-EXP(-LN(2)/2))/(LN(2)/2)*DB171*DE171*VLOOKUP('Données projet'!$B$13,Paramètres!$A$1:$I$88,3,0)*0.475*44/12</f>
        <v>0</v>
      </c>
      <c r="DI171" s="24">
        <f t="shared" si="175"/>
        <v>42.515390966425564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1.1368683772161603E-13</v>
      </c>
      <c r="DP171" s="18">
        <f>DO171*VLOOKUP('Données projet'!$B$14,Paramètres!$A$1:$I$88,3,0)*VLOOKUP('Données projet'!$B$14,Paramètres!$A$1:$I$88,5,0)</f>
        <v>8.3355189417488869E-14</v>
      </c>
      <c r="DQ171" s="14">
        <f t="shared" si="176"/>
        <v>1.2790518435140618E-12</v>
      </c>
      <c r="DR171" s="22">
        <f t="shared" si="177"/>
        <v>2.3728589156891171E-12</v>
      </c>
      <c r="DS171" s="60">
        <f t="shared" si="125"/>
        <v>288.48730819898691</v>
      </c>
      <c r="DT171" s="60">
        <f ca="1">AVERAGE(OFFSET($DS$3,0,0,'Données projet'!$E$14+1,1))-AVERAGE(OFFSET($H$3,0,0,'Données projet'!$E$14+1,1))</f>
        <v>212.77458587586861</v>
      </c>
      <c r="DU171" s="60">
        <f t="shared" si="152"/>
        <v>260.45879589483513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projet'!$B$14,Paramètres!$A$1:$I$88,3,0)*0.475*44/12</f>
        <v>4.2276189818825705</v>
      </c>
      <c r="EB171" s="23">
        <f>EXP(-LN(2)/25)*EB170+(1-EXP(-LN(2)/25))/(LN(2)/25)*Calculateur!DW171*Calculateur!DY171*VLOOKUP('Données projet'!$B$14,Paramètres!$A$1:$I$88,3,0)*0.475*44/12</f>
        <v>1.0143661914133475</v>
      </c>
      <c r="EC171" s="23">
        <f>EXP(-LN(2)/2)*EC170+(1-EXP(-LN(2)/2))/(LN(2)/2)*DW171*DZ171*VLOOKUP('Données projet'!$B$14,Paramètres!$A$1:$I$88,3,0)*0.475*44/12</f>
        <v>0</v>
      </c>
      <c r="ED171" s="24">
        <f t="shared" si="178"/>
        <v>5.2419851732959177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5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8">
        <f t="shared" si="110"/>
        <v>183.33333333333334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3.4106051316484809E-13</v>
      </c>
      <c r="O172" s="14">
        <f>N172*VLOOKUP('Données projet'!$B$9,Paramètres!$A$1:$I$88,3,0)*VLOOKUP('Données projet'!$B$9,Paramètres!$A$1:$I$88,5,0)</f>
        <v>1.9065282685915009E-13</v>
      </c>
      <c r="P172" s="14">
        <f t="shared" si="141"/>
        <v>2.6568987209435707E-12</v>
      </c>
      <c r="Q172" s="22">
        <f t="shared" si="162"/>
        <v>4.959485612423072E-12</v>
      </c>
      <c r="R172" s="60">
        <f t="shared" si="109"/>
        <v>288.57137590098137</v>
      </c>
      <c r="S172" s="60">
        <f ca="1">AVERAGE(OFFSET($R$3,0,0,'Données projet'!$E$9+1,1))-AVERAGE(OFFSET($H$3,0,0,'Données projet'!$E$9+1,1))</f>
        <v>366.29380214443631</v>
      </c>
      <c r="T172" s="60">
        <f t="shared" si="142"/>
        <v>413.14502442862897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27.671933944009968</v>
      </c>
      <c r="AA172" s="23">
        <f>EXP(-LN(2)/25)*AA171+(1-EXP(-LN(2)/25))/(LN(2)/25)*Calculateur!V172*Calculateur!X172*VLOOKUP('Données projet'!$B$9,Paramètres!$A$1:$I$88,3,0)*0.475*44/12</f>
        <v>6.4536433461106704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34.125577290120638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452.49999999999989</v>
      </c>
      <c r="AJ172" s="14">
        <f>AI172*VLOOKUP('Données projet'!$B$10,Paramètres!$A$1:$I$88,3,0)*VLOOKUP('Données projet'!$B$10,Paramètres!$A$1:$I$88,5,0)</f>
        <v>395.30399999999992</v>
      </c>
      <c r="AK172" s="14">
        <f t="shared" si="164"/>
        <v>90.823969929029445</v>
      </c>
      <c r="AL172" s="22">
        <f t="shared" si="165"/>
        <v>846.67288095972606</v>
      </c>
      <c r="AM172" s="60">
        <f t="shared" si="113"/>
        <v>1135.2442568607025</v>
      </c>
      <c r="AN172" s="60">
        <f ca="1">AVERAGE(OFFSET($AM$3,0,0,'Données projet'!$E$10+1,1))-AVERAGE(OFFSET($H$3,0,0,'Données projet'!$E$10+1,1))</f>
        <v>436.5217771315057</v>
      </c>
      <c r="AO172" s="60">
        <f t="shared" si="144"/>
        <v>308.97310256098365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7.079550909718697</v>
      </c>
      <c r="AV172" s="23">
        <f>EXP(-LN(2)/25)*AV171+(1-EXP(-LN(2)/25))/(LN(2)/25)*Calculateur!AQ172*Calculateur!AS172*VLOOKUP('Données projet'!$B$10,Paramètres!$A$1:$I$88,3,0)*0.475*44/12</f>
        <v>1.615606925054778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8.6951578347734753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6</v>
      </c>
      <c r="BD172" s="13">
        <f>IF('Données projet'!$A$88&gt;35,BD171+BC172-BL171,IF(A172&lt;'Données projet'!$A$88,$BA$205^A172,IF(A172='Données projet'!$A$88,'Données projet'!$B$88,BD171+BC172-BL171)))</f>
        <v>342.00000000000023</v>
      </c>
      <c r="BE172" s="14">
        <f>BD172*VLOOKUP('Données projet'!$B$11,Paramètres!$A$1:$I$88,3,0)*VLOOKUP('Données projet'!$B$11,Paramètres!$A$1:$I$88,5,0)</f>
        <v>346.78800000000024</v>
      </c>
      <c r="BF172" s="14">
        <f t="shared" si="167"/>
        <v>80.900772615791055</v>
      </c>
      <c r="BG172" s="22">
        <f t="shared" si="168"/>
        <v>744.89127897250319</v>
      </c>
      <c r="BH172" s="60">
        <f t="shared" si="116"/>
        <v>1033.4626548734796</v>
      </c>
      <c r="BI172" s="60">
        <f ca="1">AVERAGE(OFFSET($BH$3,0,0,'Données projet'!$E$11+1,1))-AVERAGE(OFFSET($H$3,0,0,'Données projet'!$E$11+1,1))</f>
        <v>108.30434106718693</v>
      </c>
      <c r="BJ172" s="60">
        <f t="shared" si="146"/>
        <v>67.653808657585842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8.3635800942016516</v>
      </c>
      <c r="BQ172" s="23">
        <f>EXP(-LN(2)/25)*BQ171+(1-EXP(-LN(2)/25))/(LN(2)/25)*Calculateur!BL172*Calculateur!BN172*VLOOKUP('Données projet'!$B$11,Paramètres!$A$1:$I$88,3,0)*0.475*44/12</f>
        <v>0</v>
      </c>
      <c r="BR172" s="23">
        <f>EXP(-LN(2)/2)*BR171+(1-EXP(-LN(2)/2))/(LN(2)/2)*BL172*BO172*VLOOKUP('Données projet'!$B$11,Paramètres!$A$1:$I$88,3,0)*0.475*44/12</f>
        <v>0</v>
      </c>
      <c r="BS172" s="24">
        <f t="shared" si="169"/>
        <v>8.3635800942016516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projet'!$B$12,Paramètres!$A$1:$I$88,3,0)*VLOOKUP('Données projet'!$B$12,Paramètres!$A$1:$I$88,5,0)</f>
        <v>0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171.08593400758221</v>
      </c>
      <c r="CE172" s="60">
        <f t="shared" si="148"/>
        <v>201.9528484086932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projet'!$B$12,Paramètres!$A$1:$I$88,3,0)*0.475*44/12</f>
        <v>8.4643303276744355</v>
      </c>
      <c r="CL172" s="23">
        <f>EXP(-LN(2)/25)*CL171+(1-EXP(-LN(2)/25))/(LN(2)/25)*Calculateur!CG172*Calculateur!CI172*VLOOKUP('Données projet'!$B$12,Paramètres!$A$1:$I$88,3,0)*0.475*44/12</f>
        <v>2.0783006696926893</v>
      </c>
      <c r="CM172" s="23">
        <f>EXP(-LN(2)/2)*CM171+(1-EXP(-LN(2)/2))/(LN(2)/2)*CG172*CJ172*VLOOKUP('Données projet'!$B$12,Paramètres!$A$1:$I$88,3,0)*0.475*44/12</f>
        <v>0</v>
      </c>
      <c r="CN172" s="24">
        <f t="shared" si="172"/>
        <v>10.542630997367125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projet'!$B$13,Paramètres!$A$1:$I$88,3,0)*VLOOKUP('Données projet'!$B$13,Paramètres!$A$1:$I$88,5,0)</f>
        <v>0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283.66646124753868</v>
      </c>
      <c r="CZ172" s="60">
        <f t="shared" si="150"/>
        <v>331.61926649572797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projet'!$B$13,Paramètres!$A$1:$I$88,3,0)*0.475*44/12</f>
        <v>41.681690081401889</v>
      </c>
      <c r="DG172" s="23">
        <f>EXP(-LN(2)/25)*DG171+(1-EXP(-LN(2)/25))/(LN(2)/25)*Calculateur!DB172*Calculateur!DD172*VLOOKUP('Données projet'!$B$13,Paramètres!$A$1:$I$88,3,0)*0.475*44/12</f>
        <v>0</v>
      </c>
      <c r="DH172" s="23">
        <f>EXP(-LN(2)/2)*DH171+(1-EXP(-LN(2)/2))/(LN(2)/2)*DB172*DE172*VLOOKUP('Données projet'!$B$13,Paramètres!$A$1:$I$88,3,0)*0.475*44/12</f>
        <v>0</v>
      </c>
      <c r="DI172" s="24">
        <f t="shared" si="175"/>
        <v>41.681690081401889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1.1368683772161603E-13</v>
      </c>
      <c r="DP172" s="18">
        <f>DO172*VLOOKUP('Données projet'!$B$14,Paramètres!$A$1:$I$88,3,0)*VLOOKUP('Données projet'!$B$14,Paramètres!$A$1:$I$88,5,0)</f>
        <v>8.3355189417488869E-14</v>
      </c>
      <c r="DQ172" s="14">
        <f t="shared" si="176"/>
        <v>1.2790518435140618E-12</v>
      </c>
      <c r="DR172" s="22">
        <f t="shared" si="177"/>
        <v>2.3728589156891171E-12</v>
      </c>
      <c r="DS172" s="60">
        <f t="shared" si="125"/>
        <v>288.57137590097881</v>
      </c>
      <c r="DT172" s="60">
        <f ca="1">AVERAGE(OFFSET($DS$3,0,0,'Données projet'!$E$14+1,1))-AVERAGE(OFFSET($H$3,0,0,'Données projet'!$E$14+1,1))</f>
        <v>212.77458587586861</v>
      </c>
      <c r="DU172" s="60">
        <f t="shared" si="152"/>
        <v>260.45879589483513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projet'!$B$14,Paramètres!$A$1:$I$88,3,0)*0.475*44/12</f>
        <v>4.1447179522408177</v>
      </c>
      <c r="EB172" s="23">
        <f>EXP(-LN(2)/25)*EB171+(1-EXP(-LN(2)/25))/(LN(2)/25)*Calculateur!DW172*Calculateur!DY172*VLOOKUP('Données projet'!$B$14,Paramètres!$A$1:$I$88,3,0)*0.475*44/12</f>
        <v>0.98662829456594991</v>
      </c>
      <c r="EC172" s="23">
        <f>EXP(-LN(2)/2)*EC171+(1-EXP(-LN(2)/2))/(LN(2)/2)*DW172*DZ172*VLOOKUP('Données projet'!$B$14,Paramètres!$A$1:$I$88,3,0)*0.475*44/12</f>
        <v>0</v>
      </c>
      <c r="ED172" s="24">
        <f t="shared" si="178"/>
        <v>5.1313462468067677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5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8">
        <f t="shared" si="110"/>
        <v>183.33333333333334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3.4106051316484809E-13</v>
      </c>
      <c r="O173" s="14">
        <f>N173*VLOOKUP('Données projet'!$B$9,Paramètres!$A$1:$I$88,3,0)*VLOOKUP('Données projet'!$B$9,Paramètres!$A$1:$I$88,5,0)</f>
        <v>1.9065282685915009E-13</v>
      </c>
      <c r="P173" s="14">
        <f t="shared" si="141"/>
        <v>2.6568987209435707E-12</v>
      </c>
      <c r="Q173" s="22">
        <f t="shared" si="162"/>
        <v>4.959485612423072E-12</v>
      </c>
      <c r="R173" s="60">
        <f t="shared" si="109"/>
        <v>288.65398521629083</v>
      </c>
      <c r="S173" s="60">
        <f ca="1">AVERAGE(OFFSET($R$3,0,0,'Données projet'!$E$9+1,1))-AVERAGE(OFFSET($H$3,0,0,'Données projet'!$E$9+1,1))</f>
        <v>366.29380214443631</v>
      </c>
      <c r="T173" s="60">
        <f t="shared" si="142"/>
        <v>413.14502442862897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27.129304197581053</v>
      </c>
      <c r="AA173" s="23">
        <f>EXP(-LN(2)/25)*AA172+(1-EXP(-LN(2)/25))/(LN(2)/25)*Calculateur!V173*Calculateur!X173*VLOOKUP('Données projet'!$B$9,Paramètres!$A$1:$I$88,3,0)*0.475*44/12</f>
        <v>6.2771681294289206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33.406472327009972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452.49999999999989</v>
      </c>
      <c r="AJ173" s="14">
        <f>AI173*VLOOKUP('Données projet'!$B$10,Paramètres!$A$1:$I$88,3,0)*VLOOKUP('Données projet'!$B$10,Paramètres!$A$1:$I$88,5,0)</f>
        <v>395.30399999999992</v>
      </c>
      <c r="AK173" s="14">
        <f t="shared" si="164"/>
        <v>90.823969929029445</v>
      </c>
      <c r="AL173" s="22">
        <f t="shared" si="165"/>
        <v>846.67288095972606</v>
      </c>
      <c r="AM173" s="60">
        <f t="shared" si="113"/>
        <v>1135.3268661760119</v>
      </c>
      <c r="AN173" s="60">
        <f ca="1">AVERAGE(OFFSET($AM$3,0,0,'Données projet'!$E$10+1,1))-AVERAGE(OFFSET($H$3,0,0,'Données projet'!$E$10+1,1))</f>
        <v>436.5217771315057</v>
      </c>
      <c r="AO173" s="60">
        <f t="shared" si="144"/>
        <v>308.97310256098365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6.9407252344787915</v>
      </c>
      <c r="AV173" s="23">
        <f>EXP(-LN(2)/25)*AV172+(1-EXP(-LN(2)/25))/(LN(2)/25)*Calculateur!AQ173*Calculateur!AS173*VLOOKUP('Données projet'!$B$10,Paramètres!$A$1:$I$88,3,0)*0.475*44/12</f>
        <v>1.5714280687280795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8.5121533032068708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6</v>
      </c>
      <c r="BD173" s="13">
        <f>IF('Données projet'!$A$88&gt;35,BD172+BC173-BL172,IF(A173&lt;'Données projet'!$A$88,$BA$205^A173,IF(A173='Données projet'!$A$88,'Données projet'!$B$88,BD172+BC173-BL172)))</f>
        <v>348.00000000000023</v>
      </c>
      <c r="BE173" s="14">
        <f>BD173*VLOOKUP('Données projet'!$B$11,Paramètres!$A$1:$I$88,3,0)*VLOOKUP('Données projet'!$B$11,Paramètres!$A$1:$I$88,5,0)</f>
        <v>352.87200000000024</v>
      </c>
      <c r="BF173" s="14">
        <f t="shared" si="167"/>
        <v>82.153604299641358</v>
      </c>
      <c r="BG173" s="22">
        <f t="shared" si="168"/>
        <v>757.66959415520898</v>
      </c>
      <c r="BH173" s="60">
        <f t="shared" si="116"/>
        <v>1046.3235793714948</v>
      </c>
      <c r="BI173" s="60">
        <f ca="1">AVERAGE(OFFSET($BH$3,0,0,'Données projet'!$E$11+1,1))-AVERAGE(OFFSET($H$3,0,0,'Données projet'!$E$11+1,1))</f>
        <v>108.30434106718693</v>
      </c>
      <c r="BJ173" s="60">
        <f t="shared" si="146"/>
        <v>67.653808657585842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8.1995753898345054</v>
      </c>
      <c r="BQ173" s="23">
        <f>EXP(-LN(2)/25)*BQ172+(1-EXP(-LN(2)/25))/(LN(2)/25)*Calculateur!BL173*Calculateur!BN173*VLOOKUP('Données projet'!$B$11,Paramètres!$A$1:$I$88,3,0)*0.475*44/12</f>
        <v>0</v>
      </c>
      <c r="BR173" s="23">
        <f>EXP(-LN(2)/2)*BR172+(1-EXP(-LN(2)/2))/(LN(2)/2)*BL173*BO173*VLOOKUP('Données projet'!$B$11,Paramètres!$A$1:$I$88,3,0)*0.475*44/12</f>
        <v>0</v>
      </c>
      <c r="BS173" s="24">
        <f t="shared" si="169"/>
        <v>8.1995753898345054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projet'!$B$12,Paramètres!$A$1:$I$88,3,0)*VLOOKUP('Données projet'!$B$12,Paramètres!$A$1:$I$88,5,0)</f>
        <v>0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171.08593400758221</v>
      </c>
      <c r="CE173" s="60">
        <f t="shared" si="148"/>
        <v>201.9528484086932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projet'!$B$12,Paramètres!$A$1:$I$88,3,0)*0.475*44/12</f>
        <v>8.2983499726804624</v>
      </c>
      <c r="CL173" s="23">
        <f>EXP(-LN(2)/25)*CL172+(1-EXP(-LN(2)/25))/(LN(2)/25)*Calculateur!CG173*Calculateur!CI173*VLOOKUP('Données projet'!$B$12,Paramètres!$A$1:$I$88,3,0)*0.475*44/12</f>
        <v>2.0214694285868604</v>
      </c>
      <c r="CM173" s="23">
        <f>EXP(-LN(2)/2)*CM172+(1-EXP(-LN(2)/2))/(LN(2)/2)*CG173*CJ173*VLOOKUP('Données projet'!$B$12,Paramètres!$A$1:$I$88,3,0)*0.475*44/12</f>
        <v>0</v>
      </c>
      <c r="CN173" s="24">
        <f t="shared" si="172"/>
        <v>10.319819401267322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projet'!$B$13,Paramètres!$A$1:$I$88,3,0)*VLOOKUP('Données projet'!$B$13,Paramètres!$A$1:$I$88,5,0)</f>
        <v>0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283.66646124753868</v>
      </c>
      <c r="CZ173" s="60">
        <f t="shared" si="150"/>
        <v>331.61926649572797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projet'!$B$13,Paramètres!$A$1:$I$88,3,0)*0.475*44/12</f>
        <v>40.864337562226204</v>
      </c>
      <c r="DG173" s="23">
        <f>EXP(-LN(2)/25)*DG172+(1-EXP(-LN(2)/25))/(LN(2)/25)*Calculateur!DB173*Calculateur!DD173*VLOOKUP('Données projet'!$B$13,Paramètres!$A$1:$I$88,3,0)*0.475*44/12</f>
        <v>0</v>
      </c>
      <c r="DH173" s="23">
        <f>EXP(-LN(2)/2)*DH172+(1-EXP(-LN(2)/2))/(LN(2)/2)*DB173*DE173*VLOOKUP('Données projet'!$B$13,Paramètres!$A$1:$I$88,3,0)*0.475*44/12</f>
        <v>0</v>
      </c>
      <c r="DI173" s="24">
        <f t="shared" si="175"/>
        <v>40.864337562226204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1.1368683772161603E-13</v>
      </c>
      <c r="DP173" s="18">
        <f>DO173*VLOOKUP('Données projet'!$B$14,Paramètres!$A$1:$I$88,3,0)*VLOOKUP('Données projet'!$B$14,Paramètres!$A$1:$I$88,5,0)</f>
        <v>8.3355189417488869E-14</v>
      </c>
      <c r="DQ173" s="14">
        <f t="shared" si="176"/>
        <v>1.2790518435140618E-12</v>
      </c>
      <c r="DR173" s="22">
        <f t="shared" si="177"/>
        <v>2.3728589156891171E-12</v>
      </c>
      <c r="DS173" s="60">
        <f t="shared" si="125"/>
        <v>288.65398521628828</v>
      </c>
      <c r="DT173" s="60">
        <f ca="1">AVERAGE(OFFSET($DS$3,0,0,'Données projet'!$E$14+1,1))-AVERAGE(OFFSET($H$3,0,0,'Données projet'!$E$14+1,1))</f>
        <v>212.77458587586861</v>
      </c>
      <c r="DU173" s="60">
        <f t="shared" si="152"/>
        <v>260.45879589483513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projet'!$B$14,Paramètres!$A$1:$I$88,3,0)*0.475*44/12</f>
        <v>4.0634425612257044</v>
      </c>
      <c r="EB173" s="23">
        <f>EXP(-LN(2)/25)*EB172+(1-EXP(-LN(2)/25))/(LN(2)/25)*Calculateur!DW173*Calculateur!DY173*VLOOKUP('Données projet'!$B$14,Paramètres!$A$1:$I$88,3,0)*0.475*44/12</f>
        <v>0.95964889196651693</v>
      </c>
      <c r="EC173" s="23">
        <f>EXP(-LN(2)/2)*EC172+(1-EXP(-LN(2)/2))/(LN(2)/2)*DW173*DZ173*VLOOKUP('Données projet'!$B$14,Paramètres!$A$1:$I$88,3,0)*0.475*44/12</f>
        <v>0</v>
      </c>
      <c r="ED173" s="24">
        <f t="shared" si="178"/>
        <v>5.0230914531922215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5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8">
        <f t="shared" si="110"/>
        <v>183.33333333333334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3.4106051316484809E-13</v>
      </c>
      <c r="O174" s="14">
        <f>N174*VLOOKUP('Données projet'!$B$9,Paramètres!$A$1:$I$88,3,0)*VLOOKUP('Données projet'!$B$9,Paramètres!$A$1:$I$88,5,0)</f>
        <v>1.9065282685915009E-13</v>
      </c>
      <c r="P174" s="14">
        <f t="shared" si="141"/>
        <v>2.6568987209435707E-12</v>
      </c>
      <c r="Q174" s="22">
        <f t="shared" si="162"/>
        <v>4.959485612423072E-12</v>
      </c>
      <c r="R174" s="60">
        <f t="shared" si="109"/>
        <v>288.73516144466646</v>
      </c>
      <c r="S174" s="60">
        <f ca="1">AVERAGE(OFFSET($R$3,0,0,'Données projet'!$E$9+1,1))-AVERAGE(OFFSET($H$3,0,0,'Données projet'!$E$9+1,1))</f>
        <v>366.29380214443631</v>
      </c>
      <c r="T174" s="60">
        <f t="shared" si="142"/>
        <v>413.14502442862897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26.597315089508143</v>
      </c>
      <c r="AA174" s="23">
        <f>EXP(-LN(2)/25)*AA173+(1-EXP(-LN(2)/25))/(LN(2)/25)*Calculateur!V174*Calculateur!X174*VLOOKUP('Données projet'!$B$9,Paramètres!$A$1:$I$88,3,0)*0.475*44/12</f>
        <v>6.1055186368277612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32.702833726335903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452.49999999999989</v>
      </c>
      <c r="AJ174" s="14">
        <f>AI174*VLOOKUP('Données projet'!$B$10,Paramètres!$A$1:$I$88,3,0)*VLOOKUP('Données projet'!$B$10,Paramètres!$A$1:$I$88,5,0)</f>
        <v>395.30399999999992</v>
      </c>
      <c r="AK174" s="14">
        <f t="shared" si="164"/>
        <v>90.823969929029445</v>
      </c>
      <c r="AL174" s="22">
        <f t="shared" si="165"/>
        <v>846.67288095972606</v>
      </c>
      <c r="AM174" s="60">
        <f t="shared" si="113"/>
        <v>1135.4080424043875</v>
      </c>
      <c r="AN174" s="60">
        <f ca="1">AVERAGE(OFFSET($AM$3,0,0,'Données projet'!$E$10+1,1))-AVERAGE(OFFSET($H$3,0,0,'Données projet'!$E$10+1,1))</f>
        <v>436.5217771315057</v>
      </c>
      <c r="AO174" s="60">
        <f t="shared" si="144"/>
        <v>308.97310256098365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6.8046218460550394</v>
      </c>
      <c r="AV174" s="23">
        <f>EXP(-LN(2)/25)*AV173+(1-EXP(-LN(2)/25))/(LN(2)/25)*Calculateur!AQ174*Calculateur!AS174*VLOOKUP('Données projet'!$B$10,Paramètres!$A$1:$I$88,3,0)*0.475*44/12</f>
        <v>1.5284572855508995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8.3330791316059383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6</v>
      </c>
      <c r="BD174" s="13">
        <f>IF('Données projet'!$A$88&gt;35,BD173+BC174-BL173,IF(A174&lt;'Données projet'!$A$88,$BA$205^A174,IF(A174='Données projet'!$A$88,'Données projet'!$B$88,BD173+BC174-BL173)))</f>
        <v>354.00000000000023</v>
      </c>
      <c r="BE174" s="14">
        <f>BD174*VLOOKUP('Données projet'!$B$11,Paramètres!$A$1:$I$88,3,0)*VLOOKUP('Données projet'!$B$11,Paramètres!$A$1:$I$88,5,0)</f>
        <v>358.95600000000024</v>
      </c>
      <c r="BF174" s="14">
        <f t="shared" si="167"/>
        <v>83.403924069620956</v>
      </c>
      <c r="BG174" s="22">
        <f t="shared" si="168"/>
        <v>770.44353442125691</v>
      </c>
      <c r="BH174" s="60">
        <f t="shared" si="116"/>
        <v>1059.1786958659184</v>
      </c>
      <c r="BI174" s="60">
        <f ca="1">AVERAGE(OFFSET($BH$3,0,0,'Données projet'!$E$11+1,1))-AVERAGE(OFFSET($H$3,0,0,'Données projet'!$E$11+1,1))</f>
        <v>108.30434106718693</v>
      </c>
      <c r="BJ174" s="60">
        <f t="shared" si="146"/>
        <v>67.653808657585842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8.0387867176870067</v>
      </c>
      <c r="BQ174" s="23">
        <f>EXP(-LN(2)/25)*BQ173+(1-EXP(-LN(2)/25))/(LN(2)/25)*Calculateur!BL174*Calculateur!BN174*VLOOKUP('Données projet'!$B$11,Paramètres!$A$1:$I$88,3,0)*0.475*44/12</f>
        <v>0</v>
      </c>
      <c r="BR174" s="23">
        <f>EXP(-LN(2)/2)*BR173+(1-EXP(-LN(2)/2))/(LN(2)/2)*BL174*BO174*VLOOKUP('Données projet'!$B$11,Paramètres!$A$1:$I$88,3,0)*0.475*44/12</f>
        <v>0</v>
      </c>
      <c r="BS174" s="24">
        <f t="shared" si="169"/>
        <v>8.0387867176870067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projet'!$B$12,Paramètres!$A$1:$I$88,3,0)*VLOOKUP('Données projet'!$B$12,Paramètres!$A$1:$I$88,5,0)</f>
        <v>0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171.08593400758221</v>
      </c>
      <c r="CE174" s="60">
        <f t="shared" si="148"/>
        <v>201.9528484086932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projet'!$B$12,Paramètres!$A$1:$I$88,3,0)*0.475*44/12</f>
        <v>8.1356243912099</v>
      </c>
      <c r="CL174" s="23">
        <f>EXP(-LN(2)/25)*CL173+(1-EXP(-LN(2)/25))/(LN(2)/25)*Calculateur!CG174*Calculateur!CI174*VLOOKUP('Données projet'!$B$12,Paramètres!$A$1:$I$88,3,0)*0.475*44/12</f>
        <v>1.9661922407576955</v>
      </c>
      <c r="CM174" s="23">
        <f>EXP(-LN(2)/2)*CM173+(1-EXP(-LN(2)/2))/(LN(2)/2)*CG174*CJ174*VLOOKUP('Données projet'!$B$12,Paramètres!$A$1:$I$88,3,0)*0.475*44/12</f>
        <v>0</v>
      </c>
      <c r="CN174" s="24">
        <f t="shared" si="172"/>
        <v>10.101816631967596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projet'!$B$13,Paramètres!$A$1:$I$88,3,0)*VLOOKUP('Données projet'!$B$13,Paramètres!$A$1:$I$88,5,0)</f>
        <v>0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283.66646124753868</v>
      </c>
      <c r="CZ174" s="60">
        <f t="shared" si="150"/>
        <v>331.61926649572797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projet'!$B$13,Paramètres!$A$1:$I$88,3,0)*0.475*44/12</f>
        <v>40.06301282741574</v>
      </c>
      <c r="DG174" s="23">
        <f>EXP(-LN(2)/25)*DG173+(1-EXP(-LN(2)/25))/(LN(2)/25)*Calculateur!DB174*Calculateur!DD174*VLOOKUP('Données projet'!$B$13,Paramètres!$A$1:$I$88,3,0)*0.475*44/12</f>
        <v>0</v>
      </c>
      <c r="DH174" s="23">
        <f>EXP(-LN(2)/2)*DH173+(1-EXP(-LN(2)/2))/(LN(2)/2)*DB174*DE174*VLOOKUP('Données projet'!$B$13,Paramètres!$A$1:$I$88,3,0)*0.475*44/12</f>
        <v>0</v>
      </c>
      <c r="DI174" s="24">
        <f t="shared" si="175"/>
        <v>40.06301282741574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1.1368683772161603E-13</v>
      </c>
      <c r="DP174" s="18">
        <f>DO174*VLOOKUP('Données projet'!$B$14,Paramètres!$A$1:$I$88,3,0)*VLOOKUP('Données projet'!$B$14,Paramètres!$A$1:$I$88,5,0)</f>
        <v>8.3355189417488869E-14</v>
      </c>
      <c r="DQ174" s="14">
        <f t="shared" si="176"/>
        <v>1.2790518435140618E-12</v>
      </c>
      <c r="DR174" s="22">
        <f t="shared" si="177"/>
        <v>2.3728589156891171E-12</v>
      </c>
      <c r="DS174" s="60">
        <f t="shared" si="125"/>
        <v>288.7351614446639</v>
      </c>
      <c r="DT174" s="60">
        <f ca="1">AVERAGE(OFFSET($DS$3,0,0,'Données projet'!$E$14+1,1))-AVERAGE(OFFSET($H$3,0,0,'Données projet'!$E$14+1,1))</f>
        <v>212.77458587586861</v>
      </c>
      <c r="DU174" s="60">
        <f t="shared" si="152"/>
        <v>260.45879589483513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projet'!$B$14,Paramètres!$A$1:$I$88,3,0)*0.475*44/12</f>
        <v>3.9837609310553037</v>
      </c>
      <c r="EB174" s="23">
        <f>EXP(-LN(2)/25)*EB173+(1-EXP(-LN(2)/25))/(LN(2)/25)*Calculateur!DW174*Calculateur!DY174*VLOOKUP('Données projet'!$B$14,Paramètres!$A$1:$I$88,3,0)*0.475*44/12</f>
        <v>0.93340724254995056</v>
      </c>
      <c r="EC174" s="23">
        <f>EXP(-LN(2)/2)*EC173+(1-EXP(-LN(2)/2))/(LN(2)/2)*DW174*DZ174*VLOOKUP('Données projet'!$B$14,Paramètres!$A$1:$I$88,3,0)*0.475*44/12</f>
        <v>0</v>
      </c>
      <c r="ED174" s="24">
        <f t="shared" si="178"/>
        <v>4.9171681736052539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5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8">
        <f t="shared" si="110"/>
        <v>183.33333333333334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3.4106051316484809E-13</v>
      </c>
      <c r="O175" s="14">
        <f>N175*VLOOKUP('Données projet'!$B$9,Paramètres!$A$1:$I$88,3,0)*VLOOKUP('Données projet'!$B$9,Paramètres!$A$1:$I$88,5,0)</f>
        <v>1.9065282685915009E-13</v>
      </c>
      <c r="P175" s="14">
        <f t="shared" si="141"/>
        <v>2.6568987209435707E-12</v>
      </c>
      <c r="Q175" s="22">
        <f t="shared" si="162"/>
        <v>4.959485612423072E-12</v>
      </c>
      <c r="R175" s="60">
        <f t="shared" si="109"/>
        <v>288.81492944696259</v>
      </c>
      <c r="S175" s="60">
        <f ca="1">AVERAGE(OFFSET($R$3,0,0,'Données projet'!$E$9+1,1))-AVERAGE(OFFSET($H$3,0,0,'Données projet'!$E$9+1,1))</f>
        <v>366.29380214443631</v>
      </c>
      <c r="T175" s="60">
        <f t="shared" si="142"/>
        <v>413.14502442862897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26.075757963363227</v>
      </c>
      <c r="AA175" s="23">
        <f>EXP(-LN(2)/25)*AA174+(1-EXP(-LN(2)/25))/(LN(2)/25)*Calculateur!V175*Calculateur!X175*VLOOKUP('Données projet'!$B$9,Paramètres!$A$1:$I$88,3,0)*0.475*44/12</f>
        <v>5.9385629086284357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32.014320871991664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452.49999999999989</v>
      </c>
      <c r="AJ175" s="14">
        <f>AI175*VLOOKUP('Données projet'!$B$10,Paramètres!$A$1:$I$88,3,0)*VLOOKUP('Données projet'!$B$10,Paramètres!$A$1:$I$88,5,0)</f>
        <v>395.30399999999992</v>
      </c>
      <c r="AK175" s="14">
        <f t="shared" si="164"/>
        <v>90.823969929029445</v>
      </c>
      <c r="AL175" s="22">
        <f t="shared" si="165"/>
        <v>846.67288095972606</v>
      </c>
      <c r="AM175" s="60">
        <f t="shared" si="113"/>
        <v>1135.4878104066838</v>
      </c>
      <c r="AN175" s="60">
        <f ca="1">AVERAGE(OFFSET($AM$3,0,0,'Données projet'!$E$10+1,1))-AVERAGE(OFFSET($H$3,0,0,'Données projet'!$E$10+1,1))</f>
        <v>436.5217771315057</v>
      </c>
      <c r="AO175" s="60">
        <f t="shared" si="144"/>
        <v>308.97310256098365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6.6711873620634075</v>
      </c>
      <c r="AV175" s="23">
        <f>EXP(-LN(2)/25)*AV174+(1-EXP(-LN(2)/25))/(LN(2)/25)*Calculateur!AQ175*Calculateur!AS175*VLOOKUP('Données projet'!$B$10,Paramètres!$A$1:$I$88,3,0)*0.475*44/12</f>
        <v>1.4866615406994348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8.1578489027628418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6</v>
      </c>
      <c r="BD175" s="13">
        <f>IF('Données projet'!$A$88&gt;35,BD174+BC175-BL174,IF(A175&lt;'Données projet'!$A$88,$BA$205^A175,IF(A175='Données projet'!$A$88,'Données projet'!$B$88,BD174+BC175-BL174)))</f>
        <v>360.00000000000023</v>
      </c>
      <c r="BE175" s="14">
        <f>BD175*VLOOKUP('Données projet'!$B$11,Paramètres!$A$1:$I$88,3,0)*VLOOKUP('Données projet'!$B$11,Paramètres!$A$1:$I$88,5,0)</f>
        <v>365.04000000000025</v>
      </c>
      <c r="BF175" s="14">
        <f t="shared" si="167"/>
        <v>84.651779413976413</v>
      </c>
      <c r="BG175" s="22">
        <f t="shared" si="168"/>
        <v>783.21318247934266</v>
      </c>
      <c r="BH175" s="60">
        <f t="shared" si="116"/>
        <v>1072.0281119263004</v>
      </c>
      <c r="BI175" s="60">
        <f ca="1">AVERAGE(OFFSET($BH$3,0,0,'Données projet'!$E$11+1,1))-AVERAGE(OFFSET($H$3,0,0,'Données projet'!$E$11+1,1))</f>
        <v>108.30434106718693</v>
      </c>
      <c r="BJ175" s="60">
        <f t="shared" si="146"/>
        <v>67.653808657585842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7.881151013328914</v>
      </c>
      <c r="BQ175" s="23">
        <f>EXP(-LN(2)/25)*BQ174+(1-EXP(-LN(2)/25))/(LN(2)/25)*Calculateur!BL175*Calculateur!BN175*VLOOKUP('Données projet'!$B$11,Paramètres!$A$1:$I$88,3,0)*0.475*44/12</f>
        <v>0</v>
      </c>
      <c r="BR175" s="23">
        <f>EXP(-LN(2)/2)*BR174+(1-EXP(-LN(2)/2))/(LN(2)/2)*BL175*BO175*VLOOKUP('Données projet'!$B$11,Paramètres!$A$1:$I$88,3,0)*0.475*44/12</f>
        <v>0</v>
      </c>
      <c r="BS175" s="24">
        <f t="shared" si="169"/>
        <v>7.881151013328914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projet'!$B$12,Paramètres!$A$1:$I$88,3,0)*VLOOKUP('Données projet'!$B$12,Paramètres!$A$1:$I$88,5,0)</f>
        <v>0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171.08593400758221</v>
      </c>
      <c r="CE175" s="60">
        <f t="shared" si="148"/>
        <v>201.9528484086932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projet'!$B$12,Paramètres!$A$1:$I$88,3,0)*0.475*44/12</f>
        <v>7.976089759139172</v>
      </c>
      <c r="CL175" s="23">
        <f>EXP(-LN(2)/25)*CL174+(1-EXP(-LN(2)/25))/(LN(2)/25)*Calculateur!CG175*Calculateur!CI175*VLOOKUP('Données projet'!$B$12,Paramètres!$A$1:$I$88,3,0)*0.475*44/12</f>
        <v>1.9124266105366201</v>
      </c>
      <c r="CM175" s="23">
        <f>EXP(-LN(2)/2)*CM174+(1-EXP(-LN(2)/2))/(LN(2)/2)*CG175*CJ175*VLOOKUP('Données projet'!$B$12,Paramètres!$A$1:$I$88,3,0)*0.475*44/12</f>
        <v>0</v>
      </c>
      <c r="CN175" s="24">
        <f t="shared" si="172"/>
        <v>9.8885163696757914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projet'!$B$13,Paramètres!$A$1:$I$88,3,0)*VLOOKUP('Données projet'!$B$13,Paramètres!$A$1:$I$88,5,0)</f>
        <v>0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283.66646124753868</v>
      </c>
      <c r="CZ175" s="60">
        <f t="shared" si="150"/>
        <v>331.61926649572797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projet'!$B$13,Paramètres!$A$1:$I$88,3,0)*0.475*44/12</f>
        <v>39.277401581895084</v>
      </c>
      <c r="DG175" s="23">
        <f>EXP(-LN(2)/25)*DG174+(1-EXP(-LN(2)/25))/(LN(2)/25)*Calculateur!DB175*Calculateur!DD175*VLOOKUP('Données projet'!$B$13,Paramètres!$A$1:$I$88,3,0)*0.475*44/12</f>
        <v>0</v>
      </c>
      <c r="DH175" s="23">
        <f>EXP(-LN(2)/2)*DH174+(1-EXP(-LN(2)/2))/(LN(2)/2)*DB175*DE175*VLOOKUP('Données projet'!$B$13,Paramètres!$A$1:$I$88,3,0)*0.475*44/12</f>
        <v>0</v>
      </c>
      <c r="DI175" s="24">
        <f t="shared" si="175"/>
        <v>39.277401581895084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1.1368683772161603E-13</v>
      </c>
      <c r="DP175" s="18">
        <f>DO175*VLOOKUP('Données projet'!$B$14,Paramètres!$A$1:$I$88,3,0)*VLOOKUP('Données projet'!$B$14,Paramètres!$A$1:$I$88,5,0)</f>
        <v>8.3355189417488869E-14</v>
      </c>
      <c r="DQ175" s="14">
        <f t="shared" si="176"/>
        <v>1.2790518435140618E-12</v>
      </c>
      <c r="DR175" s="22">
        <f t="shared" si="177"/>
        <v>2.3728589156891171E-12</v>
      </c>
      <c r="DS175" s="60">
        <f t="shared" si="125"/>
        <v>288.81492944696004</v>
      </c>
      <c r="DT175" s="60">
        <f ca="1">AVERAGE(OFFSET($DS$3,0,0,'Données projet'!$E$14+1,1))-AVERAGE(OFFSET($H$3,0,0,'Données projet'!$E$14+1,1))</f>
        <v>212.77458587586861</v>
      </c>
      <c r="DU175" s="60">
        <f t="shared" si="152"/>
        <v>260.45879589483513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projet'!$B$14,Paramètres!$A$1:$I$88,3,0)*0.475*44/12</f>
        <v>3.905641809051549</v>
      </c>
      <c r="EB175" s="23">
        <f>EXP(-LN(2)/25)*EB174+(1-EXP(-LN(2)/25))/(LN(2)/25)*Calculateur!DW175*Calculateur!DY175*VLOOKUP('Données projet'!$B$14,Paramètres!$A$1:$I$88,3,0)*0.475*44/12</f>
        <v>0.9078831724166686</v>
      </c>
      <c r="EC175" s="23">
        <f>EXP(-LN(2)/2)*EC174+(1-EXP(-LN(2)/2))/(LN(2)/2)*DW175*DZ175*VLOOKUP('Données projet'!$B$14,Paramètres!$A$1:$I$88,3,0)*0.475*44/12</f>
        <v>0</v>
      </c>
      <c r="ED175" s="24">
        <f t="shared" si="178"/>
        <v>4.8135249814682179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5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8">
        <f t="shared" si="110"/>
        <v>183.33333333333334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3.4106051316484809E-13</v>
      </c>
      <c r="O176" s="14">
        <f>N176*VLOOKUP('Données projet'!$B$9,Paramètres!$A$1:$I$88,3,0)*VLOOKUP('Données projet'!$B$9,Paramètres!$A$1:$I$88,5,0)</f>
        <v>1.9065282685915009E-13</v>
      </c>
      <c r="P176" s="14">
        <f t="shared" si="141"/>
        <v>2.6568987209435707E-12</v>
      </c>
      <c r="Q176" s="22">
        <f t="shared" si="162"/>
        <v>4.959485612423072E-12</v>
      </c>
      <c r="R176" s="60">
        <f t="shared" si="109"/>
        <v>288.89331365275342</v>
      </c>
      <c r="S176" s="60">
        <f ca="1">AVERAGE(OFFSET($R$3,0,0,'Données projet'!$E$9+1,1))-AVERAGE(OFFSET($H$3,0,0,'Données projet'!$E$9+1,1))</f>
        <v>366.29380214443631</v>
      </c>
      <c r="T176" s="60">
        <f t="shared" si="142"/>
        <v>413.14502442862897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25.564428254343579</v>
      </c>
      <c r="AA176" s="23">
        <f>EXP(-LN(2)/25)*AA175+(1-EXP(-LN(2)/25))/(LN(2)/25)*Calculateur!V176*Calculateur!X176*VLOOKUP('Données projet'!$B$9,Paramètres!$A$1:$I$88,3,0)*0.475*44/12</f>
        <v>5.7761725935965407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31.34060084794012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452.49999999999989</v>
      </c>
      <c r="AJ176" s="14">
        <f>AI176*VLOOKUP('Données projet'!$B$10,Paramètres!$A$1:$I$88,3,0)*VLOOKUP('Données projet'!$B$10,Paramètres!$A$1:$I$88,5,0)</f>
        <v>395.30399999999992</v>
      </c>
      <c r="AK176" s="14">
        <f t="shared" si="164"/>
        <v>90.823969929029445</v>
      </c>
      <c r="AL176" s="22">
        <f t="shared" si="165"/>
        <v>846.67288095972606</v>
      </c>
      <c r="AM176" s="60">
        <f t="shared" si="113"/>
        <v>1135.5661946124746</v>
      </c>
      <c r="AN176" s="60">
        <f ca="1">AVERAGE(OFFSET($AM$3,0,0,'Données projet'!$E$10+1,1))-AVERAGE(OFFSET($H$3,0,0,'Données projet'!$E$10+1,1))</f>
        <v>436.5217771315057</v>
      </c>
      <c r="AO176" s="60">
        <f t="shared" si="144"/>
        <v>308.97310256098365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6.540369446915852</v>
      </c>
      <c r="AV176" s="23">
        <f>EXP(-LN(2)/25)*AV175+(1-EXP(-LN(2)/25))/(LN(2)/25)*Calculateur!AQ176*Calculateur!AS176*VLOOKUP('Données projet'!$B$10,Paramètres!$A$1:$I$88,3,0)*0.475*44/12</f>
        <v>1.4460087026888762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7.9863781496047279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6</v>
      </c>
      <c r="BD176" s="13">
        <f>IF('Données projet'!$A$88&gt;35,BD175+BC176-BL175,IF(A176&lt;'Données projet'!$A$88,$BA$205^A176,IF(A176='Données projet'!$A$88,'Données projet'!$B$88,BD175+BC176-BL175)))</f>
        <v>366.00000000000023</v>
      </c>
      <c r="BE176" s="14">
        <f>BD176*VLOOKUP('Données projet'!$B$11,Paramètres!$A$1:$I$88,3,0)*VLOOKUP('Données projet'!$B$11,Paramètres!$A$1:$I$88,5,0)</f>
        <v>371.12400000000025</v>
      </c>
      <c r="BF176" s="14">
        <f t="shared" si="167"/>
        <v>85.897216147277618</v>
      </c>
      <c r="BG176" s="22">
        <f t="shared" si="168"/>
        <v>795.97861812317558</v>
      </c>
      <c r="BH176" s="60">
        <f t="shared" si="116"/>
        <v>1084.8719317759242</v>
      </c>
      <c r="BI176" s="60">
        <f ca="1">AVERAGE(OFFSET($BH$3,0,0,'Données projet'!$E$11+1,1))-AVERAGE(OFFSET($H$3,0,0,'Données projet'!$E$11+1,1))</f>
        <v>108.30434106718693</v>
      </c>
      <c r="BJ176" s="60">
        <f t="shared" si="146"/>
        <v>67.653808657585842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7.7266064489849979</v>
      </c>
      <c r="BQ176" s="23">
        <f>EXP(-LN(2)/25)*BQ175+(1-EXP(-LN(2)/25))/(LN(2)/25)*Calculateur!BL176*Calculateur!BN176*VLOOKUP('Données projet'!$B$11,Paramètres!$A$1:$I$88,3,0)*0.475*44/12</f>
        <v>0</v>
      </c>
      <c r="BR176" s="23">
        <f>EXP(-LN(2)/2)*BR175+(1-EXP(-LN(2)/2))/(LN(2)/2)*BL176*BO176*VLOOKUP('Données projet'!$B$11,Paramètres!$A$1:$I$88,3,0)*0.475*44/12</f>
        <v>0</v>
      </c>
      <c r="BS176" s="24">
        <f t="shared" si="169"/>
        <v>7.7266064489849979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projet'!$B$12,Paramètres!$A$1:$I$88,3,0)*VLOOKUP('Données projet'!$B$12,Paramètres!$A$1:$I$88,5,0)</f>
        <v>0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171.08593400758221</v>
      </c>
      <c r="CE176" s="60">
        <f t="shared" si="148"/>
        <v>201.9528484086932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projet'!$B$12,Paramètres!$A$1:$I$88,3,0)*0.475*44/12</f>
        <v>7.8196835038968331</v>
      </c>
      <c r="CL176" s="23">
        <f>EXP(-LN(2)/25)*CL175+(1-EXP(-LN(2)/25))/(LN(2)/25)*Calculateur!CG176*Calculateur!CI176*VLOOKUP('Données projet'!$B$12,Paramètres!$A$1:$I$88,3,0)*0.475*44/12</f>
        <v>1.8601312043013516</v>
      </c>
      <c r="CM176" s="23">
        <f>EXP(-LN(2)/2)*CM175+(1-EXP(-LN(2)/2))/(LN(2)/2)*CG176*CJ176*VLOOKUP('Données projet'!$B$12,Paramètres!$A$1:$I$88,3,0)*0.475*44/12</f>
        <v>0</v>
      </c>
      <c r="CN176" s="24">
        <f t="shared" si="172"/>
        <v>9.6798147081981849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projet'!$B$13,Paramètres!$A$1:$I$88,3,0)*VLOOKUP('Données projet'!$B$13,Paramètres!$A$1:$I$88,5,0)</f>
        <v>0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283.66646124753868</v>
      </c>
      <c r="CZ176" s="60">
        <f t="shared" si="150"/>
        <v>331.61926649572797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projet'!$B$13,Paramètres!$A$1:$I$88,3,0)*0.475*44/12</f>
        <v>38.507195693723546</v>
      </c>
      <c r="DG176" s="23">
        <f>EXP(-LN(2)/25)*DG175+(1-EXP(-LN(2)/25))/(LN(2)/25)*Calculateur!DB176*Calculateur!DD176*VLOOKUP('Données projet'!$B$13,Paramètres!$A$1:$I$88,3,0)*0.475*44/12</f>
        <v>0</v>
      </c>
      <c r="DH176" s="23">
        <f>EXP(-LN(2)/2)*DH175+(1-EXP(-LN(2)/2))/(LN(2)/2)*DB176*DE176*VLOOKUP('Données projet'!$B$13,Paramètres!$A$1:$I$88,3,0)*0.475*44/12</f>
        <v>0</v>
      </c>
      <c r="DI176" s="24">
        <f t="shared" si="175"/>
        <v>38.507195693723546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1.1368683772161603E-13</v>
      </c>
      <c r="DP176" s="18">
        <f>DO176*VLOOKUP('Données projet'!$B$14,Paramètres!$A$1:$I$88,3,0)*VLOOKUP('Données projet'!$B$14,Paramètres!$A$1:$I$88,5,0)</f>
        <v>8.3355189417488869E-14</v>
      </c>
      <c r="DQ176" s="14">
        <f t="shared" si="176"/>
        <v>1.2790518435140618E-12</v>
      </c>
      <c r="DR176" s="22">
        <f t="shared" si="177"/>
        <v>2.3728589156891171E-12</v>
      </c>
      <c r="DS176" s="60">
        <f t="shared" si="125"/>
        <v>288.89331365275086</v>
      </c>
      <c r="DT176" s="60">
        <f ca="1">AVERAGE(OFFSET($DS$3,0,0,'Données projet'!$E$14+1,1))-AVERAGE(OFFSET($H$3,0,0,'Données projet'!$E$14+1,1))</f>
        <v>212.77458587586861</v>
      </c>
      <c r="DU176" s="60">
        <f t="shared" si="152"/>
        <v>260.45879589483513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projet'!$B$14,Paramètres!$A$1:$I$88,3,0)*0.475*44/12</f>
        <v>3.8290545553823283</v>
      </c>
      <c r="EB176" s="23">
        <f>EXP(-LN(2)/25)*EB175+(1-EXP(-LN(2)/25))/(LN(2)/25)*Calculateur!DW176*Calculateur!DY176*VLOOKUP('Données projet'!$B$14,Paramètres!$A$1:$I$88,3,0)*0.475*44/12</f>
        <v>0.88305705932343381</v>
      </c>
      <c r="EC176" s="23">
        <f>EXP(-LN(2)/2)*EC175+(1-EXP(-LN(2)/2))/(LN(2)/2)*DW176*DZ176*VLOOKUP('Données projet'!$B$14,Paramètres!$A$1:$I$88,3,0)*0.475*44/12</f>
        <v>0</v>
      </c>
      <c r="ED176" s="24">
        <f t="shared" si="178"/>
        <v>4.712111614705762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5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8">
        <f t="shared" si="110"/>
        <v>183.33333333333334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3.4106051316484809E-13</v>
      </c>
      <c r="O177" s="14">
        <f>N177*VLOOKUP('Données projet'!$B$9,Paramètres!$A$1:$I$88,3,0)*VLOOKUP('Données projet'!$B$9,Paramètres!$A$1:$I$88,5,0)</f>
        <v>1.9065282685915009E-13</v>
      </c>
      <c r="P177" s="14">
        <f t="shared" si="141"/>
        <v>2.6568987209435707E-12</v>
      </c>
      <c r="Q177" s="22">
        <f t="shared" si="162"/>
        <v>4.959485612423072E-12</v>
      </c>
      <c r="R177" s="60">
        <f t="shared" si="109"/>
        <v>288.97033806781468</v>
      </c>
      <c r="S177" s="60">
        <f ca="1">AVERAGE(OFFSET($R$3,0,0,'Données projet'!$E$9+1,1))-AVERAGE(OFFSET($H$3,0,0,'Données projet'!$E$9+1,1))</f>
        <v>366.29380214443631</v>
      </c>
      <c r="T177" s="60">
        <f t="shared" si="142"/>
        <v>413.14502442862897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25.063125409037479</v>
      </c>
      <c r="AA177" s="23">
        <f>EXP(-LN(2)/25)*AA176+(1-EXP(-LN(2)/25))/(LN(2)/25)*Calculateur!V177*Calculateur!X177*VLOOKUP('Données projet'!$B$9,Paramètres!$A$1:$I$88,3,0)*0.475*44/12</f>
        <v>5.6182228502689284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30.681348259306407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452.49999999999989</v>
      </c>
      <c r="AJ177" s="14">
        <f>AI177*VLOOKUP('Données projet'!$B$10,Paramètres!$A$1:$I$88,3,0)*VLOOKUP('Données projet'!$B$10,Paramètres!$A$1:$I$88,5,0)</f>
        <v>395.30399999999992</v>
      </c>
      <c r="AK177" s="14">
        <f t="shared" si="164"/>
        <v>90.823969929029445</v>
      </c>
      <c r="AL177" s="22">
        <f t="shared" si="165"/>
        <v>846.67288095972606</v>
      </c>
      <c r="AM177" s="60">
        <f t="shared" si="113"/>
        <v>1135.6432190275359</v>
      </c>
      <c r="AN177" s="60">
        <f ca="1">AVERAGE(OFFSET($AM$3,0,0,'Données projet'!$E$10+1,1))-AVERAGE(OFFSET($H$3,0,0,'Données projet'!$E$10+1,1))</f>
        <v>436.5217771315057</v>
      </c>
      <c r="AO177" s="60">
        <f t="shared" si="144"/>
        <v>308.97310256098365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6.4121167912932906</v>
      </c>
      <c r="AV177" s="23">
        <f>EXP(-LN(2)/25)*AV176+(1-EXP(-LN(2)/25))/(LN(2)/25)*Calculateur!AQ177*Calculateur!AS177*VLOOKUP('Données projet'!$B$10,Paramètres!$A$1:$I$88,3,0)*0.475*44/12</f>
        <v>1.4064675186715561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7.8185843099648462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6</v>
      </c>
      <c r="BD177" s="13">
        <f>IF('Données projet'!$A$88&gt;35,BD176+BC177-BL176,IF(A177&lt;'Données projet'!$A$88,$BA$205^A177,IF(A177='Données projet'!$A$88,'Données projet'!$B$88,BD176+BC177-BL176)))</f>
        <v>372.00000000000023</v>
      </c>
      <c r="BE177" s="14">
        <f>BD177*VLOOKUP('Données projet'!$B$11,Paramètres!$A$1:$I$88,3,0)*VLOOKUP('Données projet'!$B$11,Paramètres!$A$1:$I$88,5,0)</f>
        <v>377.20800000000025</v>
      </c>
      <c r="BF177" s="14">
        <f t="shared" si="167"/>
        <v>87.140278495857203</v>
      </c>
      <c r="BG177" s="22">
        <f t="shared" si="168"/>
        <v>808.73991838028508</v>
      </c>
      <c r="BH177" s="60">
        <f t="shared" si="116"/>
        <v>1097.7102564480947</v>
      </c>
      <c r="BI177" s="60">
        <f ca="1">AVERAGE(OFFSET($BH$3,0,0,'Données projet'!$E$11+1,1))-AVERAGE(OFFSET($H$3,0,0,'Données projet'!$E$11+1,1))</f>
        <v>108.30434106718693</v>
      </c>
      <c r="BJ177" s="60">
        <f t="shared" si="146"/>
        <v>67.653808657585842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7.5750924092849887</v>
      </c>
      <c r="BQ177" s="23">
        <f>EXP(-LN(2)/25)*BQ176+(1-EXP(-LN(2)/25))/(LN(2)/25)*Calculateur!BL177*Calculateur!BN177*VLOOKUP('Données projet'!$B$11,Paramètres!$A$1:$I$88,3,0)*0.475*44/12</f>
        <v>0</v>
      </c>
      <c r="BR177" s="23">
        <f>EXP(-LN(2)/2)*BR176+(1-EXP(-LN(2)/2))/(LN(2)/2)*BL177*BO177*VLOOKUP('Données projet'!$B$11,Paramètres!$A$1:$I$88,3,0)*0.475*44/12</f>
        <v>0</v>
      </c>
      <c r="BS177" s="24">
        <f t="shared" si="169"/>
        <v>7.5750924092849887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projet'!$B$12,Paramètres!$A$1:$I$88,3,0)*VLOOKUP('Données projet'!$B$12,Paramètres!$A$1:$I$88,5,0)</f>
        <v>0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171.08593400758221</v>
      </c>
      <c r="CE177" s="60">
        <f t="shared" si="148"/>
        <v>201.9528484086932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projet'!$B$12,Paramètres!$A$1:$I$88,3,0)*0.475*44/12</f>
        <v>7.6663442799214012</v>
      </c>
      <c r="CL177" s="23">
        <f>EXP(-LN(2)/25)*CL176+(1-EXP(-LN(2)/25))/(LN(2)/25)*Calculateur!CG177*Calculateur!CI177*VLOOKUP('Données projet'!$B$12,Paramètres!$A$1:$I$88,3,0)*0.475*44/12</f>
        <v>1.8092658186996824</v>
      </c>
      <c r="CM177" s="23">
        <f>EXP(-LN(2)/2)*CM176+(1-EXP(-LN(2)/2))/(LN(2)/2)*CG177*CJ177*VLOOKUP('Données projet'!$B$12,Paramètres!$A$1:$I$88,3,0)*0.475*44/12</f>
        <v>0</v>
      </c>
      <c r="CN177" s="24">
        <f t="shared" si="172"/>
        <v>9.4756100986210843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projet'!$B$13,Paramètres!$A$1:$I$88,3,0)*VLOOKUP('Données projet'!$B$13,Paramètres!$A$1:$I$88,5,0)</f>
        <v>0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283.66646124753868</v>
      </c>
      <c r="CZ177" s="60">
        <f t="shared" si="150"/>
        <v>331.61926649572797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projet'!$B$13,Paramètres!$A$1:$I$88,3,0)*0.475*44/12</f>
        <v>37.752093073239841</v>
      </c>
      <c r="DG177" s="23">
        <f>EXP(-LN(2)/25)*DG176+(1-EXP(-LN(2)/25))/(LN(2)/25)*Calculateur!DB177*Calculateur!DD177*VLOOKUP('Données projet'!$B$13,Paramètres!$A$1:$I$88,3,0)*0.475*44/12</f>
        <v>0</v>
      </c>
      <c r="DH177" s="23">
        <f>EXP(-LN(2)/2)*DH176+(1-EXP(-LN(2)/2))/(LN(2)/2)*DB177*DE177*VLOOKUP('Données projet'!$B$13,Paramètres!$A$1:$I$88,3,0)*0.475*44/12</f>
        <v>0</v>
      </c>
      <c r="DI177" s="24">
        <f t="shared" si="175"/>
        <v>37.752093073239841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1.1368683772161603E-13</v>
      </c>
      <c r="DP177" s="18">
        <f>DO177*VLOOKUP('Données projet'!$B$14,Paramètres!$A$1:$I$88,3,0)*VLOOKUP('Données projet'!$B$14,Paramètres!$A$1:$I$88,5,0)</f>
        <v>8.3355189417488869E-14</v>
      </c>
      <c r="DQ177" s="14">
        <f t="shared" si="176"/>
        <v>1.2790518435140618E-12</v>
      </c>
      <c r="DR177" s="22">
        <f t="shared" si="177"/>
        <v>2.3728589156891171E-12</v>
      </c>
      <c r="DS177" s="60">
        <f t="shared" si="125"/>
        <v>288.97033806781212</v>
      </c>
      <c r="DT177" s="60">
        <f ca="1">AVERAGE(OFFSET($DS$3,0,0,'Données projet'!$E$14+1,1))-AVERAGE(OFFSET($H$3,0,0,'Données projet'!$E$14+1,1))</f>
        <v>212.77458587586861</v>
      </c>
      <c r="DU177" s="60">
        <f t="shared" si="152"/>
        <v>260.45879589483513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projet'!$B$14,Paramètres!$A$1:$I$88,3,0)*0.475*44/12</f>
        <v>3.7539691310439487</v>
      </c>
      <c r="EB177" s="23">
        <f>EXP(-LN(2)/25)*EB176+(1-EXP(-LN(2)/25))/(LN(2)/25)*Calculateur!DW177*Calculateur!DY177*VLOOKUP('Données projet'!$B$14,Paramètres!$A$1:$I$88,3,0)*0.475*44/12</f>
        <v>0.858909817598282</v>
      </c>
      <c r="EC177" s="23">
        <f>EXP(-LN(2)/2)*EC176+(1-EXP(-LN(2)/2))/(LN(2)/2)*DW177*DZ177*VLOOKUP('Données projet'!$B$14,Paramètres!$A$1:$I$88,3,0)*0.475*44/12</f>
        <v>0</v>
      </c>
      <c r="ED177" s="24">
        <f t="shared" si="178"/>
        <v>4.6128789486422308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5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8">
        <f t="shared" si="110"/>
        <v>183.33333333333334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3.4106051316484809E-13</v>
      </c>
      <c r="O178" s="14">
        <f>N178*VLOOKUP('Données projet'!$B$9,Paramètres!$A$1:$I$88,3,0)*VLOOKUP('Données projet'!$B$9,Paramètres!$A$1:$I$88,5,0)</f>
        <v>1.9065282685915009E-13</v>
      </c>
      <c r="P178" s="14">
        <f t="shared" si="141"/>
        <v>2.6568987209435707E-12</v>
      </c>
      <c r="Q178" s="22">
        <f t="shared" si="162"/>
        <v>4.959485612423072E-12</v>
      </c>
      <c r="R178" s="60">
        <f t="shared" si="109"/>
        <v>289.04602628147535</v>
      </c>
      <c r="S178" s="60">
        <f ca="1">AVERAGE(OFFSET($R$3,0,0,'Données projet'!$E$9+1,1))-AVERAGE(OFFSET($H$3,0,0,'Données projet'!$E$9+1,1))</f>
        <v>366.29380214443631</v>
      </c>
      <c r="T178" s="60">
        <f t="shared" si="142"/>
        <v>413.14502442862897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24.571652806763289</v>
      </c>
      <c r="AA178" s="23">
        <f>EXP(-LN(2)/25)*AA177+(1-EXP(-LN(2)/25))/(LN(2)/25)*Calculateur!V178*Calculateur!X178*VLOOKUP('Données projet'!$B$9,Paramètres!$A$1:$I$88,3,0)*0.475*44/12</f>
        <v>5.4645922509788258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30.036245057742114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452.49999999999989</v>
      </c>
      <c r="AJ178" s="14">
        <f>AI178*VLOOKUP('Données projet'!$B$10,Paramètres!$A$1:$I$88,3,0)*VLOOKUP('Données projet'!$B$10,Paramètres!$A$1:$I$88,5,0)</f>
        <v>395.30399999999992</v>
      </c>
      <c r="AK178" s="14">
        <f t="shared" si="164"/>
        <v>90.823969929029445</v>
      </c>
      <c r="AL178" s="22">
        <f t="shared" si="165"/>
        <v>846.67288095972606</v>
      </c>
      <c r="AM178" s="60">
        <f t="shared" si="113"/>
        <v>1135.7189072411966</v>
      </c>
      <c r="AN178" s="60">
        <f ca="1">AVERAGE(OFFSET($AM$3,0,0,'Données projet'!$E$10+1,1))-AVERAGE(OFFSET($H$3,0,0,'Données projet'!$E$10+1,1))</f>
        <v>436.5217771315057</v>
      </c>
      <c r="AO178" s="60">
        <f t="shared" si="144"/>
        <v>308.97310256098365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6.2863790920210922</v>
      </c>
      <c r="AV178" s="23">
        <f>EXP(-LN(2)/25)*AV177+(1-EXP(-LN(2)/25))/(LN(2)/25)*Calculateur!AQ178*Calculateur!AS178*VLOOKUP('Données projet'!$B$10,Paramètres!$A$1:$I$88,3,0)*0.475*44/12</f>
        <v>1.3680075904105702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7.654386682431662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6</v>
      </c>
      <c r="BD178" s="13">
        <f>IF('Données projet'!$A$88&gt;35,BD177+BC178-BL177,IF(A178&lt;'Données projet'!$A$88,$BA$205^A178,IF(A178='Données projet'!$A$88,'Données projet'!$B$88,BD177+BC178-BL177)))</f>
        <v>378.00000000000023</v>
      </c>
      <c r="BE178" s="14">
        <f>BD178*VLOOKUP('Données projet'!$B$11,Paramètres!$A$1:$I$88,3,0)*VLOOKUP('Données projet'!$B$11,Paramètres!$A$1:$I$88,5,0)</f>
        <v>383.29200000000026</v>
      </c>
      <c r="BF178" s="14">
        <f t="shared" si="167"/>
        <v>88.381009177581461</v>
      </c>
      <c r="BG178" s="22">
        <f t="shared" si="168"/>
        <v>821.49715765095482</v>
      </c>
      <c r="BH178" s="60">
        <f t="shared" si="116"/>
        <v>1110.5431839324251</v>
      </c>
      <c r="BI178" s="60">
        <f ca="1">AVERAGE(OFFSET($BH$3,0,0,'Données projet'!$E$11+1,1))-AVERAGE(OFFSET($H$3,0,0,'Données projet'!$E$11+1,1))</f>
        <v>108.30434106718693</v>
      </c>
      <c r="BJ178" s="60">
        <f t="shared" si="146"/>
        <v>67.653808657585842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7.4265494674890578</v>
      </c>
      <c r="BQ178" s="23">
        <f>EXP(-LN(2)/25)*BQ177+(1-EXP(-LN(2)/25))/(LN(2)/25)*Calculateur!BL178*Calculateur!BN178*VLOOKUP('Données projet'!$B$11,Paramètres!$A$1:$I$88,3,0)*0.475*44/12</f>
        <v>0</v>
      </c>
      <c r="BR178" s="23">
        <f>EXP(-LN(2)/2)*BR177+(1-EXP(-LN(2)/2))/(LN(2)/2)*BL178*BO178*VLOOKUP('Données projet'!$B$11,Paramètres!$A$1:$I$88,3,0)*0.475*44/12</f>
        <v>0</v>
      </c>
      <c r="BS178" s="24">
        <f t="shared" si="169"/>
        <v>7.4265494674890578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projet'!$B$12,Paramètres!$A$1:$I$88,3,0)*VLOOKUP('Données projet'!$B$12,Paramètres!$A$1:$I$88,5,0)</f>
        <v>0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171.08593400758221</v>
      </c>
      <c r="CE178" s="60">
        <f t="shared" si="148"/>
        <v>201.9528484086932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projet'!$B$12,Paramètres!$A$1:$I$88,3,0)*0.475*44/12</f>
        <v>7.5160119446004359</v>
      </c>
      <c r="CL178" s="23">
        <f>EXP(-LN(2)/25)*CL177+(1-EXP(-LN(2)/25))/(LN(2)/25)*Calculateur!CG178*Calculateur!CI178*VLOOKUP('Données projet'!$B$12,Paramètres!$A$1:$I$88,3,0)*0.475*44/12</f>
        <v>1.7597913497421853</v>
      </c>
      <c r="CM178" s="23">
        <f>EXP(-LN(2)/2)*CM177+(1-EXP(-LN(2)/2))/(LN(2)/2)*CG178*CJ178*VLOOKUP('Données projet'!$B$12,Paramètres!$A$1:$I$88,3,0)*0.475*44/12</f>
        <v>0</v>
      </c>
      <c r="CN178" s="24">
        <f t="shared" si="172"/>
        <v>9.2758032943426212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projet'!$B$13,Paramètres!$A$1:$I$88,3,0)*VLOOKUP('Données projet'!$B$13,Paramètres!$A$1:$I$88,5,0)</f>
        <v>0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283.66646124753868</v>
      </c>
      <c r="CZ178" s="60">
        <f t="shared" si="150"/>
        <v>331.61926649572797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projet'!$B$13,Paramètres!$A$1:$I$88,3,0)*0.475*44/12</f>
        <v>37.011797554576702</v>
      </c>
      <c r="DG178" s="23">
        <f>EXP(-LN(2)/25)*DG177+(1-EXP(-LN(2)/25))/(LN(2)/25)*Calculateur!DB178*Calculateur!DD178*VLOOKUP('Données projet'!$B$13,Paramètres!$A$1:$I$88,3,0)*0.475*44/12</f>
        <v>0</v>
      </c>
      <c r="DH178" s="23">
        <f>EXP(-LN(2)/2)*DH177+(1-EXP(-LN(2)/2))/(LN(2)/2)*DB178*DE178*VLOOKUP('Données projet'!$B$13,Paramètres!$A$1:$I$88,3,0)*0.475*44/12</f>
        <v>0</v>
      </c>
      <c r="DI178" s="24">
        <f t="shared" si="175"/>
        <v>37.011797554576702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1.1368683772161603E-13</v>
      </c>
      <c r="DP178" s="18">
        <f>DO178*VLOOKUP('Données projet'!$B$14,Paramètres!$A$1:$I$88,3,0)*VLOOKUP('Données projet'!$B$14,Paramètres!$A$1:$I$88,5,0)</f>
        <v>8.3355189417488869E-14</v>
      </c>
      <c r="DQ178" s="14">
        <f t="shared" si="176"/>
        <v>1.2790518435140618E-12</v>
      </c>
      <c r="DR178" s="22">
        <f t="shared" si="177"/>
        <v>2.3728589156891171E-12</v>
      </c>
      <c r="DS178" s="60">
        <f t="shared" si="125"/>
        <v>289.04602628147279</v>
      </c>
      <c r="DT178" s="60">
        <f ca="1">AVERAGE(OFFSET($DS$3,0,0,'Données projet'!$E$14+1,1))-AVERAGE(OFFSET($H$3,0,0,'Données projet'!$E$14+1,1))</f>
        <v>212.77458587586861</v>
      </c>
      <c r="DU178" s="60">
        <f t="shared" si="152"/>
        <v>260.45879589483513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projet'!$B$14,Paramètres!$A$1:$I$88,3,0)*0.475*44/12</f>
        <v>3.6803560860792581</v>
      </c>
      <c r="EB178" s="23">
        <f>EXP(-LN(2)/25)*EB177+(1-EXP(-LN(2)/25))/(LN(2)/25)*Calculateur!DW178*Calculateur!DY178*VLOOKUP('Données projet'!$B$14,Paramètres!$A$1:$I$88,3,0)*0.475*44/12</f>
        <v>0.83542288346795268</v>
      </c>
      <c r="EC178" s="23">
        <f>EXP(-LN(2)/2)*EC177+(1-EXP(-LN(2)/2))/(LN(2)/2)*DW178*DZ178*VLOOKUP('Données projet'!$B$14,Paramètres!$A$1:$I$88,3,0)*0.475*44/12</f>
        <v>0</v>
      </c>
      <c r="ED178" s="24">
        <f t="shared" si="178"/>
        <v>4.5157789695472106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5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8">
        <f t="shared" si="110"/>
        <v>183.33333333333334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3.4106051316484809E-13</v>
      </c>
      <c r="O179" s="14">
        <f>N179*VLOOKUP('Données projet'!$B$9,Paramètres!$A$1:$I$88,3,0)*VLOOKUP('Données projet'!$B$9,Paramètres!$A$1:$I$88,5,0)</f>
        <v>1.9065282685915009E-13</v>
      </c>
      <c r="P179" s="14">
        <f t="shared" si="141"/>
        <v>2.6568987209435707E-12</v>
      </c>
      <c r="Q179" s="22">
        <f t="shared" si="162"/>
        <v>4.959485612423072E-12</v>
      </c>
      <c r="R179" s="60">
        <f t="shared" si="109"/>
        <v>289.12040147384255</v>
      </c>
      <c r="S179" s="60">
        <f ca="1">AVERAGE(OFFSET($R$3,0,0,'Données projet'!$E$9+1,1))-AVERAGE(OFFSET($H$3,0,0,'Données projet'!$E$9+1,1))</f>
        <v>366.29380214443631</v>
      </c>
      <c r="T179" s="60">
        <f t="shared" si="142"/>
        <v>413.14502442862897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24.089817682451006</v>
      </c>
      <c r="AA179" s="23">
        <f>EXP(-LN(2)/25)*AA178+(1-EXP(-LN(2)/25))/(LN(2)/25)*Calculateur!V179*Calculateur!X179*VLOOKUP('Données projet'!$B$9,Paramètres!$A$1:$I$88,3,0)*0.475*44/12</f>
        <v>5.3151626885053931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29.404980370956398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452.49999999999989</v>
      </c>
      <c r="AJ179" s="14">
        <f>AI179*VLOOKUP('Données projet'!$B$10,Paramètres!$A$1:$I$88,3,0)*VLOOKUP('Données projet'!$B$10,Paramètres!$A$1:$I$88,5,0)</f>
        <v>395.30399999999992</v>
      </c>
      <c r="AK179" s="14">
        <f t="shared" si="164"/>
        <v>90.823969929029445</v>
      </c>
      <c r="AL179" s="22">
        <f t="shared" si="165"/>
        <v>846.67288095972606</v>
      </c>
      <c r="AM179" s="60">
        <f t="shared" si="113"/>
        <v>1135.7932824335637</v>
      </c>
      <c r="AN179" s="60">
        <f ca="1">AVERAGE(OFFSET($AM$3,0,0,'Données projet'!$E$10+1,1))-AVERAGE(OFFSET($H$3,0,0,'Données projet'!$E$10+1,1))</f>
        <v>436.5217771315057</v>
      </c>
      <c r="AO179" s="60">
        <f t="shared" si="144"/>
        <v>308.97310256098365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6.1631070323391981</v>
      </c>
      <c r="AV179" s="23">
        <f>EXP(-LN(2)/25)*AV178+(1-EXP(-LN(2)/25))/(LN(2)/25)*Calculateur!AQ179*Calculateur!AS179*VLOOKUP('Données projet'!$B$10,Paramètres!$A$1:$I$88,3,0)*0.475*44/12</f>
        <v>1.3305993509104006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7.4937063832495987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6</v>
      </c>
      <c r="BD179" s="13">
        <f>IF('Données projet'!$A$88&gt;35,BD178+BC179-BL178,IF(A179&lt;'Données projet'!$A$88,$BA$205^A179,IF(A179='Données projet'!$A$88,'Données projet'!$B$88,BD178+BC179-BL178)))</f>
        <v>384.00000000000023</v>
      </c>
      <c r="BE179" s="14">
        <f>BD179*VLOOKUP('Données projet'!$B$11,Paramètres!$A$1:$I$88,3,0)*VLOOKUP('Données projet'!$B$11,Paramètres!$A$1:$I$88,5,0)</f>
        <v>389.37600000000026</v>
      </c>
      <c r="BF179" s="14">
        <f t="shared" si="167"/>
        <v>89.619449476412498</v>
      </c>
      <c r="BG179" s="22">
        <f t="shared" si="168"/>
        <v>834.25040783808561</v>
      </c>
      <c r="BH179" s="60">
        <f t="shared" si="116"/>
        <v>1123.3708093119233</v>
      </c>
      <c r="BI179" s="60">
        <f ca="1">AVERAGE(OFFSET($BH$3,0,0,'Données projet'!$E$11+1,1))-AVERAGE(OFFSET($H$3,0,0,'Données projet'!$E$11+1,1))</f>
        <v>108.30434106718693</v>
      </c>
      <c r="BJ179" s="60">
        <f t="shared" si="146"/>
        <v>67.653808657585842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7.280919362179497</v>
      </c>
      <c r="BQ179" s="23">
        <f>EXP(-LN(2)/25)*BQ178+(1-EXP(-LN(2)/25))/(LN(2)/25)*Calculateur!BL179*Calculateur!BN179*VLOOKUP('Données projet'!$B$11,Paramètres!$A$1:$I$88,3,0)*0.475*44/12</f>
        <v>0</v>
      </c>
      <c r="BR179" s="23">
        <f>EXP(-LN(2)/2)*BR178+(1-EXP(-LN(2)/2))/(LN(2)/2)*BL179*BO179*VLOOKUP('Données projet'!$B$11,Paramètres!$A$1:$I$88,3,0)*0.475*44/12</f>
        <v>0</v>
      </c>
      <c r="BS179" s="24">
        <f t="shared" si="169"/>
        <v>7.280919362179497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projet'!$B$12,Paramètres!$A$1:$I$88,3,0)*VLOOKUP('Données projet'!$B$12,Paramètres!$A$1:$I$88,5,0)</f>
        <v>0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171.08593400758221</v>
      </c>
      <c r="CE179" s="60">
        <f t="shared" si="148"/>
        <v>201.9528484086932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projet'!$B$12,Paramètres!$A$1:$I$88,3,0)*0.475*44/12</f>
        <v>7.368627534681444</v>
      </c>
      <c r="CL179" s="23">
        <f>EXP(-LN(2)/25)*CL178+(1-EXP(-LN(2)/25))/(LN(2)/25)*Calculateur!CG179*Calculateur!CI179*VLOOKUP('Données projet'!$B$12,Paramètres!$A$1:$I$88,3,0)*0.475*44/12</f>
        <v>1.7116697627400803</v>
      </c>
      <c r="CM179" s="23">
        <f>EXP(-LN(2)/2)*CM178+(1-EXP(-LN(2)/2))/(LN(2)/2)*CG179*CJ179*VLOOKUP('Données projet'!$B$12,Paramètres!$A$1:$I$88,3,0)*0.475*44/12</f>
        <v>0</v>
      </c>
      <c r="CN179" s="24">
        <f t="shared" si="172"/>
        <v>9.0802972974215237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projet'!$B$13,Paramètres!$A$1:$I$88,3,0)*VLOOKUP('Données projet'!$B$13,Paramètres!$A$1:$I$88,5,0)</f>
        <v>0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283.66646124753868</v>
      </c>
      <c r="CZ179" s="60">
        <f t="shared" si="150"/>
        <v>331.61926649572797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projet'!$B$13,Paramètres!$A$1:$I$88,3,0)*0.475*44/12</f>
        <v>36.286018779498868</v>
      </c>
      <c r="DG179" s="23">
        <f>EXP(-LN(2)/25)*DG178+(1-EXP(-LN(2)/25))/(LN(2)/25)*Calculateur!DB179*Calculateur!DD179*VLOOKUP('Données projet'!$B$13,Paramètres!$A$1:$I$88,3,0)*0.475*44/12</f>
        <v>0</v>
      </c>
      <c r="DH179" s="23">
        <f>EXP(-LN(2)/2)*DH178+(1-EXP(-LN(2)/2))/(LN(2)/2)*DB179*DE179*VLOOKUP('Données projet'!$B$13,Paramètres!$A$1:$I$88,3,0)*0.475*44/12</f>
        <v>0</v>
      </c>
      <c r="DI179" s="24">
        <f t="shared" si="175"/>
        <v>36.286018779498868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1.1368683772161603E-13</v>
      </c>
      <c r="DP179" s="18">
        <f>DO179*VLOOKUP('Données projet'!$B$14,Paramètres!$A$1:$I$88,3,0)*VLOOKUP('Données projet'!$B$14,Paramètres!$A$1:$I$88,5,0)</f>
        <v>8.3355189417488869E-14</v>
      </c>
      <c r="DQ179" s="14">
        <f t="shared" si="176"/>
        <v>1.2790518435140618E-12</v>
      </c>
      <c r="DR179" s="22">
        <f t="shared" si="177"/>
        <v>2.3728589156891171E-12</v>
      </c>
      <c r="DS179" s="60">
        <f t="shared" si="125"/>
        <v>289.12040147383999</v>
      </c>
      <c r="DT179" s="60">
        <f ca="1">AVERAGE(OFFSET($DS$3,0,0,'Données projet'!$E$14+1,1))-AVERAGE(OFFSET($H$3,0,0,'Données projet'!$E$14+1,1))</f>
        <v>212.77458587586861</v>
      </c>
      <c r="DU179" s="60">
        <f t="shared" si="152"/>
        <v>260.45879589483513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projet'!$B$14,Paramètres!$A$1:$I$88,3,0)*0.475*44/12</f>
        <v>3.6081865480268012</v>
      </c>
      <c r="EB179" s="23">
        <f>EXP(-LN(2)/25)*EB178+(1-EXP(-LN(2)/25))/(LN(2)/25)*Calculateur!DW179*Calculateur!DY179*VLOOKUP('Données projet'!$B$14,Paramètres!$A$1:$I$88,3,0)*0.475*44/12</f>
        <v>0.81257820078654142</v>
      </c>
      <c r="EC179" s="23">
        <f>EXP(-LN(2)/2)*EC178+(1-EXP(-LN(2)/2))/(LN(2)/2)*DW179*DZ179*VLOOKUP('Données projet'!$B$14,Paramètres!$A$1:$I$88,3,0)*0.475*44/12</f>
        <v>0</v>
      </c>
      <c r="ED179" s="24">
        <f t="shared" si="178"/>
        <v>4.4207647488133421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5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8">
        <f t="shared" si="110"/>
        <v>183.33333333333334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3.4106051316484809E-13</v>
      </c>
      <c r="O180" s="14">
        <f>N180*VLOOKUP('Données projet'!$B$9,Paramètres!$A$1:$I$88,3,0)*VLOOKUP('Données projet'!$B$9,Paramètres!$A$1:$I$88,5,0)</f>
        <v>1.9065282685915009E-13</v>
      </c>
      <c r="P180" s="14">
        <f t="shared" si="141"/>
        <v>2.6568987209435707E-12</v>
      </c>
      <c r="Q180" s="22">
        <f t="shared" si="162"/>
        <v>4.959485612423072E-12</v>
      </c>
      <c r="R180" s="60">
        <f t="shared" si="109"/>
        <v>289.19348642290021</v>
      </c>
      <c r="S180" s="60">
        <f ca="1">AVERAGE(OFFSET($R$3,0,0,'Données projet'!$E$9+1,1))-AVERAGE(OFFSET($H$3,0,0,'Données projet'!$E$9+1,1))</f>
        <v>366.29380214443631</v>
      </c>
      <c r="T180" s="60">
        <f t="shared" si="142"/>
        <v>413.14502442862897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23.617431051036082</v>
      </c>
      <c r="AA180" s="23">
        <f>EXP(-LN(2)/25)*AA179+(1-EXP(-LN(2)/25))/(LN(2)/25)*Calculateur!V180*Calculateur!X180*VLOOKUP('Données projet'!$B$9,Paramètres!$A$1:$I$88,3,0)*0.475*44/12</f>
        <v>5.1698192852759552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28.787250336312038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452.49999999999989</v>
      </c>
      <c r="AJ180" s="14">
        <f>AI180*VLOOKUP('Données projet'!$B$10,Paramètres!$A$1:$I$88,3,0)*VLOOKUP('Données projet'!$B$10,Paramètres!$A$1:$I$88,5,0)</f>
        <v>395.30399999999992</v>
      </c>
      <c r="AK180" s="14">
        <f t="shared" si="164"/>
        <v>90.823969929029445</v>
      </c>
      <c r="AL180" s="22">
        <f t="shared" si="165"/>
        <v>846.67288095972606</v>
      </c>
      <c r="AM180" s="60">
        <f t="shared" si="113"/>
        <v>1135.8663673826213</v>
      </c>
      <c r="AN180" s="60">
        <f ca="1">AVERAGE(OFFSET($AM$3,0,0,'Données projet'!$E$10+1,1))-AVERAGE(OFFSET($H$3,0,0,'Données projet'!$E$10+1,1))</f>
        <v>436.5217771315057</v>
      </c>
      <c r="AO180" s="60">
        <f t="shared" si="144"/>
        <v>308.97310256098365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6.0422522625591331</v>
      </c>
      <c r="AV180" s="23">
        <f>EXP(-LN(2)/25)*AV179+(1-EXP(-LN(2)/25))/(LN(2)/25)*Calculateur!AQ180*Calculateur!AS180*VLOOKUP('Données projet'!$B$10,Paramètres!$A$1:$I$88,3,0)*0.475*44/12</f>
        <v>1.2942140416865771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7.3364663042457101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6</v>
      </c>
      <c r="BD180" s="13">
        <f>IF('Données projet'!$A$88&gt;35,BD179+BC180-BL179,IF(A180&lt;'Données projet'!$A$88,$BA$205^A180,IF(A180='Données projet'!$A$88,'Données projet'!$B$88,BD179+BC180-BL179)))</f>
        <v>390.00000000000023</v>
      </c>
      <c r="BE180" s="14">
        <f>BD180*VLOOKUP('Données projet'!$B$11,Paramètres!$A$1:$I$88,3,0)*VLOOKUP('Données projet'!$B$11,Paramètres!$A$1:$I$88,5,0)</f>
        <v>395.46000000000026</v>
      </c>
      <c r="BF180" s="14">
        <f t="shared" si="167"/>
        <v>90.855639312178511</v>
      </c>
      <c r="BG180" s="22">
        <f t="shared" si="168"/>
        <v>846.99973846871126</v>
      </c>
      <c r="BH180" s="60">
        <f t="shared" si="116"/>
        <v>1136.1932248916064</v>
      </c>
      <c r="BI180" s="60">
        <f ca="1">AVERAGE(OFFSET($BH$3,0,0,'Données projet'!$E$11+1,1))-AVERAGE(OFFSET($H$3,0,0,'Données projet'!$E$11+1,1))</f>
        <v>108.30434106718693</v>
      </c>
      <c r="BJ180" s="60">
        <f t="shared" si="146"/>
        <v>67.653808657585842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7.1381449744094629</v>
      </c>
      <c r="BQ180" s="23">
        <f>EXP(-LN(2)/25)*BQ179+(1-EXP(-LN(2)/25))/(LN(2)/25)*Calculateur!BL180*Calculateur!BN180*VLOOKUP('Données projet'!$B$11,Paramètres!$A$1:$I$88,3,0)*0.475*44/12</f>
        <v>0</v>
      </c>
      <c r="BR180" s="23">
        <f>EXP(-LN(2)/2)*BR179+(1-EXP(-LN(2)/2))/(LN(2)/2)*BL180*BO180*VLOOKUP('Données projet'!$B$11,Paramètres!$A$1:$I$88,3,0)*0.475*44/12</f>
        <v>0</v>
      </c>
      <c r="BS180" s="24">
        <f t="shared" si="169"/>
        <v>7.1381449744094629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projet'!$B$12,Paramètres!$A$1:$I$88,3,0)*VLOOKUP('Données projet'!$B$12,Paramètres!$A$1:$I$88,5,0)</f>
        <v>0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171.08593400758221</v>
      </c>
      <c r="CE180" s="60">
        <f t="shared" si="148"/>
        <v>201.9528484086932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projet'!$B$12,Paramètres!$A$1:$I$88,3,0)*0.475*44/12</f>
        <v>7.2241332431453502</v>
      </c>
      <c r="CL180" s="23">
        <f>EXP(-LN(2)/25)*CL179+(1-EXP(-LN(2)/25))/(LN(2)/25)*Calculateur!CG180*Calculateur!CI180*VLOOKUP('Données projet'!$B$12,Paramètres!$A$1:$I$88,3,0)*0.475*44/12</f>
        <v>1.6648640630651521</v>
      </c>
      <c r="CM180" s="23">
        <f>EXP(-LN(2)/2)*CM179+(1-EXP(-LN(2)/2))/(LN(2)/2)*CG180*CJ180*VLOOKUP('Données projet'!$B$12,Paramètres!$A$1:$I$88,3,0)*0.475*44/12</f>
        <v>0</v>
      </c>
      <c r="CN180" s="24">
        <f t="shared" si="172"/>
        <v>8.8889973062105021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projet'!$B$13,Paramètres!$A$1:$I$88,3,0)*VLOOKUP('Données projet'!$B$13,Paramètres!$A$1:$I$88,5,0)</f>
        <v>0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283.66646124753868</v>
      </c>
      <c r="CZ180" s="60">
        <f t="shared" si="150"/>
        <v>331.61926649572797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projet'!$B$13,Paramètres!$A$1:$I$88,3,0)*0.475*44/12</f>
        <v>35.57447208351897</v>
      </c>
      <c r="DG180" s="23">
        <f>EXP(-LN(2)/25)*DG179+(1-EXP(-LN(2)/25))/(LN(2)/25)*Calculateur!DB180*Calculateur!DD180*VLOOKUP('Données projet'!$B$13,Paramètres!$A$1:$I$88,3,0)*0.475*44/12</f>
        <v>0</v>
      </c>
      <c r="DH180" s="23">
        <f>EXP(-LN(2)/2)*DH179+(1-EXP(-LN(2)/2))/(LN(2)/2)*DB180*DE180*VLOOKUP('Données projet'!$B$13,Paramètres!$A$1:$I$88,3,0)*0.475*44/12</f>
        <v>0</v>
      </c>
      <c r="DI180" s="24">
        <f t="shared" si="175"/>
        <v>35.57447208351897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1.1368683772161603E-13</v>
      </c>
      <c r="DP180" s="18">
        <f>DO180*VLOOKUP('Données projet'!$B$14,Paramètres!$A$1:$I$88,3,0)*VLOOKUP('Données projet'!$B$14,Paramètres!$A$1:$I$88,5,0)</f>
        <v>8.3355189417488869E-14</v>
      </c>
      <c r="DQ180" s="14">
        <f t="shared" si="176"/>
        <v>1.2790518435140618E-12</v>
      </c>
      <c r="DR180" s="22">
        <f t="shared" si="177"/>
        <v>2.3728589156891171E-12</v>
      </c>
      <c r="DS180" s="60">
        <f t="shared" si="125"/>
        <v>289.19348642289765</v>
      </c>
      <c r="DT180" s="60">
        <f ca="1">AVERAGE(OFFSET($DS$3,0,0,'Données projet'!$E$14+1,1))-AVERAGE(OFFSET($H$3,0,0,'Données projet'!$E$14+1,1))</f>
        <v>212.77458587586861</v>
      </c>
      <c r="DU180" s="60">
        <f t="shared" si="152"/>
        <v>260.45879589483513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projet'!$B$14,Paramètres!$A$1:$I$88,3,0)*0.475*44/12</f>
        <v>3.5374322105964811</v>
      </c>
      <c r="EB180" s="23">
        <f>EXP(-LN(2)/25)*EB179+(1-EXP(-LN(2)/25))/(LN(2)/25)*Calculateur!DW180*Calculateur!DY180*VLOOKUP('Données projet'!$B$14,Paramètres!$A$1:$I$88,3,0)*0.475*44/12</f>
        <v>0.79035820715440308</v>
      </c>
      <c r="EC180" s="23">
        <f>EXP(-LN(2)/2)*EC179+(1-EXP(-LN(2)/2))/(LN(2)/2)*DW180*DZ180*VLOOKUP('Données projet'!$B$14,Paramètres!$A$1:$I$88,3,0)*0.475*44/12</f>
        <v>0</v>
      </c>
      <c r="ED180" s="24">
        <f t="shared" si="178"/>
        <v>4.3277904177508839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5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8">
        <f t="shared" si="110"/>
        <v>183.33333333333334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3.4106051316484809E-13</v>
      </c>
      <c r="O181" s="14">
        <f>N181*VLOOKUP('Données projet'!$B$9,Paramètres!$A$1:$I$88,3,0)*VLOOKUP('Données projet'!$B$9,Paramètres!$A$1:$I$88,5,0)</f>
        <v>1.9065282685915009E-13</v>
      </c>
      <c r="P181" s="14">
        <f t="shared" si="141"/>
        <v>2.6568987209435707E-12</v>
      </c>
      <c r="Q181" s="22">
        <f t="shared" si="162"/>
        <v>4.959485612423072E-12</v>
      </c>
      <c r="R181" s="60">
        <f t="shared" si="109"/>
        <v>289.26530351148511</v>
      </c>
      <c r="S181" s="60">
        <f ca="1">AVERAGE(OFFSET($R$3,0,0,'Données projet'!$E$9+1,1))-AVERAGE(OFFSET($H$3,0,0,'Données projet'!$E$9+1,1))</f>
        <v>366.29380214443631</v>
      </c>
      <c r="T181" s="60">
        <f t="shared" si="142"/>
        <v>413.14502442862897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23.154307633335808</v>
      </c>
      <c r="AA181" s="23">
        <f>EXP(-LN(2)/25)*AA180+(1-EXP(-LN(2)/25))/(LN(2)/25)*Calculateur!V181*Calculateur!X181*VLOOKUP('Données projet'!$B$9,Paramètres!$A$1:$I$88,3,0)*0.475*44/12</f>
        <v>5.0284503050511038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28.182757938386914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452.49999999999989</v>
      </c>
      <c r="AJ181" s="14">
        <f>AI181*VLOOKUP('Données projet'!$B$10,Paramètres!$A$1:$I$88,3,0)*VLOOKUP('Données projet'!$B$10,Paramètres!$A$1:$I$88,5,0)</f>
        <v>395.30399999999992</v>
      </c>
      <c r="AK181" s="14">
        <f t="shared" si="164"/>
        <v>90.823969929029445</v>
      </c>
      <c r="AL181" s="22">
        <f t="shared" si="165"/>
        <v>846.67288095972606</v>
      </c>
      <c r="AM181" s="60">
        <f t="shared" si="113"/>
        <v>1135.9381844712061</v>
      </c>
      <c r="AN181" s="60">
        <f ca="1">AVERAGE(OFFSET($AM$3,0,0,'Données projet'!$E$10+1,1))-AVERAGE(OFFSET($H$3,0,0,'Données projet'!$E$10+1,1))</f>
        <v>436.5217771315057</v>
      </c>
      <c r="AO181" s="60">
        <f t="shared" si="144"/>
        <v>308.97310256098365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5.9237673811003244</v>
      </c>
      <c r="AV181" s="23">
        <f>EXP(-LN(2)/25)*AV180+(1-EXP(-LN(2)/25))/(LN(2)/25)*Calculateur!AQ181*Calculateur!AS181*VLOOKUP('Données projet'!$B$10,Paramètres!$A$1:$I$88,3,0)*0.475*44/12</f>
        <v>1.258823690656899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7.1825910717572237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6</v>
      </c>
      <c r="BD181" s="13">
        <f>IF('Données projet'!$A$88&gt;35,BD180+BC181-BL180,IF(A181&lt;'Données projet'!$A$88,$BA$205^A181,IF(A181='Données projet'!$A$88,'Données projet'!$B$88,BD180+BC181-BL180)))</f>
        <v>396.00000000000023</v>
      </c>
      <c r="BE181" s="14">
        <f>BD181*VLOOKUP('Données projet'!$B$11,Paramètres!$A$1:$I$88,3,0)*VLOOKUP('Données projet'!$B$11,Paramètres!$A$1:$I$88,5,0)</f>
        <v>401.54400000000027</v>
      </c>
      <c r="BF181" s="14">
        <f t="shared" si="167"/>
        <v>92.08961730592813</v>
      </c>
      <c r="BG181" s="22">
        <f t="shared" si="168"/>
        <v>859.74521680782527</v>
      </c>
      <c r="BH181" s="60">
        <f t="shared" si="116"/>
        <v>1149.0105203193054</v>
      </c>
      <c r="BI181" s="60">
        <f ca="1">AVERAGE(OFFSET($BH$3,0,0,'Données projet'!$E$11+1,1))-AVERAGE(OFFSET($H$3,0,0,'Données projet'!$E$11+1,1))</f>
        <v>108.30434106718693</v>
      </c>
      <c r="BJ181" s="60">
        <f t="shared" si="146"/>
        <v>67.653808657585842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6.9981703052998219</v>
      </c>
      <c r="BQ181" s="23">
        <f>EXP(-LN(2)/25)*BQ180+(1-EXP(-LN(2)/25))/(LN(2)/25)*Calculateur!BL181*Calculateur!BN181*VLOOKUP('Données projet'!$B$11,Paramètres!$A$1:$I$88,3,0)*0.475*44/12</f>
        <v>0</v>
      </c>
      <c r="BR181" s="23">
        <f>EXP(-LN(2)/2)*BR180+(1-EXP(-LN(2)/2))/(LN(2)/2)*BL181*BO181*VLOOKUP('Données projet'!$B$11,Paramètres!$A$1:$I$88,3,0)*0.475*44/12</f>
        <v>0</v>
      </c>
      <c r="BS181" s="24">
        <f t="shared" si="169"/>
        <v>6.9981703052998219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projet'!$B$12,Paramètres!$A$1:$I$88,3,0)*VLOOKUP('Données projet'!$B$12,Paramètres!$A$1:$I$88,5,0)</f>
        <v>0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171.08593400758221</v>
      </c>
      <c r="CE181" s="60">
        <f t="shared" si="148"/>
        <v>201.9528484086932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projet'!$B$12,Paramètres!$A$1:$I$88,3,0)*0.475*44/12</f>
        <v>7.0824723965334639</v>
      </c>
      <c r="CL181" s="23">
        <f>EXP(-LN(2)/25)*CL180+(1-EXP(-LN(2)/25))/(LN(2)/25)*Calculateur!CG181*Calculateur!CI181*VLOOKUP('Données projet'!$B$12,Paramètres!$A$1:$I$88,3,0)*0.475*44/12</f>
        <v>1.6193382677092396</v>
      </c>
      <c r="CM181" s="23">
        <f>EXP(-LN(2)/2)*CM180+(1-EXP(-LN(2)/2))/(LN(2)/2)*CG181*CJ181*VLOOKUP('Données projet'!$B$12,Paramètres!$A$1:$I$88,3,0)*0.475*44/12</f>
        <v>0</v>
      </c>
      <c r="CN181" s="24">
        <f t="shared" si="172"/>
        <v>8.7018106642427036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projet'!$B$13,Paramètres!$A$1:$I$88,3,0)*VLOOKUP('Données projet'!$B$13,Paramètres!$A$1:$I$88,5,0)</f>
        <v>0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283.66646124753868</v>
      </c>
      <c r="CZ181" s="60">
        <f t="shared" si="150"/>
        <v>331.61926649572797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projet'!$B$13,Paramètres!$A$1:$I$88,3,0)*0.475*44/12</f>
        <v>34.876878384246609</v>
      </c>
      <c r="DG181" s="23">
        <f>EXP(-LN(2)/25)*DG180+(1-EXP(-LN(2)/25))/(LN(2)/25)*Calculateur!DB181*Calculateur!DD181*VLOOKUP('Données projet'!$B$13,Paramètres!$A$1:$I$88,3,0)*0.475*44/12</f>
        <v>0</v>
      </c>
      <c r="DH181" s="23">
        <f>EXP(-LN(2)/2)*DH180+(1-EXP(-LN(2)/2))/(LN(2)/2)*DB181*DE181*VLOOKUP('Données projet'!$B$13,Paramètres!$A$1:$I$88,3,0)*0.475*44/12</f>
        <v>0</v>
      </c>
      <c r="DI181" s="24">
        <f t="shared" si="175"/>
        <v>34.876878384246609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1.1368683772161603E-13</v>
      </c>
      <c r="DP181" s="18">
        <f>DO181*VLOOKUP('Données projet'!$B$14,Paramètres!$A$1:$I$88,3,0)*VLOOKUP('Données projet'!$B$14,Paramètres!$A$1:$I$88,5,0)</f>
        <v>8.3355189417488869E-14</v>
      </c>
      <c r="DQ181" s="14">
        <f t="shared" si="176"/>
        <v>1.2790518435140618E-12</v>
      </c>
      <c r="DR181" s="22">
        <f t="shared" si="177"/>
        <v>2.3728589156891171E-12</v>
      </c>
      <c r="DS181" s="60">
        <f t="shared" si="125"/>
        <v>289.26530351148256</v>
      </c>
      <c r="DT181" s="60">
        <f ca="1">AVERAGE(OFFSET($DS$3,0,0,'Données projet'!$E$14+1,1))-AVERAGE(OFFSET($H$3,0,0,'Données projet'!$E$14+1,1))</f>
        <v>212.77458587586861</v>
      </c>
      <c r="DU181" s="60">
        <f t="shared" si="152"/>
        <v>260.45879589483513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projet'!$B$14,Paramètres!$A$1:$I$88,3,0)*0.475*44/12</f>
        <v>3.4680653225672851</v>
      </c>
      <c r="EB181" s="23">
        <f>EXP(-LN(2)/25)*EB180+(1-EXP(-LN(2)/25))/(LN(2)/25)*Calculateur!DW181*Calculateur!DY181*VLOOKUP('Données projet'!$B$14,Paramètres!$A$1:$I$88,3,0)*0.475*44/12</f>
        <v>0.7687458204166342</v>
      </c>
      <c r="EC181" s="23">
        <f>EXP(-LN(2)/2)*EC180+(1-EXP(-LN(2)/2))/(LN(2)/2)*DW181*DZ181*VLOOKUP('Données projet'!$B$14,Paramètres!$A$1:$I$88,3,0)*0.475*44/12</f>
        <v>0</v>
      </c>
      <c r="ED181" s="24">
        <f t="shared" si="178"/>
        <v>4.2368111429839193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5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8">
        <f t="shared" si="110"/>
        <v>183.33333333333334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3.4106051316484809E-13</v>
      </c>
      <c r="O182" s="14">
        <f>N182*VLOOKUP('Données projet'!$B$9,Paramètres!$A$1:$I$88,3,0)*VLOOKUP('Données projet'!$B$9,Paramètres!$A$1:$I$88,5,0)</f>
        <v>1.9065282685915009E-13</v>
      </c>
      <c r="P182" s="14">
        <f t="shared" si="141"/>
        <v>2.6568987209435707E-12</v>
      </c>
      <c r="Q182" s="22">
        <f t="shared" si="162"/>
        <v>4.959485612423072E-12</v>
      </c>
      <c r="R182" s="60">
        <f t="shared" si="109"/>
        <v>289.33587473414207</v>
      </c>
      <c r="S182" s="60">
        <f ca="1">AVERAGE(OFFSET($R$3,0,0,'Données projet'!$E$9+1,1))-AVERAGE(OFFSET($H$3,0,0,'Données projet'!$E$9+1,1))</f>
        <v>366.29380214443631</v>
      </c>
      <c r="T182" s="60">
        <f t="shared" si="142"/>
        <v>413.14502442862897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22.700265783379244</v>
      </c>
      <c r="AA182" s="23">
        <f>EXP(-LN(2)/25)*AA181+(1-EXP(-LN(2)/25))/(LN(2)/25)*Calculateur!V182*Calculateur!X182*VLOOKUP('Données projet'!$B$9,Paramètres!$A$1:$I$88,3,0)*0.475*44/12</f>
        <v>4.8909470670247721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27.591212850404016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452.49999999999989</v>
      </c>
      <c r="AJ182" s="14">
        <f>AI182*VLOOKUP('Données projet'!$B$10,Paramètres!$A$1:$I$88,3,0)*VLOOKUP('Données projet'!$B$10,Paramètres!$A$1:$I$88,5,0)</f>
        <v>395.30399999999992</v>
      </c>
      <c r="AK182" s="14">
        <f t="shared" si="164"/>
        <v>90.823969929029445</v>
      </c>
      <c r="AL182" s="22">
        <f t="shared" si="165"/>
        <v>846.67288095972606</v>
      </c>
      <c r="AM182" s="60">
        <f t="shared" si="113"/>
        <v>1136.0087556938631</v>
      </c>
      <c r="AN182" s="60">
        <f ca="1">AVERAGE(OFFSET($AM$3,0,0,'Données projet'!$E$10+1,1))-AVERAGE(OFFSET($H$3,0,0,'Données projet'!$E$10+1,1))</f>
        <v>436.5217771315057</v>
      </c>
      <c r="AO182" s="60">
        <f t="shared" si="144"/>
        <v>308.97310256098365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5.8076059158982813</v>
      </c>
      <c r="AV182" s="23">
        <f>EXP(-LN(2)/25)*AV181+(1-EXP(-LN(2)/25))/(LN(2)/25)*Calculateur!AQ182*Calculateur!AS182*VLOOKUP('Données projet'!$B$10,Paramètres!$A$1:$I$88,3,0)*0.475*44/12</f>
        <v>1.2244010906372254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7.0320070065355065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6</v>
      </c>
      <c r="BD182" s="13">
        <f>IF('Données projet'!$A$88&gt;35,BD181+BC182-BL181,IF(A182&lt;'Données projet'!$A$88,$BA$205^A182,IF(A182='Données projet'!$A$88,'Données projet'!$B$88,BD181+BC182-BL181)))</f>
        <v>402.00000000000023</v>
      </c>
      <c r="BE182" s="14">
        <f>BD182*VLOOKUP('Données projet'!$B$11,Paramètres!$A$1:$I$88,3,0)*VLOOKUP('Données projet'!$B$11,Paramètres!$A$1:$I$88,5,0)</f>
        <v>407.62800000000027</v>
      </c>
      <c r="BF182" s="14">
        <f t="shared" si="167"/>
        <v>93.321420841211832</v>
      </c>
      <c r="BG182" s="22">
        <f t="shared" si="168"/>
        <v>872.48690796511107</v>
      </c>
      <c r="BH182" s="60">
        <f t="shared" si="116"/>
        <v>1161.8227826992481</v>
      </c>
      <c r="BI182" s="60">
        <f ca="1">AVERAGE(OFFSET($BH$3,0,0,'Données projet'!$E$11+1,1))-AVERAGE(OFFSET($H$3,0,0,'Données projet'!$E$11+1,1))</f>
        <v>108.30434106718693</v>
      </c>
      <c r="BJ182" s="60">
        <f t="shared" si="146"/>
        <v>67.653808657585842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6.860940454075303</v>
      </c>
      <c r="BQ182" s="23">
        <f>EXP(-LN(2)/25)*BQ181+(1-EXP(-LN(2)/25))/(LN(2)/25)*Calculateur!BL182*Calculateur!BN182*VLOOKUP('Données projet'!$B$11,Paramètres!$A$1:$I$88,3,0)*0.475*44/12</f>
        <v>0</v>
      </c>
      <c r="BR182" s="23">
        <f>EXP(-LN(2)/2)*BR181+(1-EXP(-LN(2)/2))/(LN(2)/2)*BL182*BO182*VLOOKUP('Données projet'!$B$11,Paramètres!$A$1:$I$88,3,0)*0.475*44/12</f>
        <v>0</v>
      </c>
      <c r="BS182" s="24">
        <f t="shared" si="169"/>
        <v>6.860940454075303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projet'!$B$12,Paramètres!$A$1:$I$88,3,0)*VLOOKUP('Données projet'!$B$12,Paramètres!$A$1:$I$88,5,0)</f>
        <v>0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171.08593400758221</v>
      </c>
      <c r="CE182" s="60">
        <f t="shared" si="148"/>
        <v>201.9528484086932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projet'!$B$12,Paramètres!$A$1:$I$88,3,0)*0.475*44/12</f>
        <v>6.9435894327190519</v>
      </c>
      <c r="CL182" s="23">
        <f>EXP(-LN(2)/25)*CL181+(1-EXP(-LN(2)/25))/(LN(2)/25)*Calculateur!CG182*Calculateur!CI182*VLOOKUP('Données projet'!$B$12,Paramètres!$A$1:$I$88,3,0)*0.475*44/12</f>
        <v>1.5750573776214321</v>
      </c>
      <c r="CM182" s="23">
        <f>EXP(-LN(2)/2)*CM181+(1-EXP(-LN(2)/2))/(LN(2)/2)*CG182*CJ182*VLOOKUP('Données projet'!$B$12,Paramètres!$A$1:$I$88,3,0)*0.475*44/12</f>
        <v>0</v>
      </c>
      <c r="CN182" s="24">
        <f t="shared" si="172"/>
        <v>8.5186468103404849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projet'!$B$13,Paramètres!$A$1:$I$88,3,0)*VLOOKUP('Données projet'!$B$13,Paramètres!$A$1:$I$88,5,0)</f>
        <v>0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283.66646124753868</v>
      </c>
      <c r="CZ182" s="60">
        <f t="shared" si="150"/>
        <v>331.61926649572797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projet'!$B$13,Paramètres!$A$1:$I$88,3,0)*0.475*44/12</f>
        <v>34.192964071926831</v>
      </c>
      <c r="DG182" s="23">
        <f>EXP(-LN(2)/25)*DG181+(1-EXP(-LN(2)/25))/(LN(2)/25)*Calculateur!DB182*Calculateur!DD182*VLOOKUP('Données projet'!$B$13,Paramètres!$A$1:$I$88,3,0)*0.475*44/12</f>
        <v>0</v>
      </c>
      <c r="DH182" s="23">
        <f>EXP(-LN(2)/2)*DH181+(1-EXP(-LN(2)/2))/(LN(2)/2)*DB182*DE182*VLOOKUP('Données projet'!$B$13,Paramètres!$A$1:$I$88,3,0)*0.475*44/12</f>
        <v>0</v>
      </c>
      <c r="DI182" s="24">
        <f t="shared" si="175"/>
        <v>34.192964071926831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1.1368683772161603E-13</v>
      </c>
      <c r="DP182" s="18">
        <f>DO182*VLOOKUP('Données projet'!$B$14,Paramètres!$A$1:$I$88,3,0)*VLOOKUP('Données projet'!$B$14,Paramètres!$A$1:$I$88,5,0)</f>
        <v>8.3355189417488869E-14</v>
      </c>
      <c r="DQ182" s="14">
        <f t="shared" si="176"/>
        <v>1.2790518435140618E-12</v>
      </c>
      <c r="DR182" s="22">
        <f t="shared" si="177"/>
        <v>2.3728589156891171E-12</v>
      </c>
      <c r="DS182" s="60">
        <f t="shared" si="125"/>
        <v>289.33587473413951</v>
      </c>
      <c r="DT182" s="60">
        <f ca="1">AVERAGE(OFFSET($DS$3,0,0,'Données projet'!$E$14+1,1))-AVERAGE(OFFSET($H$3,0,0,'Données projet'!$E$14+1,1))</f>
        <v>212.77458587586861</v>
      </c>
      <c r="DU182" s="60">
        <f t="shared" si="152"/>
        <v>260.45879589483513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projet'!$B$14,Paramètres!$A$1:$I$88,3,0)*0.475*44/12</f>
        <v>3.4000586769027179</v>
      </c>
      <c r="EB182" s="23">
        <f>EXP(-LN(2)/25)*EB181+(1-EXP(-LN(2)/25))/(LN(2)/25)*Calculateur!DW182*Calculateur!DY182*VLOOKUP('Données projet'!$B$14,Paramètres!$A$1:$I$88,3,0)*0.475*44/12</f>
        <v>0.74772442553075558</v>
      </c>
      <c r="EC182" s="23">
        <f>EXP(-LN(2)/2)*EC181+(1-EXP(-LN(2)/2))/(LN(2)/2)*DW182*DZ182*VLOOKUP('Données projet'!$B$14,Paramètres!$A$1:$I$88,3,0)*0.475*44/12</f>
        <v>0</v>
      </c>
      <c r="ED182" s="24">
        <f t="shared" si="178"/>
        <v>4.1477831024334737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5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8">
        <f t="shared" si="110"/>
        <v>183.33333333333334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3.4106051316484809E-13</v>
      </c>
      <c r="O183" s="14">
        <f>N183*VLOOKUP('Données projet'!$B$9,Paramètres!$A$1:$I$88,3,0)*VLOOKUP('Données projet'!$B$9,Paramètres!$A$1:$I$88,5,0)</f>
        <v>1.9065282685915009E-13</v>
      </c>
      <c r="P183" s="14">
        <f t="shared" si="141"/>
        <v>2.6568987209435707E-12</v>
      </c>
      <c r="Q183" s="22">
        <f t="shared" si="162"/>
        <v>4.959485612423072E-12</v>
      </c>
      <c r="R183" s="60">
        <f t="shared" si="109"/>
        <v>289.40522170385958</v>
      </c>
      <c r="S183" s="60">
        <f ca="1">AVERAGE(OFFSET($R$3,0,0,'Données projet'!$E$9+1,1))-AVERAGE(OFFSET($H$3,0,0,'Données projet'!$E$9+1,1))</f>
        <v>366.29380214443631</v>
      </c>
      <c r="T183" s="60">
        <f t="shared" si="142"/>
        <v>413.14502442862897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22.255127417162146</v>
      </c>
      <c r="AA183" s="23">
        <f>EXP(-LN(2)/25)*AA182+(1-EXP(-LN(2)/25))/(LN(2)/25)*Calculateur!V183*Calculateur!X183*VLOOKUP('Données projet'!$B$9,Paramètres!$A$1:$I$88,3,0)*0.475*44/12</f>
        <v>4.7572038622732515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27.012331279435397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452.49999999999989</v>
      </c>
      <c r="AJ183" s="14">
        <f>AI183*VLOOKUP('Données projet'!$B$10,Paramètres!$A$1:$I$88,3,0)*VLOOKUP('Données projet'!$B$10,Paramètres!$A$1:$I$88,5,0)</f>
        <v>395.30399999999992</v>
      </c>
      <c r="AK183" s="14">
        <f t="shared" si="164"/>
        <v>90.823969929029445</v>
      </c>
      <c r="AL183" s="22">
        <f t="shared" si="165"/>
        <v>846.67288095972606</v>
      </c>
      <c r="AM183" s="60">
        <f t="shared" si="113"/>
        <v>1136.0781026635807</v>
      </c>
      <c r="AN183" s="60">
        <f ca="1">AVERAGE(OFFSET($AM$3,0,0,'Données projet'!$E$10+1,1))-AVERAGE(OFFSET($H$3,0,0,'Données projet'!$E$10+1,1))</f>
        <v>436.5217771315057</v>
      </c>
      <c r="AO183" s="60">
        <f t="shared" si="144"/>
        <v>308.97310256098365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5.693722306177353</v>
      </c>
      <c r="AV183" s="23">
        <f>EXP(-LN(2)/25)*AV182+(1-EXP(-LN(2)/25))/(LN(2)/25)*Calculateur!AQ183*Calculateur!AS183*VLOOKUP('Données projet'!$B$10,Paramètres!$A$1:$I$88,3,0)*0.475*44/12</f>
        <v>1.1909197784252954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6.8846420846026479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>
        <f>VLOOKUP(A183,'Données projet'!$A$87:$I$107,2,0)</f>
        <v>408</v>
      </c>
      <c r="BB183" s="13">
        <f>VLOOKUP(A183,'Données projet'!$A$87:$I$107,9,0)</f>
        <v>6</v>
      </c>
      <c r="BC183" s="13">
        <f t="array" ref="BC183">INDEX(BB:BB,MIN(IF(ISNUMBER(BB183:BB379),ROW(BB183:BB379),"")))</f>
        <v>6</v>
      </c>
      <c r="BD183" s="13">
        <f>IF('Données projet'!$A$88&gt;35,BD182+BC183-BL182,IF(A183&lt;'Données projet'!$A$88,$BA$205^A183,IF(A183='Données projet'!$A$88,'Données projet'!$B$88,BD182+BC183-BL182)))</f>
        <v>408.00000000000023</v>
      </c>
      <c r="BE183" s="14">
        <f>BD183*VLOOKUP('Données projet'!$B$11,Paramètres!$A$1:$I$88,3,0)*VLOOKUP('Données projet'!$B$11,Paramètres!$A$1:$I$88,5,0)</f>
        <v>413.71200000000027</v>
      </c>
      <c r="BF183" s="14">
        <f t="shared" si="167"/>
        <v>94.55108612160069</v>
      </c>
      <c r="BG183" s="22">
        <f t="shared" si="168"/>
        <v>885.2248749951217</v>
      </c>
      <c r="BH183" s="60">
        <f t="shared" si="116"/>
        <v>1174.6300966989763</v>
      </c>
      <c r="BI183" s="60">
        <f ca="1">AVERAGE(OFFSET($BH$3,0,0,'Données projet'!$E$11+1,1))-AVERAGE(OFFSET($H$3,0,0,'Données projet'!$E$11+1,1))</f>
        <v>108.30434106718693</v>
      </c>
      <c r="BJ183" s="60">
        <f t="shared" si="146"/>
        <v>67.653808657585842</v>
      </c>
      <c r="BK183" s="16">
        <f>IF(ISNA(VLOOKUP(A183,'Données projet'!$A$87:$I$107,3,0)),0,VLOOKUP(A183,'Données projet'!$A$87:$I$107,3,0))</f>
        <v>16</v>
      </c>
      <c r="BL183" s="16">
        <f>IF(ISNA(VLOOKUP(A183,'Données projet'!$A$87:$I$107,4,0)),0,VLOOKUP(A183,'Données projet'!$A$87:$I$107,4,0))</f>
        <v>408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6.7264015965313524</v>
      </c>
      <c r="BQ183" s="23">
        <f>EXP(-LN(2)/25)*BQ182+(1-EXP(-LN(2)/25))/(LN(2)/25)*Calculateur!BL183*Calculateur!BN183*VLOOKUP('Données projet'!$B$11,Paramètres!$A$1:$I$88,3,0)*0.475*44/12</f>
        <v>0</v>
      </c>
      <c r="BR183" s="23">
        <f>EXP(-LN(2)/2)*BR182+(1-EXP(-LN(2)/2))/(LN(2)/2)*BL183*BO183*VLOOKUP('Données projet'!$B$11,Paramètres!$A$1:$I$88,3,0)*0.475*44/12</f>
        <v>0</v>
      </c>
      <c r="BS183" s="24">
        <f t="shared" si="169"/>
        <v>6.7264015965313524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projet'!$B$12,Paramètres!$A$1:$I$88,3,0)*VLOOKUP('Données projet'!$B$12,Paramètres!$A$1:$I$88,5,0)</f>
        <v>0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171.08593400758221</v>
      </c>
      <c r="CE183" s="60">
        <f t="shared" si="148"/>
        <v>201.9528484086932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projet'!$B$12,Paramètres!$A$1:$I$88,3,0)*0.475*44/12</f>
        <v>6.8074298791147969</v>
      </c>
      <c r="CL183" s="23">
        <f>EXP(-LN(2)/25)*CL182+(1-EXP(-LN(2)/25))/(LN(2)/25)*Calculateur!CG183*Calculateur!CI183*VLOOKUP('Données projet'!$B$12,Paramètres!$A$1:$I$88,3,0)*0.475*44/12</f>
        <v>1.5319873508017063</v>
      </c>
      <c r="CM183" s="23">
        <f>EXP(-LN(2)/2)*CM182+(1-EXP(-LN(2)/2))/(LN(2)/2)*CG183*CJ183*VLOOKUP('Données projet'!$B$12,Paramètres!$A$1:$I$88,3,0)*0.475*44/12</f>
        <v>0</v>
      </c>
      <c r="CN183" s="24">
        <f t="shared" si="172"/>
        <v>8.3394172299165028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projet'!$B$13,Paramètres!$A$1:$I$88,3,0)*VLOOKUP('Données projet'!$B$13,Paramètres!$A$1:$I$88,5,0)</f>
        <v>0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283.66646124753868</v>
      </c>
      <c r="CZ183" s="60">
        <f t="shared" si="150"/>
        <v>331.61926649572797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projet'!$B$13,Paramètres!$A$1:$I$88,3,0)*0.475*44/12</f>
        <v>33.522460902125104</v>
      </c>
      <c r="DG183" s="23">
        <f>EXP(-LN(2)/25)*DG182+(1-EXP(-LN(2)/25))/(LN(2)/25)*Calculateur!DB183*Calculateur!DD183*VLOOKUP('Données projet'!$B$13,Paramètres!$A$1:$I$88,3,0)*0.475*44/12</f>
        <v>0</v>
      </c>
      <c r="DH183" s="23">
        <f>EXP(-LN(2)/2)*DH182+(1-EXP(-LN(2)/2))/(LN(2)/2)*DB183*DE183*VLOOKUP('Données projet'!$B$13,Paramètres!$A$1:$I$88,3,0)*0.475*44/12</f>
        <v>0</v>
      </c>
      <c r="DI183" s="24">
        <f t="shared" si="175"/>
        <v>33.522460902125104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1.1368683772161603E-13</v>
      </c>
      <c r="DP183" s="18">
        <f>DO183*VLOOKUP('Données projet'!$B$14,Paramètres!$A$1:$I$88,3,0)*VLOOKUP('Données projet'!$B$14,Paramètres!$A$1:$I$88,5,0)</f>
        <v>8.3355189417488869E-14</v>
      </c>
      <c r="DQ183" s="14">
        <f t="shared" si="176"/>
        <v>1.2790518435140618E-12</v>
      </c>
      <c r="DR183" s="22">
        <f t="shared" si="177"/>
        <v>2.3728589156891171E-12</v>
      </c>
      <c r="DS183" s="60">
        <f t="shared" si="125"/>
        <v>289.40522170385702</v>
      </c>
      <c r="DT183" s="60">
        <f ca="1">AVERAGE(OFFSET($DS$3,0,0,'Données projet'!$E$14+1,1))-AVERAGE(OFFSET($H$3,0,0,'Données projet'!$E$14+1,1))</f>
        <v>212.77458587586861</v>
      </c>
      <c r="DU183" s="60">
        <f t="shared" si="152"/>
        <v>260.45879589483513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projet'!$B$14,Paramètres!$A$1:$I$88,3,0)*0.475*44/12</f>
        <v>3.3333856000796747</v>
      </c>
      <c r="EB183" s="23">
        <f>EXP(-LN(2)/25)*EB182+(1-EXP(-LN(2)/25))/(LN(2)/25)*Calculateur!DW183*Calculateur!DY183*VLOOKUP('Données projet'!$B$14,Paramètres!$A$1:$I$88,3,0)*0.475*44/12</f>
        <v>0.72727786179349851</v>
      </c>
      <c r="EC183" s="23">
        <f>EXP(-LN(2)/2)*EC182+(1-EXP(-LN(2)/2))/(LN(2)/2)*DW183*DZ183*VLOOKUP('Données projet'!$B$14,Paramètres!$A$1:$I$88,3,0)*0.475*44/12</f>
        <v>0</v>
      </c>
      <c r="ED183" s="24">
        <f t="shared" si="178"/>
        <v>4.0606634618731734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5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8">
        <f t="shared" si="110"/>
        <v>183.33333333333334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3.4106051316484809E-13</v>
      </c>
      <c r="O184" s="14">
        <f>N184*VLOOKUP('Données projet'!$B$9,Paramètres!$A$1:$I$88,3,0)*VLOOKUP('Données projet'!$B$9,Paramètres!$A$1:$I$88,5,0)</f>
        <v>1.9065282685915009E-13</v>
      </c>
      <c r="P184" s="14">
        <f t="shared" si="141"/>
        <v>2.6568987209435707E-12</v>
      </c>
      <c r="Q184" s="22">
        <f t="shared" si="162"/>
        <v>4.959485612423072E-12</v>
      </c>
      <c r="R184" s="60">
        <f t="shared" si="109"/>
        <v>289.47336565868903</v>
      </c>
      <c r="S184" s="60">
        <f ca="1">AVERAGE(OFFSET($R$3,0,0,'Données projet'!$E$9+1,1))-AVERAGE(OFFSET($H$3,0,0,'Données projet'!$E$9+1,1))</f>
        <v>366.29380214443631</v>
      </c>
      <c r="T184" s="60">
        <f t="shared" si="142"/>
        <v>413.14502442862897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21.818717942798973</v>
      </c>
      <c r="AA184" s="23">
        <f>EXP(-LN(2)/25)*AA183+(1-EXP(-LN(2)/25))/(LN(2)/25)*Calculateur!V184*Calculateur!X184*VLOOKUP('Données projet'!$B$9,Paramètres!$A$1:$I$88,3,0)*0.475*44/12</f>
        <v>4.6271178724889115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26.445835815287886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452.49999999999989</v>
      </c>
      <c r="AJ184" s="14">
        <f>AI184*VLOOKUP('Données projet'!$B$10,Paramètres!$A$1:$I$88,3,0)*VLOOKUP('Données projet'!$B$10,Paramètres!$A$1:$I$88,5,0)</f>
        <v>395.30399999999992</v>
      </c>
      <c r="AK184" s="14">
        <f t="shared" si="164"/>
        <v>90.823969929029445</v>
      </c>
      <c r="AL184" s="22">
        <f t="shared" si="165"/>
        <v>846.67288095972606</v>
      </c>
      <c r="AM184" s="60">
        <f t="shared" si="113"/>
        <v>1136.1462466184103</v>
      </c>
      <c r="AN184" s="60">
        <f ca="1">AVERAGE(OFFSET($AM$3,0,0,'Données projet'!$E$10+1,1))-AVERAGE(OFFSET($H$3,0,0,'Données projet'!$E$10+1,1))</f>
        <v>436.5217771315057</v>
      </c>
      <c r="AO184" s="60">
        <f t="shared" si="144"/>
        <v>308.97310256098365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5.582071884580909</v>
      </c>
      <c r="AV184" s="23">
        <f>EXP(-LN(2)/25)*AV183+(1-EXP(-LN(2)/25))/(LN(2)/25)*Calculateur!AQ184*Calculateur!AS184*VLOOKUP('Données projet'!$B$10,Paramètres!$A$1:$I$88,3,0)*0.475*44/12</f>
        <v>1.1583540144565063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6.7404258990374153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2.2737367544323206E-13</v>
      </c>
      <c r="BE184" s="14">
        <f>BD184*VLOOKUP('Données projet'!$B$11,Paramètres!$A$1:$I$88,3,0)*VLOOKUP('Données projet'!$B$11,Paramètres!$A$1:$I$88,5,0)</f>
        <v>2.3055690689943731E-13</v>
      </c>
      <c r="BF184" s="14">
        <f t="shared" si="167"/>
        <v>3.142699285622457E-12</v>
      </c>
      <c r="BG184" s="22">
        <f t="shared" si="168"/>
        <v>5.8750878686422984E-12</v>
      </c>
      <c r="BH184" s="60">
        <f t="shared" si="116"/>
        <v>289.47336565868994</v>
      </c>
      <c r="BI184" s="60">
        <f ca="1">AVERAGE(OFFSET($BH$3,0,0,'Données projet'!$E$11+1,1))-AVERAGE(OFFSET($H$3,0,0,'Données projet'!$E$11+1,1))</f>
        <v>108.30434106718693</v>
      </c>
      <c r="BJ184" s="60">
        <f t="shared" si="146"/>
        <v>67.653808657585842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6.5945009639232381</v>
      </c>
      <c r="BQ184" s="23">
        <f>EXP(-LN(2)/25)*BQ183+(1-EXP(-LN(2)/25))/(LN(2)/25)*Calculateur!BL184*Calculateur!BN184*VLOOKUP('Données projet'!$B$11,Paramètres!$A$1:$I$88,3,0)*0.475*44/12</f>
        <v>0</v>
      </c>
      <c r="BR184" s="23">
        <f>EXP(-LN(2)/2)*BR183+(1-EXP(-LN(2)/2))/(LN(2)/2)*BL184*BO184*VLOOKUP('Données projet'!$B$11,Paramètres!$A$1:$I$88,3,0)*0.475*44/12</f>
        <v>0</v>
      </c>
      <c r="BS184" s="24">
        <f t="shared" si="169"/>
        <v>6.5945009639232381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projet'!$B$12,Paramètres!$A$1:$I$88,3,0)*VLOOKUP('Données projet'!$B$12,Paramètres!$A$1:$I$88,5,0)</f>
        <v>0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171.08593400758221</v>
      </c>
      <c r="CE184" s="60">
        <f t="shared" si="148"/>
        <v>201.9528484086932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projet'!$B$12,Paramètres!$A$1:$I$88,3,0)*0.475*44/12</f>
        <v>6.6739403313075938</v>
      </c>
      <c r="CL184" s="23">
        <f>EXP(-LN(2)/25)*CL183+(1-EXP(-LN(2)/25))/(LN(2)/25)*Calculateur!CG184*Calculateur!CI184*VLOOKUP('Données projet'!$B$12,Paramètres!$A$1:$I$88,3,0)*0.475*44/12</f>
        <v>1.4900950761303202</v>
      </c>
      <c r="CM184" s="23">
        <f>EXP(-LN(2)/2)*CM183+(1-EXP(-LN(2)/2))/(LN(2)/2)*CG184*CJ184*VLOOKUP('Données projet'!$B$12,Paramètres!$A$1:$I$88,3,0)*0.475*44/12</f>
        <v>0</v>
      </c>
      <c r="CN184" s="24">
        <f t="shared" si="172"/>
        <v>8.1640354074379147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projet'!$B$13,Paramètres!$A$1:$I$88,3,0)*VLOOKUP('Données projet'!$B$13,Paramètres!$A$1:$I$88,5,0)</f>
        <v>0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283.66646124753868</v>
      </c>
      <c r="CZ184" s="60">
        <f t="shared" si="150"/>
        <v>331.61926649572797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projet'!$B$13,Paramètres!$A$1:$I$88,3,0)*0.475*44/12</f>
        <v>32.865105890516638</v>
      </c>
      <c r="DG184" s="23">
        <f>EXP(-LN(2)/25)*DG183+(1-EXP(-LN(2)/25))/(LN(2)/25)*Calculateur!DB184*Calculateur!DD184*VLOOKUP('Données projet'!$B$13,Paramètres!$A$1:$I$88,3,0)*0.475*44/12</f>
        <v>0</v>
      </c>
      <c r="DH184" s="23">
        <f>EXP(-LN(2)/2)*DH183+(1-EXP(-LN(2)/2))/(LN(2)/2)*DB184*DE184*VLOOKUP('Données projet'!$B$13,Paramètres!$A$1:$I$88,3,0)*0.475*44/12</f>
        <v>0</v>
      </c>
      <c r="DI184" s="24">
        <f t="shared" si="175"/>
        <v>32.865105890516638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1.1368683772161603E-13</v>
      </c>
      <c r="DP184" s="18">
        <f>DO184*VLOOKUP('Données projet'!$B$14,Paramètres!$A$1:$I$88,3,0)*VLOOKUP('Données projet'!$B$14,Paramètres!$A$1:$I$88,5,0)</f>
        <v>8.3355189417488869E-14</v>
      </c>
      <c r="DQ184" s="14">
        <f t="shared" si="176"/>
        <v>1.2790518435140618E-12</v>
      </c>
      <c r="DR184" s="22">
        <f t="shared" si="177"/>
        <v>2.3728589156891171E-12</v>
      </c>
      <c r="DS184" s="60">
        <f t="shared" si="125"/>
        <v>289.47336565868648</v>
      </c>
      <c r="DT184" s="60">
        <f ca="1">AVERAGE(OFFSET($DS$3,0,0,'Données projet'!$E$14+1,1))-AVERAGE(OFFSET($H$3,0,0,'Données projet'!$E$14+1,1))</f>
        <v>212.77458587586861</v>
      </c>
      <c r="DU184" s="60">
        <f t="shared" si="152"/>
        <v>260.45879589483513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projet'!$B$14,Paramètres!$A$1:$I$88,3,0)*0.475*44/12</f>
        <v>3.2680199416265698</v>
      </c>
      <c r="EB184" s="23">
        <f>EXP(-LN(2)/25)*EB183+(1-EXP(-LN(2)/25))/(LN(2)/25)*Calculateur!DW184*Calculateur!DY184*VLOOKUP('Données projet'!$B$14,Paramètres!$A$1:$I$88,3,0)*0.475*44/12</f>
        <v>0.70739041041687478</v>
      </c>
      <c r="EC184" s="23">
        <f>EXP(-LN(2)/2)*EC183+(1-EXP(-LN(2)/2))/(LN(2)/2)*DW184*DZ184*VLOOKUP('Données projet'!$B$14,Paramètres!$A$1:$I$88,3,0)*0.475*44/12</f>
        <v>0</v>
      </c>
      <c r="ED184" s="24">
        <f t="shared" si="178"/>
        <v>3.9754103520434447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5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8">
        <f t="shared" si="110"/>
        <v>183.33333333333334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3.4106051316484809E-13</v>
      </c>
      <c r="O185" s="14">
        <f>N185*VLOOKUP('Données projet'!$B$9,Paramètres!$A$1:$I$88,3,0)*VLOOKUP('Données projet'!$B$9,Paramètres!$A$1:$I$88,5,0)</f>
        <v>1.9065282685915009E-13</v>
      </c>
      <c r="P185" s="14">
        <f t="shared" si="141"/>
        <v>2.6568987209435707E-12</v>
      </c>
      <c r="Q185" s="22">
        <f t="shared" si="162"/>
        <v>4.959485612423072E-12</v>
      </c>
      <c r="R185" s="60">
        <f t="shared" si="109"/>
        <v>289.54032746824936</v>
      </c>
      <c r="S185" s="60">
        <f ca="1">AVERAGE(OFFSET($R$3,0,0,'Données projet'!$E$9+1,1))-AVERAGE(OFFSET($H$3,0,0,'Données projet'!$E$9+1,1))</f>
        <v>366.29380214443631</v>
      </c>
      <c r="T185" s="60">
        <f t="shared" si="142"/>
        <v>413.14502442862897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21.390866192044562</v>
      </c>
      <c r="AA185" s="23">
        <f>EXP(-LN(2)/25)*AA184+(1-EXP(-LN(2)/25))/(LN(2)/25)*Calculateur!V185*Calculateur!X185*VLOOKUP('Données projet'!$B$9,Paramètres!$A$1:$I$88,3,0)*0.475*44/12</f>
        <v>4.500589090936149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25.891455282980711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452.49999999999989</v>
      </c>
      <c r="AJ185" s="14">
        <f>AI185*VLOOKUP('Données projet'!$B$10,Paramètres!$A$1:$I$88,3,0)*VLOOKUP('Données projet'!$B$10,Paramètres!$A$1:$I$88,5,0)</f>
        <v>395.30399999999992</v>
      </c>
      <c r="AK185" s="14">
        <f t="shared" si="164"/>
        <v>90.823969929029445</v>
      </c>
      <c r="AL185" s="22">
        <f t="shared" si="165"/>
        <v>846.67288095972606</v>
      </c>
      <c r="AM185" s="60">
        <f t="shared" si="113"/>
        <v>1136.2132084279706</v>
      </c>
      <c r="AN185" s="60">
        <f ca="1">AVERAGE(OFFSET($AM$3,0,0,'Données projet'!$E$10+1,1))-AVERAGE(OFFSET($H$3,0,0,'Données projet'!$E$10+1,1))</f>
        <v>436.5217771315057</v>
      </c>
      <c r="AO185" s="60">
        <f t="shared" si="144"/>
        <v>308.97310256098365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5.4726108596519376</v>
      </c>
      <c r="AV185" s="23">
        <f>EXP(-LN(2)/25)*AV184+(1-EXP(-LN(2)/25))/(LN(2)/25)*Calculateur!AQ185*Calculateur!AS185*VLOOKUP('Données projet'!$B$10,Paramètres!$A$1:$I$88,3,0)*0.475*44/12</f>
        <v>1.1266787630160029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6.5992896226679409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2.2737367544323206E-13</v>
      </c>
      <c r="BE185" s="14">
        <f>BD185*VLOOKUP('Données projet'!$B$11,Paramètres!$A$1:$I$88,3,0)*VLOOKUP('Données projet'!$B$11,Paramètres!$A$1:$I$88,5,0)</f>
        <v>2.3055690689943731E-13</v>
      </c>
      <c r="BF185" s="14">
        <f t="shared" si="167"/>
        <v>3.142699285622457E-12</v>
      </c>
      <c r="BG185" s="22">
        <f t="shared" si="168"/>
        <v>5.8750878686422984E-12</v>
      </c>
      <c r="BH185" s="60">
        <f t="shared" si="116"/>
        <v>289.54032746825027</v>
      </c>
      <c r="BI185" s="60">
        <f ca="1">AVERAGE(OFFSET($BH$3,0,0,'Données projet'!$E$11+1,1))-AVERAGE(OFFSET($H$3,0,0,'Données projet'!$E$11+1,1))</f>
        <v>108.30434106718693</v>
      </c>
      <c r="BJ185" s="60">
        <f t="shared" si="146"/>
        <v>67.653808657585842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6.4651868222691276</v>
      </c>
      <c r="BQ185" s="23">
        <f>EXP(-LN(2)/25)*BQ184+(1-EXP(-LN(2)/25))/(LN(2)/25)*Calculateur!BL185*Calculateur!BN185*VLOOKUP('Données projet'!$B$11,Paramètres!$A$1:$I$88,3,0)*0.475*44/12</f>
        <v>0</v>
      </c>
      <c r="BR185" s="23">
        <f>EXP(-LN(2)/2)*BR184+(1-EXP(-LN(2)/2))/(LN(2)/2)*BL185*BO185*VLOOKUP('Données projet'!$B$11,Paramètres!$A$1:$I$88,3,0)*0.475*44/12</f>
        <v>0</v>
      </c>
      <c r="BS185" s="24">
        <f t="shared" si="169"/>
        <v>6.4651868222691276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projet'!$B$12,Paramètres!$A$1:$I$88,3,0)*VLOOKUP('Données projet'!$B$12,Paramètres!$A$1:$I$88,5,0)</f>
        <v>0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171.08593400758221</v>
      </c>
      <c r="CE185" s="60">
        <f t="shared" si="148"/>
        <v>201.9528484086932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projet'!$B$12,Paramètres!$A$1:$I$88,3,0)*0.475*44/12</f>
        <v>6.5430684321123058</v>
      </c>
      <c r="CL185" s="23">
        <f>EXP(-LN(2)/25)*CL184+(1-EXP(-LN(2)/25))/(LN(2)/25)*Calculateur!CG185*Calculateur!CI185*VLOOKUP('Données projet'!$B$12,Paramètres!$A$1:$I$88,3,0)*0.475*44/12</f>
        <v>1.4493483479128422</v>
      </c>
      <c r="CM185" s="23">
        <f>EXP(-LN(2)/2)*CM184+(1-EXP(-LN(2)/2))/(LN(2)/2)*CG185*CJ185*VLOOKUP('Données projet'!$B$12,Paramètres!$A$1:$I$88,3,0)*0.475*44/12</f>
        <v>0</v>
      </c>
      <c r="CN185" s="24">
        <f t="shared" si="172"/>
        <v>7.992416780025148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projet'!$B$13,Paramètres!$A$1:$I$88,3,0)*VLOOKUP('Données projet'!$B$13,Paramètres!$A$1:$I$88,5,0)</f>
        <v>0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283.66646124753868</v>
      </c>
      <c r="CZ185" s="60">
        <f t="shared" si="150"/>
        <v>331.61926649572797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projet'!$B$13,Paramètres!$A$1:$I$88,3,0)*0.475*44/12</f>
        <v>32.220641209738851</v>
      </c>
      <c r="DG185" s="23">
        <f>EXP(-LN(2)/25)*DG184+(1-EXP(-LN(2)/25))/(LN(2)/25)*Calculateur!DB185*Calculateur!DD185*VLOOKUP('Données projet'!$B$13,Paramètres!$A$1:$I$88,3,0)*0.475*44/12</f>
        <v>0</v>
      </c>
      <c r="DH185" s="23">
        <f>EXP(-LN(2)/2)*DH184+(1-EXP(-LN(2)/2))/(LN(2)/2)*DB185*DE185*VLOOKUP('Données projet'!$B$13,Paramètres!$A$1:$I$88,3,0)*0.475*44/12</f>
        <v>0</v>
      </c>
      <c r="DI185" s="24">
        <f t="shared" si="175"/>
        <v>32.220641209738851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1.1368683772161603E-13</v>
      </c>
      <c r="DP185" s="18">
        <f>DO185*VLOOKUP('Données projet'!$B$14,Paramètres!$A$1:$I$88,3,0)*VLOOKUP('Données projet'!$B$14,Paramètres!$A$1:$I$88,5,0)</f>
        <v>8.3355189417488869E-14</v>
      </c>
      <c r="DQ185" s="14">
        <f t="shared" si="176"/>
        <v>1.2790518435140618E-12</v>
      </c>
      <c r="DR185" s="22">
        <f t="shared" si="177"/>
        <v>2.3728589156891171E-12</v>
      </c>
      <c r="DS185" s="60">
        <f t="shared" si="125"/>
        <v>289.5403274682468</v>
      </c>
      <c r="DT185" s="60">
        <f ca="1">AVERAGE(OFFSET($DS$3,0,0,'Données projet'!$E$14+1,1))-AVERAGE(OFFSET($H$3,0,0,'Données projet'!$E$14+1,1))</f>
        <v>212.77458587586861</v>
      </c>
      <c r="DU185" s="60">
        <f t="shared" si="152"/>
        <v>260.45879589483513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projet'!$B$14,Paramètres!$A$1:$I$88,3,0)*0.475*44/12</f>
        <v>3.2039360638666157</v>
      </c>
      <c r="EB185" s="23">
        <f>EXP(-LN(2)/25)*EB184+(1-EXP(-LN(2)/25))/(LN(2)/25)*Calculateur!DW185*Calculateur!DY185*VLOOKUP('Données projet'!$B$14,Paramètres!$A$1:$I$88,3,0)*0.475*44/12</f>
        <v>0.68804678244398043</v>
      </c>
      <c r="EC185" s="23">
        <f>EXP(-LN(2)/2)*EC184+(1-EXP(-LN(2)/2))/(LN(2)/2)*DW185*DZ185*VLOOKUP('Données projet'!$B$14,Paramètres!$A$1:$I$88,3,0)*0.475*44/12</f>
        <v>0</v>
      </c>
      <c r="ED185" s="24">
        <f t="shared" si="178"/>
        <v>3.8919828463105963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5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8">
        <f t="shared" si="110"/>
        <v>183.33333333333334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3.4106051316484809E-13</v>
      </c>
      <c r="O186" s="14">
        <f>N186*VLOOKUP('Données projet'!$B$9,Paramètres!$A$1:$I$88,3,0)*VLOOKUP('Données projet'!$B$9,Paramètres!$A$1:$I$88,5,0)</f>
        <v>1.9065282685915009E-13</v>
      </c>
      <c r="P186" s="14">
        <f t="shared" si="141"/>
        <v>2.6568987209435707E-12</v>
      </c>
      <c r="Q186" s="22">
        <f t="shared" si="162"/>
        <v>4.959485612423072E-12</v>
      </c>
      <c r="R186" s="60">
        <f t="shared" si="109"/>
        <v>289.6061276401179</v>
      </c>
      <c r="S186" s="60">
        <f ca="1">AVERAGE(OFFSET($R$3,0,0,'Données projet'!$E$9+1,1))-AVERAGE(OFFSET($H$3,0,0,'Données projet'!$E$9+1,1))</f>
        <v>366.29380214443631</v>
      </c>
      <c r="T186" s="60">
        <f t="shared" si="142"/>
        <v>413.14502442862897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20.971404353158647</v>
      </c>
      <c r="AA186" s="23">
        <f>EXP(-LN(2)/25)*AA185+(1-EXP(-LN(2)/25))/(LN(2)/25)*Calculateur!V186*Calculateur!X186*VLOOKUP('Données projet'!$B$9,Paramètres!$A$1:$I$88,3,0)*0.475*44/12</f>
        <v>4.3775202455688058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25.348924598727454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452.49999999999989</v>
      </c>
      <c r="AJ186" s="14">
        <f>AI186*VLOOKUP('Données projet'!$B$10,Paramètres!$A$1:$I$88,3,0)*VLOOKUP('Données projet'!$B$10,Paramètres!$A$1:$I$88,5,0)</f>
        <v>395.30399999999992</v>
      </c>
      <c r="AK186" s="14">
        <f t="shared" si="164"/>
        <v>90.823969929029445</v>
      </c>
      <c r="AL186" s="22">
        <f t="shared" si="165"/>
        <v>846.67288095972606</v>
      </c>
      <c r="AM186" s="60">
        <f t="shared" si="113"/>
        <v>1136.279008599839</v>
      </c>
      <c r="AN186" s="60">
        <f ca="1">AVERAGE(OFFSET($AM$3,0,0,'Données projet'!$E$10+1,1))-AVERAGE(OFFSET($H$3,0,0,'Données projet'!$E$10+1,1))</f>
        <v>436.5217771315057</v>
      </c>
      <c r="AO186" s="60">
        <f t="shared" si="144"/>
        <v>308.97310256098365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5.3652962986571913</v>
      </c>
      <c r="AV186" s="23">
        <f>EXP(-LN(2)/25)*AV185+(1-EXP(-LN(2)/25))/(LN(2)/25)*Calculateur!AQ186*Calculateur!AS186*VLOOKUP('Données projet'!$B$10,Paramètres!$A$1:$I$88,3,0)*0.475*44/12</f>
        <v>1.0958696729918691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6.4611659716490601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2.2737367544323206E-13</v>
      </c>
      <c r="BE186" s="14">
        <f>BD186*VLOOKUP('Données projet'!$B$11,Paramètres!$A$1:$I$88,3,0)*VLOOKUP('Données projet'!$B$11,Paramètres!$A$1:$I$88,5,0)</f>
        <v>2.3055690689943731E-13</v>
      </c>
      <c r="BF186" s="14">
        <f t="shared" si="167"/>
        <v>3.142699285622457E-12</v>
      </c>
      <c r="BG186" s="22">
        <f t="shared" si="168"/>
        <v>5.8750878686422984E-12</v>
      </c>
      <c r="BH186" s="60">
        <f t="shared" si="116"/>
        <v>289.60612764011881</v>
      </c>
      <c r="BI186" s="60">
        <f ca="1">AVERAGE(OFFSET($BH$3,0,0,'Données projet'!$E$11+1,1))-AVERAGE(OFFSET($H$3,0,0,'Données projet'!$E$11+1,1))</f>
        <v>108.30434106718693</v>
      </c>
      <c r="BJ186" s="60">
        <f t="shared" si="146"/>
        <v>67.653808657585842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6.3384084520590154</v>
      </c>
      <c r="BQ186" s="23">
        <f>EXP(-LN(2)/25)*BQ185+(1-EXP(-LN(2)/25))/(LN(2)/25)*Calculateur!BL186*Calculateur!BN186*VLOOKUP('Données projet'!$B$11,Paramètres!$A$1:$I$88,3,0)*0.475*44/12</f>
        <v>0</v>
      </c>
      <c r="BR186" s="23">
        <f>EXP(-LN(2)/2)*BR185+(1-EXP(-LN(2)/2))/(LN(2)/2)*BL186*BO186*VLOOKUP('Données projet'!$B$11,Paramètres!$A$1:$I$88,3,0)*0.475*44/12</f>
        <v>0</v>
      </c>
      <c r="BS186" s="24">
        <f t="shared" si="169"/>
        <v>6.3384084520590154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projet'!$B$12,Paramètres!$A$1:$I$88,3,0)*VLOOKUP('Données projet'!$B$12,Paramètres!$A$1:$I$88,5,0)</f>
        <v>0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171.08593400758221</v>
      </c>
      <c r="CE186" s="60">
        <f t="shared" si="148"/>
        <v>201.9528484086932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projet'!$B$12,Paramètres!$A$1:$I$88,3,0)*0.475*44/12</f>
        <v>6.4147628510362606</v>
      </c>
      <c r="CL186" s="23">
        <f>EXP(-LN(2)/25)*CL185+(1-EXP(-LN(2)/25))/(LN(2)/25)*Calculateur!CG186*Calculateur!CI186*VLOOKUP('Données projet'!$B$12,Paramètres!$A$1:$I$88,3,0)*0.475*44/12</f>
        <v>1.4097158411212485</v>
      </c>
      <c r="CM186" s="23">
        <f>EXP(-LN(2)/2)*CM185+(1-EXP(-LN(2)/2))/(LN(2)/2)*CG186*CJ186*VLOOKUP('Données projet'!$B$12,Paramètres!$A$1:$I$88,3,0)*0.475*44/12</f>
        <v>0</v>
      </c>
      <c r="CN186" s="24">
        <f t="shared" si="172"/>
        <v>7.8244786921575091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projet'!$B$13,Paramètres!$A$1:$I$88,3,0)*VLOOKUP('Données projet'!$B$13,Paramètres!$A$1:$I$88,5,0)</f>
        <v>0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283.66646124753868</v>
      </c>
      <c r="CZ186" s="60">
        <f t="shared" si="150"/>
        <v>331.61926649572797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projet'!$B$13,Paramètres!$A$1:$I$88,3,0)*0.475*44/12</f>
        <v>31.588814088266471</v>
      </c>
      <c r="DG186" s="23">
        <f>EXP(-LN(2)/25)*DG185+(1-EXP(-LN(2)/25))/(LN(2)/25)*Calculateur!DB186*Calculateur!DD186*VLOOKUP('Données projet'!$B$13,Paramètres!$A$1:$I$88,3,0)*0.475*44/12</f>
        <v>0</v>
      </c>
      <c r="DH186" s="23">
        <f>EXP(-LN(2)/2)*DH185+(1-EXP(-LN(2)/2))/(LN(2)/2)*DB186*DE186*VLOOKUP('Données projet'!$B$13,Paramètres!$A$1:$I$88,3,0)*0.475*44/12</f>
        <v>0</v>
      </c>
      <c r="DI186" s="24">
        <f t="shared" si="175"/>
        <v>31.588814088266471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1.1368683772161603E-13</v>
      </c>
      <c r="DP186" s="18">
        <f>DO186*VLOOKUP('Données projet'!$B$14,Paramètres!$A$1:$I$88,3,0)*VLOOKUP('Données projet'!$B$14,Paramètres!$A$1:$I$88,5,0)</f>
        <v>8.3355189417488869E-14</v>
      </c>
      <c r="DQ186" s="14">
        <f t="shared" si="176"/>
        <v>1.2790518435140618E-12</v>
      </c>
      <c r="DR186" s="22">
        <f t="shared" si="177"/>
        <v>2.3728589156891171E-12</v>
      </c>
      <c r="DS186" s="60">
        <f t="shared" si="125"/>
        <v>289.60612764011535</v>
      </c>
      <c r="DT186" s="60">
        <f ca="1">AVERAGE(OFFSET($DS$3,0,0,'Données projet'!$E$14+1,1))-AVERAGE(OFFSET($H$3,0,0,'Données projet'!$E$14+1,1))</f>
        <v>212.77458587586861</v>
      </c>
      <c r="DU186" s="60">
        <f t="shared" si="152"/>
        <v>260.45879589483513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projet'!$B$14,Paramètres!$A$1:$I$88,3,0)*0.475*44/12</f>
        <v>3.1411088318622284</v>
      </c>
      <c r="EB186" s="23">
        <f>EXP(-LN(2)/25)*EB185+(1-EXP(-LN(2)/25))/(LN(2)/25)*Calculateur!DW186*Calculateur!DY186*VLOOKUP('Données projet'!$B$14,Paramètres!$A$1:$I$88,3,0)*0.475*44/12</f>
        <v>0.66923210699524205</v>
      </c>
      <c r="EC186" s="23">
        <f>EXP(-LN(2)/2)*EC185+(1-EXP(-LN(2)/2))/(LN(2)/2)*DW186*DZ186*VLOOKUP('Données projet'!$B$14,Paramètres!$A$1:$I$88,3,0)*0.475*44/12</f>
        <v>0</v>
      </c>
      <c r="ED186" s="24">
        <f t="shared" si="178"/>
        <v>3.8103409388574705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5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8">
        <f t="shared" si="110"/>
        <v>183.33333333333334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3.4106051316484809E-13</v>
      </c>
      <c r="O187" s="14">
        <f>N187*VLOOKUP('Données projet'!$B$9,Paramètres!$A$1:$I$88,3,0)*VLOOKUP('Données projet'!$B$9,Paramètres!$A$1:$I$88,5,0)</f>
        <v>1.9065282685915009E-13</v>
      </c>
      <c r="P187" s="14">
        <f t="shared" si="141"/>
        <v>2.6568987209435707E-12</v>
      </c>
      <c r="Q187" s="22">
        <f t="shared" si="162"/>
        <v>4.959485612423072E-12</v>
      </c>
      <c r="R187" s="60">
        <f t="shared" si="109"/>
        <v>289.67078632611168</v>
      </c>
      <c r="S187" s="60">
        <f ca="1">AVERAGE(OFFSET($R$3,0,0,'Données projet'!$E$9+1,1))-AVERAGE(OFFSET($H$3,0,0,'Données projet'!$E$9+1,1))</f>
        <v>366.29380214443631</v>
      </c>
      <c r="T187" s="60">
        <f t="shared" si="142"/>
        <v>413.14502442862897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20.560167905086825</v>
      </c>
      <c r="AA187" s="23">
        <f>EXP(-LN(2)/25)*AA186+(1-EXP(-LN(2)/25))/(LN(2)/25)*Calculateur!V187*Calculateur!X187*VLOOKUP('Données projet'!$B$9,Paramètres!$A$1:$I$88,3,0)*0.475*44/12</f>
        <v>4.2578167242499418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24.817984629336767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452.49999999999989</v>
      </c>
      <c r="AJ187" s="14">
        <f>AI187*VLOOKUP('Données projet'!$B$10,Paramètres!$A$1:$I$88,3,0)*VLOOKUP('Données projet'!$B$10,Paramètres!$A$1:$I$88,5,0)</f>
        <v>395.30399999999992</v>
      </c>
      <c r="AK187" s="14">
        <f t="shared" si="164"/>
        <v>90.823969929029445</v>
      </c>
      <c r="AL187" s="22">
        <f t="shared" si="165"/>
        <v>846.67288095972606</v>
      </c>
      <c r="AM187" s="60">
        <f t="shared" si="113"/>
        <v>1136.3436672858329</v>
      </c>
      <c r="AN187" s="60">
        <f ca="1">AVERAGE(OFFSET($AM$3,0,0,'Données projet'!$E$10+1,1))-AVERAGE(OFFSET($H$3,0,0,'Données projet'!$E$10+1,1))</f>
        <v>436.5217771315057</v>
      </c>
      <c r="AO187" s="60">
        <f t="shared" si="144"/>
        <v>308.97310256098365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5.2600861107481327</v>
      </c>
      <c r="AV187" s="23">
        <f>EXP(-LN(2)/25)*AV186+(1-EXP(-LN(2)/25))/(LN(2)/25)*Calculateur!AQ187*Calculateur!AS187*VLOOKUP('Données projet'!$B$10,Paramètres!$A$1:$I$88,3,0)*0.475*44/12</f>
        <v>1.065903059154625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6.3259891699027575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2.2737367544323206E-13</v>
      </c>
      <c r="BE187" s="14">
        <f>BD187*VLOOKUP('Données projet'!$B$11,Paramètres!$A$1:$I$88,3,0)*VLOOKUP('Données projet'!$B$11,Paramètres!$A$1:$I$88,5,0)</f>
        <v>2.3055690689943731E-13</v>
      </c>
      <c r="BF187" s="14">
        <f t="shared" si="167"/>
        <v>3.142699285622457E-12</v>
      </c>
      <c r="BG187" s="22">
        <f t="shared" si="168"/>
        <v>5.8750878686422984E-12</v>
      </c>
      <c r="BH187" s="60">
        <f t="shared" si="116"/>
        <v>289.67078632611259</v>
      </c>
      <c r="BI187" s="60">
        <f ca="1">AVERAGE(OFFSET($BH$3,0,0,'Données projet'!$E$11+1,1))-AVERAGE(OFFSET($H$3,0,0,'Données projet'!$E$11+1,1))</f>
        <v>108.30434106718693</v>
      </c>
      <c r="BJ187" s="60">
        <f t="shared" si="146"/>
        <v>67.653808657585842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6.2141161283615531</v>
      </c>
      <c r="BQ187" s="23">
        <f>EXP(-LN(2)/25)*BQ186+(1-EXP(-LN(2)/25))/(LN(2)/25)*Calculateur!BL187*Calculateur!BN187*VLOOKUP('Données projet'!$B$11,Paramètres!$A$1:$I$88,3,0)*0.475*44/12</f>
        <v>0</v>
      </c>
      <c r="BR187" s="23">
        <f>EXP(-LN(2)/2)*BR186+(1-EXP(-LN(2)/2))/(LN(2)/2)*BL187*BO187*VLOOKUP('Données projet'!$B$11,Paramètres!$A$1:$I$88,3,0)*0.475*44/12</f>
        <v>0</v>
      </c>
      <c r="BS187" s="24">
        <f t="shared" si="169"/>
        <v>6.2141161283615531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projet'!$B$12,Paramètres!$A$1:$I$88,3,0)*VLOOKUP('Données projet'!$B$12,Paramètres!$A$1:$I$88,5,0)</f>
        <v>0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171.08593400758221</v>
      </c>
      <c r="CE187" s="60">
        <f t="shared" si="148"/>
        <v>201.9528484086932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projet'!$B$12,Paramètres!$A$1:$I$88,3,0)*0.475*44/12</f>
        <v>6.2889732641464393</v>
      </c>
      <c r="CL187" s="23">
        <f>EXP(-LN(2)/25)*CL186+(1-EXP(-LN(2)/25))/(LN(2)/25)*Calculateur!CG187*Calculateur!CI187*VLOOKUP('Données projet'!$B$12,Paramètres!$A$1:$I$88,3,0)*0.475*44/12</f>
        <v>1.3711670873120538</v>
      </c>
      <c r="CM187" s="23">
        <f>EXP(-LN(2)/2)*CM186+(1-EXP(-LN(2)/2))/(LN(2)/2)*CG187*CJ187*VLOOKUP('Données projet'!$B$12,Paramètres!$A$1:$I$88,3,0)*0.475*44/12</f>
        <v>0</v>
      </c>
      <c r="CN187" s="24">
        <f t="shared" si="172"/>
        <v>7.6601403514584927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projet'!$B$13,Paramètres!$A$1:$I$88,3,0)*VLOOKUP('Données projet'!$B$13,Paramètres!$A$1:$I$88,5,0)</f>
        <v>0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283.66646124753868</v>
      </c>
      <c r="CZ187" s="60">
        <f t="shared" si="150"/>
        <v>331.61926649572797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projet'!$B$13,Paramètres!$A$1:$I$88,3,0)*0.475*44/12</f>
        <v>30.969376711269675</v>
      </c>
      <c r="DG187" s="23">
        <f>EXP(-LN(2)/25)*DG186+(1-EXP(-LN(2)/25))/(LN(2)/25)*Calculateur!DB187*Calculateur!DD187*VLOOKUP('Données projet'!$B$13,Paramètres!$A$1:$I$88,3,0)*0.475*44/12</f>
        <v>0</v>
      </c>
      <c r="DH187" s="23">
        <f>EXP(-LN(2)/2)*DH186+(1-EXP(-LN(2)/2))/(LN(2)/2)*DB187*DE187*VLOOKUP('Données projet'!$B$13,Paramètres!$A$1:$I$88,3,0)*0.475*44/12</f>
        <v>0</v>
      </c>
      <c r="DI187" s="24">
        <f t="shared" si="175"/>
        <v>30.969376711269675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1.1368683772161603E-13</v>
      </c>
      <c r="DP187" s="18">
        <f>DO187*VLOOKUP('Données projet'!$B$14,Paramètres!$A$1:$I$88,3,0)*VLOOKUP('Données projet'!$B$14,Paramètres!$A$1:$I$88,5,0)</f>
        <v>8.3355189417488869E-14</v>
      </c>
      <c r="DQ187" s="14">
        <f t="shared" si="176"/>
        <v>1.2790518435140618E-12</v>
      </c>
      <c r="DR187" s="22">
        <f t="shared" si="177"/>
        <v>2.3728589156891171E-12</v>
      </c>
      <c r="DS187" s="60">
        <f t="shared" si="125"/>
        <v>289.67078632610912</v>
      </c>
      <c r="DT187" s="60">
        <f ca="1">AVERAGE(OFFSET($DS$3,0,0,'Données projet'!$E$14+1,1))-AVERAGE(OFFSET($H$3,0,0,'Données projet'!$E$14+1,1))</f>
        <v>212.77458587586861</v>
      </c>
      <c r="DU187" s="60">
        <f t="shared" si="152"/>
        <v>260.45879589483513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projet'!$B$14,Paramètres!$A$1:$I$88,3,0)*0.475*44/12</f>
        <v>3.0795136035566193</v>
      </c>
      <c r="EB187" s="23">
        <f>EXP(-LN(2)/25)*EB186+(1-EXP(-LN(2)/25))/(LN(2)/25)*Calculateur!DW187*Calculateur!DY187*VLOOKUP('Données projet'!$B$14,Paramètres!$A$1:$I$88,3,0)*0.475*44/12</f>
        <v>0.65093191983607024</v>
      </c>
      <c r="EC187" s="23">
        <f>EXP(-LN(2)/2)*EC186+(1-EXP(-LN(2)/2))/(LN(2)/2)*DW187*DZ187*VLOOKUP('Données projet'!$B$14,Paramètres!$A$1:$I$88,3,0)*0.475*44/12</f>
        <v>0</v>
      </c>
      <c r="ED187" s="24">
        <f t="shared" si="178"/>
        <v>3.7304455233926896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5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8">
        <f t="shared" si="110"/>
        <v>183.33333333333334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3.4106051316484809E-13</v>
      </c>
      <c r="O188" s="14">
        <f>N188*VLOOKUP('Données projet'!$B$9,Paramètres!$A$1:$I$88,3,0)*VLOOKUP('Données projet'!$B$9,Paramètres!$A$1:$I$88,5,0)</f>
        <v>1.9065282685915009E-13</v>
      </c>
      <c r="P188" s="14">
        <f t="shared" si="141"/>
        <v>2.6568987209435707E-12</v>
      </c>
      <c r="Q188" s="22">
        <f t="shared" si="162"/>
        <v>4.959485612423072E-12</v>
      </c>
      <c r="R188" s="60">
        <f t="shared" si="109"/>
        <v>289.73432332845869</v>
      </c>
      <c r="S188" s="60">
        <f ca="1">AVERAGE(OFFSET($R$3,0,0,'Données projet'!$E$9+1,1))-AVERAGE(OFFSET($H$3,0,0,'Données projet'!$E$9+1,1))</f>
        <v>366.29380214443631</v>
      </c>
      <c r="T188" s="60">
        <f t="shared" si="142"/>
        <v>413.14502442862897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20.156995552932226</v>
      </c>
      <c r="AA188" s="23">
        <f>EXP(-LN(2)/25)*AA187+(1-EXP(-LN(2)/25))/(LN(2)/25)*Calculateur!V188*Calculateur!X188*VLOOKUP('Données projet'!$B$9,Paramètres!$A$1:$I$88,3,0)*0.475*44/12</f>
        <v>4.1413865020164771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24.298382054948704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452.49999999999989</v>
      </c>
      <c r="AJ188" s="14">
        <f>AI188*VLOOKUP('Données projet'!$B$10,Paramètres!$A$1:$I$88,3,0)*VLOOKUP('Données projet'!$B$10,Paramètres!$A$1:$I$88,5,0)</f>
        <v>395.30399999999992</v>
      </c>
      <c r="AK188" s="14">
        <f t="shared" si="164"/>
        <v>90.823969929029445</v>
      </c>
      <c r="AL188" s="22">
        <f t="shared" si="165"/>
        <v>846.67288095972606</v>
      </c>
      <c r="AM188" s="60">
        <f t="shared" si="113"/>
        <v>1136.4072042881799</v>
      </c>
      <c r="AN188" s="60">
        <f ca="1">AVERAGE(OFFSET($AM$3,0,0,'Données projet'!$E$10+1,1))-AVERAGE(OFFSET($H$3,0,0,'Données projet'!$E$10+1,1))</f>
        <v>436.5217771315057</v>
      </c>
      <c r="AO188" s="60">
        <f t="shared" si="144"/>
        <v>308.97310256098365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5.1569390304520928</v>
      </c>
      <c r="AV188" s="23">
        <f>EXP(-LN(2)/25)*AV187+(1-EXP(-LN(2)/25))/(LN(2)/25)*Calculateur!AQ188*Calculateur!AS188*VLOOKUP('Données projet'!$B$10,Paramètres!$A$1:$I$88,3,0)*0.475*44/12</f>
        <v>1.0367558839486362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6.1936949144007292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2.2737367544323206E-13</v>
      </c>
      <c r="BE188" s="14">
        <f>BD188*VLOOKUP('Données projet'!$B$11,Paramètres!$A$1:$I$88,3,0)*VLOOKUP('Données projet'!$B$11,Paramètres!$A$1:$I$88,5,0)</f>
        <v>2.3055690689943731E-13</v>
      </c>
      <c r="BF188" s="14">
        <f t="shared" si="167"/>
        <v>3.142699285622457E-12</v>
      </c>
      <c r="BG188" s="22">
        <f t="shared" si="168"/>
        <v>5.8750878686422984E-12</v>
      </c>
      <c r="BH188" s="60">
        <f t="shared" si="116"/>
        <v>289.7343233284596</v>
      </c>
      <c r="BI188" s="60">
        <f ca="1">AVERAGE(OFFSET($BH$3,0,0,'Données projet'!$E$11+1,1))-AVERAGE(OFFSET($H$3,0,0,'Données projet'!$E$11+1,1))</f>
        <v>108.30434106718693</v>
      </c>
      <c r="BJ188" s="60">
        <f t="shared" si="146"/>
        <v>67.653808657585842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6.0922611013209664</v>
      </c>
      <c r="BQ188" s="23">
        <f>EXP(-LN(2)/25)*BQ187+(1-EXP(-LN(2)/25))/(LN(2)/25)*Calculateur!BL188*Calculateur!BN188*VLOOKUP('Données projet'!$B$11,Paramètres!$A$1:$I$88,3,0)*0.475*44/12</f>
        <v>0</v>
      </c>
      <c r="BR188" s="23">
        <f>EXP(-LN(2)/2)*BR187+(1-EXP(-LN(2)/2))/(LN(2)/2)*BL188*BO188*VLOOKUP('Données projet'!$B$11,Paramètres!$A$1:$I$88,3,0)*0.475*44/12</f>
        <v>0</v>
      </c>
      <c r="BS188" s="24">
        <f t="shared" si="169"/>
        <v>6.0922611013209664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projet'!$B$12,Paramètres!$A$1:$I$88,3,0)*VLOOKUP('Données projet'!$B$12,Paramètres!$A$1:$I$88,5,0)</f>
        <v>0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171.08593400758221</v>
      </c>
      <c r="CE188" s="60">
        <f t="shared" si="148"/>
        <v>201.9528484086932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projet'!$B$12,Paramètres!$A$1:$I$88,3,0)*0.475*44/12</f>
        <v>6.1656503343314553</v>
      </c>
      <c r="CL188" s="23">
        <f>EXP(-LN(2)/25)*CL187+(1-EXP(-LN(2)/25))/(LN(2)/25)*Calculateur!CG188*Calculateur!CI188*VLOOKUP('Données projet'!$B$12,Paramètres!$A$1:$I$88,3,0)*0.475*44/12</f>
        <v>1.3336724512029625</v>
      </c>
      <c r="CM188" s="23">
        <f>EXP(-LN(2)/2)*CM187+(1-EXP(-LN(2)/2))/(LN(2)/2)*CG188*CJ188*VLOOKUP('Données projet'!$B$12,Paramètres!$A$1:$I$88,3,0)*0.475*44/12</f>
        <v>0</v>
      </c>
      <c r="CN188" s="24">
        <f t="shared" si="172"/>
        <v>7.4993227855344173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projet'!$B$13,Paramètres!$A$1:$I$88,3,0)*VLOOKUP('Données projet'!$B$13,Paramètres!$A$1:$I$88,5,0)</f>
        <v>0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283.66646124753868</v>
      </c>
      <c r="CZ188" s="60">
        <f t="shared" si="150"/>
        <v>331.61926649572797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projet'!$B$13,Paramètres!$A$1:$I$88,3,0)*0.475*44/12</f>
        <v>30.36208612341629</v>
      </c>
      <c r="DG188" s="23">
        <f>EXP(-LN(2)/25)*DG187+(1-EXP(-LN(2)/25))/(LN(2)/25)*Calculateur!DB188*Calculateur!DD188*VLOOKUP('Données projet'!$B$13,Paramètres!$A$1:$I$88,3,0)*0.475*44/12</f>
        <v>0</v>
      </c>
      <c r="DH188" s="23">
        <f>EXP(-LN(2)/2)*DH187+(1-EXP(-LN(2)/2))/(LN(2)/2)*DB188*DE188*VLOOKUP('Données projet'!$B$13,Paramètres!$A$1:$I$88,3,0)*0.475*44/12</f>
        <v>0</v>
      </c>
      <c r="DI188" s="24">
        <f t="shared" si="175"/>
        <v>30.36208612341629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1.1368683772161603E-13</v>
      </c>
      <c r="DP188" s="18">
        <f>DO188*VLOOKUP('Données projet'!$B$14,Paramètres!$A$1:$I$88,3,0)*VLOOKUP('Données projet'!$B$14,Paramètres!$A$1:$I$88,5,0)</f>
        <v>8.3355189417488869E-14</v>
      </c>
      <c r="DQ188" s="14">
        <f t="shared" si="176"/>
        <v>1.2790518435140618E-12</v>
      </c>
      <c r="DR188" s="22">
        <f t="shared" si="177"/>
        <v>2.3728589156891171E-12</v>
      </c>
      <c r="DS188" s="60">
        <f t="shared" si="125"/>
        <v>289.73432332845613</v>
      </c>
      <c r="DT188" s="60">
        <f ca="1">AVERAGE(OFFSET($DS$3,0,0,'Données projet'!$E$14+1,1))-AVERAGE(OFFSET($H$3,0,0,'Données projet'!$E$14+1,1))</f>
        <v>212.77458587586861</v>
      </c>
      <c r="DU188" s="60">
        <f t="shared" si="152"/>
        <v>260.45879589483513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projet'!$B$14,Paramètres!$A$1:$I$88,3,0)*0.475*44/12</f>
        <v>3.0191262201087037</v>
      </c>
      <c r="EB188" s="23">
        <f>EXP(-LN(2)/25)*EB187+(1-EXP(-LN(2)/25))/(LN(2)/25)*Calculateur!DW188*Calculateur!DY188*VLOOKUP('Données projet'!$B$14,Paramètres!$A$1:$I$88,3,0)*0.475*44/12</f>
        <v>0.63313215225713093</v>
      </c>
      <c r="EC188" s="23">
        <f>EXP(-LN(2)/2)*EC187+(1-EXP(-LN(2)/2))/(LN(2)/2)*DW188*DZ188*VLOOKUP('Données projet'!$B$14,Paramètres!$A$1:$I$88,3,0)*0.475*44/12</f>
        <v>0</v>
      </c>
      <c r="ED188" s="24">
        <f t="shared" si="178"/>
        <v>3.6522583723658348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5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8">
        <f t="shared" si="110"/>
        <v>183.33333333333334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3.4106051316484809E-13</v>
      </c>
      <c r="O189" s="14">
        <f>N189*VLOOKUP('Données projet'!$B$9,Paramètres!$A$1:$I$88,3,0)*VLOOKUP('Données projet'!$B$9,Paramètres!$A$1:$I$88,5,0)</f>
        <v>1.9065282685915009E-13</v>
      </c>
      <c r="P189" s="14">
        <f t="shared" si="141"/>
        <v>2.6568987209435707E-12</v>
      </c>
      <c r="Q189" s="22">
        <f t="shared" si="162"/>
        <v>4.959485612423072E-12</v>
      </c>
      <c r="R189" s="60">
        <f t="shared" si="109"/>
        <v>289.79675810586235</v>
      </c>
      <c r="S189" s="60">
        <f ca="1">AVERAGE(OFFSET($R$3,0,0,'Données projet'!$E$9+1,1))-AVERAGE(OFFSET($H$3,0,0,'Données projet'!$E$9+1,1))</f>
        <v>366.29380214443631</v>
      </c>
      <c r="T189" s="60">
        <f t="shared" si="142"/>
        <v>413.14502442862897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19.761729164692525</v>
      </c>
      <c r="AA189" s="23">
        <f>EXP(-LN(2)/25)*AA188+(1-EXP(-LN(2)/25))/(LN(2)/25)*Calculateur!V189*Calculateur!X189*VLOOKUP('Données projet'!$B$9,Paramètres!$A$1:$I$88,3,0)*0.475*44/12</f>
        <v>4.0281400703327854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23.789869235025311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452.49999999999989</v>
      </c>
      <c r="AJ189" s="14">
        <f>AI189*VLOOKUP('Données projet'!$B$10,Paramètres!$A$1:$I$88,3,0)*VLOOKUP('Données projet'!$B$10,Paramètres!$A$1:$I$88,5,0)</f>
        <v>395.30399999999992</v>
      </c>
      <c r="AK189" s="14">
        <f t="shared" si="164"/>
        <v>90.823969929029445</v>
      </c>
      <c r="AL189" s="22">
        <f t="shared" si="165"/>
        <v>846.67288095972606</v>
      </c>
      <c r="AM189" s="60">
        <f t="shared" si="113"/>
        <v>1136.4696390655836</v>
      </c>
      <c r="AN189" s="60">
        <f ca="1">AVERAGE(OFFSET($AM$3,0,0,'Données projet'!$E$10+1,1))-AVERAGE(OFFSET($H$3,0,0,'Données projet'!$E$10+1,1))</f>
        <v>436.5217771315057</v>
      </c>
      <c r="AO189" s="60">
        <f t="shared" si="144"/>
        <v>308.97310256098365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5.0558146014871514</v>
      </c>
      <c r="AV189" s="23">
        <f>EXP(-LN(2)/25)*AV188+(1-EXP(-LN(2)/25))/(LN(2)/25)*Calculateur!AQ189*Calculateur!AS189*VLOOKUP('Données projet'!$B$10,Paramètres!$A$1:$I$88,3,0)*0.475*44/12</f>
        <v>1.0084057397814383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6.06422034126859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2.2737367544323206E-13</v>
      </c>
      <c r="BE189" s="14">
        <f>BD189*VLOOKUP('Données projet'!$B$11,Paramètres!$A$1:$I$88,3,0)*VLOOKUP('Données projet'!$B$11,Paramètres!$A$1:$I$88,5,0)</f>
        <v>2.3055690689943731E-13</v>
      </c>
      <c r="BF189" s="14">
        <f t="shared" si="167"/>
        <v>3.142699285622457E-12</v>
      </c>
      <c r="BG189" s="22">
        <f t="shared" si="168"/>
        <v>5.8750878686422984E-12</v>
      </c>
      <c r="BH189" s="60">
        <f t="shared" si="116"/>
        <v>289.79675810586326</v>
      </c>
      <c r="BI189" s="60">
        <f ca="1">AVERAGE(OFFSET($BH$3,0,0,'Données projet'!$E$11+1,1))-AVERAGE(OFFSET($H$3,0,0,'Données projet'!$E$11+1,1))</f>
        <v>108.30434106718693</v>
      </c>
      <c r="BJ189" s="60">
        <f t="shared" si="146"/>
        <v>67.653808657585842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5.9727955770364183</v>
      </c>
      <c r="BQ189" s="23">
        <f>EXP(-LN(2)/25)*BQ188+(1-EXP(-LN(2)/25))/(LN(2)/25)*Calculateur!BL189*Calculateur!BN189*VLOOKUP('Données projet'!$B$11,Paramètres!$A$1:$I$88,3,0)*0.475*44/12</f>
        <v>0</v>
      </c>
      <c r="BR189" s="23">
        <f>EXP(-LN(2)/2)*BR188+(1-EXP(-LN(2)/2))/(LN(2)/2)*BL189*BO189*VLOOKUP('Données projet'!$B$11,Paramètres!$A$1:$I$88,3,0)*0.475*44/12</f>
        <v>0</v>
      </c>
      <c r="BS189" s="24">
        <f t="shared" si="169"/>
        <v>5.9727955770364183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projet'!$B$12,Paramètres!$A$1:$I$88,3,0)*VLOOKUP('Données projet'!$B$12,Paramètres!$A$1:$I$88,5,0)</f>
        <v>0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171.08593400758221</v>
      </c>
      <c r="CE189" s="60">
        <f t="shared" si="148"/>
        <v>201.9528484086932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projet'!$B$12,Paramètres!$A$1:$I$88,3,0)*0.475*44/12</f>
        <v>6.0447456919505838</v>
      </c>
      <c r="CL189" s="23">
        <f>EXP(-LN(2)/25)*CL188+(1-EXP(-LN(2)/25))/(LN(2)/25)*Calculateur!CG189*Calculateur!CI189*VLOOKUP('Données projet'!$B$12,Paramètres!$A$1:$I$88,3,0)*0.475*44/12</f>
        <v>1.2972031078900315</v>
      </c>
      <c r="CM189" s="23">
        <f>EXP(-LN(2)/2)*CM188+(1-EXP(-LN(2)/2))/(LN(2)/2)*CG189*CJ189*VLOOKUP('Données projet'!$B$12,Paramètres!$A$1:$I$88,3,0)*0.475*44/12</f>
        <v>0</v>
      </c>
      <c r="CN189" s="24">
        <f t="shared" si="172"/>
        <v>7.3419487998406154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projet'!$B$13,Paramètres!$A$1:$I$88,3,0)*VLOOKUP('Données projet'!$B$13,Paramètres!$A$1:$I$88,5,0)</f>
        <v>0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283.66646124753868</v>
      </c>
      <c r="CZ189" s="60">
        <f t="shared" si="150"/>
        <v>331.61926649572797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projet'!$B$13,Paramètres!$A$1:$I$88,3,0)*0.475*44/12</f>
        <v>29.766704133580028</v>
      </c>
      <c r="DG189" s="23">
        <f>EXP(-LN(2)/25)*DG188+(1-EXP(-LN(2)/25))/(LN(2)/25)*Calculateur!DB189*Calculateur!DD189*VLOOKUP('Données projet'!$B$13,Paramètres!$A$1:$I$88,3,0)*0.475*44/12</f>
        <v>0</v>
      </c>
      <c r="DH189" s="23">
        <f>EXP(-LN(2)/2)*DH188+(1-EXP(-LN(2)/2))/(LN(2)/2)*DB189*DE189*VLOOKUP('Données projet'!$B$13,Paramètres!$A$1:$I$88,3,0)*0.475*44/12</f>
        <v>0</v>
      </c>
      <c r="DI189" s="24">
        <f t="shared" si="175"/>
        <v>29.766704133580028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1.1368683772161603E-13</v>
      </c>
      <c r="DP189" s="18">
        <f>DO189*VLOOKUP('Données projet'!$B$14,Paramètres!$A$1:$I$88,3,0)*VLOOKUP('Données projet'!$B$14,Paramètres!$A$1:$I$88,5,0)</f>
        <v>8.3355189417488869E-14</v>
      </c>
      <c r="DQ189" s="14">
        <f t="shared" si="176"/>
        <v>1.2790518435140618E-12</v>
      </c>
      <c r="DR189" s="22">
        <f t="shared" si="177"/>
        <v>2.3728589156891171E-12</v>
      </c>
      <c r="DS189" s="60">
        <f t="shared" si="125"/>
        <v>289.79675810585979</v>
      </c>
      <c r="DT189" s="60">
        <f ca="1">AVERAGE(OFFSET($DS$3,0,0,'Données projet'!$E$14+1,1))-AVERAGE(OFFSET($H$3,0,0,'Données projet'!$E$14+1,1))</f>
        <v>212.77458587586861</v>
      </c>
      <c r="DU189" s="60">
        <f t="shared" si="152"/>
        <v>260.45879589483513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projet'!$B$14,Paramètres!$A$1:$I$88,3,0)*0.475*44/12</f>
        <v>2.9599229964175349</v>
      </c>
      <c r="EB189" s="23">
        <f>EXP(-LN(2)/25)*EB188+(1-EXP(-LN(2)/25))/(LN(2)/25)*Calculateur!DW189*Calculateur!DY189*VLOOKUP('Données projet'!$B$14,Paramètres!$A$1:$I$88,3,0)*0.475*44/12</f>
        <v>0.61581912025868679</v>
      </c>
      <c r="EC189" s="23">
        <f>EXP(-LN(2)/2)*EC188+(1-EXP(-LN(2)/2))/(LN(2)/2)*DW189*DZ189*VLOOKUP('Données projet'!$B$14,Paramètres!$A$1:$I$88,3,0)*0.475*44/12</f>
        <v>0</v>
      </c>
      <c r="ED189" s="24">
        <f t="shared" si="178"/>
        <v>3.5757421166762215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5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8">
        <f t="shared" si="110"/>
        <v>183.33333333333334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3.4106051316484809E-13</v>
      </c>
      <c r="O190" s="14">
        <f>N190*VLOOKUP('Données projet'!$B$9,Paramètres!$A$1:$I$88,3,0)*VLOOKUP('Données projet'!$B$9,Paramètres!$A$1:$I$88,5,0)</f>
        <v>1.9065282685915009E-13</v>
      </c>
      <c r="P190" s="14">
        <f t="shared" si="141"/>
        <v>2.6568987209435707E-12</v>
      </c>
      <c r="Q190" s="22">
        <f t="shared" si="162"/>
        <v>4.959485612423072E-12</v>
      </c>
      <c r="R190" s="60">
        <f t="shared" si="109"/>
        <v>289.85810977946136</v>
      </c>
      <c r="S190" s="60">
        <f ca="1">AVERAGE(OFFSET($R$3,0,0,'Données projet'!$E$9+1,1))-AVERAGE(OFFSET($H$3,0,0,'Données projet'!$E$9+1,1))</f>
        <v>366.29380214443631</v>
      </c>
      <c r="T190" s="60">
        <f t="shared" si="142"/>
        <v>413.14502442862897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19.374213709237516</v>
      </c>
      <c r="AA190" s="23">
        <f>EXP(-LN(2)/25)*AA189+(1-EXP(-LN(2)/25))/(LN(2)/25)*Calculateur!V190*Calculateur!X190*VLOOKUP('Données projet'!$B$9,Paramètres!$A$1:$I$88,3,0)*0.475*44/12</f>
        <v>3.9179903682788555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23.29220407751637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452.49999999999989</v>
      </c>
      <c r="AJ190" s="14">
        <f>AI190*VLOOKUP('Données projet'!$B$10,Paramètres!$A$1:$I$88,3,0)*VLOOKUP('Données projet'!$B$10,Paramètres!$A$1:$I$88,5,0)</f>
        <v>395.30399999999992</v>
      </c>
      <c r="AK190" s="14">
        <f t="shared" si="164"/>
        <v>90.823969929029445</v>
      </c>
      <c r="AL190" s="22">
        <f t="shared" si="165"/>
        <v>846.67288095972606</v>
      </c>
      <c r="AM190" s="60">
        <f t="shared" si="113"/>
        <v>1136.5309907391825</v>
      </c>
      <c r="AN190" s="60">
        <f ca="1">AVERAGE(OFFSET($AM$3,0,0,'Données projet'!$E$10+1,1))-AVERAGE(OFFSET($H$3,0,0,'Données projet'!$E$10+1,1))</f>
        <v>436.5217771315057</v>
      </c>
      <c r="AO190" s="60">
        <f t="shared" si="144"/>
        <v>308.97310256098365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4.9566731608944012</v>
      </c>
      <c r="AV190" s="23">
        <f>EXP(-LN(2)/25)*AV189+(1-EXP(-LN(2)/25))/(LN(2)/25)*Calculateur!AQ190*Calculateur!AS190*VLOOKUP('Données projet'!$B$10,Paramètres!$A$1:$I$88,3,0)*0.475*44/12</f>
        <v>0.98083083179736175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5.937503992691763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2.2737367544323206E-13</v>
      </c>
      <c r="BE190" s="14">
        <f>BD190*VLOOKUP('Données projet'!$B$11,Paramètres!$A$1:$I$88,3,0)*VLOOKUP('Données projet'!$B$11,Paramètres!$A$1:$I$88,5,0)</f>
        <v>2.3055690689943731E-13</v>
      </c>
      <c r="BF190" s="14">
        <f t="shared" si="167"/>
        <v>3.142699285622457E-12</v>
      </c>
      <c r="BG190" s="22">
        <f t="shared" si="168"/>
        <v>5.8750878686422984E-12</v>
      </c>
      <c r="BH190" s="60">
        <f t="shared" si="116"/>
        <v>289.85810977946227</v>
      </c>
      <c r="BI190" s="60">
        <f ca="1">AVERAGE(OFFSET($BH$3,0,0,'Données projet'!$E$11+1,1))-AVERAGE(OFFSET($H$3,0,0,'Données projet'!$E$11+1,1))</f>
        <v>108.30434106718693</v>
      </c>
      <c r="BJ190" s="60">
        <f t="shared" si="146"/>
        <v>67.653808657585842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5.8556726988163152</v>
      </c>
      <c r="BQ190" s="23">
        <f>EXP(-LN(2)/25)*BQ189+(1-EXP(-LN(2)/25))/(LN(2)/25)*Calculateur!BL190*Calculateur!BN190*VLOOKUP('Données projet'!$B$11,Paramètres!$A$1:$I$88,3,0)*0.475*44/12</f>
        <v>0</v>
      </c>
      <c r="BR190" s="23">
        <f>EXP(-LN(2)/2)*BR189+(1-EXP(-LN(2)/2))/(LN(2)/2)*BL190*BO190*VLOOKUP('Données projet'!$B$11,Paramètres!$A$1:$I$88,3,0)*0.475*44/12</f>
        <v>0</v>
      </c>
      <c r="BS190" s="24">
        <f t="shared" si="169"/>
        <v>5.8556726988163152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projet'!$B$12,Paramètres!$A$1:$I$88,3,0)*VLOOKUP('Données projet'!$B$12,Paramètres!$A$1:$I$88,5,0)</f>
        <v>0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171.08593400758221</v>
      </c>
      <c r="CE190" s="60">
        <f t="shared" si="148"/>
        <v>201.9528484086932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projet'!$B$12,Paramètres!$A$1:$I$88,3,0)*0.475*44/12</f>
        <v>5.9262119158622504</v>
      </c>
      <c r="CL190" s="23">
        <f>EXP(-LN(2)/25)*CL189+(1-EXP(-LN(2)/25))/(LN(2)/25)*Calculateur!CG190*Calculateur!CI190*VLOOKUP('Données projet'!$B$12,Paramètres!$A$1:$I$88,3,0)*0.475*44/12</f>
        <v>1.2617310206878318</v>
      </c>
      <c r="CM190" s="23">
        <f>EXP(-LN(2)/2)*CM189+(1-EXP(-LN(2)/2))/(LN(2)/2)*CG190*CJ190*VLOOKUP('Données projet'!$B$12,Paramètres!$A$1:$I$88,3,0)*0.475*44/12</f>
        <v>0</v>
      </c>
      <c r="CN190" s="24">
        <f t="shared" si="172"/>
        <v>7.1879429365500824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projet'!$B$13,Paramètres!$A$1:$I$88,3,0)*VLOOKUP('Données projet'!$B$13,Paramètres!$A$1:$I$88,5,0)</f>
        <v>0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283.66646124753868</v>
      </c>
      <c r="CZ190" s="60">
        <f t="shared" si="150"/>
        <v>331.61926649572797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projet'!$B$13,Paramètres!$A$1:$I$88,3,0)*0.475*44/12</f>
        <v>29.182997221417299</v>
      </c>
      <c r="DG190" s="23">
        <f>EXP(-LN(2)/25)*DG189+(1-EXP(-LN(2)/25))/(LN(2)/25)*Calculateur!DB190*Calculateur!DD190*VLOOKUP('Données projet'!$B$13,Paramètres!$A$1:$I$88,3,0)*0.475*44/12</f>
        <v>0</v>
      </c>
      <c r="DH190" s="23">
        <f>EXP(-LN(2)/2)*DH189+(1-EXP(-LN(2)/2))/(LN(2)/2)*DB190*DE190*VLOOKUP('Données projet'!$B$13,Paramètres!$A$1:$I$88,3,0)*0.475*44/12</f>
        <v>0</v>
      </c>
      <c r="DI190" s="24">
        <f t="shared" si="175"/>
        <v>29.182997221417299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1.1368683772161603E-13</v>
      </c>
      <c r="DP190" s="18">
        <f>DO190*VLOOKUP('Données projet'!$B$14,Paramètres!$A$1:$I$88,3,0)*VLOOKUP('Données projet'!$B$14,Paramètres!$A$1:$I$88,5,0)</f>
        <v>8.3355189417488869E-14</v>
      </c>
      <c r="DQ190" s="14">
        <f t="shared" si="176"/>
        <v>1.2790518435140618E-12</v>
      </c>
      <c r="DR190" s="22">
        <f t="shared" si="177"/>
        <v>2.3728589156891171E-12</v>
      </c>
      <c r="DS190" s="60">
        <f t="shared" si="125"/>
        <v>289.8581097794588</v>
      </c>
      <c r="DT190" s="60">
        <f ca="1">AVERAGE(OFFSET($DS$3,0,0,'Données projet'!$E$14+1,1))-AVERAGE(OFFSET($H$3,0,0,'Données projet'!$E$14+1,1))</f>
        <v>212.77458587586861</v>
      </c>
      <c r="DU190" s="60">
        <f t="shared" si="152"/>
        <v>260.45879589483513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projet'!$B$14,Paramètres!$A$1:$I$88,3,0)*0.475*44/12</f>
        <v>2.9018807118325487</v>
      </c>
      <c r="EB190" s="23">
        <f>EXP(-LN(2)/25)*EB189+(1-EXP(-LN(2)/25))/(LN(2)/25)*Calculateur!DW190*Calculateur!DY190*VLOOKUP('Données projet'!$B$14,Paramètres!$A$1:$I$88,3,0)*0.475*44/12</f>
        <v>0.59897951403069294</v>
      </c>
      <c r="EC190" s="23">
        <f>EXP(-LN(2)/2)*EC189+(1-EXP(-LN(2)/2))/(LN(2)/2)*DW190*DZ190*VLOOKUP('Données projet'!$B$14,Paramètres!$A$1:$I$88,3,0)*0.475*44/12</f>
        <v>0</v>
      </c>
      <c r="ED190" s="24">
        <f t="shared" si="178"/>
        <v>3.5008602258632417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5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8">
        <f t="shared" si="110"/>
        <v>183.33333333333334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3.4106051316484809E-13</v>
      </c>
      <c r="O191" s="14">
        <f>N191*VLOOKUP('Données projet'!$B$9,Paramètres!$A$1:$I$88,3,0)*VLOOKUP('Données projet'!$B$9,Paramètres!$A$1:$I$88,5,0)</f>
        <v>1.9065282685915009E-13</v>
      </c>
      <c r="P191" s="14">
        <f t="shared" si="141"/>
        <v>2.6568987209435707E-12</v>
      </c>
      <c r="Q191" s="22">
        <f t="shared" si="162"/>
        <v>4.959485612423072E-12</v>
      </c>
      <c r="R191" s="60">
        <f t="shared" si="109"/>
        <v>289.91839713868518</v>
      </c>
      <c r="S191" s="60">
        <f ca="1">AVERAGE(OFFSET($R$3,0,0,'Données projet'!$E$9+1,1))-AVERAGE(OFFSET($H$3,0,0,'Données projet'!$E$9+1,1))</f>
        <v>366.29380214443631</v>
      </c>
      <c r="T191" s="60">
        <f t="shared" si="142"/>
        <v>413.14502442862897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18.994297195502888</v>
      </c>
      <c r="AA191" s="23">
        <f>EXP(-LN(2)/25)*AA190+(1-EXP(-LN(2)/25))/(LN(2)/25)*Calculateur!V191*Calculateur!X191*VLOOKUP('Données projet'!$B$9,Paramètres!$A$1:$I$88,3,0)*0.475*44/12</f>
        <v>3.8108527156201113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22.805149911122999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452.49999999999989</v>
      </c>
      <c r="AJ191" s="14">
        <f>AI191*VLOOKUP('Données projet'!$B$10,Paramètres!$A$1:$I$88,3,0)*VLOOKUP('Données projet'!$B$10,Paramètres!$A$1:$I$88,5,0)</f>
        <v>395.30399999999992</v>
      </c>
      <c r="AK191" s="14">
        <f t="shared" si="164"/>
        <v>90.823969929029445</v>
      </c>
      <c r="AL191" s="22">
        <f t="shared" si="165"/>
        <v>846.67288095972606</v>
      </c>
      <c r="AM191" s="60">
        <f t="shared" si="113"/>
        <v>1136.5912780984063</v>
      </c>
      <c r="AN191" s="60">
        <f ca="1">AVERAGE(OFFSET($AM$3,0,0,'Données projet'!$E$10+1,1))-AVERAGE(OFFSET($H$3,0,0,'Données projet'!$E$10+1,1))</f>
        <v>436.5217771315057</v>
      </c>
      <c r="AO191" s="60">
        <f t="shared" si="144"/>
        <v>308.97310256098365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4.8594758234813664</v>
      </c>
      <c r="AV191" s="23">
        <f>EXP(-LN(2)/25)*AV190+(1-EXP(-LN(2)/25))/(LN(2)/25)*Calculateur!AQ191*Calculateur!AS191*VLOOKUP('Données projet'!$B$10,Paramètres!$A$1:$I$88,3,0)*0.475*44/12</f>
        <v>0.95400996112221115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5.8134857846035777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2.2737367544323206E-13</v>
      </c>
      <c r="BE191" s="14">
        <f>BD191*VLOOKUP('Données projet'!$B$11,Paramètres!$A$1:$I$88,3,0)*VLOOKUP('Données projet'!$B$11,Paramètres!$A$1:$I$88,5,0)</f>
        <v>2.3055690689943731E-13</v>
      </c>
      <c r="BF191" s="14">
        <f t="shared" si="167"/>
        <v>3.142699285622457E-12</v>
      </c>
      <c r="BG191" s="22">
        <f t="shared" si="168"/>
        <v>5.8750878686422984E-12</v>
      </c>
      <c r="BH191" s="60">
        <f t="shared" si="116"/>
        <v>289.91839713868609</v>
      </c>
      <c r="BI191" s="60">
        <f ca="1">AVERAGE(OFFSET($BH$3,0,0,'Données projet'!$E$11+1,1))-AVERAGE(OFFSET($H$3,0,0,'Données projet'!$E$11+1,1))</f>
        <v>108.30434106718693</v>
      </c>
      <c r="BJ191" s="60">
        <f t="shared" si="146"/>
        <v>67.653808657585842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5.7408465288002066</v>
      </c>
      <c r="BQ191" s="23">
        <f>EXP(-LN(2)/25)*BQ190+(1-EXP(-LN(2)/25))/(LN(2)/25)*Calculateur!BL191*Calculateur!BN191*VLOOKUP('Données projet'!$B$11,Paramètres!$A$1:$I$88,3,0)*0.475*44/12</f>
        <v>0</v>
      </c>
      <c r="BR191" s="23">
        <f>EXP(-LN(2)/2)*BR190+(1-EXP(-LN(2)/2))/(LN(2)/2)*BL191*BO191*VLOOKUP('Données projet'!$B$11,Paramètres!$A$1:$I$88,3,0)*0.475*44/12</f>
        <v>0</v>
      </c>
      <c r="BS191" s="24">
        <f t="shared" si="169"/>
        <v>5.7408465288002066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projet'!$B$12,Paramètres!$A$1:$I$88,3,0)*VLOOKUP('Données projet'!$B$12,Paramètres!$A$1:$I$88,5,0)</f>
        <v>0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171.08593400758221</v>
      </c>
      <c r="CE191" s="60">
        <f t="shared" si="148"/>
        <v>201.9528484086932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projet'!$B$12,Paramètres!$A$1:$I$88,3,0)*0.475*44/12</f>
        <v>5.8100025148245447</v>
      </c>
      <c r="CL191" s="23">
        <f>EXP(-LN(2)/25)*CL190+(1-EXP(-LN(2)/25))/(LN(2)/25)*Calculateur!CG191*Calculateur!CI191*VLOOKUP('Données projet'!$B$12,Paramètres!$A$1:$I$88,3,0)*0.475*44/12</f>
        <v>1.2272289195755723</v>
      </c>
      <c r="CM191" s="23">
        <f>EXP(-LN(2)/2)*CM190+(1-EXP(-LN(2)/2))/(LN(2)/2)*CG191*CJ191*VLOOKUP('Données projet'!$B$12,Paramètres!$A$1:$I$88,3,0)*0.475*44/12</f>
        <v>0</v>
      </c>
      <c r="CN191" s="24">
        <f t="shared" si="172"/>
        <v>7.037231434400117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projet'!$B$13,Paramètres!$A$1:$I$88,3,0)*VLOOKUP('Données projet'!$B$13,Paramètres!$A$1:$I$88,5,0)</f>
        <v>0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283.66646124753868</v>
      </c>
      <c r="CZ191" s="60">
        <f t="shared" si="150"/>
        <v>331.61926649572797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projet'!$B$13,Paramètres!$A$1:$I$88,3,0)*0.475*44/12</f>
        <v>28.61073644577602</v>
      </c>
      <c r="DG191" s="23">
        <f>EXP(-LN(2)/25)*DG190+(1-EXP(-LN(2)/25))/(LN(2)/25)*Calculateur!DB191*Calculateur!DD191*VLOOKUP('Données projet'!$B$13,Paramètres!$A$1:$I$88,3,0)*0.475*44/12</f>
        <v>0</v>
      </c>
      <c r="DH191" s="23">
        <f>EXP(-LN(2)/2)*DH190+(1-EXP(-LN(2)/2))/(LN(2)/2)*DB191*DE191*VLOOKUP('Données projet'!$B$13,Paramètres!$A$1:$I$88,3,0)*0.475*44/12</f>
        <v>0</v>
      </c>
      <c r="DI191" s="24">
        <f t="shared" si="175"/>
        <v>28.61073644577602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1.1368683772161603E-13</v>
      </c>
      <c r="DP191" s="18">
        <f>DO191*VLOOKUP('Données projet'!$B$14,Paramètres!$A$1:$I$88,3,0)*VLOOKUP('Données projet'!$B$14,Paramètres!$A$1:$I$88,5,0)</f>
        <v>8.3355189417488869E-14</v>
      </c>
      <c r="DQ191" s="14">
        <f t="shared" si="176"/>
        <v>1.2790518435140618E-12</v>
      </c>
      <c r="DR191" s="22">
        <f t="shared" si="177"/>
        <v>2.3728589156891171E-12</v>
      </c>
      <c r="DS191" s="60">
        <f t="shared" si="125"/>
        <v>289.91839713868262</v>
      </c>
      <c r="DT191" s="60">
        <f ca="1">AVERAGE(OFFSET($DS$3,0,0,'Données projet'!$E$14+1,1))-AVERAGE(OFFSET($H$3,0,0,'Données projet'!$E$14+1,1))</f>
        <v>212.77458587586861</v>
      </c>
      <c r="DU191" s="60">
        <f t="shared" si="152"/>
        <v>260.45879589483513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projet'!$B$14,Paramètres!$A$1:$I$88,3,0)*0.475*44/12</f>
        <v>2.8449766010459765</v>
      </c>
      <c r="EB191" s="23">
        <f>EXP(-LN(2)/25)*EB190+(1-EXP(-LN(2)/25))/(LN(2)/25)*Calculateur!DW191*Calculateur!DY191*VLOOKUP('Données projet'!$B$14,Paramètres!$A$1:$I$88,3,0)*0.475*44/12</f>
        <v>0.58260038772056</v>
      </c>
      <c r="EC191" s="23">
        <f>EXP(-LN(2)/2)*EC190+(1-EXP(-LN(2)/2))/(LN(2)/2)*DW191*DZ191*VLOOKUP('Données projet'!$B$14,Paramètres!$A$1:$I$88,3,0)*0.475*44/12</f>
        <v>0</v>
      </c>
      <c r="ED191" s="24">
        <f t="shared" si="178"/>
        <v>3.4275769887665364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5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8">
        <f t="shared" si="110"/>
        <v>183.33333333333334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3.4106051316484809E-13</v>
      </c>
      <c r="O192" s="14">
        <f>N192*VLOOKUP('Données projet'!$B$9,Paramètres!$A$1:$I$88,3,0)*VLOOKUP('Données projet'!$B$9,Paramètres!$A$1:$I$88,5,0)</f>
        <v>1.9065282685915009E-13</v>
      </c>
      <c r="P192" s="14">
        <f t="shared" si="141"/>
        <v>2.6568987209435707E-12</v>
      </c>
      <c r="Q192" s="22">
        <f t="shared" si="162"/>
        <v>4.959485612423072E-12</v>
      </c>
      <c r="R192" s="60">
        <f t="shared" si="109"/>
        <v>289.9776386470088</v>
      </c>
      <c r="S192" s="60">
        <f ca="1">AVERAGE(OFFSET($R$3,0,0,'Données projet'!$E$9+1,1))-AVERAGE(OFFSET($H$3,0,0,'Données projet'!$E$9+1,1))</f>
        <v>366.29380214443631</v>
      </c>
      <c r="T192" s="60">
        <f t="shared" si="142"/>
        <v>413.14502442862897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18.621830612876405</v>
      </c>
      <c r="AA192" s="23">
        <f>EXP(-LN(2)/25)*AA191+(1-EXP(-LN(2)/25))/(LN(2)/25)*Calculateur!V192*Calculateur!X192*VLOOKUP('Données projet'!$B$9,Paramètres!$A$1:$I$88,3,0)*0.475*44/12</f>
        <v>3.7066447477074447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22.328475360583848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452.49999999999989</v>
      </c>
      <c r="AJ192" s="14">
        <f>AI192*VLOOKUP('Données projet'!$B$10,Paramètres!$A$1:$I$88,3,0)*VLOOKUP('Données projet'!$B$10,Paramètres!$A$1:$I$88,5,0)</f>
        <v>395.30399999999992</v>
      </c>
      <c r="AK192" s="14">
        <f t="shared" si="164"/>
        <v>90.823969929029445</v>
      </c>
      <c r="AL192" s="22">
        <f t="shared" si="165"/>
        <v>846.67288095972606</v>
      </c>
      <c r="AM192" s="60">
        <f t="shared" si="113"/>
        <v>1136.6505196067299</v>
      </c>
      <c r="AN192" s="60">
        <f ca="1">AVERAGE(OFFSET($AM$3,0,0,'Données projet'!$E$10+1,1))-AVERAGE(OFFSET($H$3,0,0,'Données projet'!$E$10+1,1))</f>
        <v>436.5217771315057</v>
      </c>
      <c r="AO192" s="60">
        <f t="shared" si="144"/>
        <v>308.97310256098365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4.7641844665704793</v>
      </c>
      <c r="AV192" s="23">
        <f>EXP(-LN(2)/25)*AV191+(1-EXP(-LN(2)/25))/(LN(2)/25)*Calculateur!AQ192*Calculateur!AS192*VLOOKUP('Données projet'!$B$10,Paramètres!$A$1:$I$88,3,0)*0.475*44/12</f>
        <v>0.9279225085661208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5.6921069751365998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2.2737367544323206E-13</v>
      </c>
      <c r="BE192" s="14">
        <f>BD192*VLOOKUP('Données projet'!$B$11,Paramètres!$A$1:$I$88,3,0)*VLOOKUP('Données projet'!$B$11,Paramètres!$A$1:$I$88,5,0)</f>
        <v>2.3055690689943731E-13</v>
      </c>
      <c r="BF192" s="14">
        <f t="shared" si="167"/>
        <v>3.142699285622457E-12</v>
      </c>
      <c r="BG192" s="22">
        <f t="shared" si="168"/>
        <v>5.8750878686422984E-12</v>
      </c>
      <c r="BH192" s="60">
        <f t="shared" si="116"/>
        <v>289.97763864700971</v>
      </c>
      <c r="BI192" s="60">
        <f ca="1">AVERAGE(OFFSET($BH$3,0,0,'Données projet'!$E$11+1,1))-AVERAGE(OFFSET($H$3,0,0,'Données projet'!$E$11+1,1))</f>
        <v>108.30434106718693</v>
      </c>
      <c r="BJ192" s="60">
        <f t="shared" si="146"/>
        <v>67.653808657585842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5.6282720299410656</v>
      </c>
      <c r="BQ192" s="23">
        <f>EXP(-LN(2)/25)*BQ191+(1-EXP(-LN(2)/25))/(LN(2)/25)*Calculateur!BL192*Calculateur!BN192*VLOOKUP('Données projet'!$B$11,Paramètres!$A$1:$I$88,3,0)*0.475*44/12</f>
        <v>0</v>
      </c>
      <c r="BR192" s="23">
        <f>EXP(-LN(2)/2)*BR191+(1-EXP(-LN(2)/2))/(LN(2)/2)*BL192*BO192*VLOOKUP('Données projet'!$B$11,Paramètres!$A$1:$I$88,3,0)*0.475*44/12</f>
        <v>0</v>
      </c>
      <c r="BS192" s="24">
        <f t="shared" si="169"/>
        <v>5.6282720299410656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projet'!$B$12,Paramètres!$A$1:$I$88,3,0)*VLOOKUP('Données projet'!$B$12,Paramètres!$A$1:$I$88,5,0)</f>
        <v>0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171.08593400758221</v>
      </c>
      <c r="CE192" s="60">
        <f t="shared" si="148"/>
        <v>201.9528484086932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projet'!$B$12,Paramètres!$A$1:$I$88,3,0)*0.475*44/12</f>
        <v>5.6960719092604526</v>
      </c>
      <c r="CL192" s="23">
        <f>EXP(-LN(2)/25)*CL191+(1-EXP(-LN(2)/25))/(LN(2)/25)*Calculateur!CG192*Calculateur!CI192*VLOOKUP('Données projet'!$B$12,Paramètres!$A$1:$I$88,3,0)*0.475*44/12</f>
        <v>1.1936702802326142</v>
      </c>
      <c r="CM192" s="23">
        <f>EXP(-LN(2)/2)*CM191+(1-EXP(-LN(2)/2))/(LN(2)/2)*CG192*CJ192*VLOOKUP('Données projet'!$B$12,Paramètres!$A$1:$I$88,3,0)*0.475*44/12</f>
        <v>0</v>
      </c>
      <c r="CN192" s="24">
        <f t="shared" si="172"/>
        <v>6.8897421894930666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projet'!$B$13,Paramètres!$A$1:$I$88,3,0)*VLOOKUP('Données projet'!$B$13,Paramètres!$A$1:$I$88,5,0)</f>
        <v>0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283.66646124753868</v>
      </c>
      <c r="CZ192" s="60">
        <f t="shared" si="150"/>
        <v>331.61926649572797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projet'!$B$13,Paramètres!$A$1:$I$88,3,0)*0.475*44/12</f>
        <v>28.049697354900459</v>
      </c>
      <c r="DG192" s="23">
        <f>EXP(-LN(2)/25)*DG191+(1-EXP(-LN(2)/25))/(LN(2)/25)*Calculateur!DB192*Calculateur!DD192*VLOOKUP('Données projet'!$B$13,Paramètres!$A$1:$I$88,3,0)*0.475*44/12</f>
        <v>0</v>
      </c>
      <c r="DH192" s="23">
        <f>EXP(-LN(2)/2)*DH191+(1-EXP(-LN(2)/2))/(LN(2)/2)*DB192*DE192*VLOOKUP('Données projet'!$B$13,Paramètres!$A$1:$I$88,3,0)*0.475*44/12</f>
        <v>0</v>
      </c>
      <c r="DI192" s="24">
        <f t="shared" si="175"/>
        <v>28.049697354900459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1.1368683772161603E-13</v>
      </c>
      <c r="DP192" s="18">
        <f>DO192*VLOOKUP('Données projet'!$B$14,Paramètres!$A$1:$I$88,3,0)*VLOOKUP('Données projet'!$B$14,Paramètres!$A$1:$I$88,5,0)</f>
        <v>8.3355189417488869E-14</v>
      </c>
      <c r="DQ192" s="14">
        <f t="shared" si="176"/>
        <v>1.2790518435140618E-12</v>
      </c>
      <c r="DR192" s="22">
        <f t="shared" si="177"/>
        <v>2.3728589156891171E-12</v>
      </c>
      <c r="DS192" s="60">
        <f t="shared" si="125"/>
        <v>289.97763864700624</v>
      </c>
      <c r="DT192" s="60">
        <f ca="1">AVERAGE(OFFSET($DS$3,0,0,'Données projet'!$E$14+1,1))-AVERAGE(OFFSET($H$3,0,0,'Données projet'!$E$14+1,1))</f>
        <v>212.77458587586861</v>
      </c>
      <c r="DU192" s="60">
        <f t="shared" si="152"/>
        <v>260.45879589483513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projet'!$B$14,Paramètres!$A$1:$I$88,3,0)*0.475*44/12</f>
        <v>2.7891883451638484</v>
      </c>
      <c r="EB192" s="23">
        <f>EXP(-LN(2)/25)*EB191+(1-EXP(-LN(2)/25))/(LN(2)/25)*Calculateur!DW192*Calculateur!DY192*VLOOKUP('Données projet'!$B$14,Paramètres!$A$1:$I$88,3,0)*0.475*44/12</f>
        <v>0.56666914948071845</v>
      </c>
      <c r="EC192" s="23">
        <f>EXP(-LN(2)/2)*EC191+(1-EXP(-LN(2)/2))/(LN(2)/2)*DW192*DZ192*VLOOKUP('Données projet'!$B$14,Paramètres!$A$1:$I$88,3,0)*0.475*44/12</f>
        <v>0</v>
      </c>
      <c r="ED192" s="24">
        <f t="shared" si="178"/>
        <v>3.355857494644567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5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8">
        <f t="shared" si="110"/>
        <v>183.33333333333334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3.4106051316484809E-13</v>
      </c>
      <c r="O193" s="14">
        <f>N193*VLOOKUP('Données projet'!$B$9,Paramètres!$A$1:$I$88,3,0)*VLOOKUP('Données projet'!$B$9,Paramètres!$A$1:$I$88,5,0)</f>
        <v>1.9065282685915009E-13</v>
      </c>
      <c r="P193" s="14">
        <f t="shared" si="141"/>
        <v>2.6568987209435707E-12</v>
      </c>
      <c r="Q193" s="22">
        <f t="shared" si="162"/>
        <v>4.959485612423072E-12</v>
      </c>
      <c r="R193" s="60">
        <f t="shared" si="109"/>
        <v>290.03585244760723</v>
      </c>
      <c r="S193" s="60">
        <f ca="1">AVERAGE(OFFSET($R$3,0,0,'Données projet'!$E$9+1,1))-AVERAGE(OFFSET($H$3,0,0,'Données projet'!$E$9+1,1))</f>
        <v>366.29380214443631</v>
      </c>
      <c r="T193" s="60">
        <f t="shared" si="142"/>
        <v>413.14502442862897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18.256667872753045</v>
      </c>
      <c r="AA193" s="23">
        <f>EXP(-LN(2)/25)*AA192+(1-EXP(-LN(2)/25))/(LN(2)/25)*Calculateur!V193*Calculateur!X193*VLOOKUP('Données projet'!$B$9,Paramètres!$A$1:$I$88,3,0)*0.475*44/12</f>
        <v>3.605286352157409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21.861954224910455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452.49999999999989</v>
      </c>
      <c r="AJ193" s="14">
        <f>AI193*VLOOKUP('Données projet'!$B$10,Paramètres!$A$1:$I$88,3,0)*VLOOKUP('Données projet'!$B$10,Paramètres!$A$1:$I$88,5,0)</f>
        <v>395.30399999999992</v>
      </c>
      <c r="AK193" s="14">
        <f t="shared" si="164"/>
        <v>90.823969929029445</v>
      </c>
      <c r="AL193" s="22">
        <f t="shared" si="165"/>
        <v>846.67288095972606</v>
      </c>
      <c r="AM193" s="60">
        <f t="shared" si="113"/>
        <v>1136.7087334073283</v>
      </c>
      <c r="AN193" s="60">
        <f ca="1">AVERAGE(OFFSET($AM$3,0,0,'Données projet'!$E$10+1,1))-AVERAGE(OFFSET($H$3,0,0,'Données projet'!$E$10+1,1))</f>
        <v>436.5217771315057</v>
      </c>
      <c r="AO193" s="60">
        <f t="shared" si="144"/>
        <v>308.97310256098365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4.6707617150466261</v>
      </c>
      <c r="AV193" s="23">
        <f>EXP(-LN(2)/25)*AV192+(1-EXP(-LN(2)/25))/(LN(2)/25)*Calculateur!AQ193*Calculateur!AS193*VLOOKUP('Données projet'!$B$10,Paramètres!$A$1:$I$88,3,0)*0.475*44/12</f>
        <v>0.90254841877205627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5.5733101338186826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2.2737367544323206E-13</v>
      </c>
      <c r="BE193" s="14">
        <f>BD193*VLOOKUP('Données projet'!$B$11,Paramètres!$A$1:$I$88,3,0)*VLOOKUP('Données projet'!$B$11,Paramètres!$A$1:$I$88,5,0)</f>
        <v>2.3055690689943731E-13</v>
      </c>
      <c r="BF193" s="14">
        <f t="shared" si="167"/>
        <v>3.142699285622457E-12</v>
      </c>
      <c r="BG193" s="22">
        <f t="shared" si="168"/>
        <v>5.8750878686422984E-12</v>
      </c>
      <c r="BH193" s="60">
        <f t="shared" si="116"/>
        <v>290.03585244760814</v>
      </c>
      <c r="BI193" s="60">
        <f ca="1">AVERAGE(OFFSET($BH$3,0,0,'Données projet'!$E$11+1,1))-AVERAGE(OFFSET($H$3,0,0,'Données projet'!$E$11+1,1))</f>
        <v>108.30434106718693</v>
      </c>
      <c r="BJ193" s="60">
        <f t="shared" si="146"/>
        <v>67.653808657585842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5.5179050483408885</v>
      </c>
      <c r="BQ193" s="23">
        <f>EXP(-LN(2)/25)*BQ192+(1-EXP(-LN(2)/25))/(LN(2)/25)*Calculateur!BL193*Calculateur!BN193*VLOOKUP('Données projet'!$B$11,Paramètres!$A$1:$I$88,3,0)*0.475*44/12</f>
        <v>0</v>
      </c>
      <c r="BR193" s="23">
        <f>EXP(-LN(2)/2)*BR192+(1-EXP(-LN(2)/2))/(LN(2)/2)*BL193*BO193*VLOOKUP('Données projet'!$B$11,Paramètres!$A$1:$I$88,3,0)*0.475*44/12</f>
        <v>0</v>
      </c>
      <c r="BS193" s="24">
        <f t="shared" si="169"/>
        <v>5.5179050483408885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projet'!$B$12,Paramètres!$A$1:$I$88,3,0)*VLOOKUP('Données projet'!$B$12,Paramètres!$A$1:$I$88,5,0)</f>
        <v>0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171.08593400758221</v>
      </c>
      <c r="CE193" s="60">
        <f t="shared" si="148"/>
        <v>201.9528484086932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projet'!$B$12,Paramètres!$A$1:$I$88,3,0)*0.475*44/12</f>
        <v>5.5843754133806653</v>
      </c>
      <c r="CL193" s="23">
        <f>EXP(-LN(2)/25)*CL192+(1-EXP(-LN(2)/25))/(LN(2)/25)*Calculateur!CG193*Calculateur!CI193*VLOOKUP('Données projet'!$B$12,Paramètres!$A$1:$I$88,3,0)*0.475*44/12</f>
        <v>1.1610293036472614</v>
      </c>
      <c r="CM193" s="23">
        <f>EXP(-LN(2)/2)*CM192+(1-EXP(-LN(2)/2))/(LN(2)/2)*CG193*CJ193*VLOOKUP('Données projet'!$B$12,Paramètres!$A$1:$I$88,3,0)*0.475*44/12</f>
        <v>0</v>
      </c>
      <c r="CN193" s="24">
        <f t="shared" si="172"/>
        <v>6.7454047170279265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projet'!$B$13,Paramètres!$A$1:$I$88,3,0)*VLOOKUP('Données projet'!$B$13,Paramètres!$A$1:$I$88,5,0)</f>
        <v>0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283.66646124753868</v>
      </c>
      <c r="CZ193" s="60">
        <f t="shared" si="150"/>
        <v>331.61926649572797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projet'!$B$13,Paramètres!$A$1:$I$88,3,0)*0.475*44/12</f>
        <v>27.49965989839691</v>
      </c>
      <c r="DG193" s="23">
        <f>EXP(-LN(2)/25)*DG192+(1-EXP(-LN(2)/25))/(LN(2)/25)*Calculateur!DB193*Calculateur!DD193*VLOOKUP('Données projet'!$B$13,Paramètres!$A$1:$I$88,3,0)*0.475*44/12</f>
        <v>0</v>
      </c>
      <c r="DH193" s="23">
        <f>EXP(-LN(2)/2)*DH192+(1-EXP(-LN(2)/2))/(LN(2)/2)*DB193*DE193*VLOOKUP('Données projet'!$B$13,Paramètres!$A$1:$I$88,3,0)*0.475*44/12</f>
        <v>0</v>
      </c>
      <c r="DI193" s="24">
        <f t="shared" si="175"/>
        <v>27.49965989839691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1.1368683772161603E-13</v>
      </c>
      <c r="DP193" s="18">
        <f>DO193*VLOOKUP('Données projet'!$B$14,Paramètres!$A$1:$I$88,3,0)*VLOOKUP('Données projet'!$B$14,Paramètres!$A$1:$I$88,5,0)</f>
        <v>8.3355189417488869E-14</v>
      </c>
      <c r="DQ193" s="14">
        <f t="shared" si="176"/>
        <v>1.2790518435140618E-12</v>
      </c>
      <c r="DR193" s="22">
        <f t="shared" si="177"/>
        <v>2.3728589156891171E-12</v>
      </c>
      <c r="DS193" s="60">
        <f t="shared" si="125"/>
        <v>290.03585244760467</v>
      </c>
      <c r="DT193" s="60">
        <f ca="1">AVERAGE(OFFSET($DS$3,0,0,'Données projet'!$E$14+1,1))-AVERAGE(OFFSET($H$3,0,0,'Données projet'!$E$14+1,1))</f>
        <v>212.77458587586861</v>
      </c>
      <c r="DU193" s="60">
        <f t="shared" si="152"/>
        <v>260.45879589483513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projet'!$B$14,Paramètres!$A$1:$I$88,3,0)*0.475*44/12</f>
        <v>2.7344940629520926</v>
      </c>
      <c r="EB193" s="23">
        <f>EXP(-LN(2)/25)*EB192+(1-EXP(-LN(2)/25))/(LN(2)/25)*Calculateur!DW193*Calculateur!DY193*VLOOKUP('Données projet'!$B$14,Paramètres!$A$1:$I$88,3,0)*0.475*44/12</f>
        <v>0.55117355178833272</v>
      </c>
      <c r="EC193" s="23">
        <f>EXP(-LN(2)/2)*EC192+(1-EXP(-LN(2)/2))/(LN(2)/2)*DW193*DZ193*VLOOKUP('Données projet'!$B$14,Paramètres!$A$1:$I$88,3,0)*0.475*44/12</f>
        <v>0</v>
      </c>
      <c r="ED193" s="24">
        <f t="shared" si="178"/>
        <v>3.2856676147404253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5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8">
        <f t="shared" si="110"/>
        <v>183.33333333333334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3.4106051316484809E-13</v>
      </c>
      <c r="O194" s="14">
        <f>N194*VLOOKUP('Données projet'!$B$9,Paramètres!$A$1:$I$88,3,0)*VLOOKUP('Données projet'!$B$9,Paramètres!$A$1:$I$88,5,0)</f>
        <v>1.9065282685915009E-13</v>
      </c>
      <c r="P194" s="14">
        <f t="shared" si="141"/>
        <v>2.6568987209435707E-12</v>
      </c>
      <c r="Q194" s="22">
        <f t="shared" si="162"/>
        <v>4.959485612423072E-12</v>
      </c>
      <c r="R194" s="60">
        <f t="shared" si="109"/>
        <v>290.09305636891179</v>
      </c>
      <c r="S194" s="60">
        <f ca="1">AVERAGE(OFFSET($R$3,0,0,'Données projet'!$E$9+1,1))-AVERAGE(OFFSET($H$3,0,0,'Données projet'!$E$9+1,1))</f>
        <v>366.29380214443631</v>
      </c>
      <c r="T194" s="60">
        <f t="shared" si="142"/>
        <v>413.14502442862897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17.898665751236223</v>
      </c>
      <c r="AA194" s="23">
        <f>EXP(-LN(2)/25)*AA193+(1-EXP(-LN(2)/25))/(LN(2)/25)*Calculateur!V194*Calculateur!X194*VLOOKUP('Données projet'!$B$9,Paramètres!$A$1:$I$88,3,0)*0.475*44/12</f>
        <v>3.5066996072638954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21.40536535850012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452.49999999999989</v>
      </c>
      <c r="AJ194" s="14">
        <f>AI194*VLOOKUP('Données projet'!$B$10,Paramètres!$A$1:$I$88,3,0)*VLOOKUP('Données projet'!$B$10,Paramètres!$A$1:$I$88,5,0)</f>
        <v>395.30399999999992</v>
      </c>
      <c r="AK194" s="14">
        <f t="shared" si="164"/>
        <v>90.823969929029445</v>
      </c>
      <c r="AL194" s="22">
        <f t="shared" si="165"/>
        <v>846.67288095972606</v>
      </c>
      <c r="AM194" s="60">
        <f t="shared" si="113"/>
        <v>1136.7659373286328</v>
      </c>
      <c r="AN194" s="60">
        <f ca="1">AVERAGE(OFFSET($AM$3,0,0,'Données projet'!$E$10+1,1))-AVERAGE(OFFSET($H$3,0,0,'Données projet'!$E$10+1,1))</f>
        <v>436.5217771315057</v>
      </c>
      <c r="AO194" s="60">
        <f t="shared" si="144"/>
        <v>308.97310256098365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4.5791709266979037</v>
      </c>
      <c r="AV194" s="23">
        <f>EXP(-LN(2)/25)*AV193+(1-EXP(-LN(2)/25))/(LN(2)/25)*Calculateur!AQ194*Calculateur!AS194*VLOOKUP('Données projet'!$B$10,Paramètres!$A$1:$I$88,3,0)*0.475*44/12</f>
        <v>0.87786818479777584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5.4570391114956793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2.2737367544323206E-13</v>
      </c>
      <c r="BE194" s="14">
        <f>BD194*VLOOKUP('Données projet'!$B$11,Paramètres!$A$1:$I$88,3,0)*VLOOKUP('Données projet'!$B$11,Paramètres!$A$1:$I$88,5,0)</f>
        <v>2.3055690689943731E-13</v>
      </c>
      <c r="BF194" s="14">
        <f t="shared" si="167"/>
        <v>3.142699285622457E-12</v>
      </c>
      <c r="BG194" s="22">
        <f t="shared" si="168"/>
        <v>5.8750878686422984E-12</v>
      </c>
      <c r="BH194" s="60">
        <f t="shared" si="116"/>
        <v>290.0930563689127</v>
      </c>
      <c r="BI194" s="60">
        <f ca="1">AVERAGE(OFFSET($BH$3,0,0,'Données projet'!$E$11+1,1))-AVERAGE(OFFSET($H$3,0,0,'Données projet'!$E$11+1,1))</f>
        <v>108.30434106718693</v>
      </c>
      <c r="BJ194" s="60">
        <f t="shared" si="146"/>
        <v>67.653808657585842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5.4097022959326786</v>
      </c>
      <c r="BQ194" s="23">
        <f>EXP(-LN(2)/25)*BQ193+(1-EXP(-LN(2)/25))/(LN(2)/25)*Calculateur!BL194*Calculateur!BN194*VLOOKUP('Données projet'!$B$11,Paramètres!$A$1:$I$88,3,0)*0.475*44/12</f>
        <v>0</v>
      </c>
      <c r="BR194" s="23">
        <f>EXP(-LN(2)/2)*BR193+(1-EXP(-LN(2)/2))/(LN(2)/2)*BL194*BO194*VLOOKUP('Données projet'!$B$11,Paramètres!$A$1:$I$88,3,0)*0.475*44/12</f>
        <v>0</v>
      </c>
      <c r="BS194" s="24">
        <f t="shared" si="169"/>
        <v>5.4097022959326786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projet'!$B$12,Paramètres!$A$1:$I$88,3,0)*VLOOKUP('Données projet'!$B$12,Paramètres!$A$1:$I$88,5,0)</f>
        <v>0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171.08593400758221</v>
      </c>
      <c r="CE194" s="60">
        <f t="shared" si="148"/>
        <v>201.9528484086932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projet'!$B$12,Paramètres!$A$1:$I$88,3,0)*0.475*44/12</f>
        <v>5.4748692176569449</v>
      </c>
      <c r="CL194" s="23">
        <f>EXP(-LN(2)/25)*CL193+(1-EXP(-LN(2)/25))/(LN(2)/25)*Calculateur!CG194*Calculateur!CI194*VLOOKUP('Données projet'!$B$12,Paramètres!$A$1:$I$88,3,0)*0.475*44/12</f>
        <v>1.1292808962831495</v>
      </c>
      <c r="CM194" s="23">
        <f>EXP(-LN(2)/2)*CM193+(1-EXP(-LN(2)/2))/(LN(2)/2)*CG194*CJ194*VLOOKUP('Données projet'!$B$12,Paramètres!$A$1:$I$88,3,0)*0.475*44/12</f>
        <v>0</v>
      </c>
      <c r="CN194" s="24">
        <f t="shared" si="172"/>
        <v>6.6041501139400944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projet'!$B$13,Paramètres!$A$1:$I$88,3,0)*VLOOKUP('Données projet'!$B$13,Paramètres!$A$1:$I$88,5,0)</f>
        <v>0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283.66646124753868</v>
      </c>
      <c r="CZ194" s="60">
        <f t="shared" si="150"/>
        <v>331.61926649572797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projet'!$B$13,Paramètres!$A$1:$I$88,3,0)*0.475*44/12</f>
        <v>26.960408340925675</v>
      </c>
      <c r="DG194" s="23">
        <f>EXP(-LN(2)/25)*DG193+(1-EXP(-LN(2)/25))/(LN(2)/25)*Calculateur!DB194*Calculateur!DD194*VLOOKUP('Données projet'!$B$13,Paramètres!$A$1:$I$88,3,0)*0.475*44/12</f>
        <v>0</v>
      </c>
      <c r="DH194" s="23">
        <f>EXP(-LN(2)/2)*DH193+(1-EXP(-LN(2)/2))/(LN(2)/2)*DB194*DE194*VLOOKUP('Données projet'!$B$13,Paramètres!$A$1:$I$88,3,0)*0.475*44/12</f>
        <v>0</v>
      </c>
      <c r="DI194" s="24">
        <f t="shared" si="175"/>
        <v>26.960408340925675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1.1368683772161603E-13</v>
      </c>
      <c r="DP194" s="18">
        <f>DO194*VLOOKUP('Données projet'!$B$14,Paramètres!$A$1:$I$88,3,0)*VLOOKUP('Données projet'!$B$14,Paramètres!$A$1:$I$88,5,0)</f>
        <v>8.3355189417488869E-14</v>
      </c>
      <c r="DQ194" s="14">
        <f t="shared" si="176"/>
        <v>1.2790518435140618E-12</v>
      </c>
      <c r="DR194" s="22">
        <f t="shared" si="177"/>
        <v>2.3728589156891171E-12</v>
      </c>
      <c r="DS194" s="60">
        <f t="shared" si="125"/>
        <v>290.09305636890923</v>
      </c>
      <c r="DT194" s="60">
        <f ca="1">AVERAGE(OFFSET($DS$3,0,0,'Données projet'!$E$14+1,1))-AVERAGE(OFFSET($H$3,0,0,'Données projet'!$E$14+1,1))</f>
        <v>212.77458587586861</v>
      </c>
      <c r="DU194" s="60">
        <f t="shared" si="152"/>
        <v>260.45879589483513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projet'!$B$14,Paramètres!$A$1:$I$88,3,0)*0.475*44/12</f>
        <v>2.6808723022542913</v>
      </c>
      <c r="EB194" s="23">
        <f>EXP(-LN(2)/25)*EB193+(1-EXP(-LN(2)/25))/(LN(2)/25)*Calculateur!DW194*Calculateur!DY194*VLOOKUP('Données projet'!$B$14,Paramètres!$A$1:$I$88,3,0)*0.475*44/12</f>
        <v>0.53610168202972341</v>
      </c>
      <c r="EC194" s="23">
        <f>EXP(-LN(2)/2)*EC193+(1-EXP(-LN(2)/2))/(LN(2)/2)*DW194*DZ194*VLOOKUP('Données projet'!$B$14,Paramètres!$A$1:$I$88,3,0)*0.475*44/12</f>
        <v>0</v>
      </c>
      <c r="ED194" s="24">
        <f t="shared" si="178"/>
        <v>3.2169739842840146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5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8">
        <f t="shared" si="110"/>
        <v>183.33333333333334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3.4106051316484809E-13</v>
      </c>
      <c r="O195" s="14">
        <f>N195*VLOOKUP('Données projet'!$B$9,Paramètres!$A$1:$I$88,3,0)*VLOOKUP('Données projet'!$B$9,Paramètres!$A$1:$I$88,5,0)</f>
        <v>1.9065282685915009E-13</v>
      </c>
      <c r="P195" s="14">
        <f t="shared" si="141"/>
        <v>2.6568987209435707E-12</v>
      </c>
      <c r="Q195" s="22">
        <f t="shared" si="162"/>
        <v>4.959485612423072E-12</v>
      </c>
      <c r="R195" s="60">
        <f t="shared" ref="R195:R203" si="191">Q195+(I195+J195)*44/12</f>
        <v>290.14926793007061</v>
      </c>
      <c r="S195" s="60">
        <f ca="1">AVERAGE(OFFSET($R$3,0,0,'Données projet'!$E$9+1,1))-AVERAGE(OFFSET($H$3,0,0,'Données projet'!$E$9+1,1))</f>
        <v>366.29380214443631</v>
      </c>
      <c r="T195" s="60">
        <f t="shared" si="142"/>
        <v>413.14502442862897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17.547683832962615</v>
      </c>
      <c r="AA195" s="23">
        <f>EXP(-LN(2)/25)*AA194+(1-EXP(-LN(2)/25))/(LN(2)/25)*Calculateur!V195*Calculateur!X195*VLOOKUP('Données projet'!$B$9,Paramètres!$A$1:$I$88,3,0)*0.475*44/12</f>
        <v>3.4108087220939467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20.958492555056562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452.49999999999989</v>
      </c>
      <c r="AJ195" s="14">
        <f>AI195*VLOOKUP('Données projet'!$B$10,Paramètres!$A$1:$I$88,3,0)*VLOOKUP('Données projet'!$B$10,Paramètres!$A$1:$I$88,5,0)</f>
        <v>395.30399999999992</v>
      </c>
      <c r="AK195" s="14">
        <f t="shared" si="164"/>
        <v>90.823969929029445</v>
      </c>
      <c r="AL195" s="22">
        <f t="shared" si="165"/>
        <v>846.67288095972606</v>
      </c>
      <c r="AM195" s="60">
        <f t="shared" si="113"/>
        <v>1136.8221488897916</v>
      </c>
      <c r="AN195" s="60">
        <f ca="1">AVERAGE(OFFSET($AM$3,0,0,'Données projet'!$E$10+1,1))-AVERAGE(OFFSET($H$3,0,0,'Données projet'!$E$10+1,1))</f>
        <v>436.5217771315057</v>
      </c>
      <c r="AO195" s="60">
        <f t="shared" si="144"/>
        <v>308.97310256098365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4.4893761778438357</v>
      </c>
      <c r="AV195" s="23">
        <f>EXP(-LN(2)/25)*AV194+(1-EXP(-LN(2)/25))/(LN(2)/25)*Calculateur!AQ195*Calculateur!AS195*VLOOKUP('Données projet'!$B$10,Paramètres!$A$1:$I$88,3,0)*0.475*44/12</f>
        <v>0.85386283311939926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5.3432390109632353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2.2737367544323206E-13</v>
      </c>
      <c r="BE195" s="14">
        <f>BD195*VLOOKUP('Données projet'!$B$11,Paramètres!$A$1:$I$88,3,0)*VLOOKUP('Données projet'!$B$11,Paramètres!$A$1:$I$88,5,0)</f>
        <v>2.3055690689943731E-13</v>
      </c>
      <c r="BF195" s="14">
        <f t="shared" si="167"/>
        <v>3.142699285622457E-12</v>
      </c>
      <c r="BG195" s="22">
        <f t="shared" si="168"/>
        <v>5.8750878686422984E-12</v>
      </c>
      <c r="BH195" s="60">
        <f t="shared" si="116"/>
        <v>290.14926793007152</v>
      </c>
      <c r="BI195" s="60">
        <f ca="1">AVERAGE(OFFSET($BH$3,0,0,'Données projet'!$E$11+1,1))-AVERAGE(OFFSET($H$3,0,0,'Données projet'!$E$11+1,1))</f>
        <v>108.30434106718693</v>
      </c>
      <c r="BJ195" s="60">
        <f t="shared" si="146"/>
        <v>67.653808657585842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5.3036213335020319</v>
      </c>
      <c r="BQ195" s="23">
        <f>EXP(-LN(2)/25)*BQ194+(1-EXP(-LN(2)/25))/(LN(2)/25)*Calculateur!BL195*Calculateur!BN195*VLOOKUP('Données projet'!$B$11,Paramètres!$A$1:$I$88,3,0)*0.475*44/12</f>
        <v>0</v>
      </c>
      <c r="BR195" s="23">
        <f>EXP(-LN(2)/2)*BR194+(1-EXP(-LN(2)/2))/(LN(2)/2)*BL195*BO195*VLOOKUP('Données projet'!$B$11,Paramètres!$A$1:$I$88,3,0)*0.475*44/12</f>
        <v>0</v>
      </c>
      <c r="BS195" s="24">
        <f t="shared" si="169"/>
        <v>5.3036213335020319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projet'!$B$12,Paramètres!$A$1:$I$88,3,0)*VLOOKUP('Données projet'!$B$12,Paramètres!$A$1:$I$88,5,0)</f>
        <v>0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171.08593400758221</v>
      </c>
      <c r="CE195" s="60">
        <f t="shared" si="148"/>
        <v>201.9528484086932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projet'!$B$12,Paramètres!$A$1:$I$88,3,0)*0.475*44/12</f>
        <v>5.3675103716391828</v>
      </c>
      <c r="CL195" s="23">
        <f>EXP(-LN(2)/25)*CL194+(1-EXP(-LN(2)/25))/(LN(2)/25)*Calculateur!CG195*Calculateur!CI195*VLOOKUP('Données projet'!$B$12,Paramètres!$A$1:$I$88,3,0)*0.475*44/12</f>
        <v>1.0984006507879855</v>
      </c>
      <c r="CM195" s="23">
        <f>EXP(-LN(2)/2)*CM194+(1-EXP(-LN(2)/2))/(LN(2)/2)*CG195*CJ195*VLOOKUP('Données projet'!$B$12,Paramètres!$A$1:$I$88,3,0)*0.475*44/12</f>
        <v>0</v>
      </c>
      <c r="CN195" s="24">
        <f t="shared" si="172"/>
        <v>6.4659110224271679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projet'!$B$13,Paramètres!$A$1:$I$88,3,0)*VLOOKUP('Données projet'!$B$13,Paramètres!$A$1:$I$88,5,0)</f>
        <v>0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283.66646124753868</v>
      </c>
      <c r="CZ195" s="60">
        <f t="shared" si="150"/>
        <v>331.61926649572797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projet'!$B$13,Paramètres!$A$1:$I$88,3,0)*0.475*44/12</f>
        <v>26.431731177585476</v>
      </c>
      <c r="DG195" s="23">
        <f>EXP(-LN(2)/25)*DG194+(1-EXP(-LN(2)/25))/(LN(2)/25)*Calculateur!DB195*Calculateur!DD195*VLOOKUP('Données projet'!$B$13,Paramètres!$A$1:$I$88,3,0)*0.475*44/12</f>
        <v>0</v>
      </c>
      <c r="DH195" s="23">
        <f>EXP(-LN(2)/2)*DH194+(1-EXP(-LN(2)/2))/(LN(2)/2)*DB195*DE195*VLOOKUP('Données projet'!$B$13,Paramètres!$A$1:$I$88,3,0)*0.475*44/12</f>
        <v>0</v>
      </c>
      <c r="DI195" s="24">
        <f t="shared" si="175"/>
        <v>26.431731177585476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1.1368683772161603E-13</v>
      </c>
      <c r="DP195" s="18">
        <f>DO195*VLOOKUP('Données projet'!$B$14,Paramètres!$A$1:$I$88,3,0)*VLOOKUP('Données projet'!$B$14,Paramètres!$A$1:$I$88,5,0)</f>
        <v>8.3355189417488869E-14</v>
      </c>
      <c r="DQ195" s="14">
        <f t="shared" si="176"/>
        <v>1.2790518435140618E-12</v>
      </c>
      <c r="DR195" s="22">
        <f t="shared" si="177"/>
        <v>2.3728589156891171E-12</v>
      </c>
      <c r="DS195" s="60">
        <f t="shared" si="125"/>
        <v>290.14926793006805</v>
      </c>
      <c r="DT195" s="60">
        <f ca="1">AVERAGE(OFFSET($DS$3,0,0,'Données projet'!$E$14+1,1))-AVERAGE(OFFSET($H$3,0,0,'Données projet'!$E$14+1,1))</f>
        <v>212.77458587586861</v>
      </c>
      <c r="DU195" s="60">
        <f t="shared" si="152"/>
        <v>260.45879589483513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projet'!$B$14,Paramètres!$A$1:$I$88,3,0)*0.475*44/12</f>
        <v>2.6283020315777295</v>
      </c>
      <c r="EB195" s="23">
        <f>EXP(-LN(2)/25)*EB194+(1-EXP(-LN(2)/25))/(LN(2)/25)*Calculateur!DW195*Calculateur!DY195*VLOOKUP('Données projet'!$B$14,Paramètres!$A$1:$I$88,3,0)*0.475*44/12</f>
        <v>0.5214419533422584</v>
      </c>
      <c r="EC195" s="23">
        <f>EXP(-LN(2)/2)*EC194+(1-EXP(-LN(2)/2))/(LN(2)/2)*DW195*DZ195*VLOOKUP('Données projet'!$B$14,Paramètres!$A$1:$I$88,3,0)*0.475*44/12</f>
        <v>0</v>
      </c>
      <c r="ED195" s="24">
        <f t="shared" si="178"/>
        <v>3.1497439849199877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5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8">
        <f t="shared" ref="H196:H203" si="192">(B196+E196+F196)*44/12+(C196+D196)*0.475*44/12</f>
        <v>183.33333333333334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3.4106051316484809E-13</v>
      </c>
      <c r="O196" s="14">
        <f>N196*VLOOKUP('Données projet'!$B$9,Paramètres!$A$1:$I$88,3,0)*VLOOKUP('Données projet'!$B$9,Paramètres!$A$1:$I$88,5,0)</f>
        <v>1.9065282685915009E-13</v>
      </c>
      <c r="P196" s="14">
        <f t="shared" si="141"/>
        <v>2.6568987209435707E-12</v>
      </c>
      <c r="Q196" s="22">
        <f t="shared" si="162"/>
        <v>4.959485612423072E-12</v>
      </c>
      <c r="R196" s="60">
        <f t="shared" si="191"/>
        <v>290.20450434631346</v>
      </c>
      <c r="S196" s="60">
        <f ca="1">AVERAGE(OFFSET($R$3,0,0,'Données projet'!$E$9+1,1))-AVERAGE(OFFSET($H$3,0,0,'Données projet'!$E$9+1,1))</f>
        <v>366.29380214443631</v>
      </c>
      <c r="T196" s="60">
        <f t="shared" si="142"/>
        <v>413.14502442862897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17.203584456028519</v>
      </c>
      <c r="AA196" s="23">
        <f>EXP(-LN(2)/25)*AA195+(1-EXP(-LN(2)/25))/(LN(2)/25)*Calculateur!V196*Calculateur!X196*VLOOKUP('Données projet'!$B$9,Paramètres!$A$1:$I$88,3,0)*0.475*44/12</f>
        <v>3.3175399782216526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20.521124434250172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452.49999999999989</v>
      </c>
      <c r="AJ196" s="14">
        <f>AI196*VLOOKUP('Données projet'!$B$10,Paramètres!$A$1:$I$88,3,0)*VLOOKUP('Données projet'!$B$10,Paramètres!$A$1:$I$88,5,0)</f>
        <v>395.30399999999992</v>
      </c>
      <c r="AK196" s="14">
        <f t="shared" si="164"/>
        <v>90.823969929029445</v>
      </c>
      <c r="AL196" s="22">
        <f t="shared" si="165"/>
        <v>846.67288095972606</v>
      </c>
      <c r="AM196" s="60">
        <f t="shared" ref="AM196:AM203" si="193">AL196+(AD196+AE196)*44/12</f>
        <v>1136.8773853060345</v>
      </c>
      <c r="AN196" s="60">
        <f ca="1">AVERAGE(OFFSET($AM$3,0,0,'Données projet'!$E$10+1,1))-AVERAGE(OFFSET($H$3,0,0,'Données projet'!$E$10+1,1))</f>
        <v>436.5217771315057</v>
      </c>
      <c r="AO196" s="60">
        <f t="shared" si="144"/>
        <v>308.97310256098365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4.4013422492454071</v>
      </c>
      <c r="AV196" s="23">
        <f>EXP(-LN(2)/25)*AV195+(1-EXP(-LN(2)/25))/(LN(2)/25)*Calculateur!AQ196*Calculateur!AS196*VLOOKUP('Données projet'!$B$10,Paramètres!$A$1:$I$88,3,0)*0.475*44/12</f>
        <v>0.8305139090450544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5.2318561582904612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2.2737367544323206E-13</v>
      </c>
      <c r="BE196" s="14">
        <f>BD196*VLOOKUP('Données projet'!$B$11,Paramètres!$A$1:$I$88,3,0)*VLOOKUP('Données projet'!$B$11,Paramètres!$A$1:$I$88,5,0)</f>
        <v>2.3055690689943731E-13</v>
      </c>
      <c r="BF196" s="14">
        <f t="shared" si="167"/>
        <v>3.142699285622457E-12</v>
      </c>
      <c r="BG196" s="22">
        <f t="shared" si="168"/>
        <v>5.8750878686422984E-12</v>
      </c>
      <c r="BH196" s="60">
        <f t="shared" ref="BH196:BH203" si="194">BG196+(AY196+AZ196)*44/12</f>
        <v>290.20450434631437</v>
      </c>
      <c r="BI196" s="60">
        <f ca="1">AVERAGE(OFFSET($BH$3,0,0,'Données projet'!$E$11+1,1))-AVERAGE(OFFSET($H$3,0,0,'Données projet'!$E$11+1,1))</f>
        <v>108.30434106718693</v>
      </c>
      <c r="BJ196" s="60">
        <f t="shared" si="146"/>
        <v>67.653808657585842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5.199620554041652</v>
      </c>
      <c r="BQ196" s="23">
        <f>EXP(-LN(2)/25)*BQ195+(1-EXP(-LN(2)/25))/(LN(2)/25)*Calculateur!BL196*Calculateur!BN196*VLOOKUP('Données projet'!$B$11,Paramètres!$A$1:$I$88,3,0)*0.475*44/12</f>
        <v>0</v>
      </c>
      <c r="BR196" s="23">
        <f>EXP(-LN(2)/2)*BR195+(1-EXP(-LN(2)/2))/(LN(2)/2)*BL196*BO196*VLOOKUP('Données projet'!$B$11,Paramètres!$A$1:$I$88,3,0)*0.475*44/12</f>
        <v>0</v>
      </c>
      <c r="BS196" s="24">
        <f t="shared" si="169"/>
        <v>5.199620554041652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projet'!$B$12,Paramètres!$A$1:$I$88,3,0)*VLOOKUP('Données projet'!$B$12,Paramètres!$A$1:$I$88,5,0)</f>
        <v>0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171.08593400758221</v>
      </c>
      <c r="CE196" s="60">
        <f t="shared" si="148"/>
        <v>201.9528484086932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projet'!$B$12,Paramètres!$A$1:$I$88,3,0)*0.475*44/12</f>
        <v>5.262256767109398</v>
      </c>
      <c r="CL196" s="23">
        <f>EXP(-LN(2)/25)*CL195+(1-EXP(-LN(2)/25))/(LN(2)/25)*Calculateur!CG196*Calculateur!CI196*VLOOKUP('Données projet'!$B$12,Paramètres!$A$1:$I$88,3,0)*0.475*44/12</f>
        <v>1.0683648272298083</v>
      </c>
      <c r="CM196" s="23">
        <f>EXP(-LN(2)/2)*CM195+(1-EXP(-LN(2)/2))/(LN(2)/2)*CG196*CJ196*VLOOKUP('Données projet'!$B$12,Paramètres!$A$1:$I$88,3,0)*0.475*44/12</f>
        <v>0</v>
      </c>
      <c r="CN196" s="24">
        <f t="shared" si="172"/>
        <v>6.3306215943392061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projet'!$B$13,Paramètres!$A$1:$I$88,3,0)*VLOOKUP('Données projet'!$B$13,Paramètres!$A$1:$I$88,5,0)</f>
        <v>0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283.66646124753868</v>
      </c>
      <c r="CZ196" s="60">
        <f t="shared" si="150"/>
        <v>331.61926649572797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projet'!$B$13,Paramètres!$A$1:$I$88,3,0)*0.475*44/12</f>
        <v>25.913421050957151</v>
      </c>
      <c r="DG196" s="23">
        <f>EXP(-LN(2)/25)*DG195+(1-EXP(-LN(2)/25))/(LN(2)/25)*Calculateur!DB196*Calculateur!DD196*VLOOKUP('Données projet'!$B$13,Paramètres!$A$1:$I$88,3,0)*0.475*44/12</f>
        <v>0</v>
      </c>
      <c r="DH196" s="23">
        <f>EXP(-LN(2)/2)*DH195+(1-EXP(-LN(2)/2))/(LN(2)/2)*DB196*DE196*VLOOKUP('Données projet'!$B$13,Paramètres!$A$1:$I$88,3,0)*0.475*44/12</f>
        <v>0</v>
      </c>
      <c r="DI196" s="24">
        <f t="shared" si="175"/>
        <v>25.913421050957151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1.1368683772161603E-13</v>
      </c>
      <c r="DP196" s="18">
        <f>DO196*VLOOKUP('Données projet'!$B$14,Paramètres!$A$1:$I$88,3,0)*VLOOKUP('Données projet'!$B$14,Paramètres!$A$1:$I$88,5,0)</f>
        <v>8.3355189417488869E-14</v>
      </c>
      <c r="DQ196" s="14">
        <f t="shared" si="176"/>
        <v>1.2790518435140618E-12</v>
      </c>
      <c r="DR196" s="22">
        <f t="shared" si="177"/>
        <v>2.3728589156891171E-12</v>
      </c>
      <c r="DS196" s="60">
        <f t="shared" ref="DS196:DS203" si="197">DR196+(DJ196+DK196)*44/12</f>
        <v>290.2045043463109</v>
      </c>
      <c r="DT196" s="60">
        <f ca="1">AVERAGE(OFFSET($DS$3,0,0,'Données projet'!$E$14+1,1))-AVERAGE(OFFSET($H$3,0,0,'Données projet'!$E$14+1,1))</f>
        <v>212.77458587586861</v>
      </c>
      <c r="DU196" s="60">
        <f t="shared" si="152"/>
        <v>260.45879589483513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projet'!$B$14,Paramètres!$A$1:$I$88,3,0)*0.475*44/12</f>
        <v>2.5767626318444359</v>
      </c>
      <c r="EB196" s="23">
        <f>EXP(-LN(2)/25)*EB195+(1-EXP(-LN(2)/25))/(LN(2)/25)*Calculateur!DW196*Calculateur!DY196*VLOOKUP('Données projet'!$B$14,Paramètres!$A$1:$I$88,3,0)*0.475*44/12</f>
        <v>0.50718309570667375</v>
      </c>
      <c r="EC196" s="23">
        <f>EXP(-LN(2)/2)*EC195+(1-EXP(-LN(2)/2))/(LN(2)/2)*DW196*DZ196*VLOOKUP('Données projet'!$B$14,Paramètres!$A$1:$I$88,3,0)*0.475*44/12</f>
        <v>0</v>
      </c>
      <c r="ED196" s="24">
        <f t="shared" si="178"/>
        <v>3.0839457275511095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5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8">
        <f t="shared" si="192"/>
        <v>183.33333333333334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3.4106051316484809E-13</v>
      </c>
      <c r="O197" s="14">
        <f>N197*VLOOKUP('Données projet'!$B$9,Paramètres!$A$1:$I$88,3,0)*VLOOKUP('Données projet'!$B$9,Paramètres!$A$1:$I$88,5,0)</f>
        <v>1.9065282685915009E-13</v>
      </c>
      <c r="P197" s="14">
        <f t="shared" ref="P197:P203" si="203">EXP(-1.0587+0.8836*LN(O197)+0.284)</f>
        <v>2.6568987209435707E-12</v>
      </c>
      <c r="Q197" s="22">
        <f t="shared" si="162"/>
        <v>4.959485612423072E-12</v>
      </c>
      <c r="R197" s="60">
        <f t="shared" si="191"/>
        <v>290.25878253422468</v>
      </c>
      <c r="S197" s="60">
        <f ca="1">AVERAGE(OFFSET($R$3,0,0,'Données projet'!$E$9+1,1))-AVERAGE(OFFSET($H$3,0,0,'Données projet'!$E$9+1,1))</f>
        <v>366.29380214443631</v>
      </c>
      <c r="T197" s="60">
        <f t="shared" ref="T197:T203" si="204">$T$3</f>
        <v>413.14502442862897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16.866232657996207</v>
      </c>
      <c r="AA197" s="23">
        <f>EXP(-LN(2)/25)*AA196+(1-EXP(-LN(2)/25))/(LN(2)/25)*Calculateur!V197*Calculateur!X197*VLOOKUP('Données projet'!$B$9,Paramètres!$A$1:$I$88,3,0)*0.475*44/12</f>
        <v>3.2268216730553365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20.093054331051544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452.49999999999989</v>
      </c>
      <c r="AJ197" s="14">
        <f>AI197*VLOOKUP('Données projet'!$B$10,Paramètres!$A$1:$I$88,3,0)*VLOOKUP('Données projet'!$B$10,Paramètres!$A$1:$I$88,5,0)</f>
        <v>395.30399999999992</v>
      </c>
      <c r="AK197" s="14">
        <f t="shared" si="164"/>
        <v>90.823969929029445</v>
      </c>
      <c r="AL197" s="22">
        <f t="shared" si="165"/>
        <v>846.67288095972606</v>
      </c>
      <c r="AM197" s="60">
        <f t="shared" si="193"/>
        <v>1136.9316634939457</v>
      </c>
      <c r="AN197" s="60">
        <f ca="1">AVERAGE(OFFSET($AM$3,0,0,'Données projet'!$E$10+1,1))-AVERAGE(OFFSET($H$3,0,0,'Données projet'!$E$10+1,1))</f>
        <v>436.5217771315057</v>
      </c>
      <c r="AO197" s="60">
        <f t="shared" ref="AO197:AO203" si="205">$AO$3</f>
        <v>308.97310256098365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4.3150346122913987</v>
      </c>
      <c r="AV197" s="23">
        <f>EXP(-LN(2)/25)*AV196+(1-EXP(-LN(2)/25))/(LN(2)/25)*Calculateur!AQ197*Calculateur!AS197*VLOOKUP('Données projet'!$B$10,Paramètres!$A$1:$I$88,3,0)*0.475*44/12</f>
        <v>0.8078034625273891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5.1228380748187874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2.2737367544323206E-13</v>
      </c>
      <c r="BE197" s="14">
        <f>BD197*VLOOKUP('Données projet'!$B$11,Paramètres!$A$1:$I$88,3,0)*VLOOKUP('Données projet'!$B$11,Paramètres!$A$1:$I$88,5,0)</f>
        <v>2.3055690689943731E-13</v>
      </c>
      <c r="BF197" s="14">
        <f t="shared" si="167"/>
        <v>3.142699285622457E-12</v>
      </c>
      <c r="BG197" s="22">
        <f t="shared" si="168"/>
        <v>5.8750878686422984E-12</v>
      </c>
      <c r="BH197" s="60">
        <f t="shared" si="194"/>
        <v>290.25878253422559</v>
      </c>
      <c r="BI197" s="60">
        <f ca="1">AVERAGE(OFFSET($BH$3,0,0,'Données projet'!$E$11+1,1))-AVERAGE(OFFSET($H$3,0,0,'Données projet'!$E$11+1,1))</f>
        <v>108.30434106718693</v>
      </c>
      <c r="BJ197" s="60">
        <f t="shared" ref="BJ197:BJ203" si="206">$BJ$3</f>
        <v>67.653808657585842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5.0976591664322779</v>
      </c>
      <c r="BQ197" s="23">
        <f>EXP(-LN(2)/25)*BQ196+(1-EXP(-LN(2)/25))/(LN(2)/25)*Calculateur!BL197*Calculateur!BN197*VLOOKUP('Données projet'!$B$11,Paramètres!$A$1:$I$88,3,0)*0.475*44/12</f>
        <v>0</v>
      </c>
      <c r="BR197" s="23">
        <f>EXP(-LN(2)/2)*BR196+(1-EXP(-LN(2)/2))/(LN(2)/2)*BL197*BO197*VLOOKUP('Données projet'!$B$11,Paramètres!$A$1:$I$88,3,0)*0.475*44/12</f>
        <v>0</v>
      </c>
      <c r="BS197" s="24">
        <f t="shared" si="169"/>
        <v>5.0976591664322779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projet'!$B$12,Paramètres!$A$1:$I$88,3,0)*VLOOKUP('Données projet'!$B$12,Paramètres!$A$1:$I$88,5,0)</f>
        <v>0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171.08593400758221</v>
      </c>
      <c r="CE197" s="60">
        <f t="shared" ref="CE197:CE203" si="207">$CE$3</f>
        <v>201.9528484086932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projet'!$B$12,Paramètres!$A$1:$I$88,3,0)*0.475*44/12</f>
        <v>5.1590671215660828</v>
      </c>
      <c r="CL197" s="23">
        <f>EXP(-LN(2)/25)*CL196+(1-EXP(-LN(2)/25))/(LN(2)/25)*Calculateur!CG197*Calculateur!CI197*VLOOKUP('Données projet'!$B$12,Paramètres!$A$1:$I$88,3,0)*0.475*44/12</f>
        <v>1.0391503348463447</v>
      </c>
      <c r="CM197" s="23">
        <f>EXP(-LN(2)/2)*CM196+(1-EXP(-LN(2)/2))/(LN(2)/2)*CG197*CJ197*VLOOKUP('Données projet'!$B$12,Paramètres!$A$1:$I$88,3,0)*0.475*44/12</f>
        <v>0</v>
      </c>
      <c r="CN197" s="24">
        <f t="shared" si="172"/>
        <v>6.1982174564124275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projet'!$B$13,Paramètres!$A$1:$I$88,3,0)*VLOOKUP('Données projet'!$B$13,Paramètres!$A$1:$I$88,5,0)</f>
        <v>0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283.66646124753868</v>
      </c>
      <c r="CZ197" s="60">
        <f t="shared" ref="CZ197:CZ203" si="208">$CZ$3</f>
        <v>331.61926649572797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projet'!$B$13,Paramètres!$A$1:$I$88,3,0)*0.475*44/12</f>
        <v>25.405274669774048</v>
      </c>
      <c r="DG197" s="23">
        <f>EXP(-LN(2)/25)*DG196+(1-EXP(-LN(2)/25))/(LN(2)/25)*Calculateur!DB197*Calculateur!DD197*VLOOKUP('Données projet'!$B$13,Paramètres!$A$1:$I$88,3,0)*0.475*44/12</f>
        <v>0</v>
      </c>
      <c r="DH197" s="23">
        <f>EXP(-LN(2)/2)*DH196+(1-EXP(-LN(2)/2))/(LN(2)/2)*DB197*DE197*VLOOKUP('Données projet'!$B$13,Paramètres!$A$1:$I$88,3,0)*0.475*44/12</f>
        <v>0</v>
      </c>
      <c r="DI197" s="24">
        <f t="shared" si="175"/>
        <v>25.405274669774048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1.1368683772161603E-13</v>
      </c>
      <c r="DP197" s="18">
        <f>DO197*VLOOKUP('Données projet'!$B$14,Paramètres!$A$1:$I$88,3,0)*VLOOKUP('Données projet'!$B$14,Paramètres!$A$1:$I$88,5,0)</f>
        <v>8.3355189417488869E-14</v>
      </c>
      <c r="DQ197" s="14">
        <f t="shared" si="176"/>
        <v>1.2790518435140618E-12</v>
      </c>
      <c r="DR197" s="22">
        <f t="shared" si="177"/>
        <v>2.3728589156891171E-12</v>
      </c>
      <c r="DS197" s="60">
        <f t="shared" si="197"/>
        <v>290.25878253422212</v>
      </c>
      <c r="DT197" s="60">
        <f ca="1">AVERAGE(OFFSET($DS$3,0,0,'Données projet'!$E$14+1,1))-AVERAGE(OFFSET($H$3,0,0,'Données projet'!$E$14+1,1))</f>
        <v>212.77458587586861</v>
      </c>
      <c r="DU197" s="60">
        <f t="shared" ref="DU197:DU203" si="209">$DU$3</f>
        <v>260.45879589483513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projet'!$B$14,Paramètres!$A$1:$I$88,3,0)*0.475*44/12</f>
        <v>2.5262338883039823</v>
      </c>
      <c r="EB197" s="23">
        <f>EXP(-LN(2)/25)*EB196+(1-EXP(-LN(2)/25))/(LN(2)/25)*Calculateur!DW197*Calculateur!DY197*VLOOKUP('Données projet'!$B$14,Paramètres!$A$1:$I$88,3,0)*0.475*44/12</f>
        <v>0.49331414728297496</v>
      </c>
      <c r="EC197" s="23">
        <f>EXP(-LN(2)/2)*EC196+(1-EXP(-LN(2)/2))/(LN(2)/2)*DW197*DZ197*VLOOKUP('Données projet'!$B$14,Paramètres!$A$1:$I$88,3,0)*0.475*44/12</f>
        <v>0</v>
      </c>
      <c r="ED197" s="24">
        <f t="shared" si="178"/>
        <v>3.0195480355869573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5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8">
        <f t="shared" si="192"/>
        <v>183.33333333333334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3.4106051316484809E-13</v>
      </c>
      <c r="O198" s="14">
        <f>N198*VLOOKUP('Données projet'!$B$9,Paramètres!$A$1:$I$88,3,0)*VLOOKUP('Données projet'!$B$9,Paramètres!$A$1:$I$88,5,0)</f>
        <v>1.9065282685915009E-13</v>
      </c>
      <c r="P198" s="14">
        <f t="shared" si="203"/>
        <v>2.6568987209435707E-12</v>
      </c>
      <c r="Q198" s="22">
        <f t="shared" si="162"/>
        <v>4.959485612423072E-12</v>
      </c>
      <c r="R198" s="60">
        <f t="shared" si="191"/>
        <v>290.31211911692344</v>
      </c>
      <c r="S198" s="60">
        <f ca="1">AVERAGE(OFFSET($R$3,0,0,'Données projet'!$E$9+1,1))-AVERAGE(OFFSET($H$3,0,0,'Données projet'!$E$9+1,1))</f>
        <v>366.29380214443631</v>
      </c>
      <c r="T198" s="60">
        <f t="shared" si="204"/>
        <v>413.14502442862897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16.535496122959028</v>
      </c>
      <c r="AA198" s="23">
        <f>EXP(-LN(2)/25)*AA197+(1-EXP(-LN(2)/25))/(LN(2)/25)*Calculateur!V198*Calculateur!X198*VLOOKUP('Données projet'!$B$9,Paramètres!$A$1:$I$88,3,0)*0.475*44/12</f>
        <v>3.1385840647144616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19.674080187673489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452.49999999999989</v>
      </c>
      <c r="AJ198" s="14">
        <f>AI198*VLOOKUP('Données projet'!$B$10,Paramètres!$A$1:$I$88,3,0)*VLOOKUP('Données projet'!$B$10,Paramètres!$A$1:$I$88,5,0)</f>
        <v>395.30399999999992</v>
      </c>
      <c r="AK198" s="14">
        <f t="shared" si="164"/>
        <v>90.823969929029445</v>
      </c>
      <c r="AL198" s="22">
        <f t="shared" si="165"/>
        <v>846.67288095972606</v>
      </c>
      <c r="AM198" s="60">
        <f t="shared" si="193"/>
        <v>1136.9850000766446</v>
      </c>
      <c r="AN198" s="60">
        <f ca="1">AVERAGE(OFFSET($AM$3,0,0,'Données projet'!$E$10+1,1))-AVERAGE(OFFSET($H$3,0,0,'Données projet'!$E$10+1,1))</f>
        <v>436.5217771315057</v>
      </c>
      <c r="AO198" s="60">
        <f t="shared" si="205"/>
        <v>308.97310256098365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4.2304194154555983</v>
      </c>
      <c r="AV198" s="23">
        <f>EXP(-LN(2)/25)*AV197+(1-EXP(-LN(2)/25))/(LN(2)/25)*Calculateur!AQ198*Calculateur!AS198*VLOOKUP('Données projet'!$B$10,Paramètres!$A$1:$I$88,3,0)*0.475*44/12</f>
        <v>0.78571403436403986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5.0161334498196384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2.2737367544323206E-13</v>
      </c>
      <c r="BE198" s="14">
        <f>BD198*VLOOKUP('Données projet'!$B$11,Paramètres!$A$1:$I$88,3,0)*VLOOKUP('Données projet'!$B$11,Paramètres!$A$1:$I$88,5,0)</f>
        <v>2.3055690689943731E-13</v>
      </c>
      <c r="BF198" s="14">
        <f t="shared" si="167"/>
        <v>3.142699285622457E-12</v>
      </c>
      <c r="BG198" s="22">
        <f t="shared" si="168"/>
        <v>5.8750878686422984E-12</v>
      </c>
      <c r="BH198" s="60">
        <f t="shared" si="194"/>
        <v>290.31211911692435</v>
      </c>
      <c r="BI198" s="60">
        <f ca="1">AVERAGE(OFFSET($BH$3,0,0,'Données projet'!$E$11+1,1))-AVERAGE(OFFSET($H$3,0,0,'Données projet'!$E$11+1,1))</f>
        <v>108.30434106718693</v>
      </c>
      <c r="BJ198" s="60">
        <f t="shared" si="206"/>
        <v>67.653808657585842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4.9976971794436178</v>
      </c>
      <c r="BQ198" s="23">
        <f>EXP(-LN(2)/25)*BQ197+(1-EXP(-LN(2)/25))/(LN(2)/25)*Calculateur!BL198*Calculateur!BN198*VLOOKUP('Données projet'!$B$11,Paramètres!$A$1:$I$88,3,0)*0.475*44/12</f>
        <v>0</v>
      </c>
      <c r="BR198" s="23">
        <f>EXP(-LN(2)/2)*BR197+(1-EXP(-LN(2)/2))/(LN(2)/2)*BL198*BO198*VLOOKUP('Données projet'!$B$11,Paramètres!$A$1:$I$88,3,0)*0.475*44/12</f>
        <v>0</v>
      </c>
      <c r="BS198" s="24">
        <f t="shared" si="169"/>
        <v>4.9976971794436178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projet'!$B$12,Paramètres!$A$1:$I$88,3,0)*VLOOKUP('Données projet'!$B$12,Paramètres!$A$1:$I$88,5,0)</f>
        <v>0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171.08593400758221</v>
      </c>
      <c r="CE198" s="60">
        <f t="shared" si="207"/>
        <v>201.9528484086932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projet'!$B$12,Paramètres!$A$1:$I$88,3,0)*0.475*44/12</f>
        <v>5.0579009620324031</v>
      </c>
      <c r="CL198" s="23">
        <f>EXP(-LN(2)/25)*CL197+(1-EXP(-LN(2)/25))/(LN(2)/25)*Calculateur!CG198*Calculateur!CI198*VLOOKUP('Données projet'!$B$12,Paramètres!$A$1:$I$88,3,0)*0.475*44/12</f>
        <v>1.0107347142934302</v>
      </c>
      <c r="CM198" s="23">
        <f>EXP(-LN(2)/2)*CM197+(1-EXP(-LN(2)/2))/(LN(2)/2)*CG198*CJ198*VLOOKUP('Données projet'!$B$12,Paramètres!$A$1:$I$88,3,0)*0.475*44/12</f>
        <v>0</v>
      </c>
      <c r="CN198" s="24">
        <f t="shared" si="172"/>
        <v>6.0686356763258331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projet'!$B$13,Paramètres!$A$1:$I$88,3,0)*VLOOKUP('Données projet'!$B$13,Paramètres!$A$1:$I$88,5,0)</f>
        <v>0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283.66646124753868</v>
      </c>
      <c r="CZ198" s="60">
        <f t="shared" si="208"/>
        <v>331.61926649572797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projet'!$B$13,Paramètres!$A$1:$I$88,3,0)*0.475*44/12</f>
        <v>24.907092729187255</v>
      </c>
      <c r="DG198" s="23">
        <f>EXP(-LN(2)/25)*DG197+(1-EXP(-LN(2)/25))/(LN(2)/25)*Calculateur!DB198*Calculateur!DD198*VLOOKUP('Données projet'!$B$13,Paramètres!$A$1:$I$88,3,0)*0.475*44/12</f>
        <v>0</v>
      </c>
      <c r="DH198" s="23">
        <f>EXP(-LN(2)/2)*DH197+(1-EXP(-LN(2)/2))/(LN(2)/2)*DB198*DE198*VLOOKUP('Données projet'!$B$13,Paramètres!$A$1:$I$88,3,0)*0.475*44/12</f>
        <v>0</v>
      </c>
      <c r="DI198" s="24">
        <f t="shared" si="175"/>
        <v>24.907092729187255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1.1368683772161603E-13</v>
      </c>
      <c r="DP198" s="18">
        <f>DO198*VLOOKUP('Données projet'!$B$14,Paramètres!$A$1:$I$88,3,0)*VLOOKUP('Données projet'!$B$14,Paramètres!$A$1:$I$88,5,0)</f>
        <v>8.3355189417488869E-14</v>
      </c>
      <c r="DQ198" s="14">
        <f t="shared" si="176"/>
        <v>1.2790518435140618E-12</v>
      </c>
      <c r="DR198" s="22">
        <f t="shared" si="177"/>
        <v>2.3728589156891171E-12</v>
      </c>
      <c r="DS198" s="60">
        <f t="shared" si="197"/>
        <v>290.31211911692088</v>
      </c>
      <c r="DT198" s="60">
        <f ca="1">AVERAGE(OFFSET($DS$3,0,0,'Données projet'!$E$14+1,1))-AVERAGE(OFFSET($H$3,0,0,'Données projet'!$E$14+1,1))</f>
        <v>212.77458587586861</v>
      </c>
      <c r="DU198" s="60">
        <f t="shared" si="209"/>
        <v>260.45879589483513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projet'!$B$14,Paramètres!$A$1:$I$88,3,0)*0.475*44/12</f>
        <v>2.4766959826048667</v>
      </c>
      <c r="EB198" s="23">
        <f>EXP(-LN(2)/25)*EB197+(1-EXP(-LN(2)/25))/(LN(2)/25)*Calculateur!DW198*Calculateur!DY198*VLOOKUP('Données projet'!$B$14,Paramètres!$A$1:$I$88,3,0)*0.475*44/12</f>
        <v>0.47982444598325846</v>
      </c>
      <c r="EC198" s="23">
        <f>EXP(-LN(2)/2)*EC197+(1-EXP(-LN(2)/2))/(LN(2)/2)*DW198*DZ198*VLOOKUP('Données projet'!$B$14,Paramètres!$A$1:$I$88,3,0)*0.475*44/12</f>
        <v>0</v>
      </c>
      <c r="ED198" s="24">
        <f t="shared" si="178"/>
        <v>2.9565204285881252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5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8">
        <f t="shared" si="192"/>
        <v>183.33333333333334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3.4106051316484809E-13</v>
      </c>
      <c r="O199" s="14">
        <f>N199*VLOOKUP('Données projet'!$B$9,Paramètres!$A$1:$I$88,3,0)*VLOOKUP('Données projet'!$B$9,Paramètres!$A$1:$I$88,5,0)</f>
        <v>1.9065282685915009E-13</v>
      </c>
      <c r="P199" s="14">
        <f t="shared" si="203"/>
        <v>2.6568987209435707E-12</v>
      </c>
      <c r="Q199" s="22">
        <f t="shared" si="162"/>
        <v>4.959485612423072E-12</v>
      </c>
      <c r="R199" s="60">
        <f t="shared" si="191"/>
        <v>290.36453042915514</v>
      </c>
      <c r="S199" s="60">
        <f ca="1">AVERAGE(OFFSET($R$3,0,0,'Données projet'!$E$9+1,1))-AVERAGE(OFFSET($H$3,0,0,'Données projet'!$E$9+1,1))</f>
        <v>366.29380214443631</v>
      </c>
      <c r="T199" s="60">
        <f t="shared" si="204"/>
        <v>413.14502442862897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16.21124512964456</v>
      </c>
      <c r="AA199" s="23">
        <f>EXP(-LN(2)/25)*AA198+(1-EXP(-LN(2)/25))/(LN(2)/25)*Calculateur!V199*Calculateur!X199*VLOOKUP('Données projet'!$B$9,Paramètres!$A$1:$I$88,3,0)*0.475*44/12</f>
        <v>3.0527593184138819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19.264004448058444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452.49999999999989</v>
      </c>
      <c r="AJ199" s="14">
        <f>AI199*VLOOKUP('Données projet'!$B$10,Paramètres!$A$1:$I$88,3,0)*VLOOKUP('Données projet'!$B$10,Paramètres!$A$1:$I$88,5,0)</f>
        <v>395.30399999999992</v>
      </c>
      <c r="AK199" s="14">
        <f t="shared" si="164"/>
        <v>90.823969929029445</v>
      </c>
      <c r="AL199" s="22">
        <f t="shared" si="165"/>
        <v>846.67288095972606</v>
      </c>
      <c r="AM199" s="60">
        <f t="shared" si="193"/>
        <v>1137.0374113888763</v>
      </c>
      <c r="AN199" s="60">
        <f ca="1">AVERAGE(OFFSET($AM$3,0,0,'Données projet'!$E$10+1,1))-AVERAGE(OFFSET($H$3,0,0,'Données projet'!$E$10+1,1))</f>
        <v>436.5217771315057</v>
      </c>
      <c r="AO199" s="60">
        <f t="shared" si="205"/>
        <v>308.97310256098365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4.1474634710195737</v>
      </c>
      <c r="AV199" s="23">
        <f>EXP(-LN(2)/25)*AV198+(1-EXP(-LN(2)/25))/(LN(2)/25)*Calculateur!AQ199*Calculateur!AS199*VLOOKUP('Données projet'!$B$10,Paramètres!$A$1:$I$88,3,0)*0.475*44/12</f>
        <v>0.76422864277544988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4.9116921137950236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2.2737367544323206E-13</v>
      </c>
      <c r="BE199" s="14">
        <f>BD199*VLOOKUP('Données projet'!$B$11,Paramètres!$A$1:$I$88,3,0)*VLOOKUP('Données projet'!$B$11,Paramètres!$A$1:$I$88,5,0)</f>
        <v>2.3055690689943731E-13</v>
      </c>
      <c r="BF199" s="14">
        <f t="shared" si="167"/>
        <v>3.142699285622457E-12</v>
      </c>
      <c r="BG199" s="22">
        <f t="shared" si="168"/>
        <v>5.8750878686422984E-12</v>
      </c>
      <c r="BH199" s="60">
        <f t="shared" si="194"/>
        <v>290.36453042915605</v>
      </c>
      <c r="BI199" s="60">
        <f ca="1">AVERAGE(OFFSET($BH$3,0,0,'Données projet'!$E$11+1,1))-AVERAGE(OFFSET($H$3,0,0,'Données projet'!$E$11+1,1))</f>
        <v>108.30434106718693</v>
      </c>
      <c r="BJ199" s="60">
        <f t="shared" si="206"/>
        <v>67.653808657585842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4.8996953860490136</v>
      </c>
      <c r="BQ199" s="23">
        <f>EXP(-LN(2)/25)*BQ198+(1-EXP(-LN(2)/25))/(LN(2)/25)*Calculateur!BL199*Calculateur!BN199*VLOOKUP('Données projet'!$B$11,Paramètres!$A$1:$I$88,3,0)*0.475*44/12</f>
        <v>0</v>
      </c>
      <c r="BR199" s="23">
        <f>EXP(-LN(2)/2)*BR198+(1-EXP(-LN(2)/2))/(LN(2)/2)*BL199*BO199*VLOOKUP('Données projet'!$B$11,Paramètres!$A$1:$I$88,3,0)*0.475*44/12</f>
        <v>0</v>
      </c>
      <c r="BS199" s="24">
        <f t="shared" si="169"/>
        <v>4.8996953860490136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projet'!$B$12,Paramètres!$A$1:$I$88,3,0)*VLOOKUP('Données projet'!$B$12,Paramètres!$A$1:$I$88,5,0)</f>
        <v>0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171.08593400758221</v>
      </c>
      <c r="CE199" s="60">
        <f t="shared" si="207"/>
        <v>201.9528484086932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projet'!$B$12,Paramètres!$A$1:$I$88,3,0)*0.475*44/12</f>
        <v>4.9587186091819149</v>
      </c>
      <c r="CL199" s="23">
        <f>EXP(-LN(2)/25)*CL198+(1-EXP(-LN(2)/25))/(LN(2)/25)*Calculateur!CG199*Calculateur!CI199*VLOOKUP('Données projet'!$B$12,Paramètres!$A$1:$I$88,3,0)*0.475*44/12</f>
        <v>0.98309612037884775</v>
      </c>
      <c r="CM199" s="23">
        <f>EXP(-LN(2)/2)*CM198+(1-EXP(-LN(2)/2))/(LN(2)/2)*CG199*CJ199*VLOOKUP('Données projet'!$B$12,Paramètres!$A$1:$I$88,3,0)*0.475*44/12</f>
        <v>0</v>
      </c>
      <c r="CN199" s="24">
        <f t="shared" si="172"/>
        <v>5.9418147295607628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projet'!$B$13,Paramètres!$A$1:$I$88,3,0)*VLOOKUP('Données projet'!$B$13,Paramètres!$A$1:$I$88,5,0)</f>
        <v>0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283.66646124753868</v>
      </c>
      <c r="CZ199" s="60">
        <f t="shared" si="208"/>
        <v>331.61926649572797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projet'!$B$13,Paramètres!$A$1:$I$88,3,0)*0.475*44/12</f>
        <v>24.418679832594389</v>
      </c>
      <c r="DG199" s="23">
        <f>EXP(-LN(2)/25)*DG198+(1-EXP(-LN(2)/25))/(LN(2)/25)*Calculateur!DB199*Calculateur!DD199*VLOOKUP('Données projet'!$B$13,Paramètres!$A$1:$I$88,3,0)*0.475*44/12</f>
        <v>0</v>
      </c>
      <c r="DH199" s="23">
        <f>EXP(-LN(2)/2)*DH198+(1-EXP(-LN(2)/2))/(LN(2)/2)*DB199*DE199*VLOOKUP('Données projet'!$B$13,Paramètres!$A$1:$I$88,3,0)*0.475*44/12</f>
        <v>0</v>
      </c>
      <c r="DI199" s="24">
        <f t="shared" si="175"/>
        <v>24.418679832594389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1.1368683772161603E-13</v>
      </c>
      <c r="DP199" s="18">
        <f>DO199*VLOOKUP('Données projet'!$B$14,Paramètres!$A$1:$I$88,3,0)*VLOOKUP('Données projet'!$B$14,Paramètres!$A$1:$I$88,5,0)</f>
        <v>8.3355189417488869E-14</v>
      </c>
      <c r="DQ199" s="14">
        <f t="shared" si="176"/>
        <v>1.2790518435140618E-12</v>
      </c>
      <c r="DR199" s="22">
        <f t="shared" si="177"/>
        <v>2.3728589156891171E-12</v>
      </c>
      <c r="DS199" s="60">
        <f t="shared" si="197"/>
        <v>290.36453042915258</v>
      </c>
      <c r="DT199" s="60">
        <f ca="1">AVERAGE(OFFSET($DS$3,0,0,'Données projet'!$E$14+1,1))-AVERAGE(OFFSET($H$3,0,0,'Données projet'!$E$14+1,1))</f>
        <v>212.77458587586861</v>
      </c>
      <c r="DU199" s="60">
        <f t="shared" si="209"/>
        <v>260.45879589483513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projet'!$B$14,Paramètres!$A$1:$I$88,3,0)*0.475*44/12</f>
        <v>2.4281294850213717</v>
      </c>
      <c r="EB199" s="23">
        <f>EXP(-LN(2)/25)*EB198+(1-EXP(-LN(2)/25))/(LN(2)/25)*Calculateur!DW199*Calculateur!DY199*VLOOKUP('Données projet'!$B$14,Paramètres!$A$1:$I$88,3,0)*0.475*44/12</f>
        <v>0.46670362127497528</v>
      </c>
      <c r="EC199" s="23">
        <f>EXP(-LN(2)/2)*EC198+(1-EXP(-LN(2)/2))/(LN(2)/2)*DW199*DZ199*VLOOKUP('Données projet'!$B$14,Paramètres!$A$1:$I$88,3,0)*0.475*44/12</f>
        <v>0</v>
      </c>
      <c r="ED199" s="24">
        <f t="shared" si="178"/>
        <v>2.894833106296347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5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8">
        <f t="shared" si="192"/>
        <v>183.33333333333334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3.4106051316484809E-13</v>
      </c>
      <c r="O200" s="14">
        <f>N200*VLOOKUP('Données projet'!$B$9,Paramètres!$A$1:$I$88,3,0)*VLOOKUP('Données projet'!$B$9,Paramètres!$A$1:$I$88,5,0)</f>
        <v>1.9065282685915009E-13</v>
      </c>
      <c r="P200" s="14">
        <f t="shared" si="203"/>
        <v>2.6568987209435707E-12</v>
      </c>
      <c r="Q200" s="22">
        <f t="shared" si="162"/>
        <v>4.959485612423072E-12</v>
      </c>
      <c r="R200" s="60">
        <f t="shared" si="191"/>
        <v>290.41603252229373</v>
      </c>
      <c r="S200" s="60">
        <f ca="1">AVERAGE(OFFSET($R$3,0,0,'Données projet'!$E$9+1,1))-AVERAGE(OFFSET($H$3,0,0,'Données projet'!$E$9+1,1))</f>
        <v>366.29380214443631</v>
      </c>
      <c r="T200" s="60">
        <f t="shared" si="204"/>
        <v>413.14502442862897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15.893352500535412</v>
      </c>
      <c r="AA200" s="23">
        <f>EXP(-LN(2)/25)*AA199+(1-EXP(-LN(2)/25))/(LN(2)/25)*Calculateur!V200*Calculateur!X200*VLOOKUP('Données projet'!$B$9,Paramètres!$A$1:$I$88,3,0)*0.475*44/12</f>
        <v>2.9692814543142187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18.862633954849631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452.49999999999989</v>
      </c>
      <c r="AJ200" s="14">
        <f>AI200*VLOOKUP('Données projet'!$B$10,Paramètres!$A$1:$I$88,3,0)*VLOOKUP('Données projet'!$B$10,Paramètres!$A$1:$I$88,5,0)</f>
        <v>395.30399999999992</v>
      </c>
      <c r="AK200" s="14">
        <f t="shared" si="164"/>
        <v>90.823969929029445</v>
      </c>
      <c r="AL200" s="22">
        <f t="shared" si="165"/>
        <v>846.67288095972606</v>
      </c>
      <c r="AM200" s="60">
        <f t="shared" si="193"/>
        <v>1137.088913482015</v>
      </c>
      <c r="AN200" s="60">
        <f ca="1">AVERAGE(OFFSET($AM$3,0,0,'Données projet'!$E$10+1,1))-AVERAGE(OFFSET($H$3,0,0,'Données projet'!$E$10+1,1))</f>
        <v>436.5217771315057</v>
      </c>
      <c r="AO200" s="60">
        <f t="shared" si="205"/>
        <v>308.97310256098365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4.06613424205581</v>
      </c>
      <c r="AV200" s="23">
        <f>EXP(-LN(2)/25)*AV199+(1-EXP(-LN(2)/25))/(LN(2)/25)*Calculateur!AQ200*Calculateur!AS200*VLOOKUP('Données projet'!$B$10,Paramètres!$A$1:$I$88,3,0)*0.475*44/12</f>
        <v>0.74333077034971751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4.8094650124055276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2.2737367544323206E-13</v>
      </c>
      <c r="BE200" s="14">
        <f>BD200*VLOOKUP('Données projet'!$B$11,Paramètres!$A$1:$I$88,3,0)*VLOOKUP('Données projet'!$B$11,Paramètres!$A$1:$I$88,5,0)</f>
        <v>2.3055690689943731E-13</v>
      </c>
      <c r="BF200" s="14">
        <f t="shared" si="167"/>
        <v>3.142699285622457E-12</v>
      </c>
      <c r="BG200" s="22">
        <f t="shared" si="168"/>
        <v>5.8750878686422984E-12</v>
      </c>
      <c r="BH200" s="60">
        <f t="shared" si="194"/>
        <v>290.41603252229464</v>
      </c>
      <c r="BI200" s="60">
        <f ca="1">AVERAGE(OFFSET($BH$3,0,0,'Données projet'!$E$11+1,1))-AVERAGE(OFFSET($H$3,0,0,'Données projet'!$E$11+1,1))</f>
        <v>108.30434106718693</v>
      </c>
      <c r="BJ200" s="60">
        <f t="shared" si="206"/>
        <v>67.653808657585842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4.8036153480476864</v>
      </c>
      <c r="BQ200" s="23">
        <f>EXP(-LN(2)/25)*BQ199+(1-EXP(-LN(2)/25))/(LN(2)/25)*Calculateur!BL200*Calculateur!BN200*VLOOKUP('Données projet'!$B$11,Paramètres!$A$1:$I$88,3,0)*0.475*44/12</f>
        <v>0</v>
      </c>
      <c r="BR200" s="23">
        <f>EXP(-LN(2)/2)*BR199+(1-EXP(-LN(2)/2))/(LN(2)/2)*BL200*BO200*VLOOKUP('Données projet'!$B$11,Paramètres!$A$1:$I$88,3,0)*0.475*44/12</f>
        <v>0</v>
      </c>
      <c r="BS200" s="24">
        <f t="shared" si="169"/>
        <v>4.8036153480476864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projet'!$B$12,Paramètres!$A$1:$I$88,3,0)*VLOOKUP('Données projet'!$B$12,Paramètres!$A$1:$I$88,5,0)</f>
        <v>0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171.08593400758221</v>
      </c>
      <c r="CE200" s="60">
        <f t="shared" si="207"/>
        <v>201.9528484086932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projet'!$B$12,Paramètres!$A$1:$I$88,3,0)*0.475*44/12</f>
        <v>4.8614811617755622</v>
      </c>
      <c r="CL200" s="23">
        <f>EXP(-LN(2)/25)*CL199+(1-EXP(-LN(2)/25))/(LN(2)/25)*Calculateur!CG200*Calculateur!CI200*VLOOKUP('Données projet'!$B$12,Paramètres!$A$1:$I$88,3,0)*0.475*44/12</f>
        <v>0.95621330526831005</v>
      </c>
      <c r="CM200" s="23">
        <f>EXP(-LN(2)/2)*CM199+(1-EXP(-LN(2)/2))/(LN(2)/2)*CG200*CJ200*VLOOKUP('Données projet'!$B$12,Paramètres!$A$1:$I$88,3,0)*0.475*44/12</f>
        <v>0</v>
      </c>
      <c r="CN200" s="24">
        <f t="shared" si="172"/>
        <v>5.8176944670438724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projet'!$B$13,Paramètres!$A$1:$I$88,3,0)*VLOOKUP('Données projet'!$B$13,Paramètres!$A$1:$I$88,5,0)</f>
        <v>0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283.66646124753868</v>
      </c>
      <c r="CZ200" s="60">
        <f t="shared" si="208"/>
        <v>331.61926649572797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projet'!$B$13,Paramètres!$A$1:$I$88,3,0)*0.475*44/12</f>
        <v>23.939844415001257</v>
      </c>
      <c r="DG200" s="23">
        <f>EXP(-LN(2)/25)*DG199+(1-EXP(-LN(2)/25))/(LN(2)/25)*Calculateur!DB200*Calculateur!DD200*VLOOKUP('Données projet'!$B$13,Paramètres!$A$1:$I$88,3,0)*0.475*44/12</f>
        <v>0</v>
      </c>
      <c r="DH200" s="23">
        <f>EXP(-LN(2)/2)*DH199+(1-EXP(-LN(2)/2))/(LN(2)/2)*DB200*DE200*VLOOKUP('Données projet'!$B$13,Paramètres!$A$1:$I$88,3,0)*0.475*44/12</f>
        <v>0</v>
      </c>
      <c r="DI200" s="24">
        <f t="shared" si="175"/>
        <v>23.939844415001257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1.1368683772161603E-13</v>
      </c>
      <c r="DP200" s="18">
        <f>DO200*VLOOKUP('Données projet'!$B$14,Paramètres!$A$1:$I$88,3,0)*VLOOKUP('Données projet'!$B$14,Paramètres!$A$1:$I$88,5,0)</f>
        <v>8.3355189417488869E-14</v>
      </c>
      <c r="DQ200" s="14">
        <f t="shared" si="176"/>
        <v>1.2790518435140618E-12</v>
      </c>
      <c r="DR200" s="22">
        <f t="shared" si="177"/>
        <v>2.3728589156891171E-12</v>
      </c>
      <c r="DS200" s="60">
        <f t="shared" si="197"/>
        <v>290.41603252229118</v>
      </c>
      <c r="DT200" s="60">
        <f ca="1">AVERAGE(OFFSET($DS$3,0,0,'Données projet'!$E$14+1,1))-AVERAGE(OFFSET($H$3,0,0,'Données projet'!$E$14+1,1))</f>
        <v>212.77458587586861</v>
      </c>
      <c r="DU200" s="60">
        <f t="shared" si="209"/>
        <v>260.45879589483513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projet'!$B$14,Paramètres!$A$1:$I$88,3,0)*0.475*44/12</f>
        <v>2.3805153468328508</v>
      </c>
      <c r="EB200" s="23">
        <f>EXP(-LN(2)/25)*EB199+(1-EXP(-LN(2)/25))/(LN(2)/25)*Calculateur!DW200*Calculateur!DY200*VLOOKUP('Données projet'!$B$14,Paramètres!$A$1:$I$88,3,0)*0.475*44/12</f>
        <v>0.4539415862083343</v>
      </c>
      <c r="EC200" s="23">
        <f>EXP(-LN(2)/2)*EC199+(1-EXP(-LN(2)/2))/(LN(2)/2)*DW200*DZ200*VLOOKUP('Données projet'!$B$14,Paramètres!$A$1:$I$88,3,0)*0.475*44/12</f>
        <v>0</v>
      </c>
      <c r="ED200" s="24">
        <f t="shared" si="178"/>
        <v>2.8344569330411851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5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8">
        <f t="shared" si="192"/>
        <v>183.33333333333334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3.4106051316484809E-13</v>
      </c>
      <c r="O201" s="14">
        <f>N201*VLOOKUP('Données projet'!$B$9,Paramètres!$A$1:$I$88,3,0)*VLOOKUP('Données projet'!$B$9,Paramètres!$A$1:$I$88,5,0)</f>
        <v>1.9065282685915009E-13</v>
      </c>
      <c r="P201" s="14">
        <f t="shared" si="203"/>
        <v>2.6568987209435707E-12</v>
      </c>
      <c r="Q201" s="22">
        <f t="shared" si="162"/>
        <v>4.959485612423072E-12</v>
      </c>
      <c r="R201" s="60">
        <f t="shared" si="191"/>
        <v>290.46664116925785</v>
      </c>
      <c r="S201" s="60">
        <f ca="1">AVERAGE(OFFSET($R$3,0,0,'Données projet'!$E$9+1,1))-AVERAGE(OFFSET($H$3,0,0,'Données projet'!$E$9+1,1))</f>
        <v>366.29380214443631</v>
      </c>
      <c r="T201" s="60">
        <f t="shared" si="204"/>
        <v>413.14502442862897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15.581693551987737</v>
      </c>
      <c r="AA201" s="23">
        <f>EXP(-LN(2)/25)*AA200+(1-EXP(-LN(2)/25))/(LN(2)/25)*Calculateur!V201*Calculateur!X201*VLOOKUP('Données projet'!$B$9,Paramètres!$A$1:$I$88,3,0)*0.475*44/12</f>
        <v>2.8880862967982712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18.469779848786008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452.49999999999989</v>
      </c>
      <c r="AJ201" s="14">
        <f>AI201*VLOOKUP('Données projet'!$B$10,Paramètres!$A$1:$I$88,3,0)*VLOOKUP('Données projet'!$B$10,Paramètres!$A$1:$I$88,5,0)</f>
        <v>395.30399999999992</v>
      </c>
      <c r="AK201" s="14">
        <f t="shared" si="164"/>
        <v>90.823969929029445</v>
      </c>
      <c r="AL201" s="22">
        <f t="shared" si="165"/>
        <v>846.67288095972606</v>
      </c>
      <c r="AM201" s="60">
        <f t="shared" si="193"/>
        <v>1137.139522128979</v>
      </c>
      <c r="AN201" s="60">
        <f ca="1">AVERAGE(OFFSET($AM$3,0,0,'Données projet'!$E$10+1,1))-AVERAGE(OFFSET($H$3,0,0,'Données projet'!$E$10+1,1))</f>
        <v>436.5217771315057</v>
      </c>
      <c r="AO201" s="60">
        <f t="shared" si="205"/>
        <v>308.97310256098365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3.9863998296660941</v>
      </c>
      <c r="AV201" s="23">
        <f>EXP(-LN(2)/25)*AV200+(1-EXP(-LN(2)/25))/(LN(2)/25)*Calculateur!AQ201*Calculateur!AS201*VLOOKUP('Données projet'!$B$10,Paramètres!$A$1:$I$88,3,0)*0.475*44/12</f>
        <v>0.72300435134443819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4.709404181010532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2.2737367544323206E-13</v>
      </c>
      <c r="BE201" s="14">
        <f>BD201*VLOOKUP('Données projet'!$B$11,Paramètres!$A$1:$I$88,3,0)*VLOOKUP('Données projet'!$B$11,Paramètres!$A$1:$I$88,5,0)</f>
        <v>2.3055690689943731E-13</v>
      </c>
      <c r="BF201" s="14">
        <f t="shared" si="167"/>
        <v>3.142699285622457E-12</v>
      </c>
      <c r="BG201" s="22">
        <f t="shared" si="168"/>
        <v>5.8750878686422984E-12</v>
      </c>
      <c r="BH201" s="60">
        <f t="shared" si="194"/>
        <v>290.46664116925876</v>
      </c>
      <c r="BI201" s="60">
        <f ca="1">AVERAGE(OFFSET($BH$3,0,0,'Données projet'!$E$11+1,1))-AVERAGE(OFFSET($H$3,0,0,'Données projet'!$E$11+1,1))</f>
        <v>108.30434106718693</v>
      </c>
      <c r="BJ201" s="60">
        <f t="shared" si="206"/>
        <v>67.653808657585842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4.7094193809885283</v>
      </c>
      <c r="BQ201" s="23">
        <f>EXP(-LN(2)/25)*BQ200+(1-EXP(-LN(2)/25))/(LN(2)/25)*Calculateur!BL201*Calculateur!BN201*VLOOKUP('Données projet'!$B$11,Paramètres!$A$1:$I$88,3,0)*0.475*44/12</f>
        <v>0</v>
      </c>
      <c r="BR201" s="23">
        <f>EXP(-LN(2)/2)*BR200+(1-EXP(-LN(2)/2))/(LN(2)/2)*BL201*BO201*VLOOKUP('Données projet'!$B$11,Paramètres!$A$1:$I$88,3,0)*0.475*44/12</f>
        <v>0</v>
      </c>
      <c r="BS201" s="24">
        <f t="shared" si="169"/>
        <v>4.7094193809885283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projet'!$B$12,Paramètres!$A$1:$I$88,3,0)*VLOOKUP('Données projet'!$B$12,Paramètres!$A$1:$I$88,5,0)</f>
        <v>0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171.08593400758221</v>
      </c>
      <c r="CE201" s="60">
        <f t="shared" si="207"/>
        <v>201.9528484086932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projet'!$B$12,Paramètres!$A$1:$I$88,3,0)*0.475*44/12</f>
        <v>4.7661504814038622</v>
      </c>
      <c r="CL201" s="23">
        <f>EXP(-LN(2)/25)*CL200+(1-EXP(-LN(2)/25))/(LN(2)/25)*Calculateur!CG201*Calculateur!CI201*VLOOKUP('Données projet'!$B$12,Paramètres!$A$1:$I$88,3,0)*0.475*44/12</f>
        <v>0.9300656021506758</v>
      </c>
      <c r="CM201" s="23">
        <f>EXP(-LN(2)/2)*CM200+(1-EXP(-LN(2)/2))/(LN(2)/2)*CG201*CJ201*VLOOKUP('Données projet'!$B$12,Paramètres!$A$1:$I$88,3,0)*0.475*44/12</f>
        <v>0</v>
      </c>
      <c r="CN201" s="24">
        <f t="shared" si="172"/>
        <v>5.6962160835545381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projet'!$B$13,Paramètres!$A$1:$I$88,3,0)*VLOOKUP('Données projet'!$B$13,Paramètres!$A$1:$I$88,5,0)</f>
        <v>0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283.66646124753868</v>
      </c>
      <c r="CZ201" s="60">
        <f t="shared" si="208"/>
        <v>331.61926649572797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projet'!$B$13,Paramètres!$A$1:$I$88,3,0)*0.475*44/12</f>
        <v>23.470398667886361</v>
      </c>
      <c r="DG201" s="23">
        <f>EXP(-LN(2)/25)*DG200+(1-EXP(-LN(2)/25))/(LN(2)/25)*Calculateur!DB201*Calculateur!DD201*VLOOKUP('Données projet'!$B$13,Paramètres!$A$1:$I$88,3,0)*0.475*44/12</f>
        <v>0</v>
      </c>
      <c r="DH201" s="23">
        <f>EXP(-LN(2)/2)*DH200+(1-EXP(-LN(2)/2))/(LN(2)/2)*DB201*DE201*VLOOKUP('Données projet'!$B$13,Paramètres!$A$1:$I$88,3,0)*0.475*44/12</f>
        <v>0</v>
      </c>
      <c r="DI201" s="24">
        <f t="shared" si="175"/>
        <v>23.470398667886361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1.1368683772161603E-13</v>
      </c>
      <c r="DP201" s="18">
        <f>DO201*VLOOKUP('Données projet'!$B$14,Paramètres!$A$1:$I$88,3,0)*VLOOKUP('Données projet'!$B$14,Paramètres!$A$1:$I$88,5,0)</f>
        <v>8.3355189417488869E-14</v>
      </c>
      <c r="DQ201" s="14">
        <f t="shared" si="176"/>
        <v>1.2790518435140618E-12</v>
      </c>
      <c r="DR201" s="22">
        <f t="shared" si="177"/>
        <v>2.3728589156891171E-12</v>
      </c>
      <c r="DS201" s="60">
        <f t="shared" si="197"/>
        <v>290.4666411692553</v>
      </c>
      <c r="DT201" s="60">
        <f ca="1">AVERAGE(OFFSET($DS$3,0,0,'Données projet'!$E$14+1,1))-AVERAGE(OFFSET($H$3,0,0,'Données projet'!$E$14+1,1))</f>
        <v>212.77458587586861</v>
      </c>
      <c r="DU201" s="60">
        <f t="shared" si="209"/>
        <v>260.45879589483513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projet'!$B$14,Paramètres!$A$1:$I$88,3,0)*0.475*44/12</f>
        <v>2.3338348928524502</v>
      </c>
      <c r="EB201" s="23">
        <f>EXP(-LN(2)/25)*EB200+(1-EXP(-LN(2)/25))/(LN(2)/25)*Calculateur!DW201*Calculateur!DY201*VLOOKUP('Données projet'!$B$14,Paramètres!$A$1:$I$88,3,0)*0.475*44/12</f>
        <v>0.44152852966171691</v>
      </c>
      <c r="EC201" s="23">
        <f>EXP(-LN(2)/2)*EC200+(1-EXP(-LN(2)/2))/(LN(2)/2)*DW201*DZ201*VLOOKUP('Données projet'!$B$14,Paramètres!$A$1:$I$88,3,0)*0.475*44/12</f>
        <v>0</v>
      </c>
      <c r="ED201" s="24">
        <f t="shared" si="178"/>
        <v>2.7753634225141672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5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8">
        <f t="shared" si="192"/>
        <v>183.33333333333334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3.4106051316484809E-13</v>
      </c>
      <c r="O202" s="14">
        <f>N202*VLOOKUP('Données projet'!$B$9,Paramètres!$A$1:$I$88,3,0)*VLOOKUP('Données projet'!$B$9,Paramètres!$A$1:$I$88,5,0)</f>
        <v>1.9065282685915009E-13</v>
      </c>
      <c r="P202" s="14">
        <f t="shared" si="203"/>
        <v>2.6568987209435707E-12</v>
      </c>
      <c r="Q202" s="22">
        <f t="shared" si="162"/>
        <v>4.959485612423072E-12</v>
      </c>
      <c r="R202" s="60">
        <f t="shared" si="191"/>
        <v>290.51637186934107</v>
      </c>
      <c r="S202" s="60">
        <f ca="1">AVERAGE(OFFSET($R$3,0,0,'Données projet'!$E$9+1,1))-AVERAGE(OFFSET($H$3,0,0,'Données projet'!$E$9+1,1))</f>
        <v>366.29380214443631</v>
      </c>
      <c r="T202" s="60">
        <f t="shared" si="204"/>
        <v>413.14502442862897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15.276146045327893</v>
      </c>
      <c r="AA202" s="23">
        <f>EXP(-LN(2)/25)*AA201+(1-EXP(-LN(2)/25))/(LN(2)/25)*Calculateur!V202*Calculateur!X202*VLOOKUP('Données projet'!$B$9,Paramètres!$A$1:$I$88,3,0)*0.475*44/12</f>
        <v>2.8091114251344651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18.085257470462359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452.49999999999989</v>
      </c>
      <c r="AJ202" s="14">
        <f>AI202*VLOOKUP('Données projet'!$B$10,Paramètres!$A$1:$I$88,3,0)*VLOOKUP('Données projet'!$B$10,Paramètres!$A$1:$I$88,5,0)</f>
        <v>395.30399999999992</v>
      </c>
      <c r="AK202" s="14">
        <f t="shared" si="164"/>
        <v>90.823969929029445</v>
      </c>
      <c r="AL202" s="22">
        <f t="shared" si="165"/>
        <v>846.67288095972606</v>
      </c>
      <c r="AM202" s="60">
        <f t="shared" si="193"/>
        <v>1137.1892528290623</v>
      </c>
      <c r="AN202" s="60">
        <f ca="1">AVERAGE(OFFSET($AM$3,0,0,'Données projet'!$E$10+1,1))-AVERAGE(OFFSET($H$3,0,0,'Données projet'!$E$10+1,1))</f>
        <v>436.5217771315057</v>
      </c>
      <c r="AO202" s="60">
        <f t="shared" si="205"/>
        <v>308.97310256098365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3.9082289604701508</v>
      </c>
      <c r="AV202" s="23">
        <f>EXP(-LN(2)/25)*AV201+(1-EXP(-LN(2)/25))/(LN(2)/25)*Calculateur!AQ202*Calculateur!AS202*VLOOKUP('Données projet'!$B$10,Paramètres!$A$1:$I$88,3,0)*0.475*44/12</f>
        <v>0.70323375933577814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4.611462719805929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2.2737367544323206E-13</v>
      </c>
      <c r="BE202" s="14">
        <f>BD202*VLOOKUP('Données projet'!$B$11,Paramètres!$A$1:$I$88,3,0)*VLOOKUP('Données projet'!$B$11,Paramètres!$A$1:$I$88,5,0)</f>
        <v>2.3055690689943731E-13</v>
      </c>
      <c r="BF202" s="14">
        <f t="shared" si="167"/>
        <v>3.142699285622457E-12</v>
      </c>
      <c r="BG202" s="22">
        <f t="shared" si="168"/>
        <v>5.8750878686422984E-12</v>
      </c>
      <c r="BH202" s="60">
        <f t="shared" si="194"/>
        <v>290.51637186934198</v>
      </c>
      <c r="BI202" s="60">
        <f ca="1">AVERAGE(OFFSET($BH$3,0,0,'Données projet'!$E$11+1,1))-AVERAGE(OFFSET($H$3,0,0,'Données projet'!$E$11+1,1))</f>
        <v>108.30434106718693</v>
      </c>
      <c r="BJ202" s="60">
        <f t="shared" si="206"/>
        <v>67.653808657585842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4.6170705393895339</v>
      </c>
      <c r="BQ202" s="23">
        <f>EXP(-LN(2)/25)*BQ201+(1-EXP(-LN(2)/25))/(LN(2)/25)*Calculateur!BL202*Calculateur!BN202*VLOOKUP('Données projet'!$B$11,Paramètres!$A$1:$I$88,3,0)*0.475*44/12</f>
        <v>0</v>
      </c>
      <c r="BR202" s="23">
        <f>EXP(-LN(2)/2)*BR201+(1-EXP(-LN(2)/2))/(LN(2)/2)*BL202*BO202*VLOOKUP('Données projet'!$B$11,Paramètres!$A$1:$I$88,3,0)*0.475*44/12</f>
        <v>0</v>
      </c>
      <c r="BS202" s="24">
        <f t="shared" si="169"/>
        <v>4.6170705393895339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projet'!$B$12,Paramètres!$A$1:$I$88,3,0)*VLOOKUP('Données projet'!$B$12,Paramètres!$A$1:$I$88,5,0)</f>
        <v>0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171.08593400758221</v>
      </c>
      <c r="CE202" s="60">
        <f t="shared" si="207"/>
        <v>201.9528484086932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projet'!$B$12,Paramètres!$A$1:$I$88,3,0)*0.475*44/12</f>
        <v>4.6726891775282775</v>
      </c>
      <c r="CL202" s="23">
        <f>EXP(-LN(2)/25)*CL201+(1-EXP(-LN(2)/25))/(LN(2)/25)*Calculateur!CG202*Calculateur!CI202*VLOOKUP('Données projet'!$B$12,Paramètres!$A$1:$I$88,3,0)*0.475*44/12</f>
        <v>0.9046329093498412</v>
      </c>
      <c r="CM202" s="23">
        <f>EXP(-LN(2)/2)*CM201+(1-EXP(-LN(2)/2))/(LN(2)/2)*CG202*CJ202*VLOOKUP('Données projet'!$B$12,Paramètres!$A$1:$I$88,3,0)*0.475*44/12</f>
        <v>0</v>
      </c>
      <c r="CN202" s="24">
        <f t="shared" si="172"/>
        <v>5.5773220868781186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projet'!$B$13,Paramètres!$A$1:$I$88,3,0)*VLOOKUP('Données projet'!$B$13,Paramètres!$A$1:$I$88,5,0)</f>
        <v>0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283.66646124753868</v>
      </c>
      <c r="CZ202" s="60">
        <f t="shared" si="208"/>
        <v>331.61926649572797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projet'!$B$13,Paramètres!$A$1:$I$88,3,0)*0.475*44/12</f>
        <v>23.010158465538755</v>
      </c>
      <c r="DG202" s="23">
        <f>EXP(-LN(2)/25)*DG201+(1-EXP(-LN(2)/25))/(LN(2)/25)*Calculateur!DB202*Calculateur!DD202*VLOOKUP('Données projet'!$B$13,Paramètres!$A$1:$I$88,3,0)*0.475*44/12</f>
        <v>0</v>
      </c>
      <c r="DH202" s="23">
        <f>EXP(-LN(2)/2)*DH201+(1-EXP(-LN(2)/2))/(LN(2)/2)*DB202*DE202*VLOOKUP('Données projet'!$B$13,Paramètres!$A$1:$I$88,3,0)*0.475*44/12</f>
        <v>0</v>
      </c>
      <c r="DI202" s="24">
        <f t="shared" si="175"/>
        <v>23.010158465538755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1.1368683772161603E-13</v>
      </c>
      <c r="DP202" s="18">
        <f>DO202*VLOOKUP('Données projet'!$B$14,Paramètres!$A$1:$I$88,3,0)*VLOOKUP('Données projet'!$B$14,Paramètres!$A$1:$I$88,5,0)</f>
        <v>8.3355189417488869E-14</v>
      </c>
      <c r="DQ202" s="14">
        <f t="shared" si="176"/>
        <v>1.2790518435140618E-12</v>
      </c>
      <c r="DR202" s="22">
        <f t="shared" si="177"/>
        <v>2.3728589156891171E-12</v>
      </c>
      <c r="DS202" s="60">
        <f t="shared" si="197"/>
        <v>290.51637186933851</v>
      </c>
      <c r="DT202" s="60">
        <f ca="1">AVERAGE(OFFSET($DS$3,0,0,'Données projet'!$E$14+1,1))-AVERAGE(OFFSET($H$3,0,0,'Données projet'!$E$14+1,1))</f>
        <v>212.77458587586861</v>
      </c>
      <c r="DU202" s="60">
        <f t="shared" si="209"/>
        <v>260.45879589483513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projet'!$B$14,Paramètres!$A$1:$I$88,3,0)*0.475*44/12</f>
        <v>2.2880698141023394</v>
      </c>
      <c r="EB202" s="23">
        <f>EXP(-LN(2)/25)*EB201+(1-EXP(-LN(2)/25))/(LN(2)/25)*Calculateur!DW202*Calculateur!DY202*VLOOKUP('Données projet'!$B$14,Paramètres!$A$1:$I$88,3,0)*0.475*44/12</f>
        <v>0.429454908799141</v>
      </c>
      <c r="EC202" s="23">
        <f>EXP(-LN(2)/2)*EC201+(1-EXP(-LN(2)/2))/(LN(2)/2)*DW202*DZ202*VLOOKUP('Données projet'!$B$14,Paramètres!$A$1:$I$88,3,0)*0.475*44/12</f>
        <v>0</v>
      </c>
      <c r="ED202" s="24">
        <f t="shared" si="178"/>
        <v>2.7175247229014805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5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8">
        <f t="shared" si="192"/>
        <v>183.33333333333334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3.4106051316484809E-13</v>
      </c>
      <c r="O203" s="14">
        <f>N203*VLOOKUP('Données projet'!$B$9,Paramètres!$A$1:$I$88,3,0)*VLOOKUP('Données projet'!$B$9,Paramètres!$A$1:$I$88,5,0)</f>
        <v>1.9065282685915009E-13</v>
      </c>
      <c r="P203" s="14">
        <f t="shared" si="203"/>
        <v>2.6568987209435707E-12</v>
      </c>
      <c r="Q203" s="22">
        <f t="shared" si="162"/>
        <v>4.959485612423072E-12</v>
      </c>
      <c r="R203" s="60">
        <f t="shared" si="191"/>
        <v>290.56523985295905</v>
      </c>
      <c r="S203" s="60">
        <f ca="1">AVERAGE(OFFSET($R$3,0,0,'Données projet'!$E$9+1,1))-AVERAGE(OFFSET($H$3,0,0,'Données projet'!$E$9+1,1))</f>
        <v>366.29380214443631</v>
      </c>
      <c r="T203" s="60">
        <f t="shared" si="204"/>
        <v>413.14502442862897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14.976590138908071</v>
      </c>
      <c r="AA203" s="23">
        <f>EXP(-LN(2)/25)*AA202+(1-EXP(-LN(2)/25))/(LN(2)/25)*Calculateur!V203*Calculateur!X203*VLOOKUP('Données projet'!$B$9,Paramètres!$A$1:$I$88,3,0)*0.475*44/12</f>
        <v>2.7322961254894138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17.708886264397485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452.49999999999989</v>
      </c>
      <c r="AJ203" s="14">
        <f>AI203*VLOOKUP('Données projet'!$B$10,Paramètres!$A$1:$I$88,3,0)*VLOOKUP('Données projet'!$B$10,Paramètres!$A$1:$I$88,5,0)</f>
        <v>395.30399999999992</v>
      </c>
      <c r="AK203" s="14">
        <f t="shared" si="164"/>
        <v>90.823969929029445</v>
      </c>
      <c r="AL203" s="22">
        <f t="shared" si="165"/>
        <v>846.67288095972606</v>
      </c>
      <c r="AM203" s="60">
        <f t="shared" si="193"/>
        <v>1137.2381208126801</v>
      </c>
      <c r="AN203" s="60">
        <f ca="1">AVERAGE(OFFSET($AM$3,0,0,'Données projet'!$E$10+1,1))-AVERAGE(OFFSET($H$3,0,0,'Données projet'!$E$10+1,1))</f>
        <v>436.5217771315057</v>
      </c>
      <c r="AO203" s="60">
        <f t="shared" si="205"/>
        <v>308.97310256098365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3.8315909743396177</v>
      </c>
      <c r="AV203" s="23">
        <f>EXP(-LN(2)/25)*AV202+(1-EXP(-LN(2)/25))/(LN(2)/25)*Calculateur!AQ203*Calculateur!AS203*VLOOKUP('Données projet'!$B$10,Paramètres!$A$1:$I$88,3,0)*0.475*44/12</f>
        <v>0.68400379520528509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4.5155947695449026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2.2737367544323206E-13</v>
      </c>
      <c r="BE203" s="14">
        <f>BD203*VLOOKUP('Données projet'!$B$11,Paramètres!$A$1:$I$88,3,0)*VLOOKUP('Données projet'!$B$11,Paramètres!$A$1:$I$88,5,0)</f>
        <v>2.3055690689943731E-13</v>
      </c>
      <c r="BF203" s="14">
        <f t="shared" si="167"/>
        <v>3.142699285622457E-12</v>
      </c>
      <c r="BG203" s="22">
        <f t="shared" si="168"/>
        <v>5.8750878686422984E-12</v>
      </c>
      <c r="BH203" s="60">
        <f t="shared" si="194"/>
        <v>290.56523985295996</v>
      </c>
      <c r="BI203" s="60">
        <f ca="1">AVERAGE(OFFSET($BH$3,0,0,'Données projet'!$E$11+1,1))-AVERAGE(OFFSET($H$3,0,0,'Données projet'!$E$11+1,1))</f>
        <v>108.30434106718693</v>
      </c>
      <c r="BJ203" s="60">
        <f t="shared" si="206"/>
        <v>67.653808657585842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4.5265326022470642</v>
      </c>
      <c r="BQ203" s="23">
        <f>EXP(-LN(2)/25)*BQ202+(1-EXP(-LN(2)/25))/(LN(2)/25)*Calculateur!BL203*Calculateur!BN203*VLOOKUP('Données projet'!$B$11,Paramètres!$A$1:$I$88,3,0)*0.475*44/12</f>
        <v>0</v>
      </c>
      <c r="BR203" s="23">
        <f>EXP(-LN(2)/2)*BR202+(1-EXP(-LN(2)/2))/(LN(2)/2)*BL203*BO203*VLOOKUP('Données projet'!$B$11,Paramètres!$A$1:$I$88,3,0)*0.475*44/12</f>
        <v>0</v>
      </c>
      <c r="BS203" s="24">
        <f t="shared" si="169"/>
        <v>4.5265326022470642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projet'!$B$12,Paramètres!$A$1:$I$88,3,0)*VLOOKUP('Données projet'!$B$12,Paramètres!$A$1:$I$88,5,0)</f>
        <v>0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171.08593400758221</v>
      </c>
      <c r="CE203" s="60">
        <f t="shared" si="207"/>
        <v>201.9528484086932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projet'!$B$12,Paramètres!$A$1:$I$88,3,0)*0.475*44/12</f>
        <v>4.581060592815926</v>
      </c>
      <c r="CL203" s="23">
        <f>EXP(-LN(2)/25)*CL202+(1-EXP(-LN(2)/25))/(LN(2)/25)*Calculateur!CG203*Calculateur!CI203*VLOOKUP('Données projet'!$B$12,Paramètres!$A$1:$I$88,3,0)*0.475*44/12</f>
        <v>0.87989567487109266</v>
      </c>
      <c r="CM203" s="23">
        <f>EXP(-LN(2)/2)*CM202+(1-EXP(-LN(2)/2))/(LN(2)/2)*CG203*CJ203*VLOOKUP('Données projet'!$B$12,Paramètres!$A$1:$I$88,3,0)*0.475*44/12</f>
        <v>0</v>
      </c>
      <c r="CN203" s="24">
        <f t="shared" si="172"/>
        <v>5.4609562676870187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projet'!$B$13,Paramètres!$A$1:$I$88,3,0)*VLOOKUP('Données projet'!$B$13,Paramètres!$A$1:$I$88,5,0)</f>
        <v>0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283.66646124753868</v>
      </c>
      <c r="CZ203" s="60">
        <f t="shared" si="208"/>
        <v>331.61926649572797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projet'!$B$13,Paramètres!$A$1:$I$88,3,0)*0.475*44/12</f>
        <v>22.558943292840382</v>
      </c>
      <c r="DG203" s="23">
        <f>EXP(-LN(2)/25)*DG202+(1-EXP(-LN(2)/25))/(LN(2)/25)*Calculateur!DB203*Calculateur!DD203*VLOOKUP('Données projet'!$B$13,Paramètres!$A$1:$I$88,3,0)*0.475*44/12</f>
        <v>0</v>
      </c>
      <c r="DH203" s="23">
        <f>EXP(-LN(2)/2)*DH202+(1-EXP(-LN(2)/2))/(LN(2)/2)*DB203*DE203*VLOOKUP('Données projet'!$B$13,Paramètres!$A$1:$I$88,3,0)*0.475*44/12</f>
        <v>0</v>
      </c>
      <c r="DI203" s="24">
        <f t="shared" si="175"/>
        <v>22.558943292840382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1.1368683772161603E-13</v>
      </c>
      <c r="DP203" s="18">
        <f>DO203*VLOOKUP('Données projet'!$B$14,Paramètres!$A$1:$I$88,3,0)*VLOOKUP('Données projet'!$B$14,Paramètres!$A$1:$I$88,5,0)</f>
        <v>8.3355189417488869E-14</v>
      </c>
      <c r="DQ203" s="14">
        <f t="shared" si="176"/>
        <v>1.2790518435140618E-12</v>
      </c>
      <c r="DR203" s="22">
        <f t="shared" si="177"/>
        <v>2.3728589156891171E-12</v>
      </c>
      <c r="DS203" s="60">
        <f t="shared" si="197"/>
        <v>290.56523985295649</v>
      </c>
      <c r="DT203" s="60">
        <f ca="1">AVERAGE(OFFSET($DS$3,0,0,'Données projet'!$E$14+1,1))-AVERAGE(OFFSET($H$3,0,0,'Données projet'!$E$14+1,1))</f>
        <v>212.77458587586861</v>
      </c>
      <c r="DU203" s="60">
        <f t="shared" si="209"/>
        <v>260.45879589483513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projet'!$B$14,Paramètres!$A$1:$I$88,3,0)*0.475*44/12</f>
        <v>2.2432021606325767</v>
      </c>
      <c r="EB203" s="23">
        <f>EXP(-LN(2)/25)*EB202+(1-EXP(-LN(2)/25))/(LN(2)/25)*Calculateur!DW203*Calculateur!DY203*VLOOKUP('Données projet'!$B$14,Paramètres!$A$1:$I$88,3,0)*0.475*44/12</f>
        <v>0.41771144173397634</v>
      </c>
      <c r="EC203" s="23">
        <f>EXP(-LN(2)/2)*EC202+(1-EXP(-LN(2)/2))/(LN(2)/2)*DW203*DZ203*VLOOKUP('Données projet'!$B$14,Paramètres!$A$1:$I$88,3,0)*0.475*44/12</f>
        <v>0</v>
      </c>
      <c r="ED203" s="24">
        <f t="shared" si="178"/>
        <v>2.6609136023665529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294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294</v>
      </c>
      <c r="BA204" s="85" t="s">
        <v>294</v>
      </c>
      <c r="BV204" s="85" t="s">
        <v>294</v>
      </c>
      <c r="CQ204" s="85" t="s">
        <v>294</v>
      </c>
      <c r="DL204" s="85" t="s">
        <v>294</v>
      </c>
      <c r="EG204" s="85" t="s">
        <v>294</v>
      </c>
      <c r="FB204" s="85" t="s">
        <v>294</v>
      </c>
      <c r="FW204" s="85" t="s">
        <v>294</v>
      </c>
      <c r="GR204" s="85" t="s">
        <v>294</v>
      </c>
    </row>
    <row r="205" spans="1:218" ht="15" thickBot="1" x14ac:dyDescent="0.35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1.2477420770391454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1.1876379208839218</v>
      </c>
      <c r="BA205" s="86">
        <f>EXP(LN('Données projet'!B88)/'Données projet'!A88)</f>
        <v>1.0496176254437533</v>
      </c>
      <c r="BV205" s="86">
        <f>EXP(LN('Données projet'!B114)/'Données projet'!A114)</f>
        <v>1.2677537154322802</v>
      </c>
      <c r="CQ205" s="86">
        <f>EXP(LN('Données projet'!B140)/'Données projet'!A140)</f>
        <v>1.3208724756526424</v>
      </c>
      <c r="DL205" s="86">
        <f>EXP(LN('Données projet'!B166)/'Données projet'!A166)</f>
        <v>1.6071994829923506</v>
      </c>
      <c r="EG205" s="86" t="e">
        <f>EXP(LN('Données projet'!B192)/'Données projet'!A192)</f>
        <v>#NUM!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4"/>
  <sheetViews>
    <sheetView workbookViewId="0">
      <selection activeCell="E10" sqref="E10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0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1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0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2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2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1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0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1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129" t="s">
        <v>148</v>
      </c>
      <c r="B87" s="137"/>
      <c r="C87" s="131">
        <v>0.42</v>
      </c>
      <c r="D87" s="131" t="s">
        <v>161</v>
      </c>
      <c r="E87" s="131">
        <v>1.3</v>
      </c>
      <c r="F87" s="132" t="s">
        <v>274</v>
      </c>
      <c r="G87" s="138"/>
      <c r="H87" s="137"/>
      <c r="I87" s="139"/>
    </row>
    <row r="88" spans="1:14" ht="15" thickBot="1" x14ac:dyDescent="0.35">
      <c r="A88" s="140" t="s">
        <v>149</v>
      </c>
      <c r="B88" s="141"/>
      <c r="C88" s="142">
        <v>0.56999999999999995</v>
      </c>
      <c r="D88" s="143" t="s">
        <v>161</v>
      </c>
      <c r="E88" s="142">
        <v>1.56</v>
      </c>
      <c r="F88" s="142" t="s">
        <v>274</v>
      </c>
      <c r="G88" s="141"/>
      <c r="H88" s="141"/>
      <c r="I88" s="144"/>
    </row>
    <row r="92" spans="1:14" x14ac:dyDescent="0.3">
      <c r="A92" s="129" t="s">
        <v>208</v>
      </c>
    </row>
    <row r="93" spans="1:14" x14ac:dyDescent="0.3">
      <c r="A93" s="129" t="s">
        <v>209</v>
      </c>
    </row>
    <row r="94" spans="1:14" x14ac:dyDescent="0.3">
      <c r="A94" s="129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70" zoomScaleNormal="70" workbookViewId="0">
      <selection activeCell="F16" sqref="F16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1" t="s">
        <v>271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3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Douglas</v>
      </c>
      <c r="B6" s="153">
        <f>'Données projet'!D9</f>
        <v>2.3200000000000003</v>
      </c>
      <c r="C6" s="154">
        <f ca="1">IF(OR('Données projet'!B9="",'Données projet'!C9="",'Données projet'!C9=0%),0,Calculateur!S3)</f>
        <v>366.29380214443631</v>
      </c>
      <c r="D6" s="154">
        <f>IF(OR('Données projet'!B9="",'Données projet'!C9="",'Données projet'!C9=0%),0,Calculateur!T3)</f>
        <v>413.14502442862897</v>
      </c>
      <c r="E6" s="154">
        <f ca="1">MIN(C6,D6)</f>
        <v>366.29380214443631</v>
      </c>
      <c r="F6" s="154">
        <f ca="1">E6*B6</f>
        <v>849.80162097509231</v>
      </c>
      <c r="G6" s="154">
        <f ca="1">F6*(100%-'Données projet'!$C$24)*(100%-'Données projet'!$C$25)*(100%-'Données projet'!$C$26)*(100%-'Données projet'!$C$27)</f>
        <v>764.82145887758304</v>
      </c>
      <c r="H6" s="155">
        <f>IF(OR('Données projet'!B9="",'Données projet'!C9="",'Données projet'!C9=0%),0,AVERAGE(Calculateur!$AC$3:$AC$33)*B6)</f>
        <v>9.0714448128469876</v>
      </c>
      <c r="I6" s="156">
        <f>H6*(100%-'Données projet'!$C$24)*(100%-'Données projet'!$C$25)*(100%-'Données projet'!$C$26)*(100%-'Données projet'!$C$27)</f>
        <v>8.1643003315622895</v>
      </c>
      <c r="J6" s="157">
        <f>IF(OR('Données projet'!B9="",'Données projet'!C9="",'Données projet'!C9=0%),0,SUM(Calculateur!$V$3:$V$33)*VLOOKUP('Données projet'!$B$9,Paramètres!$A$1:$I$88,9,0)*B6)</f>
        <v>58.85840000000001</v>
      </c>
      <c r="K6" s="158">
        <f>J6*(100%-'Données projet'!$C$24)*(100%-'Données projet'!$C$25)*(100%-'Données projet'!$C$26)*(100%-'Données projet'!$C$27)</f>
        <v>52.972560000000009</v>
      </c>
      <c r="L6" s="159">
        <f ca="1">G6+I6+K6</f>
        <v>825.95831920914543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Chêne rouge d'Amérique</v>
      </c>
      <c r="B7" s="161">
        <f>'Données projet'!D10</f>
        <v>1.1040000000000001</v>
      </c>
      <c r="C7" s="154">
        <f ca="1">IF(OR('Données projet'!B10="",'Données projet'!C10="",'Données projet'!C10=0%),0,Calculateur!AN3)</f>
        <v>436.5217771315057</v>
      </c>
      <c r="D7" s="154">
        <f>IF(OR('Données projet'!B10="",'Données projet'!C10="",'Données projet'!C10=0%),0,Calculateur!AO3)</f>
        <v>308.97310256098365</v>
      </c>
      <c r="E7" s="154">
        <f t="shared" ref="E7:E15" ca="1" si="0">MIN(C7,D7)</f>
        <v>308.97310256098365</v>
      </c>
      <c r="F7" s="154">
        <f t="shared" ref="F7:F15" ca="1" si="1">E7*B7</f>
        <v>341.106305227326</v>
      </c>
      <c r="G7" s="154">
        <f ca="1">F7*(100%-'Données projet'!$C$24)*(100%-'Données projet'!$C$25)*(100%-'Données projet'!$C$26)*(100%-'Données projet'!$C$27)</f>
        <v>306.9956747045934</v>
      </c>
      <c r="H7" s="162">
        <f>IF(OR('Données projet'!B10="",'Données projet'!C10="",'Données projet'!C10=0%),0,AVERAGE(Calculateur!$AX$3:$AX$33)*B7)</f>
        <v>0.38502525489946393</v>
      </c>
      <c r="I7" s="156">
        <f>H7*(100%-'Données projet'!$C$24)*(100%-'Données projet'!$C$25)*(100%-'Données projet'!$C$26)*(100%-'Données projet'!$C$27)</f>
        <v>0.34652272940951756</v>
      </c>
      <c r="J7" s="157">
        <f>IF(OR('Données projet'!B10="",'Données projet'!C10="",'Données projet'!C10=0%),0,SUM(Calculateur!$AQ$3:$AQ$33)*VLOOKUP('Données projet'!$B$10,Paramètres!$A$1:$I$88,9,0)*B7)</f>
        <v>7.3140000000000009</v>
      </c>
      <c r="K7" s="158">
        <f>J7*(100%-'Données projet'!$C$24)*(100%-'Données projet'!$C$25)*(100%-'Données projet'!$C$26)*(100%-'Données projet'!$C$27)</f>
        <v>6.5826000000000011</v>
      </c>
      <c r="L7" s="159">
        <f t="shared" ref="L7:L15" ca="1" si="2">G7+I7+K7</f>
        <v>313.92479743400293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Chêne pubescent</v>
      </c>
      <c r="B8" s="161">
        <f>'Données projet'!D11</f>
        <v>0.50000000000000011</v>
      </c>
      <c r="C8" s="154">
        <f ca="1">IF(OR('Données projet'!B11="",'Données projet'!C11="",'Données projet'!C11=0%),0,Calculateur!BI3)</f>
        <v>108.30434106718693</v>
      </c>
      <c r="D8" s="154">
        <f>IF(OR('Données projet'!B11="",'Données projet'!C11="",'Données projet'!C11=0%),0,Calculateur!BJ3)</f>
        <v>67.653808657585842</v>
      </c>
      <c r="E8" s="154">
        <f t="shared" ca="1" si="0"/>
        <v>67.653808657585842</v>
      </c>
      <c r="F8" s="154">
        <f t="shared" ca="1" si="1"/>
        <v>33.826904328792928</v>
      </c>
      <c r="G8" s="154">
        <f ca="1">F8*(100%-'Données projet'!$C$24)*(100%-'Données projet'!$C$25)*(100%-'Données projet'!$C$26)*(100%-'Données projet'!$C$27)</f>
        <v>30.444213895913634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projet'!$B$11,Paramètres!$A$1:$I$88,9,0)*B8)</f>
        <v>0</v>
      </c>
      <c r="K8" s="158">
        <f>J8*(100%-'Données projet'!$C$24)*(100%-'Données projet'!$C$25)*(100%-'Données projet'!$C$26)*(100%-'Données projet'!$C$27)</f>
        <v>0</v>
      </c>
      <c r="L8" s="159">
        <f t="shared" ca="1" si="2"/>
        <v>30.444213895913634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Cèdre de l'Atlas</v>
      </c>
      <c r="B9" s="161">
        <f>'Données projet'!D12</f>
        <v>0.50000000000000011</v>
      </c>
      <c r="C9" s="154">
        <f ca="1">IF(OR('Données projet'!B12="",'Données projet'!C12="",'Données projet'!C12=0%),0,Calculateur!CD3)</f>
        <v>171.08593400758221</v>
      </c>
      <c r="D9" s="154">
        <f>IF(OR('Données projet'!B12="",'Données projet'!C12="",'Données projet'!C12=0%),0,Calculateur!CE3)</f>
        <v>201.9528484086932</v>
      </c>
      <c r="E9" s="154">
        <f t="shared" ca="1" si="0"/>
        <v>171.08593400758221</v>
      </c>
      <c r="F9" s="154">
        <f t="shared" ca="1" si="1"/>
        <v>85.542967003791119</v>
      </c>
      <c r="G9" s="154">
        <f ca="1">F9*(100%-'Données projet'!$C$24)*(100%-'Données projet'!$C$25)*(100%-'Données projet'!$C$26)*(100%-'Données projet'!$C$27)</f>
        <v>76.988670303412007</v>
      </c>
      <c r="H9" s="162">
        <f>IF(OR('Données projet'!B12="",'Données projet'!C12="",'Données projet'!C12=0%),0,AVERAGE(Calculateur!$CN$3:$CN$33)*B9)</f>
        <v>2.3141794526514263</v>
      </c>
      <c r="I9" s="156">
        <f>H9*(100%-'Données projet'!$C$24)*(100%-'Données projet'!$C$25)*(100%-'Données projet'!$C$26)*(100%-'Données projet'!$C$27)</f>
        <v>2.0827615073862837</v>
      </c>
      <c r="J9" s="157">
        <f>IF(OR('Données projet'!B12="",'Données projet'!C12="",'Données projet'!C12=0%),0,SUM(Calculateur!$CG$3:$CG$33)*VLOOKUP('Données projet'!$B$12,Paramètres!$A$1:$I$88,9,0)*B9)</f>
        <v>16.165312500000002</v>
      </c>
      <c r="K9" s="158">
        <f>J9*(100%-'Données projet'!$C$24)*(100%-'Données projet'!$C$25)*(100%-'Données projet'!$C$26)*(100%-'Données projet'!$C$27)</f>
        <v>14.548781250000003</v>
      </c>
      <c r="L9" s="159">
        <f t="shared" ca="1" si="2"/>
        <v>93.620213060798292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Tilleul</v>
      </c>
      <c r="B10" s="161">
        <f>'Données projet'!D13</f>
        <v>0.30000000000000004</v>
      </c>
      <c r="C10" s="154">
        <f ca="1">IF(OR('Données projet'!B13="",'Données projet'!C13="",'Données projet'!C13=0%),0,Calculateur!CY3)</f>
        <v>283.66646124753868</v>
      </c>
      <c r="D10" s="154">
        <f>IF(OR('Données projet'!B13="",'Données projet'!C13="",'Données projet'!C13=0%),0,Calculateur!CZ3)</f>
        <v>331.61926649572797</v>
      </c>
      <c r="E10" s="154">
        <f t="shared" ca="1" si="0"/>
        <v>283.66646124753868</v>
      </c>
      <c r="F10" s="154">
        <f t="shared" ca="1" si="1"/>
        <v>85.099938374261612</v>
      </c>
      <c r="G10" s="154">
        <f ca="1">F10*(100%-'Données projet'!$C$24)*(100%-'Données projet'!$C$25)*(100%-'Données projet'!$C$26)*(100%-'Données projet'!$C$27)</f>
        <v>76.589944536835446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projet'!$B$13,Paramètres!$A$1:$I$88,9,0)*B10)</f>
        <v>6.0750000000000011</v>
      </c>
      <c r="K10" s="158">
        <f>J10*(100%-'Données projet'!$C$24)*(100%-'Données projet'!$C$25)*(100%-'Données projet'!$C$26)*(100%-'Données projet'!$C$27)</f>
        <v>5.4675000000000011</v>
      </c>
      <c r="L10" s="159">
        <f t="shared" ca="1" si="2"/>
        <v>82.057444536835447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>Châtaignier</v>
      </c>
      <c r="B11" s="161">
        <f>'Données projet'!D14</f>
        <v>0.27600000000000002</v>
      </c>
      <c r="C11" s="154">
        <f ca="1">IF(OR('Données projet'!B14="",'Données projet'!C14="",'Données projet'!C14=0%),0,Calculateur!DT3)</f>
        <v>212.77458587586861</v>
      </c>
      <c r="D11" s="154">
        <f>IF(OR('Données projet'!B14="",'Données projet'!C14="",'Données projet'!C14=0%),0,Calculateur!DU3)</f>
        <v>260.45879589483513</v>
      </c>
      <c r="E11" s="154">
        <f t="shared" ca="1" si="0"/>
        <v>212.77458587586861</v>
      </c>
      <c r="F11" s="154">
        <f t="shared" ca="1" si="1"/>
        <v>58.725785701739738</v>
      </c>
      <c r="G11" s="154">
        <f ca="1">F11*(100%-'Données projet'!$C$24)*(100%-'Données projet'!$C$25)*(100%-'Données projet'!$C$26)*(100%-'Données projet'!$C$27)</f>
        <v>52.853207131565767</v>
      </c>
      <c r="H11" s="162">
        <f>IF(OR('Données projet'!B14="",'Données projet'!C14="",'Données projet'!C14=0%),0,AVERAGE(Calculateur!$ED$3:$ED$33)*B11)</f>
        <v>0.98966490903526638</v>
      </c>
      <c r="I11" s="156">
        <f>H11*(100%-'Données projet'!$C$24)*(100%-'Données projet'!$C$25)*(100%-'Données projet'!$C$26)*(100%-'Données projet'!$C$27)</f>
        <v>0.89069841813173978</v>
      </c>
      <c r="J11" s="157">
        <f>IF(OR('Données projet'!B14="",'Données projet'!C14="",'Données projet'!C14=0%),0,SUM(Calculateur!$DW$3:$DW$33)*VLOOKUP('Données projet'!$B$14,Paramètres!$A$1:$I$88,9,0)*B11)</f>
        <v>5.1060000000000008</v>
      </c>
      <c r="K11" s="158">
        <f>J11*(100%-'Données projet'!$C$24)*(100%-'Données projet'!$C$25)*(100%-'Données projet'!$C$26)*(100%-'Données projet'!$C$27)</f>
        <v>4.5954000000000006</v>
      </c>
      <c r="L11" s="159">
        <f t="shared" ca="1" si="2"/>
        <v>58.339305549697507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projet'!$B$15,Paramètres!$A$1:$I$88,9,0)*B12)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projet'!$B$16,Paramètres!$A$1:$I$88,9,0)*B13)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projet'!$B$17,Paramètres!$A$1:$I$88,9,0)*B14)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projet'!$B$18,Paramètres!$A$1:$I$88,9,0)*B15)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4"/>
      <c r="B16" s="231"/>
      <c r="C16" s="232"/>
      <c r="D16" s="25"/>
      <c r="E16" s="25"/>
      <c r="F16" s="172">
        <f t="shared" ref="F16:L16" ca="1" si="3">SUM(F6:F15)</f>
        <v>1454.103521611004</v>
      </c>
      <c r="G16" s="173">
        <f t="shared" ca="1" si="3"/>
        <v>1308.6931694499033</v>
      </c>
      <c r="H16" s="174">
        <f t="shared" si="3"/>
        <v>12.760314429433144</v>
      </c>
      <c r="I16" s="174">
        <f t="shared" si="3"/>
        <v>11.484282986489831</v>
      </c>
      <c r="J16" s="175">
        <f t="shared" si="3"/>
        <v>93.518712500000007</v>
      </c>
      <c r="K16" s="175">
        <f t="shared" si="3"/>
        <v>84.166841250000004</v>
      </c>
      <c r="L16" s="176">
        <f t="shared" ca="1" si="3"/>
        <v>1404.344293686393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4"/>
      <c r="B17" s="231"/>
      <c r="C17" s="232"/>
      <c r="D17" s="229"/>
      <c r="E17" s="229"/>
      <c r="F17" s="313" t="s">
        <v>246</v>
      </c>
      <c r="G17" s="314"/>
      <c r="H17" s="314"/>
      <c r="I17" s="314"/>
      <c r="J17" s="314"/>
      <c r="K17" s="314"/>
      <c r="L17" s="314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4"/>
      <c r="B18" s="231"/>
      <c r="C18" s="232"/>
      <c r="D18" s="229"/>
      <c r="E18" s="229"/>
      <c r="F18" s="315"/>
      <c r="G18" s="315"/>
      <c r="H18" s="315"/>
      <c r="I18" s="315"/>
      <c r="J18" s="315"/>
      <c r="K18" s="315"/>
      <c r="L18" s="315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Douglas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Chêne rouge d'Amérique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Chêne pubescent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Cèdre de l'Atlas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Tilleul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>Châtaignier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3" zoomScale="70" zoomScaleNormal="70" workbookViewId="0">
      <selection activeCell="K66" sqref="K6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1" t="s">
        <v>272</v>
      </c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33" t="s">
        <v>316</v>
      </c>
      <c r="I4" s="333"/>
      <c r="K4" s="330" t="s">
        <v>253</v>
      </c>
      <c r="L4" s="331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2" t="s">
        <v>311</v>
      </c>
      <c r="S7" s="323"/>
      <c r="T7" s="323"/>
      <c r="U7" s="323"/>
      <c r="V7" s="324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312</v>
      </c>
      <c r="C9" s="25"/>
      <c r="D9" s="25"/>
      <c r="E9" s="25"/>
      <c r="F9" s="259"/>
      <c r="G9" s="258" t="s">
        <v>315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318</v>
      </c>
      <c r="C10" s="25"/>
      <c r="D10" s="25"/>
      <c r="E10" s="25"/>
      <c r="F10" s="259"/>
      <c r="G10" s="258" t="s">
        <v>317</v>
      </c>
      <c r="J10" s="212"/>
      <c r="K10" s="223"/>
      <c r="O10" s="25"/>
      <c r="P10" s="25"/>
      <c r="Q10" s="263"/>
      <c r="R10" s="25"/>
      <c r="S10" s="183" t="str">
        <f>B14</f>
        <v>Douglas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-121.01713293992088</v>
      </c>
      <c r="U10" s="188">
        <f>'Données projet'!D9</f>
        <v>2.3200000000000003</v>
      </c>
      <c r="V10" s="187">
        <f>U10*T10</f>
        <v>-280.75974842061646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313</v>
      </c>
      <c r="B11" s="25"/>
      <c r="C11" s="25"/>
      <c r="D11" s="25"/>
      <c r="E11" s="25"/>
      <c r="F11" s="259"/>
      <c r="G11" s="258" t="s">
        <v>314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Chêne rouge d'Amérique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-3949.5425337636539</v>
      </c>
      <c r="U11" s="188">
        <f>'Données projet'!D10</f>
        <v>1.1040000000000001</v>
      </c>
      <c r="V11" s="187">
        <f t="shared" ref="V11" si="0">U11*T11</f>
        <v>-4360.294957275074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Chêne pubescent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-4539.3293238650813</v>
      </c>
      <c r="U12" s="188">
        <f>'Données projet'!D11</f>
        <v>0.50000000000000011</v>
      </c>
      <c r="V12" s="187">
        <f t="shared" ref="V12:V19" si="1">U12*T12</f>
        <v>-2269.6646619325411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Cèdre de l'Atlas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1224.293496888949</v>
      </c>
      <c r="U13" s="188">
        <f>'Données projet'!D12</f>
        <v>0.50000000000000011</v>
      </c>
      <c r="V13" s="187">
        <f t="shared" si="1"/>
        <v>612.14674844447461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Douglas</v>
      </c>
      <c r="C14" s="5"/>
      <c r="D14" s="5"/>
      <c r="E14" s="5"/>
      <c r="F14" s="259"/>
      <c r="G14" s="219"/>
      <c r="H14" s="183" t="s">
        <v>178</v>
      </c>
      <c r="I14" s="183" t="s">
        <v>291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Tilleul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-1018.0890752910018</v>
      </c>
      <c r="U14" s="188">
        <f>'Données projet'!D13</f>
        <v>0.30000000000000004</v>
      </c>
      <c r="V14" s="187">
        <f t="shared" si="1"/>
        <v>-305.42672258730056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34" t="s">
        <v>319</v>
      </c>
      <c r="H15" s="201"/>
      <c r="I15" s="202"/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Châtaignier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-4364.2909141612099</v>
      </c>
      <c r="U15" s="188">
        <f>'Données projet'!D14</f>
        <v>0.27600000000000002</v>
      </c>
      <c r="V15" s="187">
        <f t="shared" si="1"/>
        <v>-1204.5442923084941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287</v>
      </c>
      <c r="F16" s="259"/>
      <c r="G16" s="334"/>
      <c r="H16" s="201"/>
      <c r="I16" s="202"/>
      <c r="J16" s="214"/>
      <c r="K16" s="223"/>
      <c r="L16" s="330" t="s">
        <v>254</v>
      </c>
      <c r="M16" s="331"/>
      <c r="N16" s="2"/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>
        <v>0</v>
      </c>
      <c r="F17" s="259"/>
      <c r="G17" s="334"/>
      <c r="J17" s="214"/>
      <c r="K17" s="223"/>
      <c r="L17" s="288" t="s">
        <v>290</v>
      </c>
      <c r="M17" s="290"/>
      <c r="N17" s="185">
        <f>VLOOKUP(N16,Calculateur!$A$2:$H$153,3,0)/VLOOKUP('Scénario référence'!$G$15,Paramètres!A1:I88,3,0)/VLOOKUP('Scénario référence'!$G$15,Paramètres!A1:I88,5,0)</f>
        <v>0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>
        <f>1600*(0.69+0.6+0.25)</f>
        <v>2464</v>
      </c>
      <c r="F18" s="259"/>
      <c r="G18" s="334"/>
      <c r="J18" s="214"/>
      <c r="K18" s="223"/>
      <c r="L18" s="288" t="s">
        <v>255</v>
      </c>
      <c r="M18" s="290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>
        <v>600</v>
      </c>
      <c r="F19" s="259"/>
      <c r="G19" s="334"/>
      <c r="H19" s="230" t="s">
        <v>178</v>
      </c>
      <c r="I19" s="230" t="s">
        <v>288</v>
      </c>
      <c r="J19" s="258"/>
      <c r="K19" s="181"/>
      <c r="L19" s="330" t="s">
        <v>289</v>
      </c>
      <c r="M19" s="331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>
        <v>700</v>
      </c>
      <c r="F20" s="259"/>
      <c r="G20" s="334"/>
      <c r="H20" s="201">
        <v>0</v>
      </c>
      <c r="I20" s="202">
        <f>450+18</f>
        <v>468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 t="s">
        <v>132</v>
      </c>
      <c r="D21" s="209" t="s">
        <v>132</v>
      </c>
      <c r="E21" s="204">
        <v>700</v>
      </c>
      <c r="F21" s="259"/>
      <c r="H21" s="201">
        <f t="shared" ref="H21:H80" si="2">H20+1</f>
        <v>1</v>
      </c>
      <c r="I21" s="202">
        <f>400+18</f>
        <v>418</v>
      </c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>
        <f t="shared" si="2"/>
        <v>2</v>
      </c>
      <c r="I22" s="202">
        <v>18</v>
      </c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25</v>
      </c>
      <c r="B23" s="191">
        <f>'Données projet'!D36</f>
        <v>59</v>
      </c>
      <c r="C23" s="204">
        <v>23</v>
      </c>
      <c r="D23" s="192">
        <f>B23*C23</f>
        <v>1357</v>
      </c>
      <c r="E23" s="204"/>
      <c r="F23" s="259"/>
      <c r="H23" s="201">
        <f t="shared" si="2"/>
        <v>3</v>
      </c>
      <c r="I23" s="202">
        <v>18</v>
      </c>
      <c r="K23" s="223"/>
      <c r="L23" s="332" t="s">
        <v>260</v>
      </c>
      <c r="M23" s="332"/>
      <c r="N23" s="332"/>
      <c r="O23" s="25"/>
      <c r="P23" s="25"/>
      <c r="Q23" s="263"/>
      <c r="R23" s="25"/>
      <c r="S23" s="183" t="s">
        <v>264</v>
      </c>
      <c r="T23" s="32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-13721.14216846725</v>
      </c>
      <c r="U23" s="327"/>
      <c r="V23" s="32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32</v>
      </c>
      <c r="B24" s="191">
        <f>'Données projet'!D37</f>
        <v>79</v>
      </c>
      <c r="C24" s="204">
        <v>30.500000000000004</v>
      </c>
      <c r="D24" s="192">
        <f t="shared" ref="D24:D42" si="3">B24*C24</f>
        <v>2409.5000000000005</v>
      </c>
      <c r="E24" s="204"/>
      <c r="F24" s="262"/>
      <c r="H24" s="201">
        <f t="shared" si="2"/>
        <v>4</v>
      </c>
      <c r="I24" s="202">
        <v>18</v>
      </c>
      <c r="K24" s="223"/>
      <c r="O24" s="25"/>
      <c r="P24" s="25"/>
      <c r="Q24" s="263"/>
      <c r="R24" s="25"/>
      <c r="S24" s="183" t="s">
        <v>261</v>
      </c>
      <c r="T24" s="32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28"/>
      <c r="V24" s="32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39</v>
      </c>
      <c r="B25" s="191">
        <f>'Données projet'!D38</f>
        <v>80</v>
      </c>
      <c r="C25" s="204">
        <v>30.500000000000004</v>
      </c>
      <c r="D25" s="192">
        <f t="shared" si="3"/>
        <v>2440.0000000000005</v>
      </c>
      <c r="E25" s="204"/>
      <c r="F25" s="262"/>
      <c r="G25" s="1"/>
      <c r="H25" s="201">
        <f t="shared" si="2"/>
        <v>5</v>
      </c>
      <c r="I25" s="202">
        <v>18</v>
      </c>
      <c r="K25" s="223"/>
      <c r="L25" s="269" t="s">
        <v>285</v>
      </c>
      <c r="M25" s="269"/>
      <c r="N25" s="269"/>
      <c r="O25" s="269"/>
      <c r="P25" s="203">
        <v>0</v>
      </c>
      <c r="Q25" s="263"/>
      <c r="R25" s="25"/>
      <c r="S25" s="196" t="s">
        <v>266</v>
      </c>
      <c r="T25" s="329">
        <f ca="1">T23-T24</f>
        <v>-13721.14216846725</v>
      </c>
      <c r="U25" s="329"/>
      <c r="V25" s="32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46</v>
      </c>
      <c r="B26" s="191">
        <f>'Données projet'!D39</f>
        <v>86</v>
      </c>
      <c r="C26" s="204">
        <v>30.499999999999996</v>
      </c>
      <c r="D26" s="192">
        <f t="shared" si="3"/>
        <v>2622.9999999999995</v>
      </c>
      <c r="E26" s="204"/>
      <c r="F26" s="262"/>
      <c r="G26" s="257"/>
      <c r="H26" s="201">
        <f t="shared" si="2"/>
        <v>6</v>
      </c>
      <c r="I26" s="202">
        <v>18</v>
      </c>
      <c r="K26" s="223"/>
      <c r="L26" s="316" t="s">
        <v>258</v>
      </c>
      <c r="M26" s="317"/>
      <c r="N26" s="317"/>
      <c r="O26" s="317"/>
      <c r="P26" s="318"/>
      <c r="Q26" s="263"/>
      <c r="R26" s="25"/>
      <c r="S26" s="196" t="s">
        <v>265</v>
      </c>
      <c r="T26" s="326" t="str">
        <f ca="1">IF(T25&lt;0,"Votre projet est additionnel","Votre projet n'est pas additionnel")</f>
        <v>Votre projet est additionnel</v>
      </c>
      <c r="U26" s="326"/>
      <c r="V26" s="32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53</v>
      </c>
      <c r="B27" s="191">
        <f>'Données projet'!D40</f>
        <v>80</v>
      </c>
      <c r="C27" s="204">
        <v>51.5</v>
      </c>
      <c r="D27" s="192">
        <f t="shared" si="3"/>
        <v>4120</v>
      </c>
      <c r="E27" s="204"/>
      <c r="F27" s="262"/>
      <c r="G27" s="257"/>
      <c r="H27" s="201">
        <f t="shared" si="2"/>
        <v>7</v>
      </c>
      <c r="I27" s="202">
        <v>18</v>
      </c>
      <c r="K27" s="223"/>
      <c r="L27" s="319"/>
      <c r="M27" s="320"/>
      <c r="N27" s="320"/>
      <c r="O27" s="320"/>
      <c r="P27" s="321"/>
      <c r="Q27" s="263"/>
      <c r="R27" s="25"/>
      <c r="S27" s="325" t="s">
        <v>267</v>
      </c>
      <c r="T27" s="325"/>
      <c r="U27" s="325"/>
      <c r="V27" s="32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60</v>
      </c>
      <c r="B28" s="191">
        <f>'Données projet'!D41</f>
        <v>97</v>
      </c>
      <c r="C28" s="204">
        <v>51.5</v>
      </c>
      <c r="D28" s="192">
        <f t="shared" si="3"/>
        <v>4995.5</v>
      </c>
      <c r="E28" s="204"/>
      <c r="F28" s="262"/>
      <c r="G28" s="220"/>
      <c r="H28" s="201">
        <f t="shared" si="2"/>
        <v>8</v>
      </c>
      <c r="I28" s="202">
        <v>18</v>
      </c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67</v>
      </c>
      <c r="B29" s="191">
        <f>'Données projet'!D42</f>
        <v>521</v>
      </c>
      <c r="C29" s="204">
        <v>51.500000000000007</v>
      </c>
      <c r="D29" s="192">
        <f t="shared" si="3"/>
        <v>26831.500000000004</v>
      </c>
      <c r="E29" s="204"/>
      <c r="F29" s="262"/>
      <c r="G29" s="216"/>
      <c r="H29" s="201">
        <f t="shared" si="2"/>
        <v>9</v>
      </c>
      <c r="I29" s="202">
        <v>18</v>
      </c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0</v>
      </c>
      <c r="B30" s="191">
        <f>'Données projet'!D43</f>
        <v>0</v>
      </c>
      <c r="C30" s="204"/>
      <c r="D30" s="192">
        <f t="shared" si="3"/>
        <v>0</v>
      </c>
      <c r="E30" s="204"/>
      <c r="F30" s="262"/>
      <c r="G30" s="216"/>
      <c r="H30" s="201">
        <f t="shared" si="2"/>
        <v>10</v>
      </c>
      <c r="I30" s="202">
        <v>18</v>
      </c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0</v>
      </c>
      <c r="B31" s="191">
        <f>'Données projet'!D44</f>
        <v>0</v>
      </c>
      <c r="C31" s="204"/>
      <c r="D31" s="192">
        <f t="shared" si="3"/>
        <v>0</v>
      </c>
      <c r="E31" s="204"/>
      <c r="F31" s="262"/>
      <c r="G31" s="216"/>
      <c r="H31" s="201">
        <f t="shared" si="2"/>
        <v>11</v>
      </c>
      <c r="I31" s="202">
        <v>18</v>
      </c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0</v>
      </c>
      <c r="B32" s="191">
        <f>'Données projet'!D45</f>
        <v>0</v>
      </c>
      <c r="C32" s="204"/>
      <c r="D32" s="192">
        <f t="shared" si="3"/>
        <v>0</v>
      </c>
      <c r="E32" s="204"/>
      <c r="F32" s="262"/>
      <c r="G32" s="216"/>
      <c r="H32" s="201">
        <f t="shared" si="2"/>
        <v>12</v>
      </c>
      <c r="I32" s="202">
        <v>18</v>
      </c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0</v>
      </c>
      <c r="B33" s="191">
        <f>'Données projet'!D46</f>
        <v>0</v>
      </c>
      <c r="C33" s="204"/>
      <c r="D33" s="192">
        <f t="shared" si="3"/>
        <v>0</v>
      </c>
      <c r="E33" s="204"/>
      <c r="F33" s="262"/>
      <c r="G33" s="216"/>
      <c r="H33" s="201">
        <f t="shared" si="2"/>
        <v>13</v>
      </c>
      <c r="I33" s="202">
        <v>18</v>
      </c>
      <c r="K33" s="181"/>
      <c r="L33" s="5"/>
      <c r="M33" s="5"/>
      <c r="N33" s="5"/>
      <c r="O33" s="205">
        <v>0</v>
      </c>
      <c r="P33" s="195">
        <f t="shared" ref="P33:P64" si="4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0</v>
      </c>
      <c r="B34" s="191">
        <f>'Données projet'!D47</f>
        <v>0</v>
      </c>
      <c r="C34" s="204"/>
      <c r="D34" s="192">
        <f t="shared" si="3"/>
        <v>0</v>
      </c>
      <c r="E34" s="204"/>
      <c r="F34" s="262"/>
      <c r="G34" s="216"/>
      <c r="H34" s="201">
        <f t="shared" si="2"/>
        <v>14</v>
      </c>
      <c r="I34" s="202">
        <v>18</v>
      </c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4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0</v>
      </c>
      <c r="B35" s="191">
        <f>'Données projet'!D48</f>
        <v>0</v>
      </c>
      <c r="C35" s="204"/>
      <c r="D35" s="192">
        <f t="shared" si="3"/>
        <v>0</v>
      </c>
      <c r="E35" s="204"/>
      <c r="F35" s="262"/>
      <c r="G35" s="216"/>
      <c r="H35" s="201">
        <f t="shared" si="2"/>
        <v>15</v>
      </c>
      <c r="I35" s="202">
        <v>18</v>
      </c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4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0</v>
      </c>
      <c r="B36" s="191">
        <f>'Données projet'!D49</f>
        <v>0</v>
      </c>
      <c r="C36" s="204"/>
      <c r="D36" s="192">
        <f t="shared" si="3"/>
        <v>0</v>
      </c>
      <c r="E36" s="204"/>
      <c r="F36" s="262"/>
      <c r="G36" s="216"/>
      <c r="H36" s="201">
        <f t="shared" si="2"/>
        <v>16</v>
      </c>
      <c r="I36" s="202">
        <v>18</v>
      </c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4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0</v>
      </c>
      <c r="B37" s="191">
        <f>'Données projet'!D50</f>
        <v>0</v>
      </c>
      <c r="C37" s="204"/>
      <c r="D37" s="192">
        <f t="shared" si="3"/>
        <v>0</v>
      </c>
      <c r="E37" s="204"/>
      <c r="F37" s="262"/>
      <c r="G37" s="216"/>
      <c r="H37" s="201">
        <f t="shared" si="2"/>
        <v>17</v>
      </c>
      <c r="I37" s="202">
        <v>18</v>
      </c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4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0</v>
      </c>
      <c r="B38" s="191">
        <f>'Données projet'!D51</f>
        <v>0</v>
      </c>
      <c r="C38" s="204"/>
      <c r="D38" s="192">
        <f t="shared" si="3"/>
        <v>0</v>
      </c>
      <c r="E38" s="204"/>
      <c r="F38" s="262"/>
      <c r="G38" s="216"/>
      <c r="H38" s="201">
        <f t="shared" si="2"/>
        <v>18</v>
      </c>
      <c r="I38" s="202">
        <v>18</v>
      </c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4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0</v>
      </c>
      <c r="B39" s="191">
        <f>'Données projet'!D52</f>
        <v>0</v>
      </c>
      <c r="C39" s="204"/>
      <c r="D39" s="192">
        <f t="shared" si="3"/>
        <v>0</v>
      </c>
      <c r="E39" s="204"/>
      <c r="F39" s="262"/>
      <c r="G39" s="216"/>
      <c r="H39" s="201">
        <f t="shared" si="2"/>
        <v>19</v>
      </c>
      <c r="I39" s="202">
        <v>18</v>
      </c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4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0</v>
      </c>
      <c r="B40" s="191">
        <f>'Données projet'!D53</f>
        <v>0</v>
      </c>
      <c r="C40" s="204"/>
      <c r="D40" s="192">
        <f t="shared" si="3"/>
        <v>0</v>
      </c>
      <c r="E40" s="204"/>
      <c r="F40" s="262"/>
      <c r="G40" s="216"/>
      <c r="H40" s="201">
        <f t="shared" si="2"/>
        <v>20</v>
      </c>
      <c r="I40" s="202">
        <v>18</v>
      </c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4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0</v>
      </c>
      <c r="B41" s="191">
        <f>'Données projet'!D54</f>
        <v>0</v>
      </c>
      <c r="C41" s="204"/>
      <c r="D41" s="192">
        <f t="shared" si="3"/>
        <v>0</v>
      </c>
      <c r="E41" s="204"/>
      <c r="F41" s="262"/>
      <c r="G41" s="216"/>
      <c r="H41" s="201">
        <f t="shared" si="2"/>
        <v>21</v>
      </c>
      <c r="I41" s="202">
        <v>18</v>
      </c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4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0</v>
      </c>
      <c r="B42" s="191">
        <f>'Données projet'!D55</f>
        <v>0</v>
      </c>
      <c r="C42" s="204"/>
      <c r="D42" s="192">
        <f t="shared" si="3"/>
        <v>0</v>
      </c>
      <c r="E42" s="204"/>
      <c r="F42" s="262"/>
      <c r="G42" s="216"/>
      <c r="H42" s="201">
        <f t="shared" si="2"/>
        <v>22</v>
      </c>
      <c r="I42" s="202">
        <v>18</v>
      </c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4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>
        <f t="shared" si="2"/>
        <v>23</v>
      </c>
      <c r="I43" s="202">
        <v>18</v>
      </c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4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>
        <f t="shared" si="2"/>
        <v>24</v>
      </c>
      <c r="I44" s="202">
        <v>18</v>
      </c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4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Chêne rouge d'Amérique</v>
      </c>
      <c r="C45" s="5"/>
      <c r="D45" s="5"/>
      <c r="E45" s="5"/>
      <c r="F45" s="259"/>
      <c r="G45" s="216"/>
      <c r="H45" s="201">
        <f t="shared" si="2"/>
        <v>25</v>
      </c>
      <c r="I45" s="202">
        <v>18</v>
      </c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4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>
        <f t="shared" si="2"/>
        <v>26</v>
      </c>
      <c r="I46" s="202">
        <v>18</v>
      </c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4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287</v>
      </c>
      <c r="F47" s="260"/>
      <c r="G47" s="216"/>
      <c r="H47" s="201">
        <f t="shared" si="2"/>
        <v>27</v>
      </c>
      <c r="I47" s="202">
        <v>18</v>
      </c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4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>
        <v>0</v>
      </c>
      <c r="F48" s="260"/>
      <c r="G48" s="216"/>
      <c r="H48" s="201">
        <f t="shared" si="2"/>
        <v>28</v>
      </c>
      <c r="I48" s="202">
        <v>18</v>
      </c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4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>
        <f>1600*(0.8+0.6+0.25)</f>
        <v>2640</v>
      </c>
      <c r="G49" s="217"/>
      <c r="H49" s="201">
        <f>H48+1</f>
        <v>29</v>
      </c>
      <c r="I49" s="202">
        <v>18</v>
      </c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4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>
        <v>600</v>
      </c>
      <c r="G50" s="219"/>
      <c r="H50" s="201">
        <f t="shared" si="2"/>
        <v>30</v>
      </c>
      <c r="I50" s="202">
        <v>18</v>
      </c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4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>
        <f>700+300</f>
        <v>1000</v>
      </c>
      <c r="G51" s="219"/>
      <c r="H51" s="201">
        <f t="shared" si="2"/>
        <v>31</v>
      </c>
      <c r="I51" s="202">
        <v>18</v>
      </c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4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>
        <v>700</v>
      </c>
      <c r="G52" s="219"/>
      <c r="H52" s="201">
        <f t="shared" si="2"/>
        <v>32</v>
      </c>
      <c r="I52" s="202">
        <v>18</v>
      </c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4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>
        <f t="shared" si="2"/>
        <v>33</v>
      </c>
      <c r="I53" s="202">
        <v>18</v>
      </c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4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29</v>
      </c>
      <c r="B54" s="191">
        <f>'Données projet'!D62</f>
        <v>26.5</v>
      </c>
      <c r="C54" s="204">
        <v>4.9999991544912294</v>
      </c>
      <c r="D54" s="189">
        <f>B54*C54</f>
        <v>132.49997759401759</v>
      </c>
      <c r="E54" s="204"/>
      <c r="F54" s="261"/>
      <c r="G54" s="220"/>
      <c r="H54" s="201">
        <f t="shared" si="2"/>
        <v>34</v>
      </c>
      <c r="I54" s="202">
        <v>18</v>
      </c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4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34</v>
      </c>
      <c r="B55" s="191">
        <f>'Données projet'!D63</f>
        <v>23.1</v>
      </c>
      <c r="C55" s="204">
        <v>4.9999996109856299</v>
      </c>
      <c r="D55" s="189">
        <f t="shared" ref="D55:D73" si="5">B55*C55</f>
        <v>115.49999101376805</v>
      </c>
      <c r="E55" s="204"/>
      <c r="F55" s="261"/>
      <c r="G55" s="220"/>
      <c r="H55" s="201">
        <f t="shared" si="2"/>
        <v>35</v>
      </c>
      <c r="I55" s="202">
        <v>18</v>
      </c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4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42</v>
      </c>
      <c r="B56" s="191">
        <f>'Données projet'!D64</f>
        <v>47.2</v>
      </c>
      <c r="C56" s="204">
        <v>32.000001208935089</v>
      </c>
      <c r="D56" s="189">
        <f t="shared" si="5"/>
        <v>1510.4000570617363</v>
      </c>
      <c r="E56" s="204"/>
      <c r="F56" s="261"/>
      <c r="G56" s="220"/>
      <c r="H56" s="201">
        <f t="shared" si="2"/>
        <v>36</v>
      </c>
      <c r="I56" s="202">
        <v>18</v>
      </c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4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50</v>
      </c>
      <c r="B57" s="191">
        <f>'Données projet'!D65</f>
        <v>79.7</v>
      </c>
      <c r="C57" s="204">
        <v>32.000000342115008</v>
      </c>
      <c r="D57" s="189">
        <f t="shared" si="5"/>
        <v>2550.4000272665662</v>
      </c>
      <c r="E57" s="204"/>
      <c r="F57" s="261"/>
      <c r="G57" s="220"/>
      <c r="H57" s="201">
        <f t="shared" si="2"/>
        <v>37</v>
      </c>
      <c r="I57" s="202">
        <v>18</v>
      </c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4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62</v>
      </c>
      <c r="B58" s="191">
        <f>'Données projet'!D66</f>
        <v>15.5</v>
      </c>
      <c r="C58" s="204">
        <v>31.99999992537424</v>
      </c>
      <c r="D58" s="189">
        <f t="shared" si="5"/>
        <v>495.99999884330072</v>
      </c>
      <c r="E58" s="204"/>
      <c r="F58" s="261"/>
      <c r="G58" s="220"/>
      <c r="H58" s="201">
        <f t="shared" si="2"/>
        <v>38</v>
      </c>
      <c r="I58" s="202">
        <v>18</v>
      </c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4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78</v>
      </c>
      <c r="B59" s="191">
        <f>'Données projet'!D67</f>
        <v>82.4</v>
      </c>
      <c r="C59" s="202"/>
      <c r="D59" s="189">
        <f t="shared" si="5"/>
        <v>0</v>
      </c>
      <c r="E59" s="204"/>
      <c r="F59" s="261"/>
      <c r="G59" s="220"/>
      <c r="H59" s="201">
        <f t="shared" si="2"/>
        <v>39</v>
      </c>
      <c r="I59" s="202">
        <v>18</v>
      </c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4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0</v>
      </c>
      <c r="B60" s="191">
        <f>'Données projet'!D68</f>
        <v>0</v>
      </c>
      <c r="C60" s="202"/>
      <c r="D60" s="189">
        <f t="shared" si="5"/>
        <v>0</v>
      </c>
      <c r="E60" s="204"/>
      <c r="F60" s="261"/>
      <c r="G60" s="221"/>
      <c r="H60" s="201">
        <f t="shared" si="2"/>
        <v>40</v>
      </c>
      <c r="I60" s="202">
        <v>18</v>
      </c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4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0</v>
      </c>
      <c r="B61" s="191">
        <f>'Données projet'!D69</f>
        <v>0</v>
      </c>
      <c r="C61" s="202"/>
      <c r="D61" s="189">
        <f t="shared" si="5"/>
        <v>0</v>
      </c>
      <c r="E61" s="204"/>
      <c r="F61" s="261"/>
      <c r="G61" s="221"/>
      <c r="H61" s="201">
        <f t="shared" si="2"/>
        <v>41</v>
      </c>
      <c r="I61" s="202">
        <v>18</v>
      </c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4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0</v>
      </c>
      <c r="B62" s="191">
        <f>'Données projet'!D70</f>
        <v>0</v>
      </c>
      <c r="C62" s="202"/>
      <c r="D62" s="189">
        <f t="shared" si="5"/>
        <v>0</v>
      </c>
      <c r="E62" s="204"/>
      <c r="F62" s="261"/>
      <c r="G62" s="221"/>
      <c r="H62" s="201">
        <f t="shared" si="2"/>
        <v>42</v>
      </c>
      <c r="I62" s="202">
        <v>18</v>
      </c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4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0</v>
      </c>
      <c r="B63" s="191">
        <f>'Données projet'!D71</f>
        <v>0</v>
      </c>
      <c r="C63" s="202"/>
      <c r="D63" s="189">
        <f t="shared" si="5"/>
        <v>0</v>
      </c>
      <c r="E63" s="204"/>
      <c r="F63" s="261"/>
      <c r="G63" s="221"/>
      <c r="H63" s="201">
        <f t="shared" si="2"/>
        <v>43</v>
      </c>
      <c r="I63" s="202">
        <v>18</v>
      </c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4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0</v>
      </c>
      <c r="B64" s="191">
        <f>'Données projet'!D72</f>
        <v>0</v>
      </c>
      <c r="C64" s="202"/>
      <c r="D64" s="189">
        <f t="shared" si="5"/>
        <v>0</v>
      </c>
      <c r="E64" s="204"/>
      <c r="F64" s="261"/>
      <c r="G64" s="221"/>
      <c r="H64" s="201">
        <f t="shared" si="2"/>
        <v>44</v>
      </c>
      <c r="I64" s="202">
        <v>18</v>
      </c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4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0</v>
      </c>
      <c r="B65" s="191">
        <f>'Données projet'!D73</f>
        <v>0</v>
      </c>
      <c r="C65" s="202"/>
      <c r="D65" s="189">
        <f t="shared" si="5"/>
        <v>0</v>
      </c>
      <c r="E65" s="204"/>
      <c r="F65" s="261"/>
      <c r="G65" s="221"/>
      <c r="H65" s="201">
        <f t="shared" si="2"/>
        <v>45</v>
      </c>
      <c r="I65" s="202">
        <v>18</v>
      </c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6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0</v>
      </c>
      <c r="B66" s="191">
        <f>'Données projet'!D74</f>
        <v>0</v>
      </c>
      <c r="C66" s="202"/>
      <c r="D66" s="189">
        <f t="shared" si="5"/>
        <v>0</v>
      </c>
      <c r="E66" s="204"/>
      <c r="F66" s="261"/>
      <c r="G66" s="221"/>
      <c r="H66" s="201">
        <f t="shared" si="2"/>
        <v>46</v>
      </c>
      <c r="I66" s="202">
        <v>18</v>
      </c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6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0</v>
      </c>
      <c r="B67" s="191">
        <f>'Données projet'!D75</f>
        <v>0</v>
      </c>
      <c r="C67" s="202"/>
      <c r="D67" s="189">
        <f t="shared" si="5"/>
        <v>0</v>
      </c>
      <c r="E67" s="204"/>
      <c r="F67" s="261"/>
      <c r="G67" s="221"/>
      <c r="H67" s="201">
        <f t="shared" si="2"/>
        <v>47</v>
      </c>
      <c r="I67" s="202">
        <v>18</v>
      </c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6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0</v>
      </c>
      <c r="B68" s="191">
        <f>'Données projet'!D76</f>
        <v>0</v>
      </c>
      <c r="C68" s="202"/>
      <c r="D68" s="189">
        <f t="shared" si="5"/>
        <v>0</v>
      </c>
      <c r="E68" s="204"/>
      <c r="F68" s="261"/>
      <c r="G68" s="221"/>
      <c r="H68" s="201">
        <f t="shared" si="2"/>
        <v>48</v>
      </c>
      <c r="I68" s="202">
        <v>18</v>
      </c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6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0</v>
      </c>
      <c r="B69" s="191">
        <f>'Données projet'!D77</f>
        <v>0</v>
      </c>
      <c r="C69" s="202"/>
      <c r="D69" s="189">
        <f t="shared" si="5"/>
        <v>0</v>
      </c>
      <c r="E69" s="204"/>
      <c r="F69" s="261"/>
      <c r="G69" s="221"/>
      <c r="H69" s="201">
        <f t="shared" si="2"/>
        <v>49</v>
      </c>
      <c r="I69" s="202">
        <v>18</v>
      </c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6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0</v>
      </c>
      <c r="B70" s="191">
        <f>'Données projet'!D78</f>
        <v>0</v>
      </c>
      <c r="C70" s="202"/>
      <c r="D70" s="189">
        <f t="shared" si="5"/>
        <v>0</v>
      </c>
      <c r="E70" s="204"/>
      <c r="F70" s="261"/>
      <c r="G70" s="221"/>
      <c r="H70" s="201">
        <f t="shared" si="2"/>
        <v>50</v>
      </c>
      <c r="I70" s="202">
        <v>18</v>
      </c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6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0</v>
      </c>
      <c r="B71" s="191">
        <f>'Données projet'!D79</f>
        <v>0</v>
      </c>
      <c r="C71" s="202"/>
      <c r="D71" s="189">
        <f t="shared" si="5"/>
        <v>0</v>
      </c>
      <c r="E71" s="204"/>
      <c r="F71" s="261"/>
      <c r="G71" s="221"/>
      <c r="H71" s="201">
        <f t="shared" si="2"/>
        <v>51</v>
      </c>
      <c r="I71" s="202">
        <v>18</v>
      </c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6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0</v>
      </c>
      <c r="B72" s="191">
        <f>'Données projet'!D80</f>
        <v>0</v>
      </c>
      <c r="C72" s="202"/>
      <c r="D72" s="189">
        <f t="shared" si="5"/>
        <v>0</v>
      </c>
      <c r="E72" s="204"/>
      <c r="F72" s="261"/>
      <c r="G72" s="221"/>
      <c r="H72" s="201">
        <f t="shared" si="2"/>
        <v>52</v>
      </c>
      <c r="I72" s="202">
        <v>18</v>
      </c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6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0</v>
      </c>
      <c r="B73" s="191">
        <f>'Données projet'!D81</f>
        <v>0</v>
      </c>
      <c r="C73" s="202"/>
      <c r="D73" s="189">
        <f t="shared" si="5"/>
        <v>0</v>
      </c>
      <c r="E73" s="204"/>
      <c r="F73" s="261"/>
      <c r="G73" s="221"/>
      <c r="H73" s="201">
        <f t="shared" si="2"/>
        <v>53</v>
      </c>
      <c r="I73" s="202">
        <v>18</v>
      </c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6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>
        <f t="shared" si="2"/>
        <v>54</v>
      </c>
      <c r="I74" s="202">
        <v>18</v>
      </c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6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>
        <f t="shared" si="2"/>
        <v>55</v>
      </c>
      <c r="I75" s="202">
        <v>18</v>
      </c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6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Chêne pubescent</v>
      </c>
      <c r="C76" s="5"/>
      <c r="D76" s="5"/>
      <c r="E76" s="5"/>
      <c r="F76" s="259"/>
      <c r="G76" s="221"/>
      <c r="H76" s="201">
        <f t="shared" si="2"/>
        <v>56</v>
      </c>
      <c r="I76" s="202">
        <v>18</v>
      </c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6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>
        <f t="shared" si="2"/>
        <v>57</v>
      </c>
      <c r="I77" s="202">
        <v>18</v>
      </c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6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287</v>
      </c>
      <c r="F78" s="260"/>
      <c r="G78" s="221"/>
      <c r="H78" s="201">
        <f t="shared" si="2"/>
        <v>58</v>
      </c>
      <c r="I78" s="202">
        <v>18</v>
      </c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6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 t="s">
        <v>132</v>
      </c>
      <c r="D79" s="209" t="s">
        <v>132</v>
      </c>
      <c r="E79" s="204">
        <v>0</v>
      </c>
      <c r="G79" s="221"/>
      <c r="H79" s="201">
        <f t="shared" si="2"/>
        <v>59</v>
      </c>
      <c r="I79" s="202">
        <v>18</v>
      </c>
      <c r="J79" s="5"/>
      <c r="K79" s="181"/>
      <c r="L79" s="5"/>
      <c r="M79" s="5"/>
      <c r="N79" s="5"/>
      <c r="O79" s="205" t="str">
        <f>IF(O78+1&lt;=MIN('Données projet'!$E$9:$E$18),O78+1,"STOP")</f>
        <v>STOP</v>
      </c>
      <c r="P79" s="195" t="e">
        <f t="shared" si="6"/>
        <v>#VALUE!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 t="s">
        <v>132</v>
      </c>
      <c r="D80" s="209" t="s">
        <v>132</v>
      </c>
      <c r="E80" s="204">
        <f>1600*(1.15+0.6+0.25)</f>
        <v>3200</v>
      </c>
      <c r="G80" s="219"/>
      <c r="H80" s="201">
        <f t="shared" si="2"/>
        <v>60</v>
      </c>
      <c r="I80" s="202">
        <v>18</v>
      </c>
      <c r="J80" s="5"/>
      <c r="K80" s="181"/>
      <c r="L80" s="5"/>
      <c r="M80" s="5"/>
      <c r="N80" s="5"/>
      <c r="O80" s="205" t="e">
        <f>IF(O79+1&lt;=MIN('Données projet'!$E$9:$E$18),O79+1,"STOP")</f>
        <v>#VALUE!</v>
      </c>
      <c r="P80" s="195" t="e">
        <f t="shared" si="6"/>
        <v>#VALUE!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 t="s">
        <v>132</v>
      </c>
      <c r="D81" s="209" t="s">
        <v>132</v>
      </c>
      <c r="E81" s="204">
        <v>600</v>
      </c>
      <c r="G81" s="219"/>
      <c r="H81" s="201"/>
      <c r="I81" s="202"/>
      <c r="J81" s="5"/>
      <c r="K81" s="181"/>
      <c r="L81" s="5"/>
      <c r="M81" s="5"/>
      <c r="N81" s="5"/>
      <c r="O81" s="205" t="e">
        <f>IF(O80+1&lt;=MIN('Données projet'!$E$9:$E$18),O80+1,"STOP")</f>
        <v>#VALUE!</v>
      </c>
      <c r="P81" s="195" t="e">
        <f t="shared" si="6"/>
        <v>#VALUE!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 t="s">
        <v>132</v>
      </c>
      <c r="D82" s="209" t="s">
        <v>132</v>
      </c>
      <c r="E82" s="204">
        <v>700</v>
      </c>
      <c r="G82" s="219"/>
      <c r="H82" s="201"/>
      <c r="I82" s="202"/>
      <c r="J82" s="5"/>
      <c r="K82" s="181"/>
      <c r="L82" s="5"/>
      <c r="M82" s="5"/>
      <c r="N82" s="5"/>
      <c r="O82" s="205" t="e">
        <f>IF(O81+1&lt;=MIN('Données projet'!$E$9:$E$18),O81+1,"STOP")</f>
        <v>#VALUE!</v>
      </c>
      <c r="P82" s="195" t="e">
        <f t="shared" si="6"/>
        <v>#VALUE!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 t="s">
        <v>132</v>
      </c>
      <c r="D83" s="209" t="s">
        <v>132</v>
      </c>
      <c r="E83" s="204">
        <v>700</v>
      </c>
      <c r="F83" s="260"/>
      <c r="G83" s="219"/>
      <c r="H83" s="201"/>
      <c r="I83" s="202"/>
      <c r="J83" s="5"/>
      <c r="K83" s="181"/>
      <c r="L83" s="5"/>
      <c r="M83" s="5"/>
      <c r="N83" s="5"/>
      <c r="O83" s="205" t="e">
        <f>IF(O82+1&lt;=MIN('Données projet'!$E$9:$E$18),O82+1,"STOP")</f>
        <v>#VALUE!</v>
      </c>
      <c r="P83" s="195" t="e">
        <f t="shared" si="6"/>
        <v>#VALUE!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 t="e">
        <f>IF(O83+1&lt;=MIN('Données projet'!$E$9:$E$18),O83+1,"STOP")</f>
        <v>#VALUE!</v>
      </c>
      <c r="P84" s="195" t="e">
        <f t="shared" si="6"/>
        <v>#VALUE!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37</v>
      </c>
      <c r="B85" s="191">
        <f>'Données projet'!D88</f>
        <v>2</v>
      </c>
      <c r="C85" s="204">
        <v>5</v>
      </c>
      <c r="D85" s="189">
        <f>B85*C85</f>
        <v>10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 t="e">
        <f>IF(O84+1&lt;=MIN('Données projet'!$E$9:$E$18),O84+1,"STOP")</f>
        <v>#VALUE!</v>
      </c>
      <c r="P85" s="195" t="e">
        <f t="shared" si="6"/>
        <v>#VALUE!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45</v>
      </c>
      <c r="B86" s="191">
        <f>'Données projet'!D89</f>
        <v>7</v>
      </c>
      <c r="C86" s="204">
        <v>18.5</v>
      </c>
      <c r="D86" s="189">
        <f t="shared" ref="D86:D104" si="7">B86*C86</f>
        <v>129.5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 t="e">
        <f>IF(O85+1&lt;=MIN('Données projet'!$E$9:$E$18),O85+1,"STOP")</f>
        <v>#VALUE!</v>
      </c>
      <c r="P86" s="195" t="e">
        <f t="shared" si="6"/>
        <v>#VALUE!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53</v>
      </c>
      <c r="B87" s="191">
        <f>'Données projet'!D90</f>
        <v>15</v>
      </c>
      <c r="C87" s="204">
        <v>18.5</v>
      </c>
      <c r="D87" s="189">
        <f t="shared" si="7"/>
        <v>277.5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 t="e">
        <f>IF(O86+1&lt;=MIN('Données projet'!$E$9:$E$18),O86+1,"STOP")</f>
        <v>#VALUE!</v>
      </c>
      <c r="P87" s="195" t="e">
        <f t="shared" si="6"/>
        <v>#VALUE!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61</v>
      </c>
      <c r="B88" s="191">
        <f>'Données projet'!D91</f>
        <v>31</v>
      </c>
      <c r="C88" s="204">
        <v>32</v>
      </c>
      <c r="D88" s="189">
        <f t="shared" si="7"/>
        <v>992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 t="e">
        <f>IF(O87+1&lt;=MIN('Données projet'!$E$9:$E$18),O87+1,"STOP")</f>
        <v>#VALUE!</v>
      </c>
      <c r="P88" s="195" t="e">
        <f t="shared" si="6"/>
        <v>#VALUE!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69</v>
      </c>
      <c r="B89" s="191">
        <f>'Données projet'!D92</f>
        <v>31</v>
      </c>
      <c r="C89" s="204">
        <v>32</v>
      </c>
      <c r="D89" s="189">
        <f t="shared" si="7"/>
        <v>992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 t="e">
        <f>IF(O88+1&lt;=MIN('Données projet'!$E$9:$E$18),O88+1,"STOP")</f>
        <v>#VALUE!</v>
      </c>
      <c r="P89" s="195" t="e">
        <f t="shared" si="6"/>
        <v>#VALUE!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77</v>
      </c>
      <c r="B90" s="191">
        <f>'Données projet'!D93</f>
        <v>31</v>
      </c>
      <c r="C90" s="204">
        <v>32</v>
      </c>
      <c r="D90" s="189">
        <f t="shared" si="7"/>
        <v>992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 t="e">
        <f>IF(O89+1&lt;=MIN('Données projet'!$E$9:$E$18),O89+1,"STOP")</f>
        <v>#VALUE!</v>
      </c>
      <c r="P90" s="195" t="e">
        <f t="shared" si="6"/>
        <v>#VALUE!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85</v>
      </c>
      <c r="B91" s="191">
        <f>'Données projet'!D94</f>
        <v>30</v>
      </c>
      <c r="C91" s="204">
        <v>32</v>
      </c>
      <c r="D91" s="189">
        <f t="shared" si="7"/>
        <v>960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 t="e">
        <f>IF(O90+1&lt;=MIN('Données projet'!$E$9:$E$18),O90+1,"STOP")</f>
        <v>#VALUE!</v>
      </c>
      <c r="P91" s="195" t="e">
        <f t="shared" si="6"/>
        <v>#VALUE!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95</v>
      </c>
      <c r="B92" s="191">
        <f>'Données projet'!D95</f>
        <v>40</v>
      </c>
      <c r="C92" s="204">
        <v>32</v>
      </c>
      <c r="D92" s="189">
        <f t="shared" si="7"/>
        <v>1280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 t="e">
        <f>IF(O91+1&lt;=MIN('Données projet'!$E$9:$E$18),O91+1,"STOP")</f>
        <v>#VALUE!</v>
      </c>
      <c r="P92" s="195" t="e">
        <f t="shared" si="6"/>
        <v>#VALUE!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105</v>
      </c>
      <c r="B93" s="191">
        <f>'Données projet'!D96</f>
        <v>32</v>
      </c>
      <c r="C93" s="204">
        <v>32</v>
      </c>
      <c r="D93" s="189">
        <f t="shared" si="7"/>
        <v>1024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 t="e">
        <f>IF(O92+1&lt;=MIN('Données projet'!$E$9:$E$18),O92+1,"STOP")</f>
        <v>#VALUE!</v>
      </c>
      <c r="P93" s="195" t="e">
        <f t="shared" si="6"/>
        <v>#VALUE!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115</v>
      </c>
      <c r="B94" s="191">
        <f>'Données projet'!D97</f>
        <v>37</v>
      </c>
      <c r="C94" s="204">
        <v>32</v>
      </c>
      <c r="D94" s="189">
        <f t="shared" si="7"/>
        <v>1184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e">
        <f>IF(O93+1&lt;=MIN('Données projet'!$E$9:$E$18),O93+1,"STOP")</f>
        <v>#VALUE!</v>
      </c>
      <c r="P94" s="195" t="e">
        <f t="shared" si="6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125</v>
      </c>
      <c r="B95" s="191">
        <f>'Données projet'!D98</f>
        <v>38</v>
      </c>
      <c r="C95" s="204">
        <v>32</v>
      </c>
      <c r="D95" s="189">
        <f t="shared" si="7"/>
        <v>1216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6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135</v>
      </c>
      <c r="B96" s="191">
        <f>'Données projet'!D99</f>
        <v>39</v>
      </c>
      <c r="C96" s="204">
        <v>32</v>
      </c>
      <c r="D96" s="189">
        <f t="shared" si="7"/>
        <v>1248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6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145</v>
      </c>
      <c r="B97" s="191">
        <f>'Données projet'!D100</f>
        <v>39</v>
      </c>
      <c r="C97" s="204">
        <v>32</v>
      </c>
      <c r="D97" s="189">
        <f t="shared" si="7"/>
        <v>1248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8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155</v>
      </c>
      <c r="B98" s="191">
        <f>'Données projet'!D101</f>
        <v>40</v>
      </c>
      <c r="C98" s="204">
        <v>32</v>
      </c>
      <c r="D98" s="189">
        <f t="shared" si="7"/>
        <v>1280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8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165</v>
      </c>
      <c r="B99" s="191">
        <f>'Données projet'!D102</f>
        <v>39</v>
      </c>
      <c r="C99" s="204">
        <v>32</v>
      </c>
      <c r="D99" s="189">
        <f t="shared" si="7"/>
        <v>1248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8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180</v>
      </c>
      <c r="B100" s="191">
        <f>'Données projet'!D103</f>
        <v>408</v>
      </c>
      <c r="C100" s="204">
        <v>32</v>
      </c>
      <c r="D100" s="189">
        <f t="shared" si="7"/>
        <v>13056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8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0</v>
      </c>
      <c r="B101" s="191">
        <f>'Données projet'!D104</f>
        <v>0</v>
      </c>
      <c r="C101" s="202"/>
      <c r="D101" s="189">
        <f t="shared" si="7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8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0</v>
      </c>
      <c r="B102" s="191">
        <f>'Données projet'!D105</f>
        <v>0</v>
      </c>
      <c r="C102" s="202"/>
      <c r="D102" s="189">
        <f t="shared" si="7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8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0</v>
      </c>
      <c r="B103" s="191">
        <f>'Données projet'!D106</f>
        <v>0</v>
      </c>
      <c r="C103" s="202"/>
      <c r="D103" s="189">
        <f t="shared" si="7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8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0</v>
      </c>
      <c r="B104" s="191">
        <f>'Données projet'!D107</f>
        <v>0</v>
      </c>
      <c r="C104" s="202"/>
      <c r="D104" s="189">
        <f t="shared" si="7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8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8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8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Cèdre de l'Atlas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8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8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287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8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 t="s">
        <v>132</v>
      </c>
      <c r="D110" s="209" t="s">
        <v>132</v>
      </c>
      <c r="E110" s="204">
        <v>0</v>
      </c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8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 t="s">
        <v>132</v>
      </c>
      <c r="D111" s="209" t="s">
        <v>132</v>
      </c>
      <c r="E111" s="204">
        <f>1600*(1.48+0.6+0.25)</f>
        <v>3728</v>
      </c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8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 t="s">
        <v>132</v>
      </c>
      <c r="D112" s="209" t="s">
        <v>132</v>
      </c>
      <c r="E112" s="204">
        <v>600</v>
      </c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8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 t="s">
        <v>132</v>
      </c>
      <c r="D113" s="209" t="s">
        <v>132</v>
      </c>
      <c r="E113" s="204">
        <v>700</v>
      </c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8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 t="s">
        <v>132</v>
      </c>
      <c r="D114" s="209" t="s">
        <v>132</v>
      </c>
      <c r="E114" s="204">
        <v>700</v>
      </c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8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8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20</v>
      </c>
      <c r="B116" s="191">
        <f>'Données projet'!D114</f>
        <v>40.25</v>
      </c>
      <c r="C116" s="204">
        <v>5</v>
      </c>
      <c r="D116" s="189">
        <f>B116*C116</f>
        <v>201.25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8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30</v>
      </c>
      <c r="B117" s="191">
        <f>'Données projet'!D115</f>
        <v>34.9375</v>
      </c>
      <c r="C117" s="204">
        <v>5.0000028622540249</v>
      </c>
      <c r="D117" s="189">
        <f t="shared" ref="D117:D135" si="9">B117*C117</f>
        <v>174.6876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8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40</v>
      </c>
      <c r="B118" s="191">
        <f>'Données projet'!D116</f>
        <v>34.962499999999999</v>
      </c>
      <c r="C118" s="204">
        <v>32.49999856989632</v>
      </c>
      <c r="D118" s="189">
        <f t="shared" si="9"/>
        <v>1136.2812000000001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8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60</v>
      </c>
      <c r="B119" s="191">
        <f>'Données projet'!D117</f>
        <v>289.85000000000002</v>
      </c>
      <c r="C119" s="204">
        <v>43.5</v>
      </c>
      <c r="D119" s="189">
        <f t="shared" si="9"/>
        <v>12608.475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8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0</v>
      </c>
      <c r="B120" s="191">
        <f>'Données projet'!D118</f>
        <v>0</v>
      </c>
      <c r="C120" s="204"/>
      <c r="D120" s="189">
        <f t="shared" si="9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8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0</v>
      </c>
      <c r="B121" s="191">
        <f>'Données projet'!D119</f>
        <v>0</v>
      </c>
      <c r="C121" s="204"/>
      <c r="D121" s="189">
        <f t="shared" si="9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8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0</v>
      </c>
      <c r="B122" s="191">
        <f>'Données projet'!D120</f>
        <v>0</v>
      </c>
      <c r="C122" s="204"/>
      <c r="D122" s="189">
        <f t="shared" si="9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8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0</v>
      </c>
      <c r="B123" s="191">
        <f>'Données projet'!D121</f>
        <v>0</v>
      </c>
      <c r="C123" s="204"/>
      <c r="D123" s="189">
        <f t="shared" si="9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8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0</v>
      </c>
      <c r="B124" s="191">
        <f>'Données projet'!D122</f>
        <v>0</v>
      </c>
      <c r="C124" s="204"/>
      <c r="D124" s="189">
        <f t="shared" si="9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8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0</v>
      </c>
      <c r="B125" s="191">
        <f>'Données projet'!D123</f>
        <v>0</v>
      </c>
      <c r="C125" s="202"/>
      <c r="D125" s="189">
        <f t="shared" si="9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8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0</v>
      </c>
      <c r="B126" s="191">
        <f>'Données projet'!D124</f>
        <v>0</v>
      </c>
      <c r="C126" s="202"/>
      <c r="D126" s="189">
        <f t="shared" si="9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8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0</v>
      </c>
      <c r="B127" s="191">
        <f>'Données projet'!D125</f>
        <v>0</v>
      </c>
      <c r="C127" s="202"/>
      <c r="D127" s="189">
        <f t="shared" si="9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8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0</v>
      </c>
      <c r="B128" s="191">
        <f>'Données projet'!D126</f>
        <v>0</v>
      </c>
      <c r="C128" s="202"/>
      <c r="D128" s="189">
        <f t="shared" si="9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8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0</v>
      </c>
      <c r="B129" s="191">
        <f>'Données projet'!D127</f>
        <v>0</v>
      </c>
      <c r="C129" s="202"/>
      <c r="D129" s="189">
        <f t="shared" si="9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10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0</v>
      </c>
      <c r="B130" s="191">
        <f>'Données projet'!D128</f>
        <v>0</v>
      </c>
      <c r="C130" s="202"/>
      <c r="D130" s="189">
        <f t="shared" si="9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10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0</v>
      </c>
      <c r="B131" s="191">
        <f>'Données projet'!D129</f>
        <v>0</v>
      </c>
      <c r="C131" s="202"/>
      <c r="D131" s="189">
        <f t="shared" si="9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10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0</v>
      </c>
      <c r="B132" s="191">
        <f>'Données projet'!D130</f>
        <v>0</v>
      </c>
      <c r="C132" s="202"/>
      <c r="D132" s="189">
        <f t="shared" si="9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10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0</v>
      </c>
      <c r="B133" s="191">
        <f>'Données projet'!D131</f>
        <v>0</v>
      </c>
      <c r="C133" s="202"/>
      <c r="D133" s="189">
        <f t="shared" si="9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0</v>
      </c>
      <c r="B134" s="191">
        <f>'Données projet'!D132</f>
        <v>0</v>
      </c>
      <c r="C134" s="202"/>
      <c r="D134" s="189">
        <f t="shared" si="9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0</v>
      </c>
      <c r="B135" s="191">
        <f>'Données projet'!D133</f>
        <v>0</v>
      </c>
      <c r="C135" s="202"/>
      <c r="D135" s="189">
        <f t="shared" si="9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Tilleul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287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 t="s">
        <v>132</v>
      </c>
      <c r="D141" s="209" t="s">
        <v>132</v>
      </c>
      <c r="E141" s="204">
        <v>0</v>
      </c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 t="s">
        <v>132</v>
      </c>
      <c r="D142" s="209" t="s">
        <v>132</v>
      </c>
      <c r="E142" s="204">
        <f>200*(0.94+0.6+0.25)</f>
        <v>358</v>
      </c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 t="s">
        <v>132</v>
      </c>
      <c r="D143" s="209" t="s">
        <v>132</v>
      </c>
      <c r="E143" s="204">
        <v>600</v>
      </c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 t="s">
        <v>132</v>
      </c>
      <c r="D144" s="209" t="s">
        <v>132</v>
      </c>
      <c r="E144" s="204">
        <v>700</v>
      </c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 t="s">
        <v>132</v>
      </c>
      <c r="D145" s="209" t="s">
        <v>132</v>
      </c>
      <c r="E145" s="204">
        <v>700</v>
      </c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15</v>
      </c>
      <c r="B147" s="185">
        <f>'Données projet'!D140</f>
        <v>14</v>
      </c>
      <c r="C147" s="204">
        <v>5</v>
      </c>
      <c r="D147" s="192">
        <f>B147*C147</f>
        <v>70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20</v>
      </c>
      <c r="B148" s="185">
        <f>'Données projet'!D141</f>
        <v>20</v>
      </c>
      <c r="C148" s="204">
        <v>5</v>
      </c>
      <c r="D148" s="192">
        <f t="shared" ref="D148:D166" si="11">B148*C148</f>
        <v>100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25</v>
      </c>
      <c r="B149" s="185">
        <f>'Données projet'!D142</f>
        <v>23</v>
      </c>
      <c r="C149" s="204">
        <v>5</v>
      </c>
      <c r="D149" s="192">
        <f t="shared" si="11"/>
        <v>115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30</v>
      </c>
      <c r="B150" s="185">
        <f>'Données projet'!D143</f>
        <v>24</v>
      </c>
      <c r="C150" s="204">
        <v>5</v>
      </c>
      <c r="D150" s="192">
        <f t="shared" si="11"/>
        <v>120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35</v>
      </c>
      <c r="B151" s="185">
        <f>'Données projet'!D144</f>
        <v>25</v>
      </c>
      <c r="C151" s="204">
        <v>5</v>
      </c>
      <c r="D151" s="192">
        <f t="shared" si="11"/>
        <v>125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40</v>
      </c>
      <c r="B152" s="185">
        <f>'Données projet'!D145</f>
        <v>25</v>
      </c>
      <c r="C152" s="204">
        <v>12.5</v>
      </c>
      <c r="D152" s="192">
        <f t="shared" si="11"/>
        <v>312.5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45</v>
      </c>
      <c r="B153" s="185">
        <f>'Données projet'!D146</f>
        <v>24</v>
      </c>
      <c r="C153" s="204">
        <v>12.5</v>
      </c>
      <c r="D153" s="192">
        <f t="shared" si="11"/>
        <v>300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50</v>
      </c>
      <c r="B154" s="185">
        <f>'Données projet'!D147</f>
        <v>24</v>
      </c>
      <c r="C154" s="204">
        <v>12.5</v>
      </c>
      <c r="D154" s="192">
        <f t="shared" si="11"/>
        <v>300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55</v>
      </c>
      <c r="B155" s="185">
        <f>'Données projet'!D148</f>
        <v>23</v>
      </c>
      <c r="C155" s="204">
        <v>12.5</v>
      </c>
      <c r="D155" s="192">
        <f t="shared" si="11"/>
        <v>287.5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60</v>
      </c>
      <c r="B156" s="185">
        <f>'Données projet'!D149</f>
        <v>22</v>
      </c>
      <c r="C156" s="204">
        <v>20</v>
      </c>
      <c r="D156" s="192">
        <f t="shared" si="11"/>
        <v>440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65</v>
      </c>
      <c r="B157" s="185">
        <f>'Données projet'!D150</f>
        <v>21</v>
      </c>
      <c r="C157" s="204">
        <v>20</v>
      </c>
      <c r="D157" s="192">
        <f t="shared" si="11"/>
        <v>420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70</v>
      </c>
      <c r="B158" s="185">
        <f>'Données projet'!D151</f>
        <v>20</v>
      </c>
      <c r="C158" s="204">
        <v>20</v>
      </c>
      <c r="D158" s="192">
        <f t="shared" si="11"/>
        <v>400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75</v>
      </c>
      <c r="B159" s="185">
        <f>'Données projet'!D152</f>
        <v>18</v>
      </c>
      <c r="C159" s="204">
        <v>20</v>
      </c>
      <c r="D159" s="192">
        <f t="shared" si="11"/>
        <v>360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80</v>
      </c>
      <c r="B160" s="185">
        <f>'Données projet'!D153</f>
        <v>19</v>
      </c>
      <c r="C160" s="204">
        <v>20</v>
      </c>
      <c r="D160" s="192">
        <f t="shared" si="11"/>
        <v>380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85</v>
      </c>
      <c r="B161" s="185">
        <f>'Données projet'!D154</f>
        <v>18</v>
      </c>
      <c r="C161" s="204">
        <v>20</v>
      </c>
      <c r="D161" s="192">
        <f t="shared" si="11"/>
        <v>360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90</v>
      </c>
      <c r="B162" s="185">
        <f>'Données projet'!D155</f>
        <v>18</v>
      </c>
      <c r="C162" s="204">
        <v>20</v>
      </c>
      <c r="D162" s="192">
        <f t="shared" si="11"/>
        <v>360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95</v>
      </c>
      <c r="B163" s="185">
        <f>'Données projet'!D156</f>
        <v>17</v>
      </c>
      <c r="C163" s="204">
        <v>20</v>
      </c>
      <c r="D163" s="192">
        <f t="shared" si="11"/>
        <v>340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100</v>
      </c>
      <c r="B164" s="185">
        <f>'Données projet'!D157</f>
        <v>16</v>
      </c>
      <c r="C164" s="204">
        <v>20</v>
      </c>
      <c r="D164" s="192">
        <f t="shared" si="11"/>
        <v>320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105</v>
      </c>
      <c r="B165" s="185">
        <f>'Données projet'!D158</f>
        <v>16</v>
      </c>
      <c r="C165" s="204">
        <v>20</v>
      </c>
      <c r="D165" s="192">
        <f t="shared" si="11"/>
        <v>320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110</v>
      </c>
      <c r="B166" s="185">
        <f>'Données projet'!D159</f>
        <v>446</v>
      </c>
      <c r="C166" s="204">
        <v>20</v>
      </c>
      <c r="D166" s="192">
        <f t="shared" si="11"/>
        <v>8920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>Châtaignier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287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 t="s">
        <v>132</v>
      </c>
      <c r="D172" s="209" t="s">
        <v>132</v>
      </c>
      <c r="E172" s="204">
        <v>0</v>
      </c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 t="s">
        <v>132</v>
      </c>
      <c r="D173" s="209" t="s">
        <v>132</v>
      </c>
      <c r="E173" s="204">
        <f>1600*(1.2+0.6+0.25)</f>
        <v>3279.9999999999995</v>
      </c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 t="s">
        <v>132</v>
      </c>
      <c r="D174" s="209" t="s">
        <v>132</v>
      </c>
      <c r="E174" s="204">
        <v>600</v>
      </c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 t="s">
        <v>132</v>
      </c>
      <c r="D175" s="209" t="s">
        <v>132</v>
      </c>
      <c r="E175" s="204">
        <f>700+300</f>
        <v>1000</v>
      </c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 t="s">
        <v>132</v>
      </c>
      <c r="D176" s="209" t="s">
        <v>132</v>
      </c>
      <c r="E176" s="204">
        <v>700</v>
      </c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10</v>
      </c>
      <c r="B178" s="191">
        <f>'Données projet'!D166</f>
        <v>0</v>
      </c>
      <c r="C178" s="204">
        <v>5.0000000000000009</v>
      </c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15</v>
      </c>
      <c r="B179" s="191">
        <f>'Données projet'!D167</f>
        <v>0</v>
      </c>
      <c r="C179" s="204">
        <v>5</v>
      </c>
      <c r="D179" s="189">
        <f t="shared" ref="D179:D197" si="12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16</v>
      </c>
      <c r="B180" s="191">
        <f>'Données projet'!D168</f>
        <v>33</v>
      </c>
      <c r="C180" s="204">
        <v>5</v>
      </c>
      <c r="D180" s="189">
        <f t="shared" si="12"/>
        <v>165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20</v>
      </c>
      <c r="B181" s="191">
        <f>'Données projet'!D169</f>
        <v>0</v>
      </c>
      <c r="C181" s="204">
        <v>5</v>
      </c>
      <c r="D181" s="189">
        <f t="shared" si="12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25</v>
      </c>
      <c r="B182" s="191">
        <f>'Données projet'!D170</f>
        <v>41</v>
      </c>
      <c r="C182" s="204">
        <v>5</v>
      </c>
      <c r="D182" s="189">
        <f t="shared" si="12"/>
        <v>205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30</v>
      </c>
      <c r="B183" s="191">
        <f>'Données projet'!D171</f>
        <v>0</v>
      </c>
      <c r="C183" s="204">
        <v>5</v>
      </c>
      <c r="D183" s="189">
        <f t="shared" si="12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35</v>
      </c>
      <c r="B184" s="191">
        <f>'Données projet'!D172</f>
        <v>0</v>
      </c>
      <c r="C184" s="204">
        <v>5</v>
      </c>
      <c r="D184" s="189">
        <f t="shared" si="12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40</v>
      </c>
      <c r="B185" s="191">
        <f>'Données projet'!D173</f>
        <v>0</v>
      </c>
      <c r="C185" s="204">
        <v>5</v>
      </c>
      <c r="D185" s="189">
        <f t="shared" si="12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45</v>
      </c>
      <c r="B186" s="191">
        <f>'Données projet'!D174</f>
        <v>231</v>
      </c>
      <c r="C186" s="204">
        <v>20</v>
      </c>
      <c r="D186" s="189">
        <f t="shared" si="12"/>
        <v>4620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0</v>
      </c>
      <c r="B187" s="191">
        <f>'Données projet'!D175</f>
        <v>0</v>
      </c>
      <c r="C187" s="204"/>
      <c r="D187" s="189">
        <f t="shared" si="12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0</v>
      </c>
      <c r="B188" s="191">
        <f>'Données projet'!D176</f>
        <v>0</v>
      </c>
      <c r="C188" s="204"/>
      <c r="D188" s="189">
        <f t="shared" si="12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0</v>
      </c>
      <c r="B189" s="191">
        <f>'Données projet'!D177</f>
        <v>0</v>
      </c>
      <c r="C189" s="204"/>
      <c r="D189" s="189">
        <f t="shared" si="12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0</v>
      </c>
      <c r="B190" s="191">
        <f>'Données projet'!D178</f>
        <v>0</v>
      </c>
      <c r="C190" s="204"/>
      <c r="D190" s="189">
        <f t="shared" si="12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0</v>
      </c>
      <c r="B191" s="191">
        <f>'Données projet'!D179</f>
        <v>0</v>
      </c>
      <c r="C191" s="204"/>
      <c r="D191" s="189">
        <f t="shared" si="12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0</v>
      </c>
      <c r="B192" s="191">
        <f>'Données projet'!D180</f>
        <v>0</v>
      </c>
      <c r="C192" s="204"/>
      <c r="D192" s="189">
        <f t="shared" si="12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0</v>
      </c>
      <c r="B193" s="191">
        <f>'Données projet'!D181</f>
        <v>0</v>
      </c>
      <c r="C193" s="204"/>
      <c r="D193" s="189">
        <f t="shared" si="12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0</v>
      </c>
      <c r="B194" s="191">
        <f>'Données projet'!D182</f>
        <v>0</v>
      </c>
      <c r="C194" s="204"/>
      <c r="D194" s="189">
        <f t="shared" si="12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0</v>
      </c>
      <c r="B195" s="191">
        <f>'Données projet'!D183</f>
        <v>0</v>
      </c>
      <c r="C195" s="204"/>
      <c r="D195" s="189">
        <f t="shared" si="12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0</v>
      </c>
      <c r="B196" s="191">
        <f>'Données projet'!D184</f>
        <v>0</v>
      </c>
      <c r="C196" s="204"/>
      <c r="D196" s="189">
        <f t="shared" si="12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0</v>
      </c>
      <c r="B197" s="191">
        <f>'Données projet'!D185</f>
        <v>0</v>
      </c>
      <c r="C197" s="204"/>
      <c r="D197" s="189">
        <f t="shared" si="12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287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3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0</v>
      </c>
      <c r="B211" s="191">
        <f>'Données projet'!D194</f>
        <v>0</v>
      </c>
      <c r="C211" s="204"/>
      <c r="D211" s="189">
        <f t="shared" si="13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0</v>
      </c>
      <c r="B212" s="191">
        <f>'Données projet'!D195</f>
        <v>0</v>
      </c>
      <c r="C212" s="204"/>
      <c r="D212" s="189">
        <f t="shared" si="13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0</v>
      </c>
      <c r="B213" s="191">
        <f>'Données projet'!D196</f>
        <v>0</v>
      </c>
      <c r="C213" s="204"/>
      <c r="D213" s="189">
        <f t="shared" si="13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0</v>
      </c>
      <c r="B214" s="191">
        <f>'Données projet'!D197</f>
        <v>0</v>
      </c>
      <c r="C214" s="204"/>
      <c r="D214" s="189">
        <f t="shared" si="13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0</v>
      </c>
      <c r="B215" s="191">
        <f>'Données projet'!D198</f>
        <v>0</v>
      </c>
      <c r="C215" s="204"/>
      <c r="D215" s="189">
        <f t="shared" si="13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0</v>
      </c>
      <c r="B216" s="191">
        <f>'Données projet'!D199</f>
        <v>0</v>
      </c>
      <c r="C216" s="204"/>
      <c r="D216" s="189">
        <f t="shared" si="13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0</v>
      </c>
      <c r="B217" s="191">
        <f>'Données projet'!D200</f>
        <v>0</v>
      </c>
      <c r="C217" s="204"/>
      <c r="D217" s="189">
        <f t="shared" si="13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0</v>
      </c>
      <c r="B218" s="191">
        <f>'Données projet'!D201</f>
        <v>0</v>
      </c>
      <c r="C218" s="204"/>
      <c r="D218" s="189">
        <f t="shared" si="13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0</v>
      </c>
      <c r="B219" s="191">
        <f>'Données projet'!D202</f>
        <v>0</v>
      </c>
      <c r="C219" s="204"/>
      <c r="D219" s="189">
        <f t="shared" si="13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0</v>
      </c>
      <c r="B220" s="191">
        <f>'Données projet'!D203</f>
        <v>0</v>
      </c>
      <c r="C220" s="204"/>
      <c r="D220" s="189">
        <f t="shared" si="13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0</v>
      </c>
      <c r="B221" s="191">
        <f>'Données projet'!D204</f>
        <v>0</v>
      </c>
      <c r="C221" s="204"/>
      <c r="D221" s="189">
        <f t="shared" si="13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0</v>
      </c>
      <c r="B222" s="191">
        <f>'Données projet'!D205</f>
        <v>0</v>
      </c>
      <c r="C222" s="204"/>
      <c r="D222" s="189">
        <f t="shared" si="13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0</v>
      </c>
      <c r="B223" s="191">
        <f>'Données projet'!D206</f>
        <v>0</v>
      </c>
      <c r="C223" s="204"/>
      <c r="D223" s="189">
        <f t="shared" si="13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0</v>
      </c>
      <c r="B224" s="191">
        <f>'Données projet'!D207</f>
        <v>0</v>
      </c>
      <c r="C224" s="204"/>
      <c r="D224" s="189">
        <f t="shared" si="13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0</v>
      </c>
      <c r="B225" s="191">
        <f>'Données projet'!D208</f>
        <v>0</v>
      </c>
      <c r="C225" s="204"/>
      <c r="D225" s="189">
        <f t="shared" si="13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0</v>
      </c>
      <c r="B226" s="191">
        <f>'Données projet'!D209</f>
        <v>0</v>
      </c>
      <c r="C226" s="204"/>
      <c r="D226" s="189">
        <f t="shared" si="13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0</v>
      </c>
      <c r="B227" s="191">
        <f>'Données projet'!D210</f>
        <v>0</v>
      </c>
      <c r="C227" s="204"/>
      <c r="D227" s="189">
        <f t="shared" si="13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0</v>
      </c>
      <c r="B228" s="191">
        <f>'Données projet'!D211</f>
        <v>0</v>
      </c>
      <c r="C228" s="204"/>
      <c r="D228" s="189">
        <f t="shared" si="13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287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4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0</v>
      </c>
      <c r="B242" s="191">
        <f>'Données projet'!D220</f>
        <v>0</v>
      </c>
      <c r="C242" s="204"/>
      <c r="D242" s="189">
        <f t="shared" si="14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0</v>
      </c>
      <c r="B243" s="191">
        <f>'Données projet'!D221</f>
        <v>0</v>
      </c>
      <c r="C243" s="204"/>
      <c r="D243" s="189">
        <f t="shared" si="14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0</v>
      </c>
      <c r="B244" s="191">
        <f>'Données projet'!D222</f>
        <v>0</v>
      </c>
      <c r="C244" s="204"/>
      <c r="D244" s="189">
        <f t="shared" si="14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0</v>
      </c>
      <c r="B245" s="191">
        <f>'Données projet'!D223</f>
        <v>0</v>
      </c>
      <c r="C245" s="204"/>
      <c r="D245" s="189">
        <f t="shared" si="14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0</v>
      </c>
      <c r="B246" s="191">
        <f>'Données projet'!D224</f>
        <v>0</v>
      </c>
      <c r="C246" s="204"/>
      <c r="D246" s="189">
        <f t="shared" si="14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0</v>
      </c>
      <c r="B247" s="191">
        <f>'Données projet'!D225</f>
        <v>0</v>
      </c>
      <c r="C247" s="204"/>
      <c r="D247" s="189">
        <f t="shared" si="14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0</v>
      </c>
      <c r="B248" s="191">
        <f>'Données projet'!D226</f>
        <v>0</v>
      </c>
      <c r="C248" s="204"/>
      <c r="D248" s="189">
        <f t="shared" si="14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0</v>
      </c>
      <c r="B249" s="191">
        <f>'Données projet'!D227</f>
        <v>0</v>
      </c>
      <c r="C249" s="204"/>
      <c r="D249" s="189">
        <f t="shared" si="14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0</v>
      </c>
      <c r="B250" s="191">
        <f>'Données projet'!D228</f>
        <v>0</v>
      </c>
      <c r="C250" s="204"/>
      <c r="D250" s="189">
        <f t="shared" si="14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0</v>
      </c>
      <c r="B251" s="191">
        <f>'Données projet'!D229</f>
        <v>0</v>
      </c>
      <c r="C251" s="204"/>
      <c r="D251" s="189">
        <f t="shared" si="14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0</v>
      </c>
      <c r="B252" s="191">
        <f>'Données projet'!D230</f>
        <v>0</v>
      </c>
      <c r="C252" s="204"/>
      <c r="D252" s="189">
        <f t="shared" si="14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0</v>
      </c>
      <c r="B253" s="191">
        <f>'Données projet'!D231</f>
        <v>0</v>
      </c>
      <c r="C253" s="204"/>
      <c r="D253" s="189">
        <f t="shared" si="14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0</v>
      </c>
      <c r="B254" s="191">
        <f>'Données projet'!D232</f>
        <v>0</v>
      </c>
      <c r="C254" s="204"/>
      <c r="D254" s="189">
        <f t="shared" si="14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0</v>
      </c>
      <c r="B255" s="191">
        <f>'Données projet'!D233</f>
        <v>0</v>
      </c>
      <c r="C255" s="204"/>
      <c r="D255" s="189">
        <f t="shared" si="14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0</v>
      </c>
      <c r="B256" s="191">
        <f>'Données projet'!D234</f>
        <v>0</v>
      </c>
      <c r="C256" s="204"/>
      <c r="D256" s="189">
        <f t="shared" si="14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0</v>
      </c>
      <c r="B257" s="191">
        <f>'Données projet'!D235</f>
        <v>0</v>
      </c>
      <c r="C257" s="204"/>
      <c r="D257" s="189">
        <f t="shared" si="14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0</v>
      </c>
      <c r="B258" s="191">
        <f>'Données projet'!D236</f>
        <v>0</v>
      </c>
      <c r="C258" s="204"/>
      <c r="D258" s="189">
        <f t="shared" si="14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0</v>
      </c>
      <c r="B259" s="191">
        <f>'Données projet'!D237</f>
        <v>0</v>
      </c>
      <c r="C259" s="204"/>
      <c r="D259" s="189">
        <f t="shared" si="14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287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5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0</v>
      </c>
      <c r="B273" s="191">
        <f>'Données projet'!D246</f>
        <v>0</v>
      </c>
      <c r="C273" s="204"/>
      <c r="D273" s="189">
        <f t="shared" si="15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0</v>
      </c>
      <c r="B274" s="191">
        <f>'Données projet'!D247</f>
        <v>0</v>
      </c>
      <c r="C274" s="204"/>
      <c r="D274" s="189">
        <f t="shared" si="15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0</v>
      </c>
      <c r="B275" s="191">
        <f>'Données projet'!D248</f>
        <v>0</v>
      </c>
      <c r="C275" s="204"/>
      <c r="D275" s="189">
        <f t="shared" si="15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0</v>
      </c>
      <c r="B276" s="191">
        <f>'Données projet'!D249</f>
        <v>0</v>
      </c>
      <c r="C276" s="204"/>
      <c r="D276" s="189">
        <f t="shared" si="15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0</v>
      </c>
      <c r="B277" s="191">
        <f>'Données projet'!D250</f>
        <v>0</v>
      </c>
      <c r="C277" s="204"/>
      <c r="D277" s="189">
        <f t="shared" si="15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0</v>
      </c>
      <c r="B278" s="191">
        <f>'Données projet'!D251</f>
        <v>0</v>
      </c>
      <c r="C278" s="204"/>
      <c r="D278" s="189">
        <f t="shared" si="15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0</v>
      </c>
      <c r="B279" s="191">
        <f>'Données projet'!D252</f>
        <v>0</v>
      </c>
      <c r="C279" s="204"/>
      <c r="D279" s="189">
        <f t="shared" si="15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0</v>
      </c>
      <c r="B280" s="191">
        <f>'Données projet'!D253</f>
        <v>0</v>
      </c>
      <c r="C280" s="204"/>
      <c r="D280" s="189">
        <f t="shared" si="15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0</v>
      </c>
      <c r="B281" s="191">
        <f>'Données projet'!D254</f>
        <v>0</v>
      </c>
      <c r="C281" s="204"/>
      <c r="D281" s="189">
        <f t="shared" si="15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0</v>
      </c>
      <c r="B282" s="191">
        <f>'Données projet'!D255</f>
        <v>0</v>
      </c>
      <c r="C282" s="204"/>
      <c r="D282" s="189">
        <f t="shared" si="15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0</v>
      </c>
      <c r="B283" s="191">
        <f>'Données projet'!D256</f>
        <v>0</v>
      </c>
      <c r="C283" s="204"/>
      <c r="D283" s="189">
        <f t="shared" si="15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0</v>
      </c>
      <c r="B284" s="191">
        <f>'Données projet'!D257</f>
        <v>0</v>
      </c>
      <c r="C284" s="204"/>
      <c r="D284" s="189">
        <f t="shared" si="15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0</v>
      </c>
      <c r="B285" s="191">
        <f>'Données projet'!D258</f>
        <v>0</v>
      </c>
      <c r="C285" s="204"/>
      <c r="D285" s="189">
        <f t="shared" si="15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4"/>
      <c r="D286" s="189">
        <f t="shared" si="15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4"/>
      <c r="D287" s="189">
        <f t="shared" si="15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4"/>
      <c r="D288" s="189">
        <f t="shared" si="15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4"/>
      <c r="D289" s="189">
        <f t="shared" si="15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4"/>
      <c r="D290" s="189">
        <f t="shared" si="15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287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6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0</v>
      </c>
      <c r="B304" s="191">
        <f>'Données projet'!D272</f>
        <v>0</v>
      </c>
      <c r="C304" s="202"/>
      <c r="D304" s="192">
        <f t="shared" si="16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0</v>
      </c>
      <c r="B305" s="191">
        <f>'Données projet'!D273</f>
        <v>0</v>
      </c>
      <c r="C305" s="202"/>
      <c r="D305" s="192">
        <f t="shared" si="16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0</v>
      </c>
      <c r="B306" s="191">
        <f>'Données projet'!D274</f>
        <v>0</v>
      </c>
      <c r="C306" s="202"/>
      <c r="D306" s="192">
        <f t="shared" si="16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0</v>
      </c>
      <c r="B307" s="191">
        <f>'Données projet'!D275</f>
        <v>0</v>
      </c>
      <c r="C307" s="202"/>
      <c r="D307" s="192">
        <f t="shared" si="16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0</v>
      </c>
      <c r="B308" s="191">
        <f>'Données projet'!D276</f>
        <v>0</v>
      </c>
      <c r="C308" s="202"/>
      <c r="D308" s="192">
        <f t="shared" si="16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0</v>
      </c>
      <c r="B309" s="191">
        <f>'Données projet'!D277</f>
        <v>0</v>
      </c>
      <c r="C309" s="202"/>
      <c r="D309" s="192">
        <f t="shared" si="16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0</v>
      </c>
      <c r="B310" s="191">
        <f>'Données projet'!D278</f>
        <v>0</v>
      </c>
      <c r="C310" s="202"/>
      <c r="D310" s="192">
        <f t="shared" si="16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2"/>
      <c r="D311" s="192">
        <f t="shared" si="16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2"/>
      <c r="D312" s="192">
        <f t="shared" si="16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2"/>
      <c r="D313" s="192">
        <f t="shared" si="16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2"/>
      <c r="D314" s="192">
        <f t="shared" si="16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2"/>
      <c r="D315" s="192">
        <f t="shared" si="16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2"/>
      <c r="D316" s="192">
        <f t="shared" si="16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2"/>
      <c r="D317" s="192">
        <f t="shared" si="16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2"/>
      <c r="D318" s="192">
        <f t="shared" si="16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2"/>
      <c r="D319" s="192">
        <f t="shared" si="16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2"/>
      <c r="D320" s="192">
        <f t="shared" si="16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7"/>
      <c r="D321" s="192">
        <f t="shared" si="16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3" ma:contentTypeDescription="Crée un document." ma:contentTypeScope="" ma:versionID="f230247385dada5798064908a0388c21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975fbde808ff08711a97270bb9b29612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4a0a9159-faee-4929-bc18-6e0874945fe3" xsi:nil="true"/>
  </documentManagement>
</p:properties>
</file>

<file path=customXml/itemProps1.xml><?xml version="1.0" encoding="utf-8"?>
<ds:datastoreItem xmlns:ds="http://schemas.openxmlformats.org/officeDocument/2006/customXml" ds:itemID="{C8161D3C-B88E-4E49-B997-E715699AA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0BE7E4-FADA-4F53-8FA8-72D4256146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F25DFE-5B57-47B8-823F-9F2BD30FD035}">
  <ds:schemaRefs>
    <ds:schemaRef ds:uri="http://schemas.microsoft.com/office/2006/metadata/properties"/>
    <ds:schemaRef ds:uri="http://schemas.microsoft.com/office/infopath/2007/PartnerControls"/>
    <ds:schemaRef ds:uri="4a0a9159-faee-4929-bc18-6e0874945f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OCCI_OG</dc:creator>
  <cp:lastModifiedBy>Aurélien Blond</cp:lastModifiedBy>
  <dcterms:created xsi:type="dcterms:W3CDTF">2021-02-01T08:22:39Z</dcterms:created>
  <dcterms:modified xsi:type="dcterms:W3CDTF">2022-05-13T13:41:33Z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Order">
    <vt:r8>1571800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